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hreadedComments/threadedComment3.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threadedComments/threadedComment4.xml" ContentType="application/vnd.ms-excel.threadedcomments+xml"/>
  <Override PartName="/xl/comments20.xml" ContentType="application/vnd.openxmlformats-officedocument.spreadsheetml.comments+xml"/>
  <Override PartName="/xl/threadedComments/threadedComment5.xml" ContentType="application/vnd.ms-excel.threadedcomments+xml"/>
  <Override PartName="/xl/comments21.xml" ContentType="application/vnd.openxmlformats-officedocument.spreadsheetml.comments+xml"/>
  <Override PartName="/xl/comments22.xml" ContentType="application/vnd.openxmlformats-officedocument.spreadsheetml.comments+xml"/>
  <Override PartName="/xl/threadedComments/threadedComment6.xml" ContentType="application/vnd.ms-excel.threadedcomments+xml"/>
  <Override PartName="/xl/comments23.xml" ContentType="application/vnd.openxmlformats-officedocument.spreadsheetml.comments+xml"/>
  <Override PartName="/xl/threadedComments/threadedComment7.xml" ContentType="application/vnd.ms-excel.threaded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threadedComments/threadedComment8.xml" ContentType="application/vnd.ms-excel.threaded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threadedComments/threadedComment9.xml" ContentType="application/vnd.ms-excel.threaded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threadedComments/threadedComment10.xml" ContentType="application/vnd.ms-excel.threadedcomments+xml"/>
  <Override PartName="/xl/comments49.xml" ContentType="application/vnd.openxmlformats-officedocument.spreadsheetml.comments+xml"/>
  <Override PartName="/xl/threadedComments/threadedComment11.xml" ContentType="application/vnd.ms-excel.threadedcomments+xml"/>
  <Override PartName="/xl/comments50.xml" ContentType="application/vnd.openxmlformats-officedocument.spreadsheetml.comments+xml"/>
  <Override PartName="/xl/threadedComments/threadedComment12.xml" ContentType="application/vnd.ms-excel.threaded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threadedComments/threadedComment13.xml" ContentType="application/vnd.ms-excel.threadedcomments+xml"/>
  <Override PartName="/xl/comments54.xml" ContentType="application/vnd.openxmlformats-officedocument.spreadsheetml.comments+xml"/>
  <Override PartName="/xl/comments55.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59.xml" ContentType="application/vnd.openxmlformats-officedocument.spreadsheetml.comments+xml"/>
  <Override PartName="/xl/comments60.xml" ContentType="application/vnd.openxmlformats-officedocument.spreadsheetml.comments+xml"/>
  <Override PartName="/xl/comments61.xml" ContentType="application/vnd.openxmlformats-officedocument.spreadsheetml.comments+xml"/>
  <Override PartName="/xl/threadedComments/threadedComment14.xml" ContentType="application/vnd.ms-excel.threadedcomments+xml"/>
  <Override PartName="/xl/comments62.xml" ContentType="application/vnd.openxmlformats-officedocument.spreadsheetml.comments+xml"/>
  <Override PartName="/xl/threadedComments/threadedComment15.xml" ContentType="application/vnd.ms-excel.threadedcomments+xml"/>
  <Override PartName="/xl/comments63.xml" ContentType="application/vnd.openxmlformats-officedocument.spreadsheetml.comments+xml"/>
  <Override PartName="/xl/threadedComments/threadedComment16.xml" ContentType="application/vnd.ms-excel.threadedcomments+xml"/>
  <Override PartName="/xl/comments64.xml" ContentType="application/vnd.openxmlformats-officedocument.spreadsheetml.comments+xml"/>
  <Override PartName="/xl/threadedComments/threadedComment17.xml" ContentType="application/vnd.ms-excel.threadedcomments+xml"/>
  <Override PartName="/xl/comments65.xml" ContentType="application/vnd.openxmlformats-officedocument.spreadsheetml.comments+xml"/>
  <Override PartName="/xl/threadedComments/threadedComment18.xml" ContentType="application/vnd.ms-excel.threadedcomments+xml"/>
  <Override PartName="/xl/comments66.xml" ContentType="application/vnd.openxmlformats-officedocument.spreadsheetml.comments+xml"/>
  <Override PartName="/xl/threadedComments/threadedComment19.xml" ContentType="application/vnd.ms-excel.threadedcomments+xml"/>
  <Override PartName="/xl/comments67.xml" ContentType="application/vnd.openxmlformats-officedocument.spreadsheetml.comments+xml"/>
  <Override PartName="/xl/comments68.xml" ContentType="application/vnd.openxmlformats-officedocument.spreadsheetml.comments+xml"/>
  <Override PartName="/xl/comments69.xml" ContentType="application/vnd.openxmlformats-officedocument.spreadsheetml.comments+xml"/>
  <Override PartName="/xl/comments7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octafoodsa-my.sharepoint.com/personal/alshareef_ka_octafoodksa_com/Documents/Octa File/SOPs &amp; Operation/Tokyo Project/Tokyo Files/Sept/"/>
    </mc:Choice>
  </mc:AlternateContent>
  <xr:revisionPtr revIDLastSave="181207" documentId="6_{E329D82C-C147-4323-BA39-074953EDAED5}" xr6:coauthVersionLast="47" xr6:coauthVersionMax="47" xr10:uidLastSave="{8A16E950-864D-411C-9B91-5CCDBDF5C28D}"/>
  <bookViews>
    <workbookView xWindow="8265" yWindow="435" windowWidth="18885" windowHeight="15210" tabRatio="836" xr2:uid="{00000000-000D-0000-FFFF-FFFF00000000}"/>
  </bookViews>
  <sheets>
    <sheet name="Butchery" sheetId="80" r:id="rId1"/>
    <sheet name="All_Ingredients" sheetId="1" r:id="rId2"/>
    <sheet name="Marination_Ordering" sheetId="2" r:id="rId3"/>
    <sheet name="Cutting_Shapes_Ordering" sheetId="116" r:id="rId4"/>
    <sheet name="Curry Chicken" sheetId="3" r:id="rId5"/>
    <sheet name="Kabsa Lahm" sheetId="4" r:id="rId6"/>
    <sheet name="Pan Fried Fish" sheetId="6" r:id="rId7"/>
    <sheet name="Beef Chilli Dry" sheetId="5" r:id="rId8"/>
    <sheet name="Meat with Bamiya" sheetId="7" r:id="rId9"/>
    <sheet name="Chinese Chicken" sheetId="8" r:id="rId10"/>
    <sheet name="Herbal Chicken" sheetId="9" r:id="rId11"/>
    <sheet name="Asian Chicken Sandwich" sheetId="11" r:id="rId12"/>
    <sheet name="Jollof Sauce" sheetId="87" r:id="rId13"/>
    <sheet name="Arabic Chicken Burger" sheetId="96" r:id="rId14"/>
    <sheet name="Chicken Mandi (1)" sheetId="10" r:id="rId15"/>
    <sheet name="Asian Potato Cubes" sheetId="89" r:id="rId16"/>
    <sheet name="Herbal Potato Wedges" sheetId="12" r:id="rId17"/>
    <sheet name="Spaghetti pasta" sheetId="82" r:id="rId18"/>
    <sheet name="Sautee Vegetables (1)" sheetId="13" r:id="rId19"/>
    <sheet name="Mached Potato(1)" sheetId="14" r:id="rId20"/>
    <sheet name="Chicken Alfredo" sheetId="15" r:id="rId21"/>
    <sheet name="Fettuccine Pasta Sauce" sheetId="16" r:id="rId22"/>
    <sheet name="Blankwet Fish" sheetId="19" r:id="rId23"/>
    <sheet name="Coconut Chicken" sheetId="17" r:id="rId24"/>
    <sheet name="Chicken 65" sheetId="18" r:id="rId25"/>
    <sheet name="Mkhtoum Lahm" sheetId="20" r:id="rId26"/>
    <sheet name="BBQ Chicken Skewers" sheetId="21" r:id="rId27"/>
    <sheet name="Meat Mashroom" sheetId="97" r:id="rId28"/>
    <sheet name="Beef Burger BBQ" sheetId="98" r:id="rId29"/>
    <sheet name="Honey Chicken Burger" sheetId="99" r:id="rId30"/>
    <sheet name="Beef Zurbian" sheetId="23" r:id="rId31"/>
    <sheet name="Grilled Vegetables(2)" sheetId="24" r:id="rId32"/>
    <sheet name="Almond Chicken" sheetId="25" r:id="rId33"/>
    <sheet name="Chicken Pasta with Vegetable" sheetId="26" r:id="rId34"/>
    <sheet name="Pasta with Vegetable(Pasta)" sheetId="27" r:id="rId35"/>
    <sheet name="Chicken Tikka" sheetId="47" r:id="rId36"/>
    <sheet name="Daoud Basha" sheetId="29" r:id="rId37"/>
    <sheet name="Fish with cream" sheetId="30" r:id="rId38"/>
    <sheet name="Moussaka Vegi" sheetId="31" r:id="rId39"/>
    <sheet name="Moussaka Meat" sheetId="32" r:id="rId40"/>
    <sheet name="Laham Oriental" sheetId="33" r:id="rId41"/>
    <sheet name="Beef Oriental rice" sheetId="92" r:id="rId42"/>
    <sheet name="Chicken Saleeq (3)" sheetId="34" r:id="rId43"/>
    <sheet name="Chicken Mandi (3)" sheetId="35" r:id="rId44"/>
    <sheet name="Chicken Caesar Salad" sheetId="36" r:id="rId45"/>
    <sheet name="Smoky Beef Burger" sheetId="100" r:id="rId46"/>
    <sheet name="Chicken Fajita" sheetId="37" r:id="rId47"/>
    <sheet name="Mached Potato(3)" sheetId="38" r:id="rId48"/>
    <sheet name="Potato Wedges" sheetId="39" r:id="rId49"/>
    <sheet name="Oven Vegetables (3)" sheetId="40" r:id="rId50"/>
    <sheet name="Chicken Steak Sauce" sheetId="41" r:id="rId51"/>
    <sheet name="Chicken Steak Topping" sheetId="42" r:id="rId52"/>
    <sheet name="Chicken Mushroom" sheetId="43" r:id="rId53"/>
    <sheet name="Stroganoff Beef" sheetId="44" r:id="rId54"/>
    <sheet name="Stroganoff pasta" sheetId="45" r:id="rId55"/>
    <sheet name="Beef Amansi" sheetId="46" r:id="rId56"/>
    <sheet name="Changezi Chicken" sheetId="28" r:id="rId57"/>
    <sheet name="Lahm Fasooliya" sheetId="48" r:id="rId58"/>
    <sheet name="Lemon Fish" sheetId="49" r:id="rId59"/>
    <sheet name="Orzo Pasta" sheetId="50" r:id="rId60"/>
    <sheet name="Octa Poki Bowl" sheetId="79" r:id="rId61"/>
    <sheet name="Chicken Makloba" sheetId="51" r:id="rId62"/>
    <sheet name="Makloba Veggi" sheetId="52" r:id="rId63"/>
    <sheet name="BBQ Chicken" sheetId="53" r:id="rId64"/>
    <sheet name="Classic Chicken Burger" sheetId="101" r:id="rId65"/>
    <sheet name="Chicken Noodles" sheetId="102" r:id="rId66"/>
    <sheet name="Noodles" sheetId="103" r:id="rId67"/>
    <sheet name="Noodles Veggie" sheetId="104" r:id="rId68"/>
    <sheet name="Mached Potato(4)" sheetId="54" r:id="rId69"/>
    <sheet name="Sautee Vegetables (4)" sheetId="55" r:id="rId70"/>
    <sheet name="Oriental Vegetables" sheetId="105" r:id="rId71"/>
    <sheet name="Sriracha Chicken" sheetId="56" r:id="rId72"/>
    <sheet name="Butter Chicken" sheetId="57" r:id="rId73"/>
    <sheet name="Meat Kebab" sheetId="58" r:id="rId74"/>
    <sheet name="Curry Fish" sheetId="59" r:id="rId75"/>
    <sheet name="Kebab Hindi" sheetId="60" r:id="rId76"/>
    <sheet name="Pizziola Chicken" sheetId="61" r:id="rId77"/>
    <sheet name="Lahm Bolognese" sheetId="62" r:id="rId78"/>
    <sheet name="Lasagne Bachamel" sheetId="64" r:id="rId79"/>
    <sheet name="Beef Lasagne Sauce" sheetId="65" r:id="rId80"/>
    <sheet name="Chicken Burger BBQ" sheetId="94" r:id="rId81"/>
    <sheet name="Oriental Chicken" sheetId="95" r:id="rId82"/>
    <sheet name="Beef Bokhary" sheetId="66" r:id="rId83"/>
    <sheet name="Beef philly cheese steak" sheetId="67" r:id="rId84"/>
    <sheet name="Spaghetti pasta (2)" sheetId="83" r:id="rId85"/>
    <sheet name="Grilled Vegetables(5)" sheetId="68" r:id="rId86"/>
    <sheet name="Sigapore Vegetables" sheetId="86" r:id="rId87"/>
    <sheet name="Mexican Vegetables" sheetId="85" r:id="rId88"/>
    <sheet name="Pink Chicken" sheetId="69" r:id="rId89"/>
    <sheet name="Ginger Chicken" sheetId="70" r:id="rId90"/>
    <sheet name="French Meatball" sheetId="106" r:id="rId91"/>
    <sheet name="Singapore Chicken" sheetId="107" r:id="rId92"/>
    <sheet name="Fish with Shabat and Lemon" sheetId="108" r:id="rId93"/>
    <sheet name="Chicken Molokeya" sheetId="109" r:id="rId94"/>
    <sheet name="Beef Kebab Sandwich" sheetId="110" r:id="rId95"/>
    <sheet name="Beef Burger Arabic" sheetId="111" r:id="rId96"/>
    <sheet name="Chicken Saleeq (6)" sheetId="112" r:id="rId97"/>
    <sheet name="Beef Kabli" sheetId="113" r:id="rId98"/>
    <sheet name="Spaghetti pasta (3)" sheetId="114" r:id="rId99"/>
    <sheet name="Oven Vegetables (6)" sheetId="115" r:id="rId100"/>
  </sheets>
  <functionGroups builtInGroupCount="19"/>
  <definedNames>
    <definedName name="_xlnm._FilterDatabase" localSheetId="1" hidden="1">All_Ingredients!$A$1:$O$311</definedName>
    <definedName name="_xlnm._FilterDatabase" localSheetId="0" hidden="1">Butchery!$A$2:$E$155</definedName>
    <definedName name="_xlnm._FilterDatabase" localSheetId="3" hidden="1">Cutting_Shapes_Ordering!$A$1:$E$259</definedName>
    <definedName name="_xlnm._FilterDatabase" localSheetId="2" hidden="1">Marination_Ordering!$A$1:$O$67</definedName>
    <definedName name="_xleta.COUNTIF" localSheetId="13" hidden="1">none</definedName>
    <definedName name="_xleta.COUNTIF" localSheetId="15" hidden="1">none</definedName>
    <definedName name="_xleta.COUNTIF" localSheetId="95" hidden="1">none</definedName>
    <definedName name="_xleta.COUNTIF" localSheetId="97" hidden="1">none</definedName>
    <definedName name="_xleta.COUNTIF" localSheetId="41" hidden="1">none</definedName>
    <definedName name="_xleta.COUNTIF" localSheetId="80" hidden="1">none</definedName>
    <definedName name="_xleta.COUNTIF" localSheetId="65" hidden="1">none</definedName>
    <definedName name="_xleta.COUNTIF" localSheetId="64" hidden="1">none</definedName>
    <definedName name="_xleta.COUNTIF" localSheetId="29" hidden="1">none</definedName>
    <definedName name="_xleta.COUNTIF" localSheetId="12" hidden="1">none</definedName>
    <definedName name="_xleta.COUNTIF" localSheetId="27" hidden="1">none</definedName>
    <definedName name="_xleta.COUNTIF" localSheetId="66" hidden="1">none</definedName>
    <definedName name="_xleta.COUNTIF" localSheetId="67" hidden="1">none</definedName>
    <definedName name="_xleta.COUNTIF" localSheetId="60" hidden="1">none</definedName>
    <definedName name="_xleta.COUNTIF" localSheetId="81" hidden="1">none</definedName>
    <definedName name="_xleta.COUNTIF" localSheetId="70" hidden="1">none</definedName>
    <definedName name="_xleta.COUNTIF" localSheetId="45" hidden="1">none</definedName>
    <definedName name="_xleta.COUNTIF" localSheetId="84" hidden="1">none</definedName>
    <definedName name="_xleta.COUNTIF" localSheetId="98" hidden="1">none</definedName>
    <definedName name="_xleta.COUNTIF" hidden="1">none</definedName>
    <definedName name="_xleta.IF" localSheetId="13" hidden="1">none</definedName>
    <definedName name="_xleta.IF" localSheetId="15" hidden="1">none</definedName>
    <definedName name="_xleta.IF" localSheetId="95" hidden="1">none</definedName>
    <definedName name="_xleta.IF" localSheetId="97" hidden="1">none</definedName>
    <definedName name="_xleta.IF" localSheetId="41" hidden="1">none</definedName>
    <definedName name="_xleta.IF" localSheetId="80" hidden="1">none</definedName>
    <definedName name="_xleta.IF" localSheetId="65" hidden="1">none</definedName>
    <definedName name="_xleta.IF" localSheetId="64" hidden="1">none</definedName>
    <definedName name="_xleta.IF" localSheetId="29" hidden="1">none</definedName>
    <definedName name="_xleta.IF" localSheetId="12" hidden="1">none</definedName>
    <definedName name="_xleta.IF" localSheetId="27" hidden="1">none</definedName>
    <definedName name="_xleta.IF" localSheetId="66" hidden="1">none</definedName>
    <definedName name="_xleta.IF" localSheetId="67" hidden="1">none</definedName>
    <definedName name="_xleta.IF" localSheetId="60" hidden="1">none</definedName>
    <definedName name="_xleta.IF" localSheetId="81" hidden="1">none</definedName>
    <definedName name="_xleta.IF" localSheetId="70" hidden="1">none</definedName>
    <definedName name="_xleta.IF" localSheetId="45" hidden="1">none</definedName>
    <definedName name="_xleta.IF" localSheetId="84" hidden="1">none</definedName>
    <definedName name="_xleta.IF" localSheetId="98" hidden="1">none</definedName>
    <definedName name="_xleta.IF" hidden="1">none</definedName>
    <definedName name="_xleta.MAX" localSheetId="13" hidden="1">none</definedName>
    <definedName name="_xleta.MAX" localSheetId="15" hidden="1">none</definedName>
    <definedName name="_xleta.MAX" localSheetId="95" hidden="1">none</definedName>
    <definedName name="_xleta.MAX" localSheetId="97" hidden="1">none</definedName>
    <definedName name="_xleta.MAX" localSheetId="41" hidden="1">none</definedName>
    <definedName name="_xleta.MAX" localSheetId="80" hidden="1">none</definedName>
    <definedName name="_xleta.MAX" localSheetId="65" hidden="1">none</definedName>
    <definedName name="_xleta.MAX" localSheetId="64" hidden="1">none</definedName>
    <definedName name="_xleta.MAX" localSheetId="29" hidden="1">none</definedName>
    <definedName name="_xleta.MAX" localSheetId="12" hidden="1">none</definedName>
    <definedName name="_xleta.MAX" localSheetId="27" hidden="1">none</definedName>
    <definedName name="_xleta.MAX" localSheetId="66" hidden="1">none</definedName>
    <definedName name="_xleta.MAX" localSheetId="67" hidden="1">none</definedName>
    <definedName name="_xleta.MAX" localSheetId="60" hidden="1">none</definedName>
    <definedName name="_xleta.MAX" localSheetId="81" hidden="1">none</definedName>
    <definedName name="_xleta.MAX" localSheetId="70" hidden="1">none</definedName>
    <definedName name="_xleta.MAX" localSheetId="45" hidden="1">none</definedName>
    <definedName name="_xleta.MAX" localSheetId="84" hidden="1">none</definedName>
    <definedName name="_xleta.MAX" localSheetId="98" hidden="1">none</definedName>
    <definedName name="_xleta.MAX" hidden="1">none</definedName>
    <definedName name="_xleta.MIN" localSheetId="13" hidden="1">none</definedName>
    <definedName name="_xleta.MIN" localSheetId="15" hidden="1">none</definedName>
    <definedName name="_xleta.MIN" localSheetId="95" hidden="1">none</definedName>
    <definedName name="_xleta.MIN" localSheetId="97" hidden="1">none</definedName>
    <definedName name="_xleta.MIN" localSheetId="41" hidden="1">none</definedName>
    <definedName name="_xleta.MIN" localSheetId="80" hidden="1">none</definedName>
    <definedName name="_xleta.MIN" localSheetId="65" hidden="1">none</definedName>
    <definedName name="_xleta.MIN" localSheetId="64" hidden="1">none</definedName>
    <definedName name="_xleta.MIN" localSheetId="29" hidden="1">none</definedName>
    <definedName name="_xleta.MIN" localSheetId="12" hidden="1">none</definedName>
    <definedName name="_xleta.MIN" localSheetId="27" hidden="1">none</definedName>
    <definedName name="_xleta.MIN" localSheetId="66" hidden="1">none</definedName>
    <definedName name="_xleta.MIN" localSheetId="67" hidden="1">none</definedName>
    <definedName name="_xleta.MIN" localSheetId="60" hidden="1">none</definedName>
    <definedName name="_xleta.MIN" localSheetId="81" hidden="1">none</definedName>
    <definedName name="_xleta.MIN" localSheetId="70" hidden="1">none</definedName>
    <definedName name="_xleta.MIN" localSheetId="45" hidden="1">none</definedName>
    <definedName name="_xleta.MIN" localSheetId="84" hidden="1">none</definedName>
    <definedName name="_xleta.MIN" localSheetId="98" hidden="1">none</definedName>
    <definedName name="_xleta.MIN" hidden="1">none</definedName>
    <definedName name="_xleta.N" localSheetId="13" hidden="1">none</definedName>
    <definedName name="_xleta.N" localSheetId="15" hidden="1">none</definedName>
    <definedName name="_xleta.N" localSheetId="95" hidden="1">none</definedName>
    <definedName name="_xleta.N" localSheetId="97" hidden="1">none</definedName>
    <definedName name="_xleta.N" localSheetId="41" hidden="1">none</definedName>
    <definedName name="_xleta.N" localSheetId="80" hidden="1">none</definedName>
    <definedName name="_xleta.N" localSheetId="65" hidden="1">none</definedName>
    <definedName name="_xleta.N" localSheetId="64" hidden="1">none</definedName>
    <definedName name="_xleta.N" localSheetId="29" hidden="1">none</definedName>
    <definedName name="_xleta.N" localSheetId="12" hidden="1">none</definedName>
    <definedName name="_xleta.N" localSheetId="27" hidden="1">none</definedName>
    <definedName name="_xleta.N" localSheetId="66" hidden="1">none</definedName>
    <definedName name="_xleta.N" localSheetId="67" hidden="1">none</definedName>
    <definedName name="_xleta.N" localSheetId="60" hidden="1">none</definedName>
    <definedName name="_xleta.N" localSheetId="81" hidden="1">none</definedName>
    <definedName name="_xleta.N" localSheetId="70" hidden="1">none</definedName>
    <definedName name="_xleta.N" localSheetId="45" hidden="1">none</definedName>
    <definedName name="_xleta.N" localSheetId="84" hidden="1">none</definedName>
    <definedName name="_xleta.N" localSheetId="98" hidden="1">none</definedName>
    <definedName name="_xleta.N" hidden="1">none</definedName>
    <definedName name="_xleta.SUM" localSheetId="13" hidden="1">none</definedName>
    <definedName name="_xleta.SUM" localSheetId="15" hidden="1">none</definedName>
    <definedName name="_xleta.SUM" localSheetId="95" hidden="1">none</definedName>
    <definedName name="_xleta.SUM" localSheetId="97" hidden="1">none</definedName>
    <definedName name="_xleta.SUM" localSheetId="80" hidden="1">none</definedName>
    <definedName name="_xleta.SUM" localSheetId="65" hidden="1">none</definedName>
    <definedName name="_xleta.SUM" localSheetId="64" hidden="1">none</definedName>
    <definedName name="_xleta.SUM" localSheetId="29" hidden="1">none</definedName>
    <definedName name="_xleta.SUM" localSheetId="12" hidden="1">none</definedName>
    <definedName name="_xleta.SUM" localSheetId="27" hidden="1">none</definedName>
    <definedName name="_xleta.SUM" localSheetId="66" hidden="1">none</definedName>
    <definedName name="_xleta.SUM" localSheetId="67" hidden="1">none</definedName>
    <definedName name="_xleta.SUM" localSheetId="60" hidden="1">none</definedName>
    <definedName name="_xleta.SUM" localSheetId="81" hidden="1">none</definedName>
    <definedName name="_xleta.SUM" localSheetId="70" hidden="1">none</definedName>
    <definedName name="_xleta.SUM" localSheetId="45" hidden="1">none</definedName>
    <definedName name="_xleta.SUM" localSheetId="84" hidden="1">none</definedName>
    <definedName name="_xleta.SUM" localSheetId="98" hidden="1">none</definedName>
    <definedName name="_xleta.SUM" hidden="1">none</definedName>
    <definedName name="_xleta.SUMPRODUCT" hidden="1" xlm="1">#NAME?</definedName>
    <definedName name="_xleta.T" localSheetId="13" hidden="1">none</definedName>
    <definedName name="_xleta.T" localSheetId="15" hidden="1">none</definedName>
    <definedName name="_xleta.T" localSheetId="95" hidden="1">none</definedName>
    <definedName name="_xleta.T" localSheetId="97" hidden="1">none</definedName>
    <definedName name="_xleta.T" localSheetId="41" hidden="1">none</definedName>
    <definedName name="_xleta.T" localSheetId="80" hidden="1">none</definedName>
    <definedName name="_xleta.T" localSheetId="65" hidden="1">none</definedName>
    <definedName name="_xleta.T" localSheetId="64" hidden="1">none</definedName>
    <definedName name="_xleta.T" localSheetId="29" hidden="1">none</definedName>
    <definedName name="_xleta.T" localSheetId="12" hidden="1">none</definedName>
    <definedName name="_xleta.T" localSheetId="27" hidden="1">none</definedName>
    <definedName name="_xleta.T" localSheetId="66" hidden="1">none</definedName>
    <definedName name="_xleta.T" localSheetId="67" hidden="1">none</definedName>
    <definedName name="_xleta.T" localSheetId="60" hidden="1">none</definedName>
    <definedName name="_xleta.T" localSheetId="81" hidden="1">none</definedName>
    <definedName name="_xleta.T" localSheetId="70" hidden="1">none</definedName>
    <definedName name="_xleta.T" localSheetId="45" hidden="1">none</definedName>
    <definedName name="_xleta.T" localSheetId="84" hidden="1">none</definedName>
    <definedName name="_xleta.T" localSheetId="98" hidden="1">none</definedName>
    <definedName name="_xleta.T" hidden="1" xlm="1">#NAME?</definedName>
    <definedName name="_xlpm.s" localSheetId="13" hidden="1">none</definedName>
    <definedName name="_xlpm.s" localSheetId="15" hidden="1">none</definedName>
    <definedName name="_xlpm.s" localSheetId="95" hidden="1">none</definedName>
    <definedName name="_xlpm.s" localSheetId="97" hidden="1">none</definedName>
    <definedName name="_xlpm.s" localSheetId="41" hidden="1">none</definedName>
    <definedName name="_xlpm.s" localSheetId="80" hidden="1">none</definedName>
    <definedName name="_xlpm.s" localSheetId="65" hidden="1">none</definedName>
    <definedName name="_xlpm.s" localSheetId="64" hidden="1">none</definedName>
    <definedName name="_xlpm.s" localSheetId="29" hidden="1">none</definedName>
    <definedName name="_xlpm.s" localSheetId="12" hidden="1">none</definedName>
    <definedName name="_xlpm.s" localSheetId="27" hidden="1">none</definedName>
    <definedName name="_xlpm.s" localSheetId="66" hidden="1">none</definedName>
    <definedName name="_xlpm.s" localSheetId="67" hidden="1">none</definedName>
    <definedName name="_xlpm.s" localSheetId="60" hidden="1">none</definedName>
    <definedName name="_xlpm.s" localSheetId="81" hidden="1">none</definedName>
    <definedName name="_xlpm.s" localSheetId="70" hidden="1">none</definedName>
    <definedName name="_xlpm.s" localSheetId="45" hidden="1">none</definedName>
    <definedName name="_xlpm.s" localSheetId="84" hidden="1">none</definedName>
    <definedName name="_xlpm.s" localSheetId="98" hidden="1">none</definedName>
    <definedName name="_xlpm.s" hidden="1">none</definedName>
    <definedName name="_xlnm.Print_Area" localSheetId="32">'Almond Chicken'!$A$62:$P$79</definedName>
    <definedName name="_xlnm.Print_Area" localSheetId="13">'Arabic Chicken Burger'!$A$62:$P$74</definedName>
    <definedName name="_xlnm.Print_Area" localSheetId="11">'Asian Chicken Sandwich'!$A$62:$P$75</definedName>
    <definedName name="_xlnm.Print_Area" localSheetId="15">'Asian Potato Cubes'!$A$64:$P$103</definedName>
    <definedName name="_xlnm.Print_Area" localSheetId="63">'BBQ Chicken'!$A$62:$P$70</definedName>
    <definedName name="_xlnm.Print_Area" localSheetId="26">'BBQ Chicken Skewers'!$A$62:$P$77</definedName>
    <definedName name="_xlnm.Print_Area" localSheetId="55">'Beef Amansi'!$A$62:$P$75</definedName>
    <definedName name="_xlnm.Print_Area" localSheetId="82">'Beef Bokhary'!$A$62:$P$158</definedName>
    <definedName name="_xlnm.Print_Area" localSheetId="95">'Beef Burger Arabic'!$A$62:$P$74</definedName>
    <definedName name="_xlnm.Print_Area" localSheetId="28">'Beef Burger BBQ'!$A$62:$P$74</definedName>
    <definedName name="_xlnm.Print_Area" localSheetId="7">'Beef Chilli Dry'!$A$62:$P$90</definedName>
    <definedName name="_xlnm.Print_Area" localSheetId="97">'Beef Kabli'!$A$62:$P$145</definedName>
    <definedName name="_xlnm.Print_Area" localSheetId="94">'Beef Kebab Sandwich'!$A$62:$P$92</definedName>
    <definedName name="_xlnm.Print_Area" localSheetId="79">'Beef Lasagne Sauce'!$A$62:$P$143</definedName>
    <definedName name="_xlnm.Print_Area" localSheetId="41">'Beef Oriental rice'!$A$62:$H$81</definedName>
    <definedName name="_xlnm.Print_Area" localSheetId="83">'Beef philly cheese steak'!$A$62:$P$93</definedName>
    <definedName name="_xlnm.Print_Area" localSheetId="30">'Beef Zurbian'!$A$62:$P$120</definedName>
    <definedName name="_xlnm.Print_Area" localSheetId="22">'Blankwet Fish'!$A$62:$P$99</definedName>
    <definedName name="_xlnm.Print_Area" localSheetId="0">Butchery!$A$62:$S$104</definedName>
    <definedName name="_xlnm.Print_Area" localSheetId="72">'Butter Chicken'!$A$62:$H$143</definedName>
    <definedName name="_xlnm.Print_Area" localSheetId="56">'Changezi Chicken'!$A$62:$H$87,'Changezi Chicken'!$A$89:$H$114</definedName>
    <definedName name="_xlnm.Print_Area" localSheetId="24">'Chicken 65'!$A$62:$P$105</definedName>
    <definedName name="_xlnm.Print_Area" localSheetId="20">'Chicken Alfredo'!$A$62:$P$121</definedName>
    <definedName name="_xlnm.Print_Area" localSheetId="80">'Chicken Burger BBQ'!$A$62:$P$74</definedName>
    <definedName name="_xlnm.Print_Area" localSheetId="46">'Chicken Fajita'!$A$62:$H$78</definedName>
    <definedName name="_xlnm.Print_Area" localSheetId="61">'Chicken Makloba'!$A$62:$P$117</definedName>
    <definedName name="_xlnm.Print_Area" localSheetId="14">'Chicken Mandi (1)'!$A$62:$P$104</definedName>
    <definedName name="_xlnm.Print_Area" localSheetId="43">'Chicken Mandi (3)'!$A$62:$H$71,'Chicken Mandi (3)'!$A$73:$H$81</definedName>
    <definedName name="_xlnm.Print_Area" localSheetId="93">'Chicken Molokeya'!$A$62:$P$129</definedName>
    <definedName name="_xlnm.Print_Area" localSheetId="52">'Chicken Mushroom'!$A$62:$P$96</definedName>
    <definedName name="_xlnm.Print_Area" localSheetId="65">'Chicken Noodles'!$A$62:$P$104</definedName>
    <definedName name="_xlnm.Print_Area" localSheetId="33">'Chicken Pasta with Vegetable'!$A$62:$H$82</definedName>
    <definedName name="_xlnm.Print_Area" localSheetId="42">'Chicken Saleeq (3)'!$A$62:$H$72,'Chicken Saleeq (3)'!$A$74:$H$84</definedName>
    <definedName name="_xlnm.Print_Area" localSheetId="96">'Chicken Saleeq (6)'!$A$62:$P$96</definedName>
    <definedName name="_xlnm.Print_Area" localSheetId="50">'Chicken Steak Sauce'!$A$62:$P$90</definedName>
    <definedName name="_xlnm.Print_Area" localSheetId="51">'Chicken Steak Topping'!$A$62:$P$86</definedName>
    <definedName name="_xlnm.Print_Area" localSheetId="35">'Chicken Tikka'!$A$62:$P$105</definedName>
    <definedName name="_xlnm.Print_Area" localSheetId="9">'Chinese Chicken'!$A$62:$P$108</definedName>
    <definedName name="_xlnm.Print_Area" localSheetId="64">'Classic Chicken Burger'!$A$62:$P$74</definedName>
    <definedName name="_xlnm.Print_Area" localSheetId="23">'Coconut Chicken'!$A$62:$P$119</definedName>
    <definedName name="_xlnm.Print_Area" localSheetId="4">'Curry Chicken'!$A$62:$P$134</definedName>
    <definedName name="_xlnm.Print_Area" localSheetId="74">'Curry Fish'!$A$62:$P$105</definedName>
    <definedName name="_xlnm.Print_Area" localSheetId="36">'Daoud Basha'!$A$62:$H$81,'Daoud Basha'!$A$84:$H$103</definedName>
    <definedName name="_xlnm.Print_Area" localSheetId="21">'Fettuccine Pasta Sauce'!$A$62:$P$122</definedName>
    <definedName name="_xlnm.Print_Area" localSheetId="37">'Fish with cream'!$A$62:$H$75,'Fish with cream'!$A$77:$H$90</definedName>
    <definedName name="_xlnm.Print_Area" localSheetId="92">'Fish with Shabat and Lemon'!$A$62:$P$70</definedName>
    <definedName name="_xlnm.Print_Area" localSheetId="90">'French Meatball'!$A$62:$P$92</definedName>
    <definedName name="_xlnm.Print_Area" localSheetId="89">'Ginger Chicken'!$A$62:$P$134</definedName>
    <definedName name="_xlnm.Print_Area" localSheetId="31">'Grilled Vegetables(2)'!$A$62:$P$103</definedName>
    <definedName name="_xlnm.Print_Area" localSheetId="85">'Grilled Vegetables(5)'!$A$62:$P$104</definedName>
    <definedName name="_xlnm.Print_Area" localSheetId="10">'Herbal Chicken'!$A$62:$P$104</definedName>
    <definedName name="_xlnm.Print_Area" localSheetId="16">'Herbal Potato Wedges'!$A$62:$P$101</definedName>
    <definedName name="_xlnm.Print_Area" localSheetId="29">'Honey Chicken Burger'!$A$62:$P$74</definedName>
    <definedName name="_xlnm.Print_Area" localSheetId="5">'Kabsa Lahm'!$A$62:$P$169</definedName>
    <definedName name="_xlnm.Print_Area" localSheetId="75">'Kebab Hindi'!$A$62:$P$96</definedName>
    <definedName name="_xlnm.Print_Area" localSheetId="40">'Laham Oriental'!$A$62:$H$88</definedName>
    <definedName name="_xlnm.Print_Area" localSheetId="77">'Lahm Bolognese'!$A$62:$P$83</definedName>
    <definedName name="_xlnm.Print_Area" localSheetId="57">'Lahm Fasooliya'!$A$62:$P$99</definedName>
    <definedName name="_xlnm.Print_Area" localSheetId="78">'Lasagne Bachamel'!$A$62:$P$169</definedName>
    <definedName name="_xlnm.Print_Area" localSheetId="58">'Lemon Fish'!$A$62:$P$97</definedName>
    <definedName name="_xlnm.Print_Area" localSheetId="19">'Mached Potato(1)'!$A$62:$P$126</definedName>
    <definedName name="_xlnm.Print_Area" localSheetId="47">'Mached Potato(3)'!$A$62:$H$73</definedName>
    <definedName name="_xlnm.Print_Area" localSheetId="68">'Mached Potato(4)'!$A$62:$P$127</definedName>
    <definedName name="_xlnm.Print_Area" localSheetId="73">'Meat Kebab'!$A$62:$P$107</definedName>
    <definedName name="_xlnm.Print_Area" localSheetId="27">'Meat Mashroom'!$A$62:$P$122</definedName>
    <definedName name="_xlnm.Print_Area" localSheetId="8">'Meat with Bamiya'!$A$62:$P$123</definedName>
    <definedName name="_xlnm.Print_Area" localSheetId="25">'Mkhtoum Lahm'!$A$62:$P$122</definedName>
    <definedName name="_xlnm.Print_Area" localSheetId="39">'Moussaka Meat'!$A$63:$H$82</definedName>
    <definedName name="_xlnm.Print_Area" localSheetId="38">'Moussaka Vegi'!$A$63:$H$86</definedName>
    <definedName name="_xlnm.Print_Area" localSheetId="67">'Noodles Veggie'!$A$62:$P$106</definedName>
    <definedName name="_xlnm.Print_Area" localSheetId="60">'Octa Poki Bowl'!$A$62:$P$75</definedName>
    <definedName name="_xlnm.Print_Area" localSheetId="81">'Oriental Chicken'!$A$62:$P$104</definedName>
    <definedName name="_xlnm.Print_Area" localSheetId="59">'Orzo Pasta'!$A$62:$P$104</definedName>
    <definedName name="_xlnm.Print_Area" localSheetId="49">'Oven Vegetables (3)'!$A$62:$H$75</definedName>
    <definedName name="_xlnm.Print_Area" localSheetId="99">'Oven Vegetables (6)'!$A$62:$P$104</definedName>
    <definedName name="_xlnm.Print_Area" localSheetId="6">'Pan Fried Fish'!$A$62:$P$71</definedName>
    <definedName name="_xlnm.Print_Area" localSheetId="34">'Pasta with Vegetable(Pasta)'!$A$62:$H$81</definedName>
    <definedName name="_xlnm.Print_Area" localSheetId="88">'Pink Chicken'!$A$62:$P$109</definedName>
    <definedName name="_xlnm.Print_Area" localSheetId="76">'Pizziola Chicken'!$A$62:$P$81</definedName>
    <definedName name="_xlnm.Print_Area" localSheetId="48">'Potato Wedges'!$A$63:$H$73</definedName>
    <definedName name="_xlnm.Print_Area" localSheetId="18">'Sautee Vegetables (1)'!$A$62:$P$105</definedName>
    <definedName name="_xlnm.Print_Area" localSheetId="69">'Sautee Vegetables (4)'!$A$62:$P$106</definedName>
    <definedName name="_xlnm.Print_Area" localSheetId="91">'Singapore Chicken'!$A$62:$P$116</definedName>
    <definedName name="_xlnm.Print_Area" localSheetId="45">'Smoky Beef Burger'!$A$62:$H$71</definedName>
    <definedName name="_xlnm.Print_Area" localSheetId="71">'Sriracha Chicken'!$A$62:$H$100</definedName>
    <definedName name="_xlnm.Print_Area" localSheetId="53">'Stroganoff Beef'!$A$62:$P$105</definedName>
    <definedName name="_xlnm.Print_Area" localSheetId="54">'Stroganoff pasta'!$A$62:$P$127</definedName>
    <definedName name="SheetList" localSheetId="13">none</definedName>
    <definedName name="SheetList" localSheetId="15">none</definedName>
    <definedName name="SheetList" localSheetId="95">none</definedName>
    <definedName name="SheetList" localSheetId="97">none</definedName>
    <definedName name="SheetList" localSheetId="41">none</definedName>
    <definedName name="SheetList" localSheetId="80">none</definedName>
    <definedName name="SheetList" localSheetId="65">none</definedName>
    <definedName name="SheetList" localSheetId="64">none</definedName>
    <definedName name="SheetList" localSheetId="29">none</definedName>
    <definedName name="SheetList" localSheetId="12">none</definedName>
    <definedName name="SheetList" localSheetId="27">none</definedName>
    <definedName name="SheetList" localSheetId="66">none</definedName>
    <definedName name="SheetList" localSheetId="67">none</definedName>
    <definedName name="SheetList" localSheetId="60">none</definedName>
    <definedName name="SheetList" localSheetId="81">none</definedName>
    <definedName name="SheetList" localSheetId="70">none</definedName>
    <definedName name="SheetList" localSheetId="45">none</definedName>
    <definedName name="SheetList" localSheetId="84">none</definedName>
    <definedName name="SheetList" localSheetId="98">none</definedName>
    <definedName name="SheetList">none</definedName>
    <definedName name="ww" localSheetId="13" hidden="1">none</definedName>
    <definedName name="ww" localSheetId="95" hidden="1">none</definedName>
    <definedName name="ww" localSheetId="80" hidden="1">none</definedName>
    <definedName name="ww" localSheetId="65" hidden="1">none</definedName>
    <definedName name="ww" localSheetId="64" hidden="1">none</definedName>
    <definedName name="ww" localSheetId="29" hidden="1">none</definedName>
    <definedName name="ww" localSheetId="27" hidden="1">none</definedName>
    <definedName name="ww" localSheetId="66" hidden="1">none</definedName>
    <definedName name="ww" localSheetId="67" hidden="1">none</definedName>
    <definedName name="ww" localSheetId="81" hidden="1">none</definedName>
    <definedName name="ww" localSheetId="70" hidden="1">none</definedName>
    <definedName name="ww" localSheetId="45" hidden="1">none</definedName>
    <definedName name="ww" hidden="1">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68" i="1" l="1"/>
  <c r="AL69" i="1"/>
  <c r="AL55" i="1"/>
  <c r="AL48" i="1"/>
  <c r="AN31" i="1"/>
  <c r="AL31" i="1"/>
  <c r="AL32" i="1"/>
  <c r="AN32" i="1"/>
  <c r="AN33" i="1"/>
  <c r="AL33" i="1"/>
  <c r="AL34" i="1"/>
  <c r="AL35" i="1"/>
  <c r="AN35" i="1"/>
  <c r="AN42" i="1"/>
  <c r="AN41" i="1"/>
  <c r="AN48" i="1"/>
  <c r="AL46" i="1"/>
  <c r="AL47" i="1"/>
  <c r="AL43" i="1"/>
  <c r="AL45" i="1"/>
  <c r="AL44" i="1"/>
  <c r="AL42" i="1"/>
  <c r="AL41" i="1"/>
  <c r="I15" i="111"/>
  <c r="J15" i="111"/>
  <c r="I16" i="111"/>
  <c r="J16" i="111"/>
  <c r="I17" i="111"/>
  <c r="J17" i="111"/>
  <c r="I18" i="111"/>
  <c r="J18" i="111"/>
  <c r="I19" i="111"/>
  <c r="J19" i="111"/>
  <c r="I20" i="111"/>
  <c r="J20" i="111"/>
  <c r="I21" i="111"/>
  <c r="J21" i="111"/>
  <c r="I22" i="111"/>
  <c r="J22" i="111"/>
  <c r="J14" i="111"/>
  <c r="I14" i="111"/>
  <c r="I14" i="94"/>
  <c r="J14" i="94"/>
  <c r="I15" i="94"/>
  <c r="J15" i="94"/>
  <c r="I16" i="94"/>
  <c r="J16" i="94"/>
  <c r="I17" i="94"/>
  <c r="J17" i="94"/>
  <c r="I18" i="94"/>
  <c r="J18" i="94"/>
  <c r="I19" i="94"/>
  <c r="J19" i="94"/>
  <c r="I20" i="94"/>
  <c r="J20" i="94"/>
  <c r="I21" i="94"/>
  <c r="J21" i="94"/>
  <c r="I22" i="94"/>
  <c r="J22" i="94"/>
  <c r="J13" i="94"/>
  <c r="I13" i="94"/>
  <c r="I14" i="101"/>
  <c r="J14" i="101"/>
  <c r="I15" i="101"/>
  <c r="J15" i="101"/>
  <c r="I16" i="101"/>
  <c r="J16" i="101"/>
  <c r="I17" i="101"/>
  <c r="J17" i="101"/>
  <c r="I18" i="101"/>
  <c r="J18" i="101"/>
  <c r="I19" i="101"/>
  <c r="J19" i="101"/>
  <c r="I20" i="101"/>
  <c r="J20" i="101"/>
  <c r="I21" i="101"/>
  <c r="J21" i="101"/>
  <c r="I22" i="101"/>
  <c r="J22" i="101"/>
  <c r="J13" i="101"/>
  <c r="I13" i="101"/>
  <c r="L28" i="1" l="1"/>
  <c r="O28" i="1" s="1"/>
  <c r="K28" i="1"/>
  <c r="N28" i="1" s="1"/>
  <c r="L62" i="1"/>
  <c r="O62" i="1" s="1"/>
  <c r="K62" i="1"/>
  <c r="N62" i="1" s="1"/>
  <c r="I15" i="100"/>
  <c r="I16" i="100"/>
  <c r="I17" i="100"/>
  <c r="J17" i="100"/>
  <c r="I18" i="100"/>
  <c r="J18" i="100"/>
  <c r="I19" i="100"/>
  <c r="I20" i="100"/>
  <c r="J20" i="100"/>
  <c r="I21" i="100"/>
  <c r="I22" i="100"/>
  <c r="J14" i="100"/>
  <c r="I14" i="100"/>
  <c r="I15" i="98"/>
  <c r="I16" i="98"/>
  <c r="I17" i="98"/>
  <c r="J17" i="98"/>
  <c r="I18" i="98"/>
  <c r="I19" i="98"/>
  <c r="I20" i="98"/>
  <c r="I21" i="98"/>
  <c r="I14" i="98"/>
  <c r="C72" i="96"/>
  <c r="C72" i="99"/>
  <c r="AF1" i="11"/>
  <c r="D69" i="11" s="1"/>
  <c r="L35" i="1"/>
  <c r="O35" i="1" s="1"/>
  <c r="K35" i="1"/>
  <c r="N35" i="1" s="1"/>
  <c r="L136" i="1"/>
  <c r="O136" i="1" s="1"/>
  <c r="K136" i="1"/>
  <c r="N136" i="1" s="1"/>
  <c r="J136" i="1"/>
  <c r="L8" i="1"/>
  <c r="O8" i="1" s="1"/>
  <c r="K8" i="1"/>
  <c r="N8" i="1" s="1"/>
  <c r="AL14" i="1"/>
  <c r="AN14" i="1"/>
  <c r="I17" i="99"/>
  <c r="I18" i="99"/>
  <c r="I19" i="99"/>
  <c r="I20" i="99"/>
  <c r="I21" i="99"/>
  <c r="J21" i="99"/>
  <c r="I22" i="99"/>
  <c r="J22" i="99"/>
  <c r="I23" i="99"/>
  <c r="I24" i="99"/>
  <c r="I16" i="99"/>
  <c r="I16" i="96"/>
  <c r="I17" i="96"/>
  <c r="I18" i="96"/>
  <c r="I19" i="96"/>
  <c r="J19" i="96"/>
  <c r="I20" i="96"/>
  <c r="J20" i="96"/>
  <c r="I21" i="96"/>
  <c r="I22" i="96"/>
  <c r="J22" i="96"/>
  <c r="I23" i="96"/>
  <c r="J23" i="96"/>
  <c r="I24" i="96"/>
  <c r="I15" i="96"/>
  <c r="J72" i="80"/>
  <c r="J46" i="80"/>
  <c r="J37" i="65"/>
  <c r="I37" i="65"/>
  <c r="E37" i="65"/>
  <c r="F37" i="65" s="1"/>
  <c r="H37" i="65" s="1"/>
  <c r="AL67" i="1"/>
  <c r="AN66" i="1"/>
  <c r="AL66" i="1"/>
  <c r="AN65" i="1"/>
  <c r="AL65" i="1"/>
  <c r="AN64" i="1"/>
  <c r="AL64" i="1"/>
  <c r="AN63" i="1"/>
  <c r="AL63" i="1"/>
  <c r="AN62" i="1"/>
  <c r="AL62" i="1"/>
  <c r="AN61" i="1"/>
  <c r="AL61" i="1"/>
  <c r="AN60" i="1"/>
  <c r="AL60"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59" i="1"/>
  <c r="AL59" i="1"/>
  <c r="AL57" i="1"/>
  <c r="AL56" i="1"/>
  <c r="AN57" i="1"/>
  <c r="AN58" i="1"/>
  <c r="AL58" i="1"/>
  <c r="AN56" i="1"/>
  <c r="AN55" i="1"/>
  <c r="AN54" i="1"/>
  <c r="AL54" i="1"/>
  <c r="AL53" i="1"/>
  <c r="AL52" i="1"/>
  <c r="AL51" i="1"/>
  <c r="AL50" i="1"/>
  <c r="AL49" i="1"/>
  <c r="AL78" i="1"/>
  <c r="AL75" i="1"/>
  <c r="AL70" i="1"/>
  <c r="AN34" i="1"/>
  <c r="AN36" i="1"/>
  <c r="AN38" i="1"/>
  <c r="AN39" i="1"/>
  <c r="AN40" i="1"/>
  <c r="AN43" i="1"/>
  <c r="AN44" i="1"/>
  <c r="AN45" i="1"/>
  <c r="AN46" i="1"/>
  <c r="AN47" i="1"/>
  <c r="AL40" i="1"/>
  <c r="AL39" i="1"/>
  <c r="AL37" i="1"/>
  <c r="AL36" i="1"/>
  <c r="K37" i="65" l="1"/>
  <c r="L37" i="65" s="1"/>
  <c r="S27" i="87"/>
  <c r="H110" i="116" l="1"/>
  <c r="H109" i="116"/>
  <c r="H108" i="116"/>
  <c r="H107" i="116"/>
  <c r="H106" i="116"/>
  <c r="H105" i="116"/>
  <c r="H104" i="116"/>
  <c r="H103" i="116"/>
  <c r="H102" i="116"/>
  <c r="H101" i="116"/>
  <c r="H100" i="116"/>
  <c r="H99" i="116"/>
  <c r="H95" i="116"/>
  <c r="H94" i="116"/>
  <c r="H93" i="116"/>
  <c r="H92" i="116"/>
  <c r="H91" i="116"/>
  <c r="H90" i="116"/>
  <c r="H89" i="116"/>
  <c r="H88" i="116"/>
  <c r="H87" i="116"/>
  <c r="H86" i="116"/>
  <c r="H85" i="116"/>
  <c r="H84" i="116"/>
  <c r="H83" i="116"/>
  <c r="H82" i="116"/>
  <c r="H81" i="116"/>
  <c r="H77" i="116"/>
  <c r="H76" i="116"/>
  <c r="H75" i="116"/>
  <c r="H74" i="116"/>
  <c r="H73" i="116"/>
  <c r="H72" i="116"/>
  <c r="H71" i="116"/>
  <c r="H70" i="116"/>
  <c r="H69" i="116"/>
  <c r="H68" i="116"/>
  <c r="H67" i="116"/>
  <c r="H66" i="116"/>
  <c r="H65" i="116"/>
  <c r="H64" i="116"/>
  <c r="H63" i="116"/>
  <c r="H62" i="116"/>
  <c r="H61" i="116"/>
  <c r="H60" i="116"/>
  <c r="H59" i="116"/>
  <c r="H55" i="116"/>
  <c r="H54" i="116"/>
  <c r="H53" i="116"/>
  <c r="H52" i="116"/>
  <c r="H51" i="116"/>
  <c r="H50" i="116"/>
  <c r="H49" i="116"/>
  <c r="H48" i="116"/>
  <c r="H47" i="116"/>
  <c r="H46" i="116"/>
  <c r="H45" i="116"/>
  <c r="H44" i="116"/>
  <c r="H43" i="116"/>
  <c r="H42" i="116"/>
  <c r="H41" i="116"/>
  <c r="H37" i="116"/>
  <c r="H36" i="116"/>
  <c r="H35" i="116"/>
  <c r="H34" i="116"/>
  <c r="H33" i="116"/>
  <c r="H32" i="116"/>
  <c r="H31" i="116"/>
  <c r="H30" i="116"/>
  <c r="H29" i="116"/>
  <c r="H28" i="116"/>
  <c r="H27" i="116"/>
  <c r="H26" i="116"/>
  <c r="H25" i="116"/>
  <c r="H24" i="116"/>
  <c r="H23" i="116"/>
  <c r="H22" i="116"/>
  <c r="H21" i="116"/>
  <c r="H20" i="116"/>
  <c r="H16" i="116"/>
  <c r="H15" i="116"/>
  <c r="H14" i="116"/>
  <c r="H13" i="116"/>
  <c r="H12" i="116"/>
  <c r="H11" i="116"/>
  <c r="H10" i="116"/>
  <c r="H9" i="116"/>
  <c r="H8" i="116"/>
  <c r="H7" i="116"/>
  <c r="H6" i="116"/>
  <c r="H5" i="116"/>
  <c r="H4" i="116"/>
  <c r="W44" i="41" l="1"/>
  <c r="J3" i="80"/>
  <c r="J19" i="80"/>
  <c r="AL17" i="1" l="1"/>
  <c r="AN4" i="1"/>
  <c r="AL3" i="1"/>
  <c r="AL87" i="1"/>
  <c r="J3" i="1"/>
  <c r="J4" i="1"/>
  <c r="J5" i="1"/>
  <c r="J6" i="1"/>
  <c r="J7" i="1"/>
  <c r="J9" i="1"/>
  <c r="J10" i="1"/>
  <c r="J11" i="1"/>
  <c r="G13" i="1"/>
  <c r="J13" i="1" s="1"/>
  <c r="J14" i="1"/>
  <c r="G16" i="1"/>
  <c r="J16" i="1"/>
  <c r="G17" i="1"/>
  <c r="J17" i="1" s="1"/>
  <c r="J20" i="98" s="1"/>
  <c r="G18" i="1"/>
  <c r="J18" i="1" s="1"/>
  <c r="J19" i="1"/>
  <c r="G20" i="1"/>
  <c r="J20" i="1" s="1"/>
  <c r="G21" i="1"/>
  <c r="J21" i="1" s="1"/>
  <c r="G22" i="1"/>
  <c r="J22" i="1" s="1"/>
  <c r="G23" i="1"/>
  <c r="J23" i="1" s="1"/>
  <c r="G24" i="1"/>
  <c r="J24" i="1" s="1"/>
  <c r="G25" i="1"/>
  <c r="J25" i="1" s="1"/>
  <c r="G26" i="1"/>
  <c r="J26" i="1" s="1"/>
  <c r="G27" i="1"/>
  <c r="J27" i="1" s="1"/>
  <c r="J29" i="1"/>
  <c r="J31" i="1"/>
  <c r="J32" i="1"/>
  <c r="J33" i="1"/>
  <c r="G34" i="1"/>
  <c r="J34" i="1" s="1"/>
  <c r="J36" i="1"/>
  <c r="G38" i="1"/>
  <c r="J38" i="1" s="1"/>
  <c r="J39" i="1"/>
  <c r="J40" i="1"/>
  <c r="J41" i="1"/>
  <c r="J42" i="1"/>
  <c r="J43" i="1"/>
  <c r="J44" i="1"/>
  <c r="J45" i="1"/>
  <c r="J46" i="1"/>
  <c r="J47" i="1"/>
  <c r="J48" i="1"/>
  <c r="J49" i="1"/>
  <c r="J50" i="1"/>
  <c r="J51" i="1"/>
  <c r="J52" i="1"/>
  <c r="J53" i="1"/>
  <c r="J54" i="1"/>
  <c r="J55" i="1"/>
  <c r="J56" i="1"/>
  <c r="G57" i="1"/>
  <c r="J57" i="1"/>
  <c r="J58" i="1"/>
  <c r="J59" i="1"/>
  <c r="J60" i="1"/>
  <c r="J61" i="1"/>
  <c r="J63" i="1"/>
  <c r="J64" i="1"/>
  <c r="J65" i="1"/>
  <c r="J66" i="1"/>
  <c r="J17" i="99" s="1"/>
  <c r="J68" i="1"/>
  <c r="J69" i="1"/>
  <c r="J70" i="1"/>
  <c r="J71" i="1"/>
  <c r="J72" i="1"/>
  <c r="J73" i="1"/>
  <c r="G75" i="1"/>
  <c r="J75" i="1" s="1"/>
  <c r="G76" i="1"/>
  <c r="J76" i="1" s="1"/>
  <c r="G77" i="1"/>
  <c r="J77" i="1"/>
  <c r="J78" i="1"/>
  <c r="G79" i="1"/>
  <c r="J79" i="1"/>
  <c r="G80" i="1"/>
  <c r="J80" i="1" s="1"/>
  <c r="G81" i="1"/>
  <c r="J81" i="1" s="1"/>
  <c r="J83" i="1"/>
  <c r="J84" i="1"/>
  <c r="J85" i="1"/>
  <c r="J86" i="1"/>
  <c r="J87" i="1"/>
  <c r="J88" i="1"/>
  <c r="J90" i="1"/>
  <c r="G91" i="1"/>
  <c r="J91" i="1" s="1"/>
  <c r="J92" i="1"/>
  <c r="J94" i="1"/>
  <c r="J95" i="1"/>
  <c r="G96" i="1"/>
  <c r="I96" i="1"/>
  <c r="J98" i="1"/>
  <c r="J99" i="1"/>
  <c r="J100" i="1"/>
  <c r="J101" i="1"/>
  <c r="J18" i="96" s="1"/>
  <c r="J102" i="1"/>
  <c r="G104" i="1"/>
  <c r="J104" i="1" s="1"/>
  <c r="G105" i="1"/>
  <c r="J105" i="1" s="1"/>
  <c r="G106" i="1"/>
  <c r="J106" i="1" s="1"/>
  <c r="G107" i="1"/>
  <c r="J107" i="1" s="1"/>
  <c r="G108" i="1"/>
  <c r="I108" i="1"/>
  <c r="G109" i="1"/>
  <c r="J109" i="1" s="1"/>
  <c r="J110" i="1"/>
  <c r="J112" i="1"/>
  <c r="J113" i="1"/>
  <c r="J114" i="1"/>
  <c r="J18" i="99" l="1"/>
  <c r="J16" i="100"/>
  <c r="J21" i="98"/>
  <c r="J19" i="99"/>
  <c r="J15" i="100"/>
  <c r="J20" i="99"/>
  <c r="J16" i="98"/>
  <c r="J16" i="96"/>
  <c r="J21" i="100"/>
  <c r="J15" i="98"/>
  <c r="J19" i="100"/>
  <c r="J19" i="98"/>
  <c r="J18" i="98"/>
  <c r="J22" i="100"/>
  <c r="J96" i="1"/>
  <c r="J108" i="1"/>
  <c r="J23" i="99"/>
  <c r="J21" i="96"/>
  <c r="J15" i="96"/>
  <c r="J16" i="99"/>
  <c r="B76" i="67"/>
  <c r="C76" i="67"/>
  <c r="D76" i="67"/>
  <c r="F76" i="67"/>
  <c r="B66" i="67"/>
  <c r="C66" i="67"/>
  <c r="D66" i="67"/>
  <c r="F66" i="67"/>
  <c r="B67" i="67"/>
  <c r="C67" i="67"/>
  <c r="D67" i="67"/>
  <c r="F67" i="67"/>
  <c r="B68" i="67"/>
  <c r="C68" i="67"/>
  <c r="D68" i="67"/>
  <c r="F68" i="67"/>
  <c r="B69" i="67"/>
  <c r="C69" i="67"/>
  <c r="D69" i="67"/>
  <c r="F69" i="67"/>
  <c r="B70" i="67"/>
  <c r="C70" i="67"/>
  <c r="D70" i="67"/>
  <c r="F70" i="67"/>
  <c r="B71" i="67"/>
  <c r="C71" i="67"/>
  <c r="D71" i="67"/>
  <c r="F71" i="67"/>
  <c r="B72" i="67"/>
  <c r="C72" i="67"/>
  <c r="D72" i="67"/>
  <c r="F72" i="67"/>
  <c r="B73" i="67"/>
  <c r="C73" i="67"/>
  <c r="D73" i="67"/>
  <c r="F73" i="67"/>
  <c r="B74" i="67"/>
  <c r="C74" i="67"/>
  <c r="D74" i="67"/>
  <c r="F74" i="67"/>
  <c r="B75" i="67"/>
  <c r="C75" i="67"/>
  <c r="D75" i="67"/>
  <c r="F75" i="67"/>
  <c r="C65" i="67"/>
  <c r="D65" i="67"/>
  <c r="F65" i="67"/>
  <c r="B65" i="67"/>
  <c r="G76" i="67"/>
  <c r="B66" i="65"/>
  <c r="C66" i="65"/>
  <c r="D66" i="65"/>
  <c r="F66" i="65"/>
  <c r="B67" i="65"/>
  <c r="C67" i="65"/>
  <c r="D67" i="65"/>
  <c r="F67" i="65"/>
  <c r="B68" i="65"/>
  <c r="C68" i="65"/>
  <c r="D68" i="65"/>
  <c r="F68" i="65"/>
  <c r="B69" i="65"/>
  <c r="C69" i="65"/>
  <c r="D69" i="65"/>
  <c r="F69" i="65"/>
  <c r="B70" i="65"/>
  <c r="C70" i="65"/>
  <c r="D70" i="65"/>
  <c r="F70" i="65"/>
  <c r="B71" i="65"/>
  <c r="C71" i="65"/>
  <c r="D71" i="65"/>
  <c r="F71" i="65"/>
  <c r="B72" i="65"/>
  <c r="C72" i="65"/>
  <c r="D72" i="65"/>
  <c r="F72" i="65"/>
  <c r="B73" i="65"/>
  <c r="C73" i="65"/>
  <c r="D73" i="65"/>
  <c r="F73" i="65"/>
  <c r="B74" i="65"/>
  <c r="C74" i="65"/>
  <c r="D74" i="65"/>
  <c r="F74" i="65"/>
  <c r="B75" i="65"/>
  <c r="C75" i="65"/>
  <c r="D75" i="65"/>
  <c r="F75" i="65"/>
  <c r="B76" i="65"/>
  <c r="C76" i="65"/>
  <c r="D76" i="65"/>
  <c r="F76" i="65"/>
  <c r="B77" i="65"/>
  <c r="C77" i="65"/>
  <c r="D77" i="65"/>
  <c r="F77" i="65"/>
  <c r="B78" i="65"/>
  <c r="C78" i="65"/>
  <c r="D78" i="65"/>
  <c r="F78" i="65"/>
  <c r="B79" i="65"/>
  <c r="C79" i="65"/>
  <c r="D79" i="65"/>
  <c r="F79" i="65"/>
  <c r="C65" i="65"/>
  <c r="D65" i="65"/>
  <c r="F65" i="65"/>
  <c r="B65" i="65"/>
  <c r="J52" i="64"/>
  <c r="J53" i="64"/>
  <c r="I53" i="64"/>
  <c r="I52" i="64"/>
  <c r="H52" i="64" s="1"/>
  <c r="J51" i="64"/>
  <c r="I51" i="64" s="1"/>
  <c r="U52" i="52"/>
  <c r="V52" i="52" s="1"/>
  <c r="W52" i="52" s="1"/>
  <c r="U53" i="52"/>
  <c r="V53" i="52"/>
  <c r="W53" i="52" s="1"/>
  <c r="U54" i="52"/>
  <c r="V54" i="52"/>
  <c r="W54" i="52"/>
  <c r="Z55" i="52"/>
  <c r="AA55" i="52"/>
  <c r="AB55" i="52"/>
  <c r="AC55" i="52"/>
  <c r="B66" i="52"/>
  <c r="C66" i="52"/>
  <c r="F66" i="52"/>
  <c r="B67" i="52"/>
  <c r="C67" i="52"/>
  <c r="F67" i="52"/>
  <c r="B68" i="52"/>
  <c r="C68" i="52"/>
  <c r="D68" i="52"/>
  <c r="F68" i="52"/>
  <c r="C65" i="52"/>
  <c r="F65" i="52"/>
  <c r="B65" i="52"/>
  <c r="B66" i="79"/>
  <c r="C66" i="79"/>
  <c r="D66" i="79"/>
  <c r="F66" i="79"/>
  <c r="B67" i="79"/>
  <c r="C67" i="79"/>
  <c r="D67" i="79"/>
  <c r="F67" i="79"/>
  <c r="B68" i="79"/>
  <c r="C68" i="79"/>
  <c r="D68" i="79"/>
  <c r="F68" i="79"/>
  <c r="B69" i="79"/>
  <c r="C69" i="79"/>
  <c r="D69" i="79"/>
  <c r="F69" i="79"/>
  <c r="C65" i="79"/>
  <c r="D65" i="79"/>
  <c r="F65" i="79"/>
  <c r="B65" i="79"/>
  <c r="C65" i="36"/>
  <c r="D65" i="36"/>
  <c r="F65" i="36"/>
  <c r="B65" i="36"/>
  <c r="E80" i="23"/>
  <c r="B66" i="25"/>
  <c r="C66" i="25"/>
  <c r="D66" i="25"/>
  <c r="F66" i="25"/>
  <c r="B67" i="25"/>
  <c r="C67" i="25"/>
  <c r="D67" i="25"/>
  <c r="F67" i="25"/>
  <c r="B68" i="25"/>
  <c r="C68" i="25"/>
  <c r="D68" i="25"/>
  <c r="F68" i="25"/>
  <c r="C65" i="25"/>
  <c r="D65" i="25"/>
  <c r="F65" i="25"/>
  <c r="B65" i="25"/>
  <c r="H76" i="67" l="1"/>
  <c r="H53" i="64"/>
  <c r="J54" i="64"/>
  <c r="I54" i="64" s="1"/>
  <c r="O1" i="14"/>
  <c r="B66" i="87"/>
  <c r="C66" i="87"/>
  <c r="D66" i="87"/>
  <c r="F66" i="87"/>
  <c r="B67" i="87"/>
  <c r="C67" i="87"/>
  <c r="D67" i="87"/>
  <c r="F67" i="87"/>
  <c r="B68" i="87"/>
  <c r="C68" i="87"/>
  <c r="D68" i="87"/>
  <c r="F68" i="87"/>
  <c r="B69" i="87"/>
  <c r="C69" i="87"/>
  <c r="D69" i="87"/>
  <c r="F69" i="87"/>
  <c r="B70" i="87"/>
  <c r="C70" i="87"/>
  <c r="D70" i="87"/>
  <c r="F70" i="87"/>
  <c r="B71" i="87"/>
  <c r="C71" i="87"/>
  <c r="D71" i="87"/>
  <c r="F71" i="87"/>
  <c r="B72" i="87"/>
  <c r="C72" i="87"/>
  <c r="D72" i="87"/>
  <c r="F72" i="87"/>
  <c r="B73" i="87"/>
  <c r="C73" i="87"/>
  <c r="D73" i="87"/>
  <c r="F73" i="87"/>
  <c r="B74" i="87"/>
  <c r="C74" i="87"/>
  <c r="D74" i="87"/>
  <c r="F74" i="87"/>
  <c r="B75" i="87"/>
  <c r="C75" i="87"/>
  <c r="D75" i="87"/>
  <c r="F75" i="87"/>
  <c r="B76" i="87"/>
  <c r="C76" i="87"/>
  <c r="D76" i="87"/>
  <c r="F76" i="87"/>
  <c r="B77" i="87"/>
  <c r="C77" i="87"/>
  <c r="D77" i="87"/>
  <c r="F77" i="87"/>
  <c r="B78" i="87"/>
  <c r="C78" i="87"/>
  <c r="D78" i="87"/>
  <c r="F78" i="87"/>
  <c r="B79" i="87"/>
  <c r="C79" i="87"/>
  <c r="D79" i="87"/>
  <c r="F79" i="87"/>
  <c r="C65" i="87"/>
  <c r="D65" i="87"/>
  <c r="F65" i="87"/>
  <c r="B65" i="87"/>
  <c r="B66" i="11"/>
  <c r="C66" i="11"/>
  <c r="D66" i="11"/>
  <c r="B67" i="11"/>
  <c r="C67" i="11"/>
  <c r="D67" i="11"/>
  <c r="G67" i="11" s="1"/>
  <c r="B65" i="11"/>
  <c r="C65" i="11"/>
  <c r="F66" i="11"/>
  <c r="F67" i="11"/>
  <c r="F65" i="11"/>
  <c r="D67" i="110"/>
  <c r="G67" i="110" s="1"/>
  <c r="H67" i="110" s="1"/>
  <c r="F66" i="110"/>
  <c r="F67" i="110"/>
  <c r="F65" i="110"/>
  <c r="D6" i="110"/>
  <c r="D66" i="110" s="1"/>
  <c r="D5" i="110"/>
  <c r="D65" i="110" s="1"/>
  <c r="S23" i="45"/>
  <c r="T23" i="45"/>
  <c r="U23" i="45"/>
  <c r="T21" i="45"/>
  <c r="S28" i="101"/>
  <c r="M158" i="116"/>
  <c r="M154" i="116"/>
  <c r="K6" i="1"/>
  <c r="K5" i="1"/>
  <c r="AL83" i="1"/>
  <c r="AL79" i="1"/>
  <c r="B65" i="102"/>
  <c r="C65" i="102"/>
  <c r="F65" i="102"/>
  <c r="J51" i="102"/>
  <c r="I51" i="102" s="1"/>
  <c r="AL82" i="1"/>
  <c r="AL81" i="1"/>
  <c r="AL71" i="1"/>
  <c r="J96" i="80"/>
  <c r="M80" i="116"/>
  <c r="J51" i="20"/>
  <c r="J51" i="97"/>
  <c r="H54" i="64" l="1"/>
  <c r="H55" i="64" s="1"/>
  <c r="J55" i="64"/>
  <c r="I55" i="64" s="1"/>
  <c r="H67" i="11"/>
  <c r="M57" i="116"/>
  <c r="M58" i="116"/>
  <c r="M25" i="116"/>
  <c r="M30" i="116"/>
  <c r="AL26" i="1"/>
  <c r="M7" i="116"/>
  <c r="O6" i="80"/>
  <c r="AL6" i="1"/>
  <c r="AL8" i="1"/>
  <c r="AL15" i="1"/>
  <c r="AL16" i="1"/>
  <c r="AL9" i="1"/>
  <c r="AL10" i="1"/>
  <c r="AL11" i="1"/>
  <c r="AL12" i="1"/>
  <c r="AL5" i="1"/>
  <c r="AL98" i="1"/>
  <c r="B80" i="105"/>
  <c r="C80" i="105"/>
  <c r="D80" i="105"/>
  <c r="F80" i="105"/>
  <c r="B68" i="105"/>
  <c r="C68" i="105"/>
  <c r="D68" i="105"/>
  <c r="F68" i="105"/>
  <c r="B69" i="105"/>
  <c r="C69" i="105"/>
  <c r="D69" i="105"/>
  <c r="F69" i="105"/>
  <c r="B70" i="105"/>
  <c r="C70" i="105"/>
  <c r="D70" i="105"/>
  <c r="F70" i="105"/>
  <c r="B71" i="105"/>
  <c r="C71" i="105"/>
  <c r="D71" i="105"/>
  <c r="F71" i="105"/>
  <c r="B72" i="105"/>
  <c r="C72" i="105"/>
  <c r="D72" i="105"/>
  <c r="F72" i="105"/>
  <c r="B73" i="105"/>
  <c r="C73" i="105"/>
  <c r="D73" i="105"/>
  <c r="F73" i="105"/>
  <c r="B74" i="105"/>
  <c r="C74" i="105"/>
  <c r="D74" i="105"/>
  <c r="F74" i="105"/>
  <c r="B75" i="105"/>
  <c r="C75" i="105"/>
  <c r="D75" i="105"/>
  <c r="F75" i="105"/>
  <c r="B76" i="105"/>
  <c r="C76" i="105"/>
  <c r="D76" i="105"/>
  <c r="F76" i="105"/>
  <c r="B77" i="105"/>
  <c r="C77" i="105"/>
  <c r="D77" i="105"/>
  <c r="F77" i="105"/>
  <c r="B78" i="105"/>
  <c r="C78" i="105"/>
  <c r="D78" i="105"/>
  <c r="F78" i="105"/>
  <c r="B79" i="105"/>
  <c r="C79" i="105"/>
  <c r="D79" i="105"/>
  <c r="F79" i="105"/>
  <c r="B65" i="105"/>
  <c r="F67" i="105"/>
  <c r="D67" i="105"/>
  <c r="C67" i="105"/>
  <c r="B67" i="105"/>
  <c r="F66" i="105"/>
  <c r="D66" i="105"/>
  <c r="C66" i="105"/>
  <c r="B66" i="105"/>
  <c r="F65" i="105"/>
  <c r="D65" i="105"/>
  <c r="C65" i="105"/>
  <c r="AL85" i="1"/>
  <c r="AL84" i="1"/>
  <c r="AL80" i="1"/>
  <c r="AL86" i="1"/>
  <c r="AL77" i="1"/>
  <c r="AL76" i="1"/>
  <c r="AL74" i="1"/>
  <c r="AL73" i="1"/>
  <c r="AL72" i="1"/>
  <c r="AQ7" i="106"/>
  <c r="AQ8" i="106"/>
  <c r="AQ9" i="106"/>
  <c r="AQ10" i="106"/>
  <c r="AQ11" i="106"/>
  <c r="AQ12" i="106"/>
  <c r="AQ13" i="106"/>
  <c r="AQ6" i="106"/>
  <c r="AQ7" i="107"/>
  <c r="AQ8" i="107"/>
  <c r="AQ9" i="107"/>
  <c r="AQ10" i="107"/>
  <c r="AQ11" i="107"/>
  <c r="AQ12" i="107"/>
  <c r="AQ13" i="107"/>
  <c r="AQ14" i="107"/>
  <c r="AQ15" i="107"/>
  <c r="AQ16" i="107"/>
  <c r="AQ17" i="107"/>
  <c r="AQ18" i="107"/>
  <c r="AQ19" i="107"/>
  <c r="AQ6" i="107"/>
  <c r="AQ7" i="108"/>
  <c r="AQ8" i="108"/>
  <c r="AQ9" i="108"/>
  <c r="AQ10" i="108"/>
  <c r="AQ11" i="108"/>
  <c r="AQ12" i="108"/>
  <c r="AQ13" i="108"/>
  <c r="AQ6" i="108"/>
  <c r="I14" i="110"/>
  <c r="I15" i="110"/>
  <c r="I16" i="110"/>
  <c r="I17" i="110"/>
  <c r="I18" i="110"/>
  <c r="I19" i="110"/>
  <c r="I20" i="110"/>
  <c r="I21" i="110"/>
  <c r="I22" i="110"/>
  <c r="I23" i="110"/>
  <c r="I24" i="110"/>
  <c r="I13" i="110"/>
  <c r="I6" i="107"/>
  <c r="I7" i="107"/>
  <c r="I8" i="107"/>
  <c r="I9" i="107"/>
  <c r="I10" i="107"/>
  <c r="I11" i="107"/>
  <c r="I12" i="107"/>
  <c r="I13" i="107"/>
  <c r="I14" i="107"/>
  <c r="I15" i="107"/>
  <c r="I16" i="107"/>
  <c r="I17" i="107"/>
  <c r="I18" i="107"/>
  <c r="I19" i="107"/>
  <c r="I20" i="107"/>
  <c r="I21" i="107"/>
  <c r="I22" i="107"/>
  <c r="I23" i="107"/>
  <c r="I24" i="107"/>
  <c r="I25" i="107"/>
  <c r="I26" i="107"/>
  <c r="I27" i="107"/>
  <c r="I10" i="108"/>
  <c r="I10" i="109"/>
  <c r="I11" i="109"/>
  <c r="I12" i="109"/>
  <c r="I13" i="109"/>
  <c r="I14" i="109"/>
  <c r="I15" i="109"/>
  <c r="I16" i="109"/>
  <c r="I17" i="109"/>
  <c r="I18" i="109"/>
  <c r="I19" i="109"/>
  <c r="I20" i="109"/>
  <c r="I21" i="109"/>
  <c r="I6" i="110"/>
  <c r="I7" i="110"/>
  <c r="I6" i="111"/>
  <c r="I7" i="111"/>
  <c r="I8" i="111"/>
  <c r="I9" i="111"/>
  <c r="I6" i="112"/>
  <c r="I7" i="112"/>
  <c r="I8" i="112"/>
  <c r="I9" i="112"/>
  <c r="I10" i="112"/>
  <c r="I6" i="113"/>
  <c r="I7" i="113"/>
  <c r="I8" i="113"/>
  <c r="I9" i="113"/>
  <c r="I10" i="113"/>
  <c r="I11" i="113"/>
  <c r="I12" i="113"/>
  <c r="I13" i="113"/>
  <c r="I14" i="113"/>
  <c r="I15" i="113"/>
  <c r="I7" i="115"/>
  <c r="I8" i="115"/>
  <c r="I9" i="115"/>
  <c r="I10" i="115"/>
  <c r="I11" i="115"/>
  <c r="I12" i="115"/>
  <c r="I13" i="115"/>
  <c r="I14" i="115"/>
  <c r="I37" i="113"/>
  <c r="J37" i="110"/>
  <c r="I37" i="110"/>
  <c r="I37" i="107"/>
  <c r="I38" i="106"/>
  <c r="I37" i="106"/>
  <c r="I10" i="106"/>
  <c r="I11" i="106"/>
  <c r="I12" i="106"/>
  <c r="I13" i="106"/>
  <c r="I14" i="106"/>
  <c r="I15" i="106"/>
  <c r="I6" i="108"/>
  <c r="I7" i="108"/>
  <c r="I8" i="108"/>
  <c r="I9" i="108"/>
  <c r="I6" i="109"/>
  <c r="I7" i="109"/>
  <c r="I8" i="109"/>
  <c r="I9" i="109"/>
  <c r="I6" i="114"/>
  <c r="I7" i="114"/>
  <c r="I8" i="114"/>
  <c r="I9" i="114"/>
  <c r="I6" i="115"/>
  <c r="I6" i="106"/>
  <c r="I7" i="106"/>
  <c r="I8" i="106"/>
  <c r="I9" i="106"/>
  <c r="I5" i="107"/>
  <c r="I5" i="108"/>
  <c r="I5" i="109"/>
  <c r="I5" i="110"/>
  <c r="I5" i="111"/>
  <c r="I5" i="112"/>
  <c r="I5" i="113"/>
  <c r="I5" i="106"/>
  <c r="F74" i="115"/>
  <c r="D74" i="115"/>
  <c r="C74" i="115"/>
  <c r="B74" i="115"/>
  <c r="F73" i="115"/>
  <c r="D73" i="115"/>
  <c r="C73" i="115"/>
  <c r="B73" i="115"/>
  <c r="F72" i="115"/>
  <c r="D72" i="115"/>
  <c r="C72" i="115"/>
  <c r="B72" i="115"/>
  <c r="F71" i="115"/>
  <c r="D71" i="115"/>
  <c r="C71" i="115"/>
  <c r="B71" i="115"/>
  <c r="F70" i="115"/>
  <c r="D70" i="115"/>
  <c r="C70" i="115"/>
  <c r="B70" i="115"/>
  <c r="F69" i="115"/>
  <c r="D69" i="115"/>
  <c r="C69" i="115"/>
  <c r="B69" i="115"/>
  <c r="F68" i="115"/>
  <c r="D68" i="115"/>
  <c r="C68" i="115"/>
  <c r="B68" i="115"/>
  <c r="F67" i="115"/>
  <c r="D67" i="115"/>
  <c r="C67" i="115"/>
  <c r="B67" i="115"/>
  <c r="F66" i="115"/>
  <c r="D66" i="115"/>
  <c r="C66" i="115"/>
  <c r="B66" i="115"/>
  <c r="D51" i="115"/>
  <c r="C51" i="115"/>
  <c r="S29" i="115"/>
  <c r="S28" i="115"/>
  <c r="F68" i="114"/>
  <c r="D68" i="114"/>
  <c r="C68" i="114"/>
  <c r="B68" i="114"/>
  <c r="F67" i="114"/>
  <c r="D67" i="114"/>
  <c r="C67" i="114"/>
  <c r="B67" i="114"/>
  <c r="F66" i="114"/>
  <c r="D66" i="114"/>
  <c r="C66" i="114"/>
  <c r="B66" i="114"/>
  <c r="F65" i="114"/>
  <c r="D65" i="114"/>
  <c r="C65" i="114"/>
  <c r="B65" i="114"/>
  <c r="D51" i="114"/>
  <c r="C51" i="114"/>
  <c r="S28" i="114"/>
  <c r="S27" i="114"/>
  <c r="G147" i="113"/>
  <c r="E147" i="113"/>
  <c r="C147" i="113"/>
  <c r="F145" i="113"/>
  <c r="D145" i="113"/>
  <c r="C145" i="113"/>
  <c r="B145" i="113"/>
  <c r="F144" i="113"/>
  <c r="D144" i="113"/>
  <c r="C144" i="113"/>
  <c r="B144" i="113"/>
  <c r="F143" i="113"/>
  <c r="D143" i="113"/>
  <c r="C143" i="113"/>
  <c r="B143" i="113"/>
  <c r="F142" i="113"/>
  <c r="D142" i="113"/>
  <c r="C142" i="113"/>
  <c r="B142" i="113"/>
  <c r="F141" i="113"/>
  <c r="D141" i="113"/>
  <c r="C141" i="113"/>
  <c r="B141" i="113"/>
  <c r="F140" i="113"/>
  <c r="D140" i="113"/>
  <c r="C140" i="113"/>
  <c r="B140" i="113"/>
  <c r="F139" i="113"/>
  <c r="D139" i="113"/>
  <c r="C139" i="113"/>
  <c r="B139" i="113"/>
  <c r="F138" i="113"/>
  <c r="D138" i="113"/>
  <c r="C138" i="113"/>
  <c r="B138" i="113"/>
  <c r="F137" i="113"/>
  <c r="D137" i="113"/>
  <c r="C137" i="113"/>
  <c r="B137" i="113"/>
  <c r="F136" i="113"/>
  <c r="D136" i="113"/>
  <c r="C136" i="113"/>
  <c r="B136" i="113"/>
  <c r="F135" i="113"/>
  <c r="C135" i="113"/>
  <c r="B135" i="113"/>
  <c r="G130" i="113"/>
  <c r="E130" i="113"/>
  <c r="C130" i="113"/>
  <c r="F128" i="113"/>
  <c r="D128" i="113"/>
  <c r="C128" i="113"/>
  <c r="B128" i="113"/>
  <c r="F127" i="113"/>
  <c r="D127" i="113"/>
  <c r="C127" i="113"/>
  <c r="B127" i="113"/>
  <c r="F126" i="113"/>
  <c r="D126" i="113"/>
  <c r="C126" i="113"/>
  <c r="B126" i="113"/>
  <c r="F125" i="113"/>
  <c r="D125" i="113"/>
  <c r="C125" i="113"/>
  <c r="B125" i="113"/>
  <c r="F124" i="113"/>
  <c r="D124" i="113"/>
  <c r="C124" i="113"/>
  <c r="B124" i="113"/>
  <c r="F123" i="113"/>
  <c r="D123" i="113"/>
  <c r="C123" i="113"/>
  <c r="B123" i="113"/>
  <c r="F122" i="113"/>
  <c r="D122" i="113"/>
  <c r="C122" i="113"/>
  <c r="B122" i="113"/>
  <c r="F121" i="113"/>
  <c r="D121" i="113"/>
  <c r="C121" i="113"/>
  <c r="B121" i="113"/>
  <c r="F120" i="113"/>
  <c r="D120" i="113"/>
  <c r="C120" i="113"/>
  <c r="B120" i="113"/>
  <c r="F119" i="113"/>
  <c r="D119" i="113"/>
  <c r="C119" i="113"/>
  <c r="B119" i="113"/>
  <c r="F118" i="113"/>
  <c r="C118" i="113"/>
  <c r="B118" i="113"/>
  <c r="G113" i="113"/>
  <c r="E113" i="113"/>
  <c r="C113" i="113"/>
  <c r="F111" i="113"/>
  <c r="D111" i="113"/>
  <c r="C111" i="113"/>
  <c r="B111" i="113"/>
  <c r="F110" i="113"/>
  <c r="D110" i="113"/>
  <c r="C110" i="113"/>
  <c r="B110" i="113"/>
  <c r="F109" i="113"/>
  <c r="D109" i="113"/>
  <c r="C109" i="113"/>
  <c r="B109" i="113"/>
  <c r="F108" i="113"/>
  <c r="D108" i="113"/>
  <c r="C108" i="113"/>
  <c r="B108" i="113"/>
  <c r="F107" i="113"/>
  <c r="D107" i="113"/>
  <c r="C107" i="113"/>
  <c r="B107" i="113"/>
  <c r="F106" i="113"/>
  <c r="D106" i="113"/>
  <c r="C106" i="113"/>
  <c r="B106" i="113"/>
  <c r="F105" i="113"/>
  <c r="D105" i="113"/>
  <c r="C105" i="113"/>
  <c r="B105" i="113"/>
  <c r="F104" i="113"/>
  <c r="D104" i="113"/>
  <c r="C104" i="113"/>
  <c r="B104" i="113"/>
  <c r="F103" i="113"/>
  <c r="D103" i="113"/>
  <c r="C103" i="113"/>
  <c r="B103" i="113"/>
  <c r="F102" i="113"/>
  <c r="D102" i="113"/>
  <c r="C102" i="113"/>
  <c r="B102" i="113"/>
  <c r="F101" i="113"/>
  <c r="C101" i="113"/>
  <c r="B101" i="113"/>
  <c r="G94" i="113"/>
  <c r="E94" i="113"/>
  <c r="C94" i="113"/>
  <c r="F92" i="113"/>
  <c r="D92" i="113"/>
  <c r="C92" i="113"/>
  <c r="B92" i="113"/>
  <c r="F91" i="113"/>
  <c r="D91" i="113"/>
  <c r="C91" i="113"/>
  <c r="B91" i="113"/>
  <c r="F90" i="113"/>
  <c r="D90" i="113"/>
  <c r="C90" i="113"/>
  <c r="B90" i="113"/>
  <c r="F89" i="113"/>
  <c r="D89" i="113"/>
  <c r="C89" i="113"/>
  <c r="B89" i="113"/>
  <c r="F88" i="113"/>
  <c r="D88" i="113"/>
  <c r="C88" i="113"/>
  <c r="B88" i="113"/>
  <c r="F87" i="113"/>
  <c r="D87" i="113"/>
  <c r="C87" i="113"/>
  <c r="B87" i="113"/>
  <c r="F86" i="113"/>
  <c r="D86" i="113"/>
  <c r="C86" i="113"/>
  <c r="B86" i="113"/>
  <c r="F85" i="113"/>
  <c r="D85" i="113"/>
  <c r="C85" i="113"/>
  <c r="B85" i="113"/>
  <c r="F84" i="113"/>
  <c r="D84" i="113"/>
  <c r="C84" i="113"/>
  <c r="B84" i="113"/>
  <c r="F83" i="113"/>
  <c r="D83" i="113"/>
  <c r="C83" i="113"/>
  <c r="B83" i="113"/>
  <c r="F82" i="113"/>
  <c r="C82" i="113"/>
  <c r="B82" i="113"/>
  <c r="G77" i="113"/>
  <c r="E77" i="113"/>
  <c r="C77" i="113"/>
  <c r="F75" i="113"/>
  <c r="D75" i="113"/>
  <c r="C75" i="113"/>
  <c r="B75" i="113"/>
  <c r="F74" i="113"/>
  <c r="D74" i="113"/>
  <c r="C74" i="113"/>
  <c r="B74" i="113"/>
  <c r="F73" i="113"/>
  <c r="D73" i="113"/>
  <c r="C73" i="113"/>
  <c r="B73" i="113"/>
  <c r="F72" i="113"/>
  <c r="D72" i="113"/>
  <c r="C72" i="113"/>
  <c r="B72" i="113"/>
  <c r="F71" i="113"/>
  <c r="D71" i="113"/>
  <c r="C71" i="113"/>
  <c r="B71" i="113"/>
  <c r="F70" i="113"/>
  <c r="D70" i="113"/>
  <c r="C70" i="113"/>
  <c r="B70" i="113"/>
  <c r="F69" i="113"/>
  <c r="D69" i="113"/>
  <c r="C69" i="113"/>
  <c r="B69" i="113"/>
  <c r="F68" i="113"/>
  <c r="D68" i="113"/>
  <c r="C68" i="113"/>
  <c r="B68" i="113"/>
  <c r="F67" i="113"/>
  <c r="D67" i="113"/>
  <c r="C67" i="113"/>
  <c r="B67" i="113"/>
  <c r="F66" i="113"/>
  <c r="D66" i="113"/>
  <c r="C66" i="113"/>
  <c r="B66" i="113"/>
  <c r="F65" i="113"/>
  <c r="C65" i="113"/>
  <c r="B65" i="113"/>
  <c r="V44" i="113"/>
  <c r="U44" i="113"/>
  <c r="W44" i="113" s="1"/>
  <c r="J51" i="113" s="1"/>
  <c r="I51" i="113" s="1"/>
  <c r="D5" i="113" s="1"/>
  <c r="E37" i="113"/>
  <c r="F37" i="113" s="1"/>
  <c r="H37" i="113" s="1"/>
  <c r="S29" i="113"/>
  <c r="T29" i="113" s="1"/>
  <c r="AA28" i="113"/>
  <c r="AC28" i="113" s="1"/>
  <c r="AC29" i="113" s="1"/>
  <c r="S28" i="113"/>
  <c r="R25" i="113"/>
  <c r="G98" i="112"/>
  <c r="E98" i="112"/>
  <c r="C98" i="112"/>
  <c r="F96" i="112"/>
  <c r="D96" i="112"/>
  <c r="C96" i="112"/>
  <c r="B96" i="112"/>
  <c r="F95" i="112"/>
  <c r="D95" i="112"/>
  <c r="C95" i="112"/>
  <c r="B95" i="112"/>
  <c r="F94" i="112"/>
  <c r="D94" i="112"/>
  <c r="C94" i="112"/>
  <c r="B94" i="112"/>
  <c r="F93" i="112"/>
  <c r="D93" i="112"/>
  <c r="C93" i="112"/>
  <c r="B93" i="112"/>
  <c r="F92" i="112"/>
  <c r="D92" i="112"/>
  <c r="C92" i="112"/>
  <c r="B92" i="112"/>
  <c r="F91" i="112"/>
  <c r="C91" i="112"/>
  <c r="B91" i="112"/>
  <c r="G84" i="112"/>
  <c r="E84" i="112"/>
  <c r="C84" i="112"/>
  <c r="F82" i="112"/>
  <c r="D82" i="112"/>
  <c r="C82" i="112"/>
  <c r="B82" i="112"/>
  <c r="F81" i="112"/>
  <c r="D81" i="112"/>
  <c r="C81" i="112"/>
  <c r="B81" i="112"/>
  <c r="F80" i="112"/>
  <c r="D80" i="112"/>
  <c r="C80" i="112"/>
  <c r="B80" i="112"/>
  <c r="F79" i="112"/>
  <c r="D79" i="112"/>
  <c r="C79" i="112"/>
  <c r="B79" i="112"/>
  <c r="F78" i="112"/>
  <c r="D78" i="112"/>
  <c r="C78" i="112"/>
  <c r="B78" i="112"/>
  <c r="F77" i="112"/>
  <c r="C77" i="112"/>
  <c r="B77" i="112"/>
  <c r="G72" i="112"/>
  <c r="E72" i="112"/>
  <c r="C72" i="112"/>
  <c r="F70" i="112"/>
  <c r="D70" i="112"/>
  <c r="C70" i="112"/>
  <c r="B70" i="112"/>
  <c r="F69" i="112"/>
  <c r="D69" i="112"/>
  <c r="C69" i="112"/>
  <c r="B69" i="112"/>
  <c r="F68" i="112"/>
  <c r="D68" i="112"/>
  <c r="C68" i="112"/>
  <c r="B68" i="112"/>
  <c r="F67" i="112"/>
  <c r="D67" i="112"/>
  <c r="C67" i="112"/>
  <c r="B67" i="112"/>
  <c r="F66" i="112"/>
  <c r="D66" i="112"/>
  <c r="C66" i="112"/>
  <c r="B66" i="112"/>
  <c r="F65" i="112"/>
  <c r="C65" i="112"/>
  <c r="B65" i="112"/>
  <c r="V44" i="112"/>
  <c r="U44" i="112"/>
  <c r="W44" i="112" s="1"/>
  <c r="J51" i="112" s="1"/>
  <c r="I51" i="112" s="1"/>
  <c r="D5" i="112" s="1"/>
  <c r="S29" i="112"/>
  <c r="T29" i="112" s="1"/>
  <c r="AA28" i="112"/>
  <c r="S28" i="112"/>
  <c r="R25" i="112"/>
  <c r="F69" i="111"/>
  <c r="D69" i="111"/>
  <c r="C69" i="111"/>
  <c r="B69" i="111"/>
  <c r="F68" i="111"/>
  <c r="D68" i="111"/>
  <c r="C68" i="111"/>
  <c r="B68" i="111"/>
  <c r="F67" i="111"/>
  <c r="D67" i="111"/>
  <c r="C67" i="111"/>
  <c r="B67" i="111"/>
  <c r="F66" i="111"/>
  <c r="D66" i="111"/>
  <c r="C66" i="111"/>
  <c r="B66" i="111"/>
  <c r="F65" i="111"/>
  <c r="C65" i="111"/>
  <c r="B65" i="111"/>
  <c r="C52" i="111"/>
  <c r="D51" i="111"/>
  <c r="C51" i="111"/>
  <c r="R44" i="111"/>
  <c r="V40" i="111"/>
  <c r="T35" i="111"/>
  <c r="T33" i="111"/>
  <c r="T34" i="111" s="1"/>
  <c r="T32" i="111"/>
  <c r="S30" i="111"/>
  <c r="U29" i="111"/>
  <c r="AB28" i="111"/>
  <c r="X28" i="111"/>
  <c r="S28" i="111"/>
  <c r="G9" i="111"/>
  <c r="H9" i="111" s="1"/>
  <c r="G8" i="111"/>
  <c r="H8" i="111" s="1"/>
  <c r="G7" i="111"/>
  <c r="H7" i="111" s="1"/>
  <c r="E6" i="111"/>
  <c r="G6" i="111" s="1"/>
  <c r="H6" i="111" s="1"/>
  <c r="AF1" i="111"/>
  <c r="D71" i="111" s="1"/>
  <c r="R44" i="110"/>
  <c r="V40" i="110"/>
  <c r="E37" i="110"/>
  <c r="F37" i="110" s="1"/>
  <c r="H37" i="110" s="1"/>
  <c r="S29" i="110"/>
  <c r="AB28" i="110"/>
  <c r="S28" i="110"/>
  <c r="G7" i="110"/>
  <c r="E7" i="110"/>
  <c r="E67" i="110" s="1"/>
  <c r="AF1" i="110"/>
  <c r="E1" i="110"/>
  <c r="G1" i="110" s="1"/>
  <c r="F129" i="109"/>
  <c r="D129" i="109"/>
  <c r="C129" i="109"/>
  <c r="B129" i="109"/>
  <c r="F128" i="109"/>
  <c r="D128" i="109"/>
  <c r="C128" i="109"/>
  <c r="B128" i="109"/>
  <c r="F127" i="109"/>
  <c r="D127" i="109"/>
  <c r="C127" i="109"/>
  <c r="B127" i="109"/>
  <c r="F126" i="109"/>
  <c r="D126" i="109"/>
  <c r="C126" i="109"/>
  <c r="B126" i="109"/>
  <c r="F125" i="109"/>
  <c r="D125" i="109"/>
  <c r="C125" i="109"/>
  <c r="B125" i="109"/>
  <c r="F124" i="109"/>
  <c r="D124" i="109"/>
  <c r="C124" i="109"/>
  <c r="B124" i="109"/>
  <c r="F123" i="109"/>
  <c r="D123" i="109"/>
  <c r="C123" i="109"/>
  <c r="B123" i="109"/>
  <c r="F122" i="109"/>
  <c r="D122" i="109"/>
  <c r="C122" i="109"/>
  <c r="B122" i="109"/>
  <c r="F121" i="109"/>
  <c r="D121" i="109"/>
  <c r="C121" i="109"/>
  <c r="B121" i="109"/>
  <c r="F120" i="109"/>
  <c r="D120" i="109"/>
  <c r="C120" i="109"/>
  <c r="B120" i="109"/>
  <c r="F119" i="109"/>
  <c r="D119" i="109"/>
  <c r="C119" i="109"/>
  <c r="B119" i="109"/>
  <c r="F118" i="109"/>
  <c r="D118" i="109"/>
  <c r="C118" i="109"/>
  <c r="B118" i="109"/>
  <c r="F117" i="109"/>
  <c r="D117" i="109"/>
  <c r="C117" i="109"/>
  <c r="B117" i="109"/>
  <c r="F116" i="109"/>
  <c r="D116" i="109"/>
  <c r="C116" i="109"/>
  <c r="B116" i="109"/>
  <c r="F115" i="109"/>
  <c r="D115" i="109"/>
  <c r="C115" i="109"/>
  <c r="B115" i="109"/>
  <c r="F114" i="109"/>
  <c r="D114" i="109"/>
  <c r="C114" i="109"/>
  <c r="B114" i="109"/>
  <c r="F113" i="109"/>
  <c r="C113" i="109"/>
  <c r="B113" i="109"/>
  <c r="F104" i="109"/>
  <c r="D104" i="109"/>
  <c r="C104" i="109"/>
  <c r="B104" i="109"/>
  <c r="F103" i="109"/>
  <c r="D103" i="109"/>
  <c r="C103" i="109"/>
  <c r="B103" i="109"/>
  <c r="F102" i="109"/>
  <c r="D102" i="109"/>
  <c r="C102" i="109"/>
  <c r="B102" i="109"/>
  <c r="F101" i="109"/>
  <c r="D101" i="109"/>
  <c r="C101" i="109"/>
  <c r="B101" i="109"/>
  <c r="F100" i="109"/>
  <c r="D100" i="109"/>
  <c r="C100" i="109"/>
  <c r="B100" i="109"/>
  <c r="F99" i="109"/>
  <c r="D99" i="109"/>
  <c r="C99" i="109"/>
  <c r="B99" i="109"/>
  <c r="F98" i="109"/>
  <c r="D98" i="109"/>
  <c r="C98" i="109"/>
  <c r="B98" i="109"/>
  <c r="F97" i="109"/>
  <c r="D97" i="109"/>
  <c r="C97" i="109"/>
  <c r="B97" i="109"/>
  <c r="F96" i="109"/>
  <c r="D96" i="109"/>
  <c r="C96" i="109"/>
  <c r="B96" i="109"/>
  <c r="F95" i="109"/>
  <c r="D95" i="109"/>
  <c r="C95" i="109"/>
  <c r="B95" i="109"/>
  <c r="F94" i="109"/>
  <c r="D94" i="109"/>
  <c r="C94" i="109"/>
  <c r="B94" i="109"/>
  <c r="F93" i="109"/>
  <c r="D93" i="109"/>
  <c r="C93" i="109"/>
  <c r="B93" i="109"/>
  <c r="F92" i="109"/>
  <c r="D92" i="109"/>
  <c r="C92" i="109"/>
  <c r="B92" i="109"/>
  <c r="F91" i="109"/>
  <c r="D91" i="109"/>
  <c r="C91" i="109"/>
  <c r="B91" i="109"/>
  <c r="F90" i="109"/>
  <c r="D90" i="109"/>
  <c r="C90" i="109"/>
  <c r="B90" i="109"/>
  <c r="F89" i="109"/>
  <c r="D89" i="109"/>
  <c r="C89" i="109"/>
  <c r="B89" i="109"/>
  <c r="F88" i="109"/>
  <c r="C88" i="109"/>
  <c r="B88" i="109"/>
  <c r="F81" i="109"/>
  <c r="D81" i="109"/>
  <c r="C81" i="109"/>
  <c r="B81" i="109"/>
  <c r="F80" i="109"/>
  <c r="D80" i="109"/>
  <c r="C80" i="109"/>
  <c r="B80" i="109"/>
  <c r="F79" i="109"/>
  <c r="D79" i="109"/>
  <c r="C79" i="109"/>
  <c r="B79" i="109"/>
  <c r="F78" i="109"/>
  <c r="D78" i="109"/>
  <c r="C78" i="109"/>
  <c r="B78" i="109"/>
  <c r="F77" i="109"/>
  <c r="D77" i="109"/>
  <c r="C77" i="109"/>
  <c r="B77" i="109"/>
  <c r="F76" i="109"/>
  <c r="D76" i="109"/>
  <c r="C76" i="109"/>
  <c r="B76" i="109"/>
  <c r="F75" i="109"/>
  <c r="D75" i="109"/>
  <c r="C75" i="109"/>
  <c r="B75" i="109"/>
  <c r="F74" i="109"/>
  <c r="D74" i="109"/>
  <c r="C74" i="109"/>
  <c r="B74" i="109"/>
  <c r="F73" i="109"/>
  <c r="D73" i="109"/>
  <c r="C73" i="109"/>
  <c r="B73" i="109"/>
  <c r="F72" i="109"/>
  <c r="D72" i="109"/>
  <c r="C72" i="109"/>
  <c r="B72" i="109"/>
  <c r="F71" i="109"/>
  <c r="D71" i="109"/>
  <c r="C71" i="109"/>
  <c r="B71" i="109"/>
  <c r="F70" i="109"/>
  <c r="D70" i="109"/>
  <c r="C70" i="109"/>
  <c r="B70" i="109"/>
  <c r="F69" i="109"/>
  <c r="D69" i="109"/>
  <c r="C69" i="109"/>
  <c r="B69" i="109"/>
  <c r="F68" i="109"/>
  <c r="D68" i="109"/>
  <c r="C68" i="109"/>
  <c r="B68" i="109"/>
  <c r="F67" i="109"/>
  <c r="D67" i="109"/>
  <c r="C67" i="109"/>
  <c r="B67" i="109"/>
  <c r="F66" i="109"/>
  <c r="D66" i="109"/>
  <c r="C66" i="109"/>
  <c r="B66" i="109"/>
  <c r="F65" i="109"/>
  <c r="C65" i="109"/>
  <c r="B65" i="109"/>
  <c r="D51" i="109"/>
  <c r="R44" i="109"/>
  <c r="V40" i="109"/>
  <c r="V35" i="109"/>
  <c r="V32" i="109"/>
  <c r="S30" i="109"/>
  <c r="AB28" i="109"/>
  <c r="AA28" i="109"/>
  <c r="V28" i="109"/>
  <c r="S28" i="109"/>
  <c r="K1" i="109"/>
  <c r="C51" i="109" s="1"/>
  <c r="F70" i="108"/>
  <c r="D70" i="108"/>
  <c r="C70" i="108"/>
  <c r="B70" i="108"/>
  <c r="F69" i="108"/>
  <c r="D69" i="108"/>
  <c r="C69" i="108"/>
  <c r="B69" i="108"/>
  <c r="F68" i="108"/>
  <c r="D68" i="108"/>
  <c r="C68" i="108"/>
  <c r="B68" i="108"/>
  <c r="F67" i="108"/>
  <c r="D67" i="108"/>
  <c r="C67" i="108"/>
  <c r="B67" i="108"/>
  <c r="F66" i="108"/>
  <c r="D66" i="108"/>
  <c r="C66" i="108"/>
  <c r="B66" i="108"/>
  <c r="F65" i="108"/>
  <c r="C65" i="108"/>
  <c r="B65" i="108"/>
  <c r="D51" i="108"/>
  <c r="C51" i="108"/>
  <c r="R44" i="108"/>
  <c r="V40" i="108"/>
  <c r="W35" i="108"/>
  <c r="T33" i="108"/>
  <c r="S30" i="108"/>
  <c r="AC28" i="108"/>
  <c r="AB28" i="108"/>
  <c r="W28" i="108"/>
  <c r="W32" i="108" s="1"/>
  <c r="S28" i="108"/>
  <c r="F116" i="107"/>
  <c r="D116" i="107"/>
  <c r="C116" i="107"/>
  <c r="B116" i="107"/>
  <c r="F115" i="107"/>
  <c r="D115" i="107"/>
  <c r="C115" i="107"/>
  <c r="B115" i="107"/>
  <c r="F114" i="107"/>
  <c r="D114" i="107"/>
  <c r="C114" i="107"/>
  <c r="B114" i="107"/>
  <c r="F113" i="107"/>
  <c r="D113" i="107"/>
  <c r="C113" i="107"/>
  <c r="B113" i="107"/>
  <c r="F112" i="107"/>
  <c r="D112" i="107"/>
  <c r="C112" i="107"/>
  <c r="B112" i="107"/>
  <c r="F111" i="107"/>
  <c r="D111" i="107"/>
  <c r="C111" i="107"/>
  <c r="B111" i="107"/>
  <c r="F110" i="107"/>
  <c r="D110" i="107"/>
  <c r="C110" i="107"/>
  <c r="B110" i="107"/>
  <c r="F109" i="107"/>
  <c r="D109" i="107"/>
  <c r="C109" i="107"/>
  <c r="B109" i="107"/>
  <c r="F108" i="107"/>
  <c r="D108" i="107"/>
  <c r="C108" i="107"/>
  <c r="B108" i="107"/>
  <c r="F107" i="107"/>
  <c r="D107" i="107"/>
  <c r="C107" i="107"/>
  <c r="B107" i="107"/>
  <c r="F106" i="107"/>
  <c r="D106" i="107"/>
  <c r="C106" i="107"/>
  <c r="B106" i="107"/>
  <c r="F105" i="107"/>
  <c r="D105" i="107"/>
  <c r="C105" i="107"/>
  <c r="B105" i="107"/>
  <c r="F104" i="107"/>
  <c r="D104" i="107"/>
  <c r="C104" i="107"/>
  <c r="B104" i="107"/>
  <c r="F103" i="107"/>
  <c r="D103" i="107"/>
  <c r="C103" i="107"/>
  <c r="B103" i="107"/>
  <c r="F102" i="107"/>
  <c r="D102" i="107"/>
  <c r="C102" i="107"/>
  <c r="B102" i="107"/>
  <c r="F101" i="107"/>
  <c r="D101" i="107"/>
  <c r="C101" i="107"/>
  <c r="B101" i="107"/>
  <c r="F100" i="107"/>
  <c r="D100" i="107"/>
  <c r="C100" i="107"/>
  <c r="B100" i="107"/>
  <c r="F99" i="107"/>
  <c r="D99" i="107"/>
  <c r="C99" i="107"/>
  <c r="B99" i="107"/>
  <c r="F98" i="107"/>
  <c r="D98" i="107"/>
  <c r="C98" i="107"/>
  <c r="B98" i="107"/>
  <c r="F97" i="107"/>
  <c r="D97" i="107"/>
  <c r="C97" i="107"/>
  <c r="B97" i="107"/>
  <c r="F96" i="107"/>
  <c r="D96" i="107"/>
  <c r="C96" i="107"/>
  <c r="B96" i="107"/>
  <c r="F95" i="107"/>
  <c r="D95" i="107"/>
  <c r="C95" i="107"/>
  <c r="B95" i="107"/>
  <c r="F94" i="107"/>
  <c r="C94" i="107"/>
  <c r="B94" i="107"/>
  <c r="F87" i="107"/>
  <c r="D87" i="107"/>
  <c r="C87" i="107"/>
  <c r="B87" i="107"/>
  <c r="F86" i="107"/>
  <c r="D86" i="107"/>
  <c r="C86" i="107"/>
  <c r="B86" i="107"/>
  <c r="F85" i="107"/>
  <c r="D85" i="107"/>
  <c r="C85" i="107"/>
  <c r="B85" i="107"/>
  <c r="F84" i="107"/>
  <c r="D84" i="107"/>
  <c r="C84" i="107"/>
  <c r="B84" i="107"/>
  <c r="F83" i="107"/>
  <c r="D83" i="107"/>
  <c r="C83" i="107"/>
  <c r="B83" i="107"/>
  <c r="F82" i="107"/>
  <c r="D82" i="107"/>
  <c r="C82" i="107"/>
  <c r="B82" i="107"/>
  <c r="F81" i="107"/>
  <c r="D81" i="107"/>
  <c r="C81" i="107"/>
  <c r="B81" i="107"/>
  <c r="F80" i="107"/>
  <c r="D80" i="107"/>
  <c r="C80" i="107"/>
  <c r="B80" i="107"/>
  <c r="F79" i="107"/>
  <c r="D79" i="107"/>
  <c r="C79" i="107"/>
  <c r="B79" i="107"/>
  <c r="F78" i="107"/>
  <c r="D78" i="107"/>
  <c r="C78" i="107"/>
  <c r="B78" i="107"/>
  <c r="F77" i="107"/>
  <c r="D77" i="107"/>
  <c r="C77" i="107"/>
  <c r="B77" i="107"/>
  <c r="F76" i="107"/>
  <c r="D76" i="107"/>
  <c r="C76" i="107"/>
  <c r="B76" i="107"/>
  <c r="F75" i="107"/>
  <c r="D75" i="107"/>
  <c r="C75" i="107"/>
  <c r="B75" i="107"/>
  <c r="F74" i="107"/>
  <c r="D74" i="107"/>
  <c r="C74" i="107"/>
  <c r="B74" i="107"/>
  <c r="F73" i="107"/>
  <c r="D73" i="107"/>
  <c r="C73" i="107"/>
  <c r="B73" i="107"/>
  <c r="F72" i="107"/>
  <c r="D72" i="107"/>
  <c r="C72" i="107"/>
  <c r="B72" i="107"/>
  <c r="F71" i="107"/>
  <c r="D71" i="107"/>
  <c r="C71" i="107"/>
  <c r="B71" i="107"/>
  <c r="F70" i="107"/>
  <c r="D70" i="107"/>
  <c r="C70" i="107"/>
  <c r="B70" i="107"/>
  <c r="F69" i="107"/>
  <c r="D69" i="107"/>
  <c r="C69" i="107"/>
  <c r="B69" i="107"/>
  <c r="F68" i="107"/>
  <c r="D68" i="107"/>
  <c r="C68" i="107"/>
  <c r="B68" i="107"/>
  <c r="F67" i="107"/>
  <c r="D67" i="107"/>
  <c r="C67" i="107"/>
  <c r="B67" i="107"/>
  <c r="F66" i="107"/>
  <c r="D66" i="107"/>
  <c r="C66" i="107"/>
  <c r="B66" i="107"/>
  <c r="F65" i="107"/>
  <c r="C65" i="107"/>
  <c r="B65" i="107"/>
  <c r="D51" i="107"/>
  <c r="C51" i="107"/>
  <c r="R44" i="107"/>
  <c r="V40" i="107"/>
  <c r="E37" i="107"/>
  <c r="F37" i="107" s="1"/>
  <c r="H37" i="107" s="1"/>
  <c r="U30" i="107"/>
  <c r="T30" i="107" s="1"/>
  <c r="AD28" i="107"/>
  <c r="AC28" i="107"/>
  <c r="AB28" i="107"/>
  <c r="U28" i="107"/>
  <c r="S28" i="107" s="1"/>
  <c r="F110" i="106"/>
  <c r="D110" i="106"/>
  <c r="C110" i="106"/>
  <c r="B110" i="106"/>
  <c r="F109" i="106"/>
  <c r="D109" i="106"/>
  <c r="C109" i="106"/>
  <c r="B109" i="106"/>
  <c r="F108" i="106"/>
  <c r="D108" i="106"/>
  <c r="C108" i="106"/>
  <c r="B108" i="106"/>
  <c r="F107" i="106"/>
  <c r="D107" i="106"/>
  <c r="C107" i="106"/>
  <c r="B107" i="106"/>
  <c r="F106" i="106"/>
  <c r="D106" i="106"/>
  <c r="C106" i="106"/>
  <c r="B106" i="106"/>
  <c r="F105" i="106"/>
  <c r="D105" i="106"/>
  <c r="C105" i="106"/>
  <c r="B105" i="106"/>
  <c r="F104" i="106"/>
  <c r="D104" i="106"/>
  <c r="C104" i="106"/>
  <c r="B104" i="106"/>
  <c r="F103" i="106"/>
  <c r="D103" i="106"/>
  <c r="C103" i="106"/>
  <c r="B103" i="106"/>
  <c r="F102" i="106"/>
  <c r="D102" i="106"/>
  <c r="C102" i="106"/>
  <c r="B102" i="106"/>
  <c r="F101" i="106"/>
  <c r="D101" i="106"/>
  <c r="C101" i="106"/>
  <c r="B101" i="106"/>
  <c r="F100" i="106"/>
  <c r="C100" i="106"/>
  <c r="B100" i="106"/>
  <c r="F92" i="106"/>
  <c r="D92" i="106"/>
  <c r="C92" i="106"/>
  <c r="B92" i="106"/>
  <c r="F91" i="106"/>
  <c r="D91" i="106"/>
  <c r="C91" i="106"/>
  <c r="B91" i="106"/>
  <c r="F90" i="106"/>
  <c r="D90" i="106"/>
  <c r="C90" i="106"/>
  <c r="B90" i="106"/>
  <c r="F89" i="106"/>
  <c r="D89" i="106"/>
  <c r="C89" i="106"/>
  <c r="B89" i="106"/>
  <c r="F88" i="106"/>
  <c r="D88" i="106"/>
  <c r="C88" i="106"/>
  <c r="B88" i="106"/>
  <c r="F87" i="106"/>
  <c r="D87" i="106"/>
  <c r="C87" i="106"/>
  <c r="B87" i="106"/>
  <c r="F86" i="106"/>
  <c r="D86" i="106"/>
  <c r="C86" i="106"/>
  <c r="B86" i="106"/>
  <c r="F85" i="106"/>
  <c r="D85" i="106"/>
  <c r="C85" i="106"/>
  <c r="B85" i="106"/>
  <c r="F84" i="106"/>
  <c r="D84" i="106"/>
  <c r="C84" i="106"/>
  <c r="B84" i="106"/>
  <c r="F83" i="106"/>
  <c r="D83" i="106"/>
  <c r="C83" i="106"/>
  <c r="B83" i="106"/>
  <c r="F82" i="106"/>
  <c r="C82" i="106"/>
  <c r="B82" i="106"/>
  <c r="F75" i="106"/>
  <c r="D75" i="106"/>
  <c r="C75" i="106"/>
  <c r="B75" i="106"/>
  <c r="F74" i="106"/>
  <c r="D74" i="106"/>
  <c r="C74" i="106"/>
  <c r="B74" i="106"/>
  <c r="F73" i="106"/>
  <c r="D73" i="106"/>
  <c r="C73" i="106"/>
  <c r="B73" i="106"/>
  <c r="F72" i="106"/>
  <c r="D72" i="106"/>
  <c r="C72" i="106"/>
  <c r="B72" i="106"/>
  <c r="F71" i="106"/>
  <c r="D71" i="106"/>
  <c r="C71" i="106"/>
  <c r="B71" i="106"/>
  <c r="F70" i="106"/>
  <c r="D70" i="106"/>
  <c r="C70" i="106"/>
  <c r="B70" i="106"/>
  <c r="F69" i="106"/>
  <c r="D69" i="106"/>
  <c r="C69" i="106"/>
  <c r="B69" i="106"/>
  <c r="F68" i="106"/>
  <c r="D68" i="106"/>
  <c r="C68" i="106"/>
  <c r="B68" i="106"/>
  <c r="F67" i="106"/>
  <c r="D67" i="106"/>
  <c r="C67" i="106"/>
  <c r="B67" i="106"/>
  <c r="F66" i="106"/>
  <c r="D66" i="106"/>
  <c r="C66" i="106"/>
  <c r="B66" i="106"/>
  <c r="F65" i="106"/>
  <c r="C65" i="106"/>
  <c r="B65" i="106"/>
  <c r="D51" i="106"/>
  <c r="C51" i="106"/>
  <c r="R44" i="106"/>
  <c r="V40" i="106"/>
  <c r="E38" i="106"/>
  <c r="F38" i="106" s="1"/>
  <c r="H38" i="106" s="1"/>
  <c r="E37" i="106"/>
  <c r="F37" i="106" s="1"/>
  <c r="U30" i="106"/>
  <c r="T30" i="106" s="1"/>
  <c r="AD28" i="106"/>
  <c r="AC28" i="106"/>
  <c r="AB28" i="106"/>
  <c r="U28" i="106"/>
  <c r="L1" i="106"/>
  <c r="K1" i="29"/>
  <c r="D5" i="92"/>
  <c r="T28" i="92"/>
  <c r="F67" i="104"/>
  <c r="F68" i="104"/>
  <c r="F69" i="104"/>
  <c r="F70" i="104"/>
  <c r="F71" i="104"/>
  <c r="F72" i="104"/>
  <c r="F73" i="104"/>
  <c r="F74" i="104"/>
  <c r="F75" i="104"/>
  <c r="F76" i="104"/>
  <c r="F77" i="104"/>
  <c r="F66" i="104"/>
  <c r="C67" i="104"/>
  <c r="D67" i="104"/>
  <c r="C68" i="104"/>
  <c r="D68" i="104"/>
  <c r="C69" i="104"/>
  <c r="D69" i="104"/>
  <c r="C70" i="104"/>
  <c r="D70" i="104"/>
  <c r="C71" i="104"/>
  <c r="D71" i="104"/>
  <c r="C72" i="104"/>
  <c r="D72" i="104"/>
  <c r="C73" i="104"/>
  <c r="D73" i="104"/>
  <c r="C74" i="104"/>
  <c r="D74" i="104"/>
  <c r="C75" i="104"/>
  <c r="D75" i="104"/>
  <c r="C76" i="104"/>
  <c r="D76" i="104"/>
  <c r="C77" i="104"/>
  <c r="D77" i="104"/>
  <c r="D66" i="104"/>
  <c r="C66" i="104"/>
  <c r="B77" i="104"/>
  <c r="B67" i="104"/>
  <c r="B68" i="104"/>
  <c r="B69" i="104"/>
  <c r="B70" i="104"/>
  <c r="B71" i="104"/>
  <c r="B72" i="104"/>
  <c r="B73" i="104"/>
  <c r="B74" i="104"/>
  <c r="B75" i="104"/>
  <c r="B76" i="104"/>
  <c r="B66" i="104"/>
  <c r="T28" i="104"/>
  <c r="J56" i="80"/>
  <c r="B90" i="3"/>
  <c r="C90" i="3"/>
  <c r="D90" i="3"/>
  <c r="F90" i="3"/>
  <c r="B126" i="16"/>
  <c r="J131" i="80"/>
  <c r="AL97" i="1"/>
  <c r="AL96" i="1"/>
  <c r="AL95" i="1"/>
  <c r="AL94" i="1"/>
  <c r="AL93" i="1"/>
  <c r="AL92" i="1"/>
  <c r="AL91" i="1"/>
  <c r="AL90" i="1"/>
  <c r="AL89" i="1"/>
  <c r="AL88" i="1"/>
  <c r="AL30" i="1"/>
  <c r="AL27" i="1"/>
  <c r="AL25" i="1"/>
  <c r="AL24" i="1"/>
  <c r="AL23" i="1"/>
  <c r="AL22" i="1"/>
  <c r="AL21" i="1"/>
  <c r="AL20" i="1"/>
  <c r="AL19" i="1"/>
  <c r="K65" i="1"/>
  <c r="N65" i="1" s="1"/>
  <c r="L65" i="1"/>
  <c r="O65" i="1" s="1"/>
  <c r="AL7" i="1"/>
  <c r="AL4" i="1"/>
  <c r="AL13" i="1"/>
  <c r="AN15" i="1"/>
  <c r="AN16" i="1"/>
  <c r="AN17" i="1"/>
  <c r="AN18" i="1"/>
  <c r="AN19" i="1"/>
  <c r="AN20" i="1"/>
  <c r="AN21" i="1"/>
  <c r="AN22" i="1"/>
  <c r="AN23" i="1"/>
  <c r="AN24" i="1"/>
  <c r="AN25" i="1"/>
  <c r="AN26" i="1"/>
  <c r="AN27" i="1"/>
  <c r="AN28" i="1"/>
  <c r="AN29" i="1"/>
  <c r="AN30" i="1"/>
  <c r="AN37" i="1"/>
  <c r="AN49" i="1"/>
  <c r="AN50" i="1"/>
  <c r="AN51" i="1"/>
  <c r="AN52" i="1"/>
  <c r="AN53" i="1"/>
  <c r="AL18" i="1"/>
  <c r="AN13" i="1"/>
  <c r="AN12" i="1"/>
  <c r="AN11" i="1"/>
  <c r="J76" i="80"/>
  <c r="AL29" i="1"/>
  <c r="AL38" i="1"/>
  <c r="AL28" i="1"/>
  <c r="AC30" i="110" l="1"/>
  <c r="D69" i="110"/>
  <c r="S32" i="109"/>
  <c r="J52" i="109" s="1"/>
  <c r="S30" i="115"/>
  <c r="E1" i="115" s="1"/>
  <c r="G1" i="115" s="1"/>
  <c r="S29" i="114"/>
  <c r="E1" i="114" s="1"/>
  <c r="S30" i="110"/>
  <c r="S30" i="107"/>
  <c r="S32" i="107" s="1"/>
  <c r="S30" i="106"/>
  <c r="K37" i="107"/>
  <c r="T29" i="107"/>
  <c r="U29" i="107" s="1"/>
  <c r="T28" i="107"/>
  <c r="K38" i="106"/>
  <c r="T29" i="106"/>
  <c r="U29" i="106" s="1"/>
  <c r="T28" i="106"/>
  <c r="S28" i="106"/>
  <c r="K37" i="113"/>
  <c r="K6" i="111"/>
  <c r="K7" i="111"/>
  <c r="K8" i="111"/>
  <c r="K9" i="111"/>
  <c r="K37" i="110"/>
  <c r="L37" i="110" s="1"/>
  <c r="D82" i="113"/>
  <c r="D101" i="113"/>
  <c r="D118" i="113"/>
  <c r="D65" i="113"/>
  <c r="D135" i="113"/>
  <c r="U28" i="113"/>
  <c r="U30" i="113" s="1"/>
  <c r="T28" i="113"/>
  <c r="T30" i="113" s="1"/>
  <c r="S30" i="113"/>
  <c r="D65" i="112"/>
  <c r="D77" i="112"/>
  <c r="D91" i="112"/>
  <c r="AB28" i="112"/>
  <c r="AC28" i="112" s="1"/>
  <c r="T28" i="112"/>
  <c r="T30" i="112" s="1"/>
  <c r="S30" i="112"/>
  <c r="C53" i="111"/>
  <c r="V44" i="111"/>
  <c r="U44" i="111"/>
  <c r="W44" i="111" s="1"/>
  <c r="AE28" i="111"/>
  <c r="S32" i="111"/>
  <c r="U28" i="111"/>
  <c r="D65" i="111"/>
  <c r="U44" i="110"/>
  <c r="W44" i="110" s="1"/>
  <c r="J52" i="110" s="1"/>
  <c r="I52" i="110" s="1"/>
  <c r="H52" i="110" s="1"/>
  <c r="V44" i="110"/>
  <c r="AE28" i="110"/>
  <c r="W28" i="110"/>
  <c r="H7" i="110"/>
  <c r="K7" i="110" s="1"/>
  <c r="U44" i="109"/>
  <c r="W44" i="109" s="1"/>
  <c r="J51" i="109" s="1"/>
  <c r="I51" i="109" s="1"/>
  <c r="V44" i="109"/>
  <c r="U30" i="109"/>
  <c r="T30" i="109"/>
  <c r="AD28" i="109"/>
  <c r="AA29" i="109" s="1"/>
  <c r="U28" i="109"/>
  <c r="T29" i="109"/>
  <c r="U44" i="108"/>
  <c r="W44" i="108" s="1"/>
  <c r="J51" i="108" s="1"/>
  <c r="I51" i="108" s="1"/>
  <c r="V44" i="108"/>
  <c r="U30" i="108"/>
  <c r="T30" i="108"/>
  <c r="AE28" i="108"/>
  <c r="AB29" i="108" s="1"/>
  <c r="T29" i="108"/>
  <c r="U28" i="108"/>
  <c r="S32" i="108"/>
  <c r="V44" i="107"/>
  <c r="U44" i="107"/>
  <c r="W44" i="107" s="1"/>
  <c r="J51" i="107" s="1"/>
  <c r="I51" i="107" s="1"/>
  <c r="W28" i="107"/>
  <c r="W32" i="107" s="1"/>
  <c r="AF28" i="107"/>
  <c r="AB29" i="107" s="1"/>
  <c r="V44" i="106"/>
  <c r="U44" i="106"/>
  <c r="W44" i="106" s="1"/>
  <c r="J51" i="106" s="1"/>
  <c r="I51" i="106" s="1"/>
  <c r="H37" i="106"/>
  <c r="K37" i="106" s="1"/>
  <c r="W28" i="106"/>
  <c r="W32" i="106" s="1"/>
  <c r="AF28" i="106"/>
  <c r="AB29" i="106" s="1"/>
  <c r="L110" i="1"/>
  <c r="O110" i="1" s="1"/>
  <c r="K110" i="1"/>
  <c r="N110" i="1" s="1"/>
  <c r="L150" i="1"/>
  <c r="O150" i="1" s="1"/>
  <c r="J150" i="1"/>
  <c r="D51" i="105"/>
  <c r="C51" i="105"/>
  <c r="AA31" i="105"/>
  <c r="S28" i="105"/>
  <c r="S27" i="105"/>
  <c r="I20" i="105"/>
  <c r="I19" i="105"/>
  <c r="I18" i="105"/>
  <c r="I17" i="105"/>
  <c r="I16" i="105"/>
  <c r="I15" i="105"/>
  <c r="I14" i="105"/>
  <c r="I13" i="105"/>
  <c r="I12" i="105"/>
  <c r="I11" i="105"/>
  <c r="I10" i="105"/>
  <c r="I9" i="105"/>
  <c r="I8" i="105"/>
  <c r="I7" i="105"/>
  <c r="I6" i="105"/>
  <c r="I5" i="105"/>
  <c r="J78" i="80"/>
  <c r="J77" i="80"/>
  <c r="L72" i="1"/>
  <c r="O72" i="1" s="1"/>
  <c r="K72" i="1"/>
  <c r="N72" i="1" s="1"/>
  <c r="J37" i="102"/>
  <c r="L46" i="2"/>
  <c r="O46" i="2" s="1"/>
  <c r="K46" i="2"/>
  <c r="N46" i="2" s="1"/>
  <c r="L20" i="2"/>
  <c r="O20" i="2" s="1"/>
  <c r="K20" i="2"/>
  <c r="N20" i="2" s="1"/>
  <c r="I6" i="104"/>
  <c r="I7" i="104"/>
  <c r="I8" i="104"/>
  <c r="I9" i="104"/>
  <c r="I10" i="104"/>
  <c r="I11" i="104"/>
  <c r="I12" i="104"/>
  <c r="J12" i="104"/>
  <c r="I13" i="104"/>
  <c r="J13" i="104"/>
  <c r="I14" i="104"/>
  <c r="I15" i="104"/>
  <c r="I16" i="104"/>
  <c r="I5" i="104"/>
  <c r="I7" i="103"/>
  <c r="J6" i="103"/>
  <c r="I6" i="103"/>
  <c r="D51" i="104"/>
  <c r="C51" i="104"/>
  <c r="S29" i="104"/>
  <c r="T29" i="104" s="1"/>
  <c r="S28" i="104"/>
  <c r="F66" i="103"/>
  <c r="D66" i="103"/>
  <c r="C66" i="103"/>
  <c r="B66" i="103"/>
  <c r="F65" i="103"/>
  <c r="C65" i="103"/>
  <c r="B65" i="103"/>
  <c r="D51" i="103"/>
  <c r="C51" i="103"/>
  <c r="S28" i="103"/>
  <c r="S27" i="103"/>
  <c r="D6" i="103"/>
  <c r="I37" i="102"/>
  <c r="AQ7" i="102"/>
  <c r="AQ8" i="102"/>
  <c r="AR8" i="102"/>
  <c r="AQ9" i="102"/>
  <c r="AQ10" i="102"/>
  <c r="AQ11" i="102"/>
  <c r="AQ12" i="102"/>
  <c r="AR12" i="102"/>
  <c r="AQ6" i="102"/>
  <c r="I5" i="102"/>
  <c r="I6" i="101"/>
  <c r="I7" i="101"/>
  <c r="I5" i="101"/>
  <c r="D51" i="102"/>
  <c r="C51" i="102"/>
  <c r="R44" i="102"/>
  <c r="V40" i="102"/>
  <c r="E37" i="102"/>
  <c r="F37" i="102" s="1"/>
  <c r="H37" i="102" s="1"/>
  <c r="U31" i="102"/>
  <c r="S30" i="102"/>
  <c r="U30" i="102" s="1"/>
  <c r="U29" i="102"/>
  <c r="AF28" i="102"/>
  <c r="AF29" i="102" s="1"/>
  <c r="AB28" i="102"/>
  <c r="AB29" i="102" s="1"/>
  <c r="S28" i="102"/>
  <c r="D5" i="102"/>
  <c r="D65" i="102" s="1"/>
  <c r="F67" i="101"/>
  <c r="D67" i="101"/>
  <c r="C67" i="101"/>
  <c r="B67" i="101"/>
  <c r="F66" i="101"/>
  <c r="D66" i="101"/>
  <c r="C66" i="101"/>
  <c r="B66" i="101"/>
  <c r="F65" i="101"/>
  <c r="C65" i="101"/>
  <c r="B65" i="101"/>
  <c r="C52" i="101"/>
  <c r="D51" i="101"/>
  <c r="C51" i="101"/>
  <c r="C53" i="101" s="1"/>
  <c r="R44" i="101"/>
  <c r="V44" i="101" s="1"/>
  <c r="V40" i="101"/>
  <c r="T35" i="101"/>
  <c r="T33" i="101"/>
  <c r="T34" i="101" s="1"/>
  <c r="T32" i="101"/>
  <c r="S30" i="101"/>
  <c r="U29" i="101"/>
  <c r="AB28" i="101"/>
  <c r="G7" i="101"/>
  <c r="H7" i="101" s="1"/>
  <c r="D65" i="101"/>
  <c r="AF1" i="101"/>
  <c r="D69" i="101" s="1"/>
  <c r="J65" i="80"/>
  <c r="O48" i="80" s="1"/>
  <c r="I38" i="97"/>
  <c r="I37" i="97"/>
  <c r="I6" i="100"/>
  <c r="I7" i="100"/>
  <c r="I8" i="100"/>
  <c r="I9" i="100"/>
  <c r="I5" i="100"/>
  <c r="F69" i="100"/>
  <c r="D69" i="100"/>
  <c r="C69" i="100"/>
  <c r="B69" i="100"/>
  <c r="F68" i="100"/>
  <c r="D68" i="100"/>
  <c r="C68" i="100"/>
  <c r="B68" i="100"/>
  <c r="F67" i="100"/>
  <c r="D67" i="100"/>
  <c r="C67" i="100"/>
  <c r="B67" i="100"/>
  <c r="F66" i="100"/>
  <c r="D66" i="100"/>
  <c r="C66" i="100"/>
  <c r="B66" i="100"/>
  <c r="F65" i="100"/>
  <c r="C65" i="100"/>
  <c r="B65" i="100"/>
  <c r="C52" i="100"/>
  <c r="D51" i="100"/>
  <c r="C51" i="100"/>
  <c r="C53" i="100" s="1"/>
  <c r="R44" i="100"/>
  <c r="V40" i="100"/>
  <c r="T35" i="100"/>
  <c r="T33" i="100"/>
  <c r="T34" i="100" s="1"/>
  <c r="T32" i="100"/>
  <c r="S30" i="100"/>
  <c r="U29" i="100"/>
  <c r="AB28" i="100"/>
  <c r="AE28" i="100" s="1"/>
  <c r="AE29" i="100" s="1"/>
  <c r="X28" i="100"/>
  <c r="S28" i="100"/>
  <c r="G9" i="100"/>
  <c r="H9" i="100" s="1"/>
  <c r="G8" i="100"/>
  <c r="H8" i="100" s="1"/>
  <c r="G7" i="100"/>
  <c r="H7" i="100" s="1"/>
  <c r="E7" i="100"/>
  <c r="AF1" i="100"/>
  <c r="D71" i="100" s="1"/>
  <c r="J28" i="80"/>
  <c r="J95" i="80"/>
  <c r="J118" i="80"/>
  <c r="J33" i="80"/>
  <c r="I10" i="99"/>
  <c r="I10" i="97"/>
  <c r="I11" i="97"/>
  <c r="I12" i="97"/>
  <c r="I13" i="97"/>
  <c r="I9" i="97"/>
  <c r="I9" i="99"/>
  <c r="I9" i="98"/>
  <c r="I6" i="98"/>
  <c r="I7" i="98"/>
  <c r="I8" i="98"/>
  <c r="I6" i="99"/>
  <c r="I7" i="99"/>
  <c r="I8" i="99"/>
  <c r="I6" i="97"/>
  <c r="I7" i="97"/>
  <c r="I8" i="97"/>
  <c r="I5" i="98"/>
  <c r="I5" i="99"/>
  <c r="I5" i="97"/>
  <c r="F70" i="99"/>
  <c r="D70" i="99"/>
  <c r="C70" i="99"/>
  <c r="B70" i="99"/>
  <c r="F69" i="99"/>
  <c r="D69" i="99"/>
  <c r="C69" i="99"/>
  <c r="B69" i="99"/>
  <c r="F68" i="99"/>
  <c r="D68" i="99"/>
  <c r="C68" i="99"/>
  <c r="B68" i="99"/>
  <c r="F67" i="99"/>
  <c r="D67" i="99"/>
  <c r="C67" i="99"/>
  <c r="B67" i="99"/>
  <c r="F66" i="99"/>
  <c r="D66" i="99"/>
  <c r="C66" i="99"/>
  <c r="B66" i="99"/>
  <c r="F65" i="99"/>
  <c r="C65" i="99"/>
  <c r="B65" i="99"/>
  <c r="R44" i="99"/>
  <c r="V40" i="99"/>
  <c r="T35" i="99"/>
  <c r="T33" i="99"/>
  <c r="T34" i="99" s="1"/>
  <c r="T32" i="99"/>
  <c r="S30" i="99"/>
  <c r="U29" i="99"/>
  <c r="AB28" i="99"/>
  <c r="AE28" i="99" s="1"/>
  <c r="AE29" i="99" s="1"/>
  <c r="X28" i="99"/>
  <c r="S28" i="99"/>
  <c r="G9" i="99"/>
  <c r="H9" i="99" s="1"/>
  <c r="G7" i="99"/>
  <c r="H7" i="99" s="1"/>
  <c r="AF1" i="99"/>
  <c r="D72" i="99" s="1"/>
  <c r="F69" i="98"/>
  <c r="D69" i="98"/>
  <c r="C69" i="98"/>
  <c r="B69" i="98"/>
  <c r="F68" i="98"/>
  <c r="D68" i="98"/>
  <c r="C68" i="98"/>
  <c r="B68" i="98"/>
  <c r="F67" i="98"/>
  <c r="D67" i="98"/>
  <c r="C67" i="98"/>
  <c r="B67" i="98"/>
  <c r="F66" i="98"/>
  <c r="D66" i="98"/>
  <c r="C66" i="98"/>
  <c r="B66" i="98"/>
  <c r="F65" i="98"/>
  <c r="C65" i="98"/>
  <c r="B65" i="98"/>
  <c r="R44" i="98"/>
  <c r="V40" i="98"/>
  <c r="T35" i="98"/>
  <c r="T33" i="98"/>
  <c r="T34" i="98" s="1"/>
  <c r="T32" i="98"/>
  <c r="S30" i="98"/>
  <c r="U29" i="98"/>
  <c r="AB28" i="98"/>
  <c r="X28" i="98"/>
  <c r="S28" i="98"/>
  <c r="G9" i="98"/>
  <c r="H9" i="98" s="1"/>
  <c r="G8" i="98"/>
  <c r="H8" i="98" s="1"/>
  <c r="G7" i="98"/>
  <c r="H7" i="98" s="1"/>
  <c r="E7" i="98"/>
  <c r="AF1" i="98"/>
  <c r="D71" i="98" s="1"/>
  <c r="F104" i="97"/>
  <c r="D104" i="97"/>
  <c r="C104" i="97"/>
  <c r="B104" i="97"/>
  <c r="F103" i="97"/>
  <c r="D103" i="97"/>
  <c r="C103" i="97"/>
  <c r="B103" i="97"/>
  <c r="F102" i="97"/>
  <c r="D102" i="97"/>
  <c r="C102" i="97"/>
  <c r="B102" i="97"/>
  <c r="F101" i="97"/>
  <c r="D101" i="97"/>
  <c r="C101" i="97"/>
  <c r="B101" i="97"/>
  <c r="F100" i="97"/>
  <c r="D100" i="97"/>
  <c r="C100" i="97"/>
  <c r="B100" i="97"/>
  <c r="F99" i="97"/>
  <c r="D99" i="97"/>
  <c r="C99" i="97"/>
  <c r="B99" i="97"/>
  <c r="F98" i="97"/>
  <c r="D98" i="97"/>
  <c r="C98" i="97"/>
  <c r="B98" i="97"/>
  <c r="F97" i="97"/>
  <c r="D97" i="97"/>
  <c r="C97" i="97"/>
  <c r="B97" i="97"/>
  <c r="F96" i="97"/>
  <c r="C96" i="97"/>
  <c r="B96" i="97"/>
  <c r="F89" i="97"/>
  <c r="D89" i="97"/>
  <c r="C89" i="97"/>
  <c r="B89" i="97"/>
  <c r="F88" i="97"/>
  <c r="D88" i="97"/>
  <c r="C88" i="97"/>
  <c r="B88" i="97"/>
  <c r="F87" i="97"/>
  <c r="D87" i="97"/>
  <c r="C87" i="97"/>
  <c r="B87" i="97"/>
  <c r="F86" i="97"/>
  <c r="D86" i="97"/>
  <c r="C86" i="97"/>
  <c r="B86" i="97"/>
  <c r="F85" i="97"/>
  <c r="D85" i="97"/>
  <c r="C85" i="97"/>
  <c r="B85" i="97"/>
  <c r="F84" i="97"/>
  <c r="D84" i="97"/>
  <c r="C84" i="97"/>
  <c r="B84" i="97"/>
  <c r="F83" i="97"/>
  <c r="D83" i="97"/>
  <c r="C83" i="97"/>
  <c r="B83" i="97"/>
  <c r="F82" i="97"/>
  <c r="D82" i="97"/>
  <c r="C82" i="97"/>
  <c r="B82" i="97"/>
  <c r="F81" i="97"/>
  <c r="C81" i="97"/>
  <c r="B81" i="97"/>
  <c r="F73" i="97"/>
  <c r="D73" i="97"/>
  <c r="C73" i="97"/>
  <c r="B73" i="97"/>
  <c r="F72" i="97"/>
  <c r="D72" i="97"/>
  <c r="C72" i="97"/>
  <c r="B72" i="97"/>
  <c r="F71" i="97"/>
  <c r="D71" i="97"/>
  <c r="C71" i="97"/>
  <c r="B71" i="97"/>
  <c r="F70" i="97"/>
  <c r="D70" i="97"/>
  <c r="C70" i="97"/>
  <c r="B70" i="97"/>
  <c r="F69" i="97"/>
  <c r="D69" i="97"/>
  <c r="C69" i="97"/>
  <c r="B69" i="97"/>
  <c r="F68" i="97"/>
  <c r="D68" i="97"/>
  <c r="C68" i="97"/>
  <c r="B68" i="97"/>
  <c r="F67" i="97"/>
  <c r="D67" i="97"/>
  <c r="C67" i="97"/>
  <c r="B67" i="97"/>
  <c r="F66" i="97"/>
  <c r="D66" i="97"/>
  <c r="C66" i="97"/>
  <c r="B66" i="97"/>
  <c r="F65" i="97"/>
  <c r="C65" i="97"/>
  <c r="B65" i="97"/>
  <c r="I51" i="97"/>
  <c r="D5" i="97" s="1"/>
  <c r="D51" i="97"/>
  <c r="R44" i="97"/>
  <c r="V40" i="97"/>
  <c r="E38" i="97"/>
  <c r="F38" i="97" s="1"/>
  <c r="H38" i="97" s="1"/>
  <c r="E37" i="97"/>
  <c r="F37" i="97" s="1"/>
  <c r="H37" i="97" s="1"/>
  <c r="U30" i="97"/>
  <c r="AC28" i="97"/>
  <c r="AB28" i="97"/>
  <c r="AA28" i="97"/>
  <c r="U28" i="97"/>
  <c r="T29" i="97" s="1"/>
  <c r="U29" i="97" s="1"/>
  <c r="K1" i="97"/>
  <c r="C51" i="97" s="1"/>
  <c r="W44" i="56"/>
  <c r="V40" i="56"/>
  <c r="U28" i="56"/>
  <c r="U30" i="56"/>
  <c r="I39" i="23"/>
  <c r="E39" i="23"/>
  <c r="F39" i="23" s="1"/>
  <c r="H39" i="23" s="1"/>
  <c r="L21" i="2"/>
  <c r="O21" i="2" s="1"/>
  <c r="K21" i="2"/>
  <c r="N21" i="2" s="1"/>
  <c r="J8" i="80"/>
  <c r="L120" i="1"/>
  <c r="O120" i="1" s="1"/>
  <c r="K120" i="1"/>
  <c r="N120" i="1" s="1"/>
  <c r="J120" i="1"/>
  <c r="J9" i="96" s="1"/>
  <c r="I10" i="96"/>
  <c r="J10" i="96"/>
  <c r="I6" i="96"/>
  <c r="I7" i="96"/>
  <c r="I8" i="96"/>
  <c r="I9" i="96"/>
  <c r="I5" i="96"/>
  <c r="F70" i="96"/>
  <c r="D70" i="96"/>
  <c r="C70" i="96"/>
  <c r="B70" i="96"/>
  <c r="F69" i="96"/>
  <c r="D69" i="96"/>
  <c r="C69" i="96"/>
  <c r="B69" i="96"/>
  <c r="F68" i="96"/>
  <c r="D68" i="96"/>
  <c r="C68" i="96"/>
  <c r="B68" i="96"/>
  <c r="F67" i="96"/>
  <c r="D67" i="96"/>
  <c r="C67" i="96"/>
  <c r="B67" i="96"/>
  <c r="F66" i="96"/>
  <c r="D66" i="96"/>
  <c r="C66" i="96"/>
  <c r="B66" i="96"/>
  <c r="F65" i="96"/>
  <c r="C65" i="96"/>
  <c r="B65" i="96"/>
  <c r="C53" i="96"/>
  <c r="C52" i="96"/>
  <c r="D51" i="96"/>
  <c r="C51" i="96"/>
  <c r="V44" i="96"/>
  <c r="R44" i="96"/>
  <c r="U44" i="96" s="1"/>
  <c r="W44" i="96" s="1"/>
  <c r="J51" i="96" s="1"/>
  <c r="I51" i="96" s="1"/>
  <c r="V40" i="96"/>
  <c r="T35" i="96"/>
  <c r="T33" i="96"/>
  <c r="T34" i="96" s="1"/>
  <c r="T32" i="96"/>
  <c r="S30" i="96"/>
  <c r="U29" i="96"/>
  <c r="AB28" i="96"/>
  <c r="AE28" i="96" s="1"/>
  <c r="AE29" i="96" s="1"/>
  <c r="X28" i="96"/>
  <c r="S28" i="96"/>
  <c r="G9" i="96"/>
  <c r="H9" i="96" s="1"/>
  <c r="G7" i="96"/>
  <c r="H7" i="96" s="1"/>
  <c r="D65" i="96"/>
  <c r="AF1" i="96"/>
  <c r="D72" i="96" s="1"/>
  <c r="L149" i="1"/>
  <c r="O149" i="1" s="1"/>
  <c r="K149" i="1"/>
  <c r="N149" i="1" s="1"/>
  <c r="L154" i="1"/>
  <c r="O154" i="1" s="1"/>
  <c r="K154" i="1"/>
  <c r="N154" i="1" s="1"/>
  <c r="J154" i="1"/>
  <c r="J5" i="101" s="1"/>
  <c r="S30" i="49"/>
  <c r="S28" i="49"/>
  <c r="W44" i="59"/>
  <c r="V44" i="59"/>
  <c r="R44" i="59"/>
  <c r="G12" i="111" l="1"/>
  <c r="E12" i="111"/>
  <c r="E74" i="111"/>
  <c r="G74" i="111"/>
  <c r="J51" i="111"/>
  <c r="I51" i="111" s="1"/>
  <c r="H51" i="111" s="1"/>
  <c r="U44" i="101"/>
  <c r="W44" i="101" s="1"/>
  <c r="J51" i="101" s="1"/>
  <c r="I51" i="101" s="1"/>
  <c r="AB29" i="100"/>
  <c r="AB29" i="99"/>
  <c r="AB29" i="96"/>
  <c r="G72" i="110"/>
  <c r="E72" i="110"/>
  <c r="T32" i="107"/>
  <c r="D52" i="115"/>
  <c r="B76" i="115" s="1"/>
  <c r="E9" i="110"/>
  <c r="J53" i="110"/>
  <c r="G9" i="110"/>
  <c r="G1" i="114"/>
  <c r="I1" i="114" s="1"/>
  <c r="D52" i="114"/>
  <c r="B70" i="114" s="1"/>
  <c r="S32" i="106"/>
  <c r="AM1" i="106" s="1"/>
  <c r="T32" i="106"/>
  <c r="E1" i="106" s="1"/>
  <c r="AM1" i="107"/>
  <c r="AO1" i="107"/>
  <c r="J52" i="107"/>
  <c r="I52" i="107" s="1"/>
  <c r="I1" i="115"/>
  <c r="C52" i="115"/>
  <c r="D1" i="113"/>
  <c r="J52" i="113"/>
  <c r="J52" i="112"/>
  <c r="D1" i="112"/>
  <c r="D53" i="111"/>
  <c r="G71" i="111" s="1"/>
  <c r="E71" i="111"/>
  <c r="C71" i="111" s="1"/>
  <c r="U32" i="111"/>
  <c r="J52" i="111" s="1"/>
  <c r="J53" i="111" s="1"/>
  <c r="D5" i="109"/>
  <c r="H51" i="109"/>
  <c r="J53" i="109"/>
  <c r="I52" i="109"/>
  <c r="H52" i="109" s="1"/>
  <c r="AB29" i="109"/>
  <c r="AD29" i="109"/>
  <c r="U29" i="109"/>
  <c r="T32" i="109"/>
  <c r="D5" i="108"/>
  <c r="H51" i="108" s="1"/>
  <c r="AC29" i="108"/>
  <c r="AE29" i="108"/>
  <c r="T34" i="108"/>
  <c r="U29" i="108"/>
  <c r="T32" i="108"/>
  <c r="J52" i="108"/>
  <c r="AM1" i="108"/>
  <c r="AO1" i="108"/>
  <c r="D5" i="107"/>
  <c r="H51" i="107"/>
  <c r="AC29" i="107"/>
  <c r="AD29" i="107"/>
  <c r="AF29" i="107"/>
  <c r="D5" i="106"/>
  <c r="H51" i="106"/>
  <c r="AD29" i="106"/>
  <c r="AC29" i="106"/>
  <c r="AF29" i="106"/>
  <c r="AB29" i="112"/>
  <c r="AC29" i="112"/>
  <c r="C54" i="111"/>
  <c r="AE29" i="111"/>
  <c r="AB29" i="111"/>
  <c r="AE29" i="110"/>
  <c r="AB29" i="110"/>
  <c r="S30" i="97"/>
  <c r="T30" i="97"/>
  <c r="H51" i="96"/>
  <c r="K38" i="97"/>
  <c r="K37" i="97"/>
  <c r="S28" i="97"/>
  <c r="T28" i="97"/>
  <c r="H51" i="101"/>
  <c r="S29" i="103"/>
  <c r="E1" i="103" s="1"/>
  <c r="G1" i="103" s="1"/>
  <c r="S30" i="104"/>
  <c r="T30" i="104" s="1"/>
  <c r="K37" i="102"/>
  <c r="L37" i="102" s="1"/>
  <c r="W35" i="102" s="1"/>
  <c r="K7" i="101"/>
  <c r="Z32" i="105"/>
  <c r="Y32" i="105"/>
  <c r="S29" i="105"/>
  <c r="T29" i="105" s="1"/>
  <c r="E1" i="105" s="1"/>
  <c r="T27" i="105"/>
  <c r="L29" i="1"/>
  <c r="O29" i="1" s="1"/>
  <c r="K29" i="1"/>
  <c r="N29" i="1" s="1"/>
  <c r="J8" i="104"/>
  <c r="L27" i="1"/>
  <c r="O27" i="1" s="1"/>
  <c r="K27" i="1"/>
  <c r="N27" i="1" s="1"/>
  <c r="L18" i="2"/>
  <c r="O18" i="2" s="1"/>
  <c r="K18" i="2"/>
  <c r="N18" i="2" s="1"/>
  <c r="AR7" i="102"/>
  <c r="L17" i="2"/>
  <c r="O17" i="2" s="1"/>
  <c r="K17" i="2"/>
  <c r="N17" i="2" s="1"/>
  <c r="AR6" i="102"/>
  <c r="D65" i="103"/>
  <c r="U44" i="102"/>
  <c r="W44" i="102" s="1"/>
  <c r="V44" i="102"/>
  <c r="W28" i="102"/>
  <c r="W32" i="102" s="1"/>
  <c r="U28" i="102"/>
  <c r="S32" i="102"/>
  <c r="J52" i="102" s="1"/>
  <c r="B67" i="102" s="1"/>
  <c r="C54" i="101"/>
  <c r="D53" i="101"/>
  <c r="G69" i="101" s="1"/>
  <c r="E69" i="101"/>
  <c r="AE28" i="101"/>
  <c r="AE29" i="101" s="1"/>
  <c r="AB29" i="101"/>
  <c r="U28" i="101"/>
  <c r="S32" i="101"/>
  <c r="T30" i="56"/>
  <c r="S30" i="56"/>
  <c r="T28" i="56"/>
  <c r="S28" i="56"/>
  <c r="T30" i="49"/>
  <c r="U30" i="49"/>
  <c r="U28" i="49"/>
  <c r="T29" i="49"/>
  <c r="U29" i="49" s="1"/>
  <c r="K8" i="100"/>
  <c r="K9" i="100"/>
  <c r="K7" i="100"/>
  <c r="K9" i="99"/>
  <c r="K7" i="99"/>
  <c r="S32" i="99"/>
  <c r="U28" i="99"/>
  <c r="K9" i="98"/>
  <c r="K7" i="98"/>
  <c r="K8" i="98"/>
  <c r="E71" i="100"/>
  <c r="C54" i="100"/>
  <c r="D53" i="100"/>
  <c r="G71" i="100" s="1"/>
  <c r="V44" i="100"/>
  <c r="U44" i="100"/>
  <c r="W44" i="100" s="1"/>
  <c r="J51" i="100" s="1"/>
  <c r="I51" i="100" s="1"/>
  <c r="H51" i="100" s="1"/>
  <c r="S32" i="100"/>
  <c r="U28" i="100"/>
  <c r="D65" i="100"/>
  <c r="G72" i="99"/>
  <c r="E72" i="99"/>
  <c r="V44" i="99"/>
  <c r="U44" i="99"/>
  <c r="W44" i="99" s="1"/>
  <c r="J51" i="99" s="1"/>
  <c r="I51" i="99" s="1"/>
  <c r="H51" i="99" s="1"/>
  <c r="D65" i="99"/>
  <c r="U44" i="98"/>
  <c r="W44" i="98" s="1"/>
  <c r="J51" i="98" s="1"/>
  <c r="I51" i="98" s="1"/>
  <c r="H51" i="98" s="1"/>
  <c r="V44" i="98"/>
  <c r="AE28" i="98"/>
  <c r="U28" i="98"/>
  <c r="S32" i="98"/>
  <c r="D65" i="98"/>
  <c r="V44" i="97"/>
  <c r="U44" i="97"/>
  <c r="W44" i="97" s="1"/>
  <c r="V28" i="97"/>
  <c r="V32" i="97" s="1"/>
  <c r="AE28" i="97"/>
  <c r="AA29" i="97" s="1"/>
  <c r="D65" i="97"/>
  <c r="D81" i="97"/>
  <c r="H51" i="97"/>
  <c r="D96" i="97"/>
  <c r="K39" i="23"/>
  <c r="S32" i="49"/>
  <c r="K7" i="96"/>
  <c r="K9" i="96"/>
  <c r="L9" i="96" s="1"/>
  <c r="D53" i="96"/>
  <c r="G72" i="96" s="1"/>
  <c r="E72" i="96"/>
  <c r="C54" i="96"/>
  <c r="U28" i="96"/>
  <c r="S32" i="96"/>
  <c r="B68" i="94"/>
  <c r="C68" i="94"/>
  <c r="D68" i="94"/>
  <c r="F68" i="94"/>
  <c r="I37" i="95"/>
  <c r="L145" i="1"/>
  <c r="O145" i="1" s="1"/>
  <c r="K145" i="1"/>
  <c r="N145" i="1" s="1"/>
  <c r="J145" i="1"/>
  <c r="J8" i="111" s="1"/>
  <c r="L8" i="111" s="1"/>
  <c r="J97" i="80"/>
  <c r="AQ7" i="95"/>
  <c r="AQ8" i="95"/>
  <c r="AQ9" i="95"/>
  <c r="AQ10" i="95"/>
  <c r="AQ11" i="95"/>
  <c r="AQ12" i="95"/>
  <c r="AQ6" i="95"/>
  <c r="I5" i="95"/>
  <c r="I6" i="94"/>
  <c r="I7" i="94"/>
  <c r="I8" i="94"/>
  <c r="I5" i="94"/>
  <c r="F65" i="95"/>
  <c r="C65" i="95"/>
  <c r="B65" i="95"/>
  <c r="D51" i="95"/>
  <c r="R44" i="95" s="1"/>
  <c r="C51" i="95"/>
  <c r="V40" i="95"/>
  <c r="E37" i="95"/>
  <c r="F37" i="95" s="1"/>
  <c r="H37" i="95" s="1"/>
  <c r="U31" i="95"/>
  <c r="T30" i="95"/>
  <c r="U30" i="95" s="1"/>
  <c r="U29" i="95"/>
  <c r="AB28" i="95"/>
  <c r="S28" i="95"/>
  <c r="D5" i="95"/>
  <c r="F67" i="94"/>
  <c r="D67" i="94"/>
  <c r="C67" i="94"/>
  <c r="B67" i="94"/>
  <c r="F66" i="94"/>
  <c r="D66" i="94"/>
  <c r="C66" i="94"/>
  <c r="B66" i="94"/>
  <c r="F65" i="94"/>
  <c r="C65" i="94"/>
  <c r="B65" i="94"/>
  <c r="C52" i="94"/>
  <c r="D51" i="94"/>
  <c r="C51" i="94"/>
  <c r="R44" i="94"/>
  <c r="V40" i="94"/>
  <c r="T35" i="94"/>
  <c r="T33" i="94"/>
  <c r="T34" i="94" s="1"/>
  <c r="T32" i="94"/>
  <c r="S30" i="94"/>
  <c r="U29" i="94"/>
  <c r="AB28" i="94"/>
  <c r="S28" i="94"/>
  <c r="G8" i="94"/>
  <c r="H8" i="94" s="1"/>
  <c r="G7" i="94"/>
  <c r="H7" i="94" s="1"/>
  <c r="AF1" i="94"/>
  <c r="D70" i="94" s="1"/>
  <c r="O117" i="80"/>
  <c r="J128" i="80"/>
  <c r="O116" i="80" s="1"/>
  <c r="T28" i="42"/>
  <c r="S30" i="42"/>
  <c r="R44" i="19"/>
  <c r="V40" i="19"/>
  <c r="V40" i="59"/>
  <c r="R44" i="49"/>
  <c r="V40" i="49"/>
  <c r="L139" i="1"/>
  <c r="L62" i="2"/>
  <c r="B137" i="70"/>
  <c r="C137" i="70"/>
  <c r="D137" i="70"/>
  <c r="F137" i="70"/>
  <c r="B110" i="70"/>
  <c r="C110" i="70"/>
  <c r="D110" i="70"/>
  <c r="F110" i="70"/>
  <c r="B84" i="70"/>
  <c r="C84" i="70"/>
  <c r="D84" i="70"/>
  <c r="F84" i="70"/>
  <c r="S30" i="19"/>
  <c r="S28" i="19"/>
  <c r="T33" i="19"/>
  <c r="S30" i="59"/>
  <c r="S28" i="59"/>
  <c r="T29" i="59" s="1"/>
  <c r="U29" i="59" s="1"/>
  <c r="B103" i="42"/>
  <c r="H103" i="42" s="1"/>
  <c r="B88" i="42"/>
  <c r="H88" i="42" s="1"/>
  <c r="B74" i="42"/>
  <c r="H74" i="42" s="1"/>
  <c r="F148" i="57"/>
  <c r="F149" i="57"/>
  <c r="F150" i="57"/>
  <c r="F151" i="57"/>
  <c r="F152" i="57"/>
  <c r="F153" i="57"/>
  <c r="F154" i="57"/>
  <c r="F155" i="57"/>
  <c r="F156" i="57"/>
  <c r="F157" i="57"/>
  <c r="F158" i="57"/>
  <c r="F159" i="57"/>
  <c r="F160" i="57"/>
  <c r="F161" i="57"/>
  <c r="F162" i="57"/>
  <c r="F163" i="57"/>
  <c r="F164" i="57"/>
  <c r="F165" i="57"/>
  <c r="F166" i="57"/>
  <c r="F167" i="57"/>
  <c r="F147" i="57"/>
  <c r="B148" i="57"/>
  <c r="C148" i="57"/>
  <c r="D148" i="57"/>
  <c r="B149" i="57"/>
  <c r="C149" i="57"/>
  <c r="D149" i="57"/>
  <c r="B150" i="57"/>
  <c r="C150" i="57"/>
  <c r="D150" i="57"/>
  <c r="B151" i="57"/>
  <c r="C151" i="57"/>
  <c r="D151" i="57"/>
  <c r="B152" i="57"/>
  <c r="C152" i="57"/>
  <c r="D152" i="57"/>
  <c r="B153" i="57"/>
  <c r="C153" i="57"/>
  <c r="D153" i="57"/>
  <c r="B154" i="57"/>
  <c r="C154" i="57"/>
  <c r="D154" i="57"/>
  <c r="B155" i="57"/>
  <c r="C155" i="57"/>
  <c r="D155" i="57"/>
  <c r="B156" i="57"/>
  <c r="C156" i="57"/>
  <c r="D156" i="57"/>
  <c r="B157" i="57"/>
  <c r="C157" i="57"/>
  <c r="D157" i="57"/>
  <c r="B158" i="57"/>
  <c r="C158" i="57"/>
  <c r="D158" i="57"/>
  <c r="B159" i="57"/>
  <c r="C159" i="57"/>
  <c r="D159" i="57"/>
  <c r="B160" i="57"/>
  <c r="C160" i="57"/>
  <c r="D160" i="57"/>
  <c r="B161" i="57"/>
  <c r="C161" i="57"/>
  <c r="D161" i="57"/>
  <c r="B162" i="57"/>
  <c r="C162" i="57"/>
  <c r="D162" i="57"/>
  <c r="B163" i="57"/>
  <c r="C163" i="57"/>
  <c r="D163" i="57"/>
  <c r="B164" i="57"/>
  <c r="C164" i="57"/>
  <c r="D164" i="57"/>
  <c r="B165" i="57"/>
  <c r="C165" i="57"/>
  <c r="D165" i="57"/>
  <c r="B166" i="57"/>
  <c r="C166" i="57"/>
  <c r="D166" i="57"/>
  <c r="B167" i="57"/>
  <c r="C167" i="57"/>
  <c r="D167" i="57"/>
  <c r="C147" i="57"/>
  <c r="D147" i="57"/>
  <c r="B147" i="57"/>
  <c r="E77" i="111" l="1"/>
  <c r="G77" i="111" s="1"/>
  <c r="H77" i="111" s="1"/>
  <c r="E76" i="111"/>
  <c r="G76" i="111" s="1"/>
  <c r="H76" i="111" s="1"/>
  <c r="E83" i="111"/>
  <c r="G83" i="111" s="1"/>
  <c r="H83" i="111" s="1"/>
  <c r="E78" i="111"/>
  <c r="G78" i="111" s="1"/>
  <c r="H78" i="111" s="1"/>
  <c r="E81" i="111"/>
  <c r="G81" i="111" s="1"/>
  <c r="H81" i="111" s="1"/>
  <c r="E84" i="111"/>
  <c r="G84" i="111" s="1"/>
  <c r="H84" i="111" s="1"/>
  <c r="E79" i="111"/>
  <c r="G79" i="111" s="1"/>
  <c r="H79" i="111" s="1"/>
  <c r="E82" i="111"/>
  <c r="G82" i="111" s="1"/>
  <c r="H82" i="111" s="1"/>
  <c r="E80" i="111"/>
  <c r="G80" i="111" s="1"/>
  <c r="H80" i="111" s="1"/>
  <c r="E15" i="111"/>
  <c r="G15" i="111" s="1"/>
  <c r="H15" i="111" s="1"/>
  <c r="K15" i="111" s="1"/>
  <c r="L15" i="111" s="1"/>
  <c r="E16" i="111"/>
  <c r="G16" i="111" s="1"/>
  <c r="H16" i="111" s="1"/>
  <c r="K16" i="111" s="1"/>
  <c r="L16" i="111" s="1"/>
  <c r="E17" i="111"/>
  <c r="G17" i="111" s="1"/>
  <c r="H17" i="111" s="1"/>
  <c r="K17" i="111" s="1"/>
  <c r="L17" i="111" s="1"/>
  <c r="E18" i="111"/>
  <c r="G18" i="111" s="1"/>
  <c r="H18" i="111" s="1"/>
  <c r="K18" i="111" s="1"/>
  <c r="L18" i="111" s="1"/>
  <c r="E19" i="111"/>
  <c r="G19" i="111" s="1"/>
  <c r="H19" i="111" s="1"/>
  <c r="K19" i="111" s="1"/>
  <c r="L19" i="111" s="1"/>
  <c r="E20" i="111"/>
  <c r="G20" i="111" s="1"/>
  <c r="H20" i="111" s="1"/>
  <c r="K20" i="111" s="1"/>
  <c r="L20" i="111" s="1"/>
  <c r="E21" i="111"/>
  <c r="G21" i="111" s="1"/>
  <c r="H21" i="111" s="1"/>
  <c r="K21" i="111" s="1"/>
  <c r="L21" i="111" s="1"/>
  <c r="E22" i="111"/>
  <c r="G22" i="111" s="1"/>
  <c r="H22" i="111" s="1"/>
  <c r="K22" i="111" s="1"/>
  <c r="L22" i="111" s="1"/>
  <c r="E14" i="111"/>
  <c r="G14" i="111" s="1"/>
  <c r="H14" i="111" s="1"/>
  <c r="C53" i="94"/>
  <c r="E11" i="101"/>
  <c r="G11" i="101"/>
  <c r="E72" i="101"/>
  <c r="G72" i="101"/>
  <c r="C69" i="101"/>
  <c r="G14" i="99"/>
  <c r="E75" i="99"/>
  <c r="G75" i="99"/>
  <c r="G74" i="100"/>
  <c r="G12" i="100"/>
  <c r="E74" i="100"/>
  <c r="E12" i="100"/>
  <c r="C71" i="100"/>
  <c r="G12" i="98"/>
  <c r="G74" i="98"/>
  <c r="E12" i="98"/>
  <c r="E74" i="98"/>
  <c r="E14" i="99"/>
  <c r="G13" i="96"/>
  <c r="G76" i="96"/>
  <c r="E76" i="96"/>
  <c r="E13" i="96"/>
  <c r="B71" i="111"/>
  <c r="I53" i="111"/>
  <c r="E17" i="110"/>
  <c r="G17" i="110" s="1"/>
  <c r="H17" i="110" s="1"/>
  <c r="K17" i="110" s="1"/>
  <c r="E78" i="110"/>
  <c r="G78" i="110" s="1"/>
  <c r="H78" i="110" s="1"/>
  <c r="E77" i="110"/>
  <c r="G77" i="110" s="1"/>
  <c r="H77" i="110" s="1"/>
  <c r="E76" i="110"/>
  <c r="G76" i="110" s="1"/>
  <c r="H76" i="110" s="1"/>
  <c r="E75" i="110"/>
  <c r="G75" i="110" s="1"/>
  <c r="H75" i="110" s="1"/>
  <c r="E82" i="110"/>
  <c r="G82" i="110" s="1"/>
  <c r="H82" i="110" s="1"/>
  <c r="E74" i="110"/>
  <c r="G74" i="110" s="1"/>
  <c r="H74" i="110" s="1"/>
  <c r="E80" i="110"/>
  <c r="G80" i="110" s="1"/>
  <c r="H80" i="110" s="1"/>
  <c r="E13" i="110"/>
  <c r="G13" i="110" s="1"/>
  <c r="H13" i="110" s="1"/>
  <c r="K13" i="110" s="1"/>
  <c r="E85" i="110"/>
  <c r="G85" i="110" s="1"/>
  <c r="H85" i="110" s="1"/>
  <c r="E84" i="110"/>
  <c r="G84" i="110" s="1"/>
  <c r="H84" i="110" s="1"/>
  <c r="E81" i="110"/>
  <c r="G81" i="110" s="1"/>
  <c r="H81" i="110" s="1"/>
  <c r="E79" i="110"/>
  <c r="G79" i="110" s="1"/>
  <c r="H79" i="110" s="1"/>
  <c r="E83" i="110"/>
  <c r="G83" i="110" s="1"/>
  <c r="H83" i="110" s="1"/>
  <c r="I53" i="110"/>
  <c r="H53" i="110" s="1"/>
  <c r="B26" i="110"/>
  <c r="B69" i="110"/>
  <c r="E1" i="107"/>
  <c r="U32" i="107"/>
  <c r="I52" i="102"/>
  <c r="H52" i="102" s="1"/>
  <c r="J53" i="102"/>
  <c r="AM8" i="107"/>
  <c r="AO8" i="107" s="1"/>
  <c r="AP8" i="107" s="1"/>
  <c r="AS8" i="107" s="1"/>
  <c r="AM12" i="107"/>
  <c r="AO12" i="107" s="1"/>
  <c r="AP12" i="107" s="1"/>
  <c r="AS12" i="107" s="1"/>
  <c r="C52" i="114"/>
  <c r="E65" i="114" s="1"/>
  <c r="G65" i="114" s="1"/>
  <c r="H65" i="114" s="1"/>
  <c r="J53" i="107"/>
  <c r="J54" i="107" s="1"/>
  <c r="AM14" i="107"/>
  <c r="AO14" i="107" s="1"/>
  <c r="AP14" i="107" s="1"/>
  <c r="AS14" i="107" s="1"/>
  <c r="AM13" i="107"/>
  <c r="AO13" i="107" s="1"/>
  <c r="AP13" i="107" s="1"/>
  <c r="AS13" i="107" s="1"/>
  <c r="E23" i="110"/>
  <c r="G23" i="110" s="1"/>
  <c r="H23" i="110" s="1"/>
  <c r="K23" i="110" s="1"/>
  <c r="E24" i="110"/>
  <c r="G24" i="110" s="1"/>
  <c r="H24" i="110" s="1"/>
  <c r="K24" i="110" s="1"/>
  <c r="E22" i="110"/>
  <c r="G22" i="110" s="1"/>
  <c r="H22" i="110" s="1"/>
  <c r="K22" i="110" s="1"/>
  <c r="E21" i="110"/>
  <c r="G21" i="110" s="1"/>
  <c r="H21" i="110" s="1"/>
  <c r="K21" i="110" s="1"/>
  <c r="E20" i="110"/>
  <c r="G20" i="110" s="1"/>
  <c r="H20" i="110" s="1"/>
  <c r="K20" i="110" s="1"/>
  <c r="E19" i="110"/>
  <c r="G19" i="110" s="1"/>
  <c r="H19" i="110" s="1"/>
  <c r="K19" i="110" s="1"/>
  <c r="E16" i="110"/>
  <c r="G16" i="110" s="1"/>
  <c r="H16" i="110" s="1"/>
  <c r="K16" i="110" s="1"/>
  <c r="E15" i="110"/>
  <c r="G15" i="110" s="1"/>
  <c r="H15" i="110" s="1"/>
  <c r="K15" i="110" s="1"/>
  <c r="AM10" i="107"/>
  <c r="AO10" i="107" s="1"/>
  <c r="AP10" i="107" s="1"/>
  <c r="AS10" i="107" s="1"/>
  <c r="AM19" i="107"/>
  <c r="AO19" i="107" s="1"/>
  <c r="AP19" i="107" s="1"/>
  <c r="AS19" i="107" s="1"/>
  <c r="J54" i="110"/>
  <c r="I54" i="110" s="1"/>
  <c r="E14" i="110"/>
  <c r="G14" i="110" s="1"/>
  <c r="H14" i="110" s="1"/>
  <c r="K14" i="110" s="1"/>
  <c r="AO1" i="106"/>
  <c r="AM8" i="106" s="1"/>
  <c r="AO8" i="106" s="1"/>
  <c r="AP8" i="106" s="1"/>
  <c r="AS8" i="106" s="1"/>
  <c r="J52" i="106"/>
  <c r="I52" i="106" s="1"/>
  <c r="H52" i="106" s="1"/>
  <c r="H53" i="106" s="1"/>
  <c r="E18" i="110"/>
  <c r="G18" i="110" s="1"/>
  <c r="H18" i="110" s="1"/>
  <c r="K18" i="110" s="1"/>
  <c r="U32" i="106"/>
  <c r="AM11" i="107"/>
  <c r="AO11" i="107" s="1"/>
  <c r="AP11" i="107" s="1"/>
  <c r="AS11" i="107" s="1"/>
  <c r="AM15" i="107"/>
  <c r="AO15" i="107" s="1"/>
  <c r="AP15" i="107" s="1"/>
  <c r="AS15" i="107" s="1"/>
  <c r="AM9" i="107"/>
  <c r="AO9" i="107" s="1"/>
  <c r="AP9" i="107" s="1"/>
  <c r="AS9" i="107" s="1"/>
  <c r="AM7" i="107"/>
  <c r="AO7" i="107" s="1"/>
  <c r="AP7" i="107" s="1"/>
  <c r="AS7" i="107" s="1"/>
  <c r="AM17" i="107"/>
  <c r="AO17" i="107" s="1"/>
  <c r="AP17" i="107" s="1"/>
  <c r="AS17" i="107" s="1"/>
  <c r="AM16" i="107"/>
  <c r="AO16" i="107" s="1"/>
  <c r="AP16" i="107" s="1"/>
  <c r="AS16" i="107" s="1"/>
  <c r="AM18" i="107"/>
  <c r="AO18" i="107" s="1"/>
  <c r="AP18" i="107" s="1"/>
  <c r="AS18" i="107" s="1"/>
  <c r="AM6" i="107"/>
  <c r="AO6" i="107" s="1"/>
  <c r="AP6" i="107" s="1"/>
  <c r="AS6" i="107" s="1"/>
  <c r="AM5" i="107"/>
  <c r="AO5" i="107" s="1"/>
  <c r="AP5" i="107" s="1"/>
  <c r="D52" i="106"/>
  <c r="G1" i="106"/>
  <c r="I1" i="106" s="1"/>
  <c r="E6" i="115"/>
  <c r="G6" i="115" s="1"/>
  <c r="H6" i="115" s="1"/>
  <c r="K6" i="115" s="1"/>
  <c r="E7" i="115"/>
  <c r="G7" i="115" s="1"/>
  <c r="H7" i="115" s="1"/>
  <c r="K7" i="115" s="1"/>
  <c r="E9" i="115"/>
  <c r="G9" i="115" s="1"/>
  <c r="H9" i="115" s="1"/>
  <c r="K9" i="115" s="1"/>
  <c r="E10" i="115"/>
  <c r="G10" i="115" s="1"/>
  <c r="H10" i="115" s="1"/>
  <c r="K10" i="115" s="1"/>
  <c r="E11" i="115"/>
  <c r="G11" i="115" s="1"/>
  <c r="H11" i="115" s="1"/>
  <c r="K11" i="115" s="1"/>
  <c r="E12" i="115"/>
  <c r="G12" i="115" s="1"/>
  <c r="H12" i="115" s="1"/>
  <c r="K12" i="115" s="1"/>
  <c r="E13" i="115"/>
  <c r="G13" i="115" s="1"/>
  <c r="H13" i="115" s="1"/>
  <c r="K13" i="115" s="1"/>
  <c r="E14" i="115"/>
  <c r="G14" i="115" s="1"/>
  <c r="H14" i="115" s="1"/>
  <c r="K14" i="115" s="1"/>
  <c r="E8" i="115"/>
  <c r="G8" i="115" s="1"/>
  <c r="H8" i="115" s="1"/>
  <c r="K8" i="115" s="1"/>
  <c r="E66" i="115"/>
  <c r="G66" i="115" s="1"/>
  <c r="H66" i="115" s="1"/>
  <c r="C53" i="115"/>
  <c r="E67" i="115"/>
  <c r="G67" i="115" s="1"/>
  <c r="H67" i="115" s="1"/>
  <c r="E68" i="115"/>
  <c r="G68" i="115" s="1"/>
  <c r="H68" i="115" s="1"/>
  <c r="E69" i="115"/>
  <c r="G69" i="115" s="1"/>
  <c r="H69" i="115" s="1"/>
  <c r="E70" i="115"/>
  <c r="G70" i="115" s="1"/>
  <c r="H70" i="115" s="1"/>
  <c r="E71" i="115"/>
  <c r="G71" i="115" s="1"/>
  <c r="H71" i="115" s="1"/>
  <c r="E72" i="115"/>
  <c r="G72" i="115" s="1"/>
  <c r="H72" i="115" s="1"/>
  <c r="E73" i="115"/>
  <c r="G73" i="115" s="1"/>
  <c r="H73" i="115" s="1"/>
  <c r="E74" i="115"/>
  <c r="G74" i="115" s="1"/>
  <c r="H74" i="115" s="1"/>
  <c r="E6" i="114"/>
  <c r="G6" i="114" s="1"/>
  <c r="H6" i="114" s="1"/>
  <c r="K6" i="114" s="1"/>
  <c r="E9" i="114"/>
  <c r="G9" i="114" s="1"/>
  <c r="H9" i="114" s="1"/>
  <c r="K9" i="114" s="1"/>
  <c r="E7" i="114"/>
  <c r="G7" i="114" s="1"/>
  <c r="H7" i="114" s="1"/>
  <c r="K7" i="114" s="1"/>
  <c r="E8" i="114"/>
  <c r="G8" i="114" s="1"/>
  <c r="H8" i="114" s="1"/>
  <c r="K8" i="114" s="1"/>
  <c r="G5" i="113"/>
  <c r="H5" i="113"/>
  <c r="K5" i="113" s="1"/>
  <c r="J53" i="113"/>
  <c r="I52" i="113"/>
  <c r="E5" i="113" s="1"/>
  <c r="H52" i="113" s="1"/>
  <c r="J53" i="112"/>
  <c r="J54" i="112" s="1"/>
  <c r="J55" i="112" s="1"/>
  <c r="I52" i="112"/>
  <c r="E5" i="112" s="1"/>
  <c r="H52" i="112" s="1"/>
  <c r="G5" i="112"/>
  <c r="H5" i="112"/>
  <c r="K5" i="112" s="1"/>
  <c r="E1" i="111"/>
  <c r="D65" i="109"/>
  <c r="D88" i="109"/>
  <c r="D113" i="109"/>
  <c r="B83" i="109"/>
  <c r="I53" i="109"/>
  <c r="H53" i="109"/>
  <c r="E5" i="109"/>
  <c r="G5" i="109" s="1"/>
  <c r="H5" i="109" s="1"/>
  <c r="K5" i="109" s="1"/>
  <c r="U32" i="109"/>
  <c r="AC30" i="109" s="1"/>
  <c r="E1" i="109"/>
  <c r="D65" i="108"/>
  <c r="J53" i="108"/>
  <c r="J54" i="108" s="1"/>
  <c r="I52" i="108"/>
  <c r="H52" i="108" s="1"/>
  <c r="AM8" i="108"/>
  <c r="AO8" i="108" s="1"/>
  <c r="AP8" i="108" s="1"/>
  <c r="AS8" i="108" s="1"/>
  <c r="AM6" i="108"/>
  <c r="AO6" i="108" s="1"/>
  <c r="AP6" i="108" s="1"/>
  <c r="AS6" i="108" s="1"/>
  <c r="AM7" i="108"/>
  <c r="AO7" i="108" s="1"/>
  <c r="AP7" i="108" s="1"/>
  <c r="AS7" i="108" s="1"/>
  <c r="AM5" i="108"/>
  <c r="AO5" i="108" s="1"/>
  <c r="AP5" i="108" s="1"/>
  <c r="AM9" i="108"/>
  <c r="AO9" i="108" s="1"/>
  <c r="AP9" i="108" s="1"/>
  <c r="AS9" i="108" s="1"/>
  <c r="AM10" i="108"/>
  <c r="AO10" i="108" s="1"/>
  <c r="AP10" i="108" s="1"/>
  <c r="AS10" i="108" s="1"/>
  <c r="AM11" i="108"/>
  <c r="AO11" i="108" s="1"/>
  <c r="AP11" i="108" s="1"/>
  <c r="AS11" i="108" s="1"/>
  <c r="AM12" i="108"/>
  <c r="AO12" i="108" s="1"/>
  <c r="AP12" i="108" s="1"/>
  <c r="AS12" i="108" s="1"/>
  <c r="AM13" i="108"/>
  <c r="AO13" i="108" s="1"/>
  <c r="AP13" i="108" s="1"/>
  <c r="AS13" i="108" s="1"/>
  <c r="D65" i="107"/>
  <c r="D94" i="107"/>
  <c r="D65" i="106"/>
  <c r="D82" i="106"/>
  <c r="D100" i="106"/>
  <c r="H52" i="107"/>
  <c r="J54" i="109"/>
  <c r="J55" i="109" s="1"/>
  <c r="E1" i="108"/>
  <c r="U32" i="108"/>
  <c r="AD30" i="108" s="1"/>
  <c r="D54" i="111"/>
  <c r="C55" i="111"/>
  <c r="D55" i="111" s="1"/>
  <c r="U32" i="97"/>
  <c r="T32" i="97"/>
  <c r="E1" i="97" s="1"/>
  <c r="S32" i="97"/>
  <c r="J52" i="97" s="1"/>
  <c r="E1" i="104"/>
  <c r="G1" i="104" s="1"/>
  <c r="D52" i="103"/>
  <c r="B68" i="103" s="1"/>
  <c r="T32" i="49"/>
  <c r="U32" i="49" s="1"/>
  <c r="S32" i="56"/>
  <c r="G1" i="105"/>
  <c r="D52" i="105"/>
  <c r="B82" i="105" s="1"/>
  <c r="I1" i="103"/>
  <c r="C52" i="103"/>
  <c r="U32" i="102"/>
  <c r="AM1" i="102"/>
  <c r="AO1" i="102"/>
  <c r="U32" i="101"/>
  <c r="J52" i="101" s="1"/>
  <c r="D54" i="101"/>
  <c r="C55" i="101"/>
  <c r="D55" i="101" s="1"/>
  <c r="U32" i="99"/>
  <c r="U30" i="19"/>
  <c r="T30" i="19"/>
  <c r="U28" i="19"/>
  <c r="T29" i="19"/>
  <c r="J8" i="98"/>
  <c r="L8" i="98" s="1"/>
  <c r="J8" i="100"/>
  <c r="L8" i="100" s="1"/>
  <c r="U32" i="100"/>
  <c r="J52" i="100" s="1"/>
  <c r="D54" i="100"/>
  <c r="C55" i="100"/>
  <c r="D55" i="100" s="1"/>
  <c r="G71" i="98"/>
  <c r="E71" i="98"/>
  <c r="C71" i="98" s="1"/>
  <c r="U32" i="98"/>
  <c r="AB29" i="97"/>
  <c r="AC29" i="97"/>
  <c r="AE29" i="97"/>
  <c r="AE29" i="98"/>
  <c r="AB29" i="98"/>
  <c r="T30" i="59"/>
  <c r="U30" i="59" s="1"/>
  <c r="U32" i="96"/>
  <c r="J52" i="96" s="1"/>
  <c r="D54" i="96"/>
  <c r="C55" i="96"/>
  <c r="D55" i="96" s="1"/>
  <c r="S32" i="59"/>
  <c r="U28" i="59"/>
  <c r="K37" i="95"/>
  <c r="L16" i="2"/>
  <c r="O16" i="2" s="1"/>
  <c r="K16" i="2"/>
  <c r="N16" i="2" s="1"/>
  <c r="AR6" i="95"/>
  <c r="K7" i="94"/>
  <c r="K8" i="94"/>
  <c r="U44" i="95"/>
  <c r="W44" i="95" s="1"/>
  <c r="J51" i="95" s="1"/>
  <c r="I51" i="95" s="1"/>
  <c r="V44" i="95"/>
  <c r="W28" i="95"/>
  <c r="W32" i="95" s="1"/>
  <c r="AF28" i="95"/>
  <c r="S32" i="95"/>
  <c r="U28" i="95"/>
  <c r="D65" i="95"/>
  <c r="E70" i="94"/>
  <c r="D53" i="94"/>
  <c r="G70" i="94" s="1"/>
  <c r="C54" i="94"/>
  <c r="U44" i="94"/>
  <c r="W44" i="94" s="1"/>
  <c r="J51" i="94" s="1"/>
  <c r="I51" i="94" s="1"/>
  <c r="H51" i="94" s="1"/>
  <c r="V44" i="94"/>
  <c r="AE28" i="94"/>
  <c r="S32" i="94"/>
  <c r="U28" i="94"/>
  <c r="D65" i="94"/>
  <c r="V44" i="19"/>
  <c r="U44" i="19"/>
  <c r="W44" i="19" s="1"/>
  <c r="U44" i="59"/>
  <c r="U44" i="49"/>
  <c r="W44" i="49" s="1"/>
  <c r="V44" i="49"/>
  <c r="S32" i="19"/>
  <c r="L157" i="1"/>
  <c r="AQ13" i="59"/>
  <c r="AQ12" i="59"/>
  <c r="AQ11" i="59"/>
  <c r="AQ10" i="59"/>
  <c r="AQ9" i="59"/>
  <c r="AQ8" i="59"/>
  <c r="AQ7" i="59"/>
  <c r="AQ6" i="59"/>
  <c r="AQ13" i="49"/>
  <c r="AQ12" i="49"/>
  <c r="AQ11" i="49"/>
  <c r="AQ10" i="49"/>
  <c r="AQ9" i="49"/>
  <c r="AQ8" i="49"/>
  <c r="AQ7" i="49"/>
  <c r="AQ6" i="49"/>
  <c r="AQ13" i="30"/>
  <c r="AQ12" i="30"/>
  <c r="AQ11" i="30"/>
  <c r="AQ10" i="30"/>
  <c r="AQ9" i="30"/>
  <c r="AQ8" i="30"/>
  <c r="AQ7" i="30"/>
  <c r="AQ6" i="30"/>
  <c r="AQ13" i="19"/>
  <c r="AQ12" i="19"/>
  <c r="AQ11" i="19"/>
  <c r="AQ10" i="19"/>
  <c r="AQ9" i="19"/>
  <c r="AQ8" i="19"/>
  <c r="AQ7" i="19"/>
  <c r="AQ6" i="19"/>
  <c r="V28" i="111" l="1"/>
  <c r="K14" i="111"/>
  <c r="L14" i="111" s="1"/>
  <c r="V35" i="111" s="1"/>
  <c r="C70" i="94"/>
  <c r="E73" i="94"/>
  <c r="E11" i="94"/>
  <c r="G11" i="94"/>
  <c r="G73" i="94"/>
  <c r="E74" i="101"/>
  <c r="G74" i="101" s="1"/>
  <c r="H74" i="101" s="1"/>
  <c r="E79" i="101"/>
  <c r="G79" i="101" s="1"/>
  <c r="H79" i="101" s="1"/>
  <c r="E80" i="101"/>
  <c r="G80" i="101" s="1"/>
  <c r="H80" i="101" s="1"/>
  <c r="E75" i="101"/>
  <c r="G75" i="101" s="1"/>
  <c r="H75" i="101" s="1"/>
  <c r="E76" i="101"/>
  <c r="G76" i="101" s="1"/>
  <c r="H76" i="101" s="1"/>
  <c r="E77" i="101"/>
  <c r="G77" i="101" s="1"/>
  <c r="H77" i="101" s="1"/>
  <c r="E78" i="101"/>
  <c r="G78" i="101" s="1"/>
  <c r="H78" i="101" s="1"/>
  <c r="E81" i="101"/>
  <c r="G81" i="101" s="1"/>
  <c r="H81" i="101" s="1"/>
  <c r="E82" i="101"/>
  <c r="G82" i="101" s="1"/>
  <c r="H82" i="101" s="1"/>
  <c r="E83" i="101"/>
  <c r="G83" i="101" s="1"/>
  <c r="H83" i="101" s="1"/>
  <c r="E20" i="101"/>
  <c r="G20" i="101" s="1"/>
  <c r="H20" i="101" s="1"/>
  <c r="K20" i="101" s="1"/>
  <c r="L20" i="101" s="1"/>
  <c r="E21" i="101"/>
  <c r="G21" i="101" s="1"/>
  <c r="H21" i="101" s="1"/>
  <c r="K21" i="101" s="1"/>
  <c r="L21" i="101" s="1"/>
  <c r="E14" i="101"/>
  <c r="G14" i="101" s="1"/>
  <c r="H14" i="101" s="1"/>
  <c r="K14" i="101" s="1"/>
  <c r="L14" i="101" s="1"/>
  <c r="E15" i="101"/>
  <c r="G15" i="101" s="1"/>
  <c r="H15" i="101" s="1"/>
  <c r="K15" i="101" s="1"/>
  <c r="L15" i="101" s="1"/>
  <c r="E16" i="101"/>
  <c r="G16" i="101" s="1"/>
  <c r="H16" i="101" s="1"/>
  <c r="K16" i="101" s="1"/>
  <c r="L16" i="101" s="1"/>
  <c r="E17" i="101"/>
  <c r="G17" i="101" s="1"/>
  <c r="H17" i="101" s="1"/>
  <c r="K17" i="101" s="1"/>
  <c r="L17" i="101" s="1"/>
  <c r="E18" i="101"/>
  <c r="G18" i="101" s="1"/>
  <c r="H18" i="101" s="1"/>
  <c r="K18" i="101" s="1"/>
  <c r="L18" i="101" s="1"/>
  <c r="E13" i="101"/>
  <c r="G13" i="101" s="1"/>
  <c r="H13" i="101" s="1"/>
  <c r="E19" i="101"/>
  <c r="G19" i="101" s="1"/>
  <c r="H19" i="101" s="1"/>
  <c r="K19" i="101" s="1"/>
  <c r="L19" i="101" s="1"/>
  <c r="E22" i="101"/>
  <c r="G22" i="101" s="1"/>
  <c r="H22" i="101" s="1"/>
  <c r="K22" i="101" s="1"/>
  <c r="L22" i="101" s="1"/>
  <c r="E15" i="100"/>
  <c r="G15" i="100" s="1"/>
  <c r="H15" i="100" s="1"/>
  <c r="K15" i="100" s="1"/>
  <c r="L15" i="100" s="1"/>
  <c r="E16" i="100"/>
  <c r="G16" i="100" s="1"/>
  <c r="H16" i="100" s="1"/>
  <c r="K16" i="100" s="1"/>
  <c r="L16" i="100" s="1"/>
  <c r="E17" i="100"/>
  <c r="G17" i="100" s="1"/>
  <c r="H17" i="100" s="1"/>
  <c r="K17" i="100" s="1"/>
  <c r="L17" i="100" s="1"/>
  <c r="E18" i="100"/>
  <c r="G18" i="100" s="1"/>
  <c r="H18" i="100" s="1"/>
  <c r="K18" i="100" s="1"/>
  <c r="L18" i="100" s="1"/>
  <c r="E19" i="100"/>
  <c r="G19" i="100" s="1"/>
  <c r="H19" i="100" s="1"/>
  <c r="K19" i="100" s="1"/>
  <c r="L19" i="100" s="1"/>
  <c r="E20" i="100"/>
  <c r="G20" i="100" s="1"/>
  <c r="H20" i="100" s="1"/>
  <c r="K20" i="100" s="1"/>
  <c r="L20" i="100" s="1"/>
  <c r="E21" i="100"/>
  <c r="G21" i="100" s="1"/>
  <c r="H21" i="100" s="1"/>
  <c r="K21" i="100" s="1"/>
  <c r="L21" i="100" s="1"/>
  <c r="E22" i="100"/>
  <c r="G22" i="100" s="1"/>
  <c r="H22" i="100" s="1"/>
  <c r="K22" i="100" s="1"/>
  <c r="L22" i="100" s="1"/>
  <c r="E14" i="100"/>
  <c r="G14" i="100" s="1"/>
  <c r="H14" i="100" s="1"/>
  <c r="E77" i="100"/>
  <c r="G77" i="100" s="1"/>
  <c r="H77" i="100" s="1"/>
  <c r="E78" i="100"/>
  <c r="G78" i="100" s="1"/>
  <c r="H78" i="100" s="1"/>
  <c r="E79" i="100"/>
  <c r="G79" i="100" s="1"/>
  <c r="H79" i="100" s="1"/>
  <c r="E83" i="100"/>
  <c r="G83" i="100" s="1"/>
  <c r="H83" i="100" s="1"/>
  <c r="E80" i="100"/>
  <c r="G80" i="100" s="1"/>
  <c r="H80" i="100" s="1"/>
  <c r="E81" i="100"/>
  <c r="G81" i="100" s="1"/>
  <c r="H81" i="100" s="1"/>
  <c r="E82" i="100"/>
  <c r="G82" i="100" s="1"/>
  <c r="H82" i="100" s="1"/>
  <c r="E84" i="100"/>
  <c r="G84" i="100" s="1"/>
  <c r="H84" i="100" s="1"/>
  <c r="E76" i="100"/>
  <c r="G76" i="100" s="1"/>
  <c r="H76" i="100" s="1"/>
  <c r="E76" i="98"/>
  <c r="G76" i="98" s="1"/>
  <c r="H76" i="98" s="1"/>
  <c r="E77" i="98"/>
  <c r="G77" i="98" s="1"/>
  <c r="H77" i="98" s="1"/>
  <c r="E78" i="98"/>
  <c r="G78" i="98" s="1"/>
  <c r="H78" i="98" s="1"/>
  <c r="E79" i="98"/>
  <c r="G79" i="98" s="1"/>
  <c r="H79" i="98" s="1"/>
  <c r="E80" i="98"/>
  <c r="G80" i="98" s="1"/>
  <c r="H80" i="98" s="1"/>
  <c r="E81" i="98"/>
  <c r="G81" i="98" s="1"/>
  <c r="H81" i="98" s="1"/>
  <c r="E82" i="98"/>
  <c r="G82" i="98" s="1"/>
  <c r="H82" i="98" s="1"/>
  <c r="E83" i="98"/>
  <c r="G83" i="98" s="1"/>
  <c r="H83" i="98" s="1"/>
  <c r="E15" i="98"/>
  <c r="G15" i="98" s="1"/>
  <c r="H15" i="98" s="1"/>
  <c r="K15" i="98" s="1"/>
  <c r="L15" i="98" s="1"/>
  <c r="E16" i="98"/>
  <c r="G16" i="98" s="1"/>
  <c r="H16" i="98" s="1"/>
  <c r="K16" i="98" s="1"/>
  <c r="L16" i="98" s="1"/>
  <c r="E17" i="98"/>
  <c r="G17" i="98" s="1"/>
  <c r="H17" i="98" s="1"/>
  <c r="K17" i="98" s="1"/>
  <c r="L17" i="98" s="1"/>
  <c r="E18" i="98"/>
  <c r="G18" i="98" s="1"/>
  <c r="H18" i="98" s="1"/>
  <c r="K18" i="98" s="1"/>
  <c r="L18" i="98" s="1"/>
  <c r="E19" i="98"/>
  <c r="G19" i="98" s="1"/>
  <c r="H19" i="98" s="1"/>
  <c r="K19" i="98" s="1"/>
  <c r="L19" i="98" s="1"/>
  <c r="E20" i="98"/>
  <c r="G20" i="98" s="1"/>
  <c r="H20" i="98" s="1"/>
  <c r="K20" i="98" s="1"/>
  <c r="L20" i="98" s="1"/>
  <c r="E21" i="98"/>
  <c r="G21" i="98" s="1"/>
  <c r="H21" i="98" s="1"/>
  <c r="K21" i="98" s="1"/>
  <c r="L21" i="98" s="1"/>
  <c r="E14" i="98"/>
  <c r="G14" i="98" s="1"/>
  <c r="H14" i="98" s="1"/>
  <c r="E17" i="99"/>
  <c r="G17" i="99" s="1"/>
  <c r="H17" i="99" s="1"/>
  <c r="K17" i="99" s="1"/>
  <c r="L17" i="99" s="1"/>
  <c r="E78" i="99"/>
  <c r="G78" i="99" s="1"/>
  <c r="H78" i="99" s="1"/>
  <c r="E81" i="99"/>
  <c r="G81" i="99" s="1"/>
  <c r="H81" i="99" s="1"/>
  <c r="E85" i="99"/>
  <c r="G85" i="99" s="1"/>
  <c r="H85" i="99" s="1"/>
  <c r="E24" i="99"/>
  <c r="G24" i="99" s="1"/>
  <c r="H24" i="99" s="1"/>
  <c r="K24" i="99" s="1"/>
  <c r="E79" i="99"/>
  <c r="G79" i="99" s="1"/>
  <c r="H79" i="99" s="1"/>
  <c r="E82" i="99"/>
  <c r="G82" i="99" s="1"/>
  <c r="H82" i="99" s="1"/>
  <c r="E23" i="99"/>
  <c r="G23" i="99" s="1"/>
  <c r="H23" i="99" s="1"/>
  <c r="K23" i="99" s="1"/>
  <c r="L23" i="99" s="1"/>
  <c r="E84" i="99"/>
  <c r="G84" i="99" s="1"/>
  <c r="H84" i="99" s="1"/>
  <c r="E83" i="99"/>
  <c r="G83" i="99" s="1"/>
  <c r="H83" i="99" s="1"/>
  <c r="E16" i="99"/>
  <c r="G16" i="99" s="1"/>
  <c r="H16" i="99" s="1"/>
  <c r="E22" i="99"/>
  <c r="G22" i="99" s="1"/>
  <c r="H22" i="99" s="1"/>
  <c r="K22" i="99" s="1"/>
  <c r="L22" i="99" s="1"/>
  <c r="E21" i="99"/>
  <c r="G21" i="99" s="1"/>
  <c r="H21" i="99" s="1"/>
  <c r="K21" i="99" s="1"/>
  <c r="L21" i="99" s="1"/>
  <c r="E80" i="99"/>
  <c r="G80" i="99" s="1"/>
  <c r="H80" i="99" s="1"/>
  <c r="E77" i="99"/>
  <c r="G77" i="99" s="1"/>
  <c r="H77" i="99" s="1"/>
  <c r="E20" i="99"/>
  <c r="G20" i="99" s="1"/>
  <c r="H20" i="99" s="1"/>
  <c r="K20" i="99" s="1"/>
  <c r="L20" i="99" s="1"/>
  <c r="E19" i="99"/>
  <c r="G19" i="99" s="1"/>
  <c r="H19" i="99" s="1"/>
  <c r="K19" i="99" s="1"/>
  <c r="L19" i="99" s="1"/>
  <c r="E18" i="99"/>
  <c r="G18" i="99" s="1"/>
  <c r="H18" i="99" s="1"/>
  <c r="K18" i="99" s="1"/>
  <c r="L18" i="99" s="1"/>
  <c r="E79" i="96"/>
  <c r="G79" i="96" s="1"/>
  <c r="H79" i="96" s="1"/>
  <c r="E80" i="96"/>
  <c r="G80" i="96" s="1"/>
  <c r="H80" i="96" s="1"/>
  <c r="E81" i="96"/>
  <c r="G81" i="96" s="1"/>
  <c r="H81" i="96" s="1"/>
  <c r="E82" i="96"/>
  <c r="G82" i="96" s="1"/>
  <c r="H82" i="96" s="1"/>
  <c r="E83" i="96"/>
  <c r="G83" i="96" s="1"/>
  <c r="H83" i="96" s="1"/>
  <c r="E84" i="96"/>
  <c r="G84" i="96" s="1"/>
  <c r="H84" i="96" s="1"/>
  <c r="E85" i="96"/>
  <c r="G85" i="96" s="1"/>
  <c r="H85" i="96" s="1"/>
  <c r="E78" i="96"/>
  <c r="G78" i="96" s="1"/>
  <c r="H78" i="96" s="1"/>
  <c r="E87" i="96"/>
  <c r="G87" i="96" s="1"/>
  <c r="H87" i="96" s="1"/>
  <c r="E86" i="96"/>
  <c r="G86" i="96" s="1"/>
  <c r="H86" i="96" s="1"/>
  <c r="E16" i="96"/>
  <c r="G16" i="96" s="1"/>
  <c r="H16" i="96" s="1"/>
  <c r="K16" i="96" s="1"/>
  <c r="L16" i="96" s="1"/>
  <c r="E17" i="96"/>
  <c r="G17" i="96" s="1"/>
  <c r="H17" i="96" s="1"/>
  <c r="K17" i="96" s="1"/>
  <c r="E18" i="96"/>
  <c r="G18" i="96" s="1"/>
  <c r="H18" i="96" s="1"/>
  <c r="K18" i="96" s="1"/>
  <c r="L18" i="96" s="1"/>
  <c r="E19" i="96"/>
  <c r="G19" i="96" s="1"/>
  <c r="H19" i="96" s="1"/>
  <c r="K19" i="96" s="1"/>
  <c r="L19" i="96" s="1"/>
  <c r="E22" i="96"/>
  <c r="G22" i="96" s="1"/>
  <c r="H22" i="96" s="1"/>
  <c r="K22" i="96" s="1"/>
  <c r="L22" i="96" s="1"/>
  <c r="E23" i="96"/>
  <c r="G23" i="96" s="1"/>
  <c r="H23" i="96" s="1"/>
  <c r="K23" i="96" s="1"/>
  <c r="L23" i="96" s="1"/>
  <c r="E20" i="96"/>
  <c r="G20" i="96" s="1"/>
  <c r="H20" i="96" s="1"/>
  <c r="K20" i="96" s="1"/>
  <c r="L20" i="96" s="1"/>
  <c r="E21" i="96"/>
  <c r="G21" i="96" s="1"/>
  <c r="H21" i="96" s="1"/>
  <c r="K21" i="96" s="1"/>
  <c r="L21" i="96" s="1"/>
  <c r="E24" i="96"/>
  <c r="G24" i="96" s="1"/>
  <c r="H24" i="96" s="1"/>
  <c r="K24" i="96" s="1"/>
  <c r="E15" i="96"/>
  <c r="G15" i="96" s="1"/>
  <c r="H15" i="96" s="1"/>
  <c r="E5" i="110"/>
  <c r="H54" i="110"/>
  <c r="J52" i="99"/>
  <c r="E65" i="99"/>
  <c r="E66" i="99"/>
  <c r="E68" i="99"/>
  <c r="E69" i="99"/>
  <c r="E67" i="99"/>
  <c r="E70" i="99"/>
  <c r="J52" i="98"/>
  <c r="E69" i="98"/>
  <c r="E66" i="98"/>
  <c r="E68" i="98"/>
  <c r="E67" i="98"/>
  <c r="E65" i="98"/>
  <c r="G1" i="107"/>
  <c r="I1" i="107" s="1"/>
  <c r="D52" i="107"/>
  <c r="C53" i="114"/>
  <c r="E68" i="114"/>
  <c r="G68" i="114" s="1"/>
  <c r="H68" i="114" s="1"/>
  <c r="E67" i="114"/>
  <c r="G67" i="114" s="1"/>
  <c r="H67" i="114" s="1"/>
  <c r="E66" i="114"/>
  <c r="G66" i="114" s="1"/>
  <c r="H66" i="114" s="1"/>
  <c r="H53" i="102"/>
  <c r="H54" i="102" s="1"/>
  <c r="H55" i="102" s="1"/>
  <c r="E65" i="102"/>
  <c r="G65" i="102" s="1"/>
  <c r="H65" i="102" s="1"/>
  <c r="I53" i="102"/>
  <c r="J54" i="102"/>
  <c r="B89" i="107"/>
  <c r="I53" i="107"/>
  <c r="AM11" i="106"/>
  <c r="AO11" i="106" s="1"/>
  <c r="AP11" i="106" s="1"/>
  <c r="AS11" i="106" s="1"/>
  <c r="AM5" i="106"/>
  <c r="AO5" i="106" s="1"/>
  <c r="AP5" i="106" s="1"/>
  <c r="AM12" i="106"/>
  <c r="AO12" i="106" s="1"/>
  <c r="AP12" i="106" s="1"/>
  <c r="AS12" i="106" s="1"/>
  <c r="AM13" i="106"/>
  <c r="AO13" i="106" s="1"/>
  <c r="AP13" i="106" s="1"/>
  <c r="AS13" i="106" s="1"/>
  <c r="AM9" i="106"/>
  <c r="AO9" i="106" s="1"/>
  <c r="AP9" i="106" s="1"/>
  <c r="AS9" i="106" s="1"/>
  <c r="J55" i="110"/>
  <c r="J56" i="110" s="1"/>
  <c r="I56" i="110" s="1"/>
  <c r="E5" i="106"/>
  <c r="G5" i="106" s="1"/>
  <c r="H5" i="106" s="1"/>
  <c r="K5" i="106" s="1"/>
  <c r="AM6" i="106"/>
  <c r="AO6" i="106" s="1"/>
  <c r="AP6" i="106" s="1"/>
  <c r="AS6" i="106" s="1"/>
  <c r="AM7" i="106"/>
  <c r="AO7" i="106" s="1"/>
  <c r="AP7" i="106" s="1"/>
  <c r="AS7" i="106" s="1"/>
  <c r="AM10" i="106"/>
  <c r="AO10" i="106" s="1"/>
  <c r="AP10" i="106" s="1"/>
  <c r="AS10" i="106" s="1"/>
  <c r="J53" i="106"/>
  <c r="U28" i="110"/>
  <c r="V28" i="107"/>
  <c r="E13" i="106"/>
  <c r="G13" i="106" s="1"/>
  <c r="H13" i="106" s="1"/>
  <c r="K13" i="106" s="1"/>
  <c r="E8" i="106"/>
  <c r="G8" i="106" s="1"/>
  <c r="H8" i="106" s="1"/>
  <c r="K8" i="106" s="1"/>
  <c r="E6" i="106"/>
  <c r="G6" i="106" s="1"/>
  <c r="H6" i="106" s="1"/>
  <c r="K6" i="106" s="1"/>
  <c r="E15" i="106"/>
  <c r="G15" i="106" s="1"/>
  <c r="H15" i="106" s="1"/>
  <c r="K15" i="106" s="1"/>
  <c r="E14" i="106"/>
  <c r="G14" i="106" s="1"/>
  <c r="H14" i="106" s="1"/>
  <c r="K14" i="106" s="1"/>
  <c r="C52" i="106"/>
  <c r="E12" i="106"/>
  <c r="G12" i="106" s="1"/>
  <c r="H12" i="106" s="1"/>
  <c r="K12" i="106" s="1"/>
  <c r="E11" i="106"/>
  <c r="G11" i="106" s="1"/>
  <c r="H11" i="106" s="1"/>
  <c r="K11" i="106" s="1"/>
  <c r="E10" i="106"/>
  <c r="G10" i="106" s="1"/>
  <c r="H10" i="106" s="1"/>
  <c r="K10" i="106" s="1"/>
  <c r="E9" i="106"/>
  <c r="G9" i="106" s="1"/>
  <c r="H9" i="106" s="1"/>
  <c r="K9" i="106" s="1"/>
  <c r="E7" i="106"/>
  <c r="G7" i="106" s="1"/>
  <c r="H7" i="106" s="1"/>
  <c r="K7" i="106" s="1"/>
  <c r="J54" i="113"/>
  <c r="J55" i="107"/>
  <c r="I55" i="107" s="1"/>
  <c r="I54" i="107"/>
  <c r="B118" i="107"/>
  <c r="E65" i="106"/>
  <c r="G65" i="106" s="1"/>
  <c r="H65" i="106" s="1"/>
  <c r="H54" i="106"/>
  <c r="B77" i="113"/>
  <c r="H77" i="113" s="1"/>
  <c r="I53" i="113"/>
  <c r="H53" i="113"/>
  <c r="E7" i="113"/>
  <c r="G7" i="113" s="1"/>
  <c r="H7" i="113" s="1"/>
  <c r="K7" i="113" s="1"/>
  <c r="E6" i="113"/>
  <c r="G6" i="113" s="1"/>
  <c r="H6" i="113" s="1"/>
  <c r="K6" i="113" s="1"/>
  <c r="E8" i="113"/>
  <c r="G8" i="113" s="1"/>
  <c r="H8" i="113" s="1"/>
  <c r="K8" i="113" s="1"/>
  <c r="E11" i="113"/>
  <c r="G11" i="113" s="1"/>
  <c r="H11" i="113" s="1"/>
  <c r="K11" i="113" s="1"/>
  <c r="E12" i="113"/>
  <c r="G12" i="113" s="1"/>
  <c r="H12" i="113" s="1"/>
  <c r="K12" i="113" s="1"/>
  <c r="E13" i="113"/>
  <c r="G13" i="113" s="1"/>
  <c r="H13" i="113" s="1"/>
  <c r="K13" i="113" s="1"/>
  <c r="H1" i="113"/>
  <c r="E9" i="113"/>
  <c r="G9" i="113" s="1"/>
  <c r="H9" i="113" s="1"/>
  <c r="K9" i="113" s="1"/>
  <c r="E10" i="113"/>
  <c r="G10" i="113" s="1"/>
  <c r="H10" i="113" s="1"/>
  <c r="K10" i="113" s="1"/>
  <c r="E14" i="113"/>
  <c r="G14" i="113" s="1"/>
  <c r="H14" i="113" s="1"/>
  <c r="K14" i="113" s="1"/>
  <c r="E15" i="113"/>
  <c r="G15" i="113" s="1"/>
  <c r="H15" i="113" s="1"/>
  <c r="K15" i="113" s="1"/>
  <c r="B72" i="112"/>
  <c r="H72" i="112" s="1"/>
  <c r="I53" i="112"/>
  <c r="B84" i="112"/>
  <c r="H84" i="112" s="1"/>
  <c r="I54" i="112"/>
  <c r="B98" i="112"/>
  <c r="H98" i="112" s="1"/>
  <c r="I55" i="112"/>
  <c r="H53" i="112"/>
  <c r="H1" i="112"/>
  <c r="E6" i="112"/>
  <c r="G6" i="112" s="1"/>
  <c r="H6" i="112" s="1"/>
  <c r="K6" i="112" s="1"/>
  <c r="E7" i="112"/>
  <c r="G7" i="112" s="1"/>
  <c r="H7" i="112" s="1"/>
  <c r="K7" i="112" s="1"/>
  <c r="E8" i="112"/>
  <c r="G8" i="112" s="1"/>
  <c r="H8" i="112" s="1"/>
  <c r="K8" i="112" s="1"/>
  <c r="E9" i="112"/>
  <c r="G9" i="112" s="1"/>
  <c r="H9" i="112" s="1"/>
  <c r="K9" i="112" s="1"/>
  <c r="E10" i="112"/>
  <c r="G10" i="112" s="1"/>
  <c r="H10" i="112" s="1"/>
  <c r="K10" i="112" s="1"/>
  <c r="G1" i="111"/>
  <c r="D52" i="111"/>
  <c r="I52" i="111"/>
  <c r="H52" i="111" s="1"/>
  <c r="G1" i="109"/>
  <c r="I1" i="109" s="1"/>
  <c r="D52" i="109"/>
  <c r="B72" i="108"/>
  <c r="I53" i="108"/>
  <c r="H53" i="108"/>
  <c r="E5" i="108"/>
  <c r="G5" i="108" s="1"/>
  <c r="E5" i="107"/>
  <c r="G5" i="107" s="1"/>
  <c r="H5" i="107" s="1"/>
  <c r="K5" i="107" s="1"/>
  <c r="H53" i="107"/>
  <c r="I54" i="109"/>
  <c r="B106" i="109"/>
  <c r="I55" i="109"/>
  <c r="B131" i="109"/>
  <c r="D52" i="108"/>
  <c r="G1" i="108"/>
  <c r="I1" i="108" s="1"/>
  <c r="V28" i="108"/>
  <c r="D53" i="115"/>
  <c r="C54" i="115"/>
  <c r="J56" i="112"/>
  <c r="E65" i="109"/>
  <c r="G65" i="109" s="1"/>
  <c r="H65" i="109" s="1"/>
  <c r="H54" i="109"/>
  <c r="J55" i="108"/>
  <c r="I55" i="108" s="1"/>
  <c r="I54" i="108"/>
  <c r="G1" i="97"/>
  <c r="I1" i="97" s="1"/>
  <c r="D52" i="97"/>
  <c r="I52" i="97"/>
  <c r="H52" i="97" s="1"/>
  <c r="J53" i="97"/>
  <c r="D52" i="104"/>
  <c r="B79" i="104" s="1"/>
  <c r="T32" i="19"/>
  <c r="U32" i="19" s="1"/>
  <c r="I1" i="105"/>
  <c r="E20" i="105" s="1"/>
  <c r="G20" i="105" s="1"/>
  <c r="H20" i="105" s="1"/>
  <c r="K20" i="105" s="1"/>
  <c r="E5" i="105"/>
  <c r="G5" i="105" s="1"/>
  <c r="H5" i="105" s="1"/>
  <c r="K5" i="105" s="1"/>
  <c r="E12" i="105"/>
  <c r="G12" i="105" s="1"/>
  <c r="H12" i="105" s="1"/>
  <c r="K12" i="105" s="1"/>
  <c r="E7" i="105"/>
  <c r="G7" i="105" s="1"/>
  <c r="H7" i="105" s="1"/>
  <c r="K7" i="105" s="1"/>
  <c r="E18" i="105"/>
  <c r="G18" i="105" s="1"/>
  <c r="H18" i="105" s="1"/>
  <c r="K18" i="105" s="1"/>
  <c r="C52" i="105"/>
  <c r="E65" i="105" s="1"/>
  <c r="E6" i="105"/>
  <c r="G6" i="105" s="1"/>
  <c r="H6" i="105" s="1"/>
  <c r="K6" i="105" s="1"/>
  <c r="E15" i="105"/>
  <c r="G15" i="105" s="1"/>
  <c r="H15" i="105" s="1"/>
  <c r="K15" i="105" s="1"/>
  <c r="E10" i="105"/>
  <c r="G10" i="105" s="1"/>
  <c r="H10" i="105" s="1"/>
  <c r="K10" i="105" s="1"/>
  <c r="E17" i="105"/>
  <c r="G17" i="105" s="1"/>
  <c r="H17" i="105" s="1"/>
  <c r="K17" i="105" s="1"/>
  <c r="E13" i="105"/>
  <c r="G13" i="105" s="1"/>
  <c r="H13" i="105" s="1"/>
  <c r="K13" i="105" s="1"/>
  <c r="E8" i="105"/>
  <c r="G8" i="105" s="1"/>
  <c r="H8" i="105" s="1"/>
  <c r="K8" i="105" s="1"/>
  <c r="E9" i="105"/>
  <c r="G9" i="105" s="1"/>
  <c r="H9" i="105" s="1"/>
  <c r="K9" i="105" s="1"/>
  <c r="E11" i="105"/>
  <c r="G11" i="105" s="1"/>
  <c r="H11" i="105" s="1"/>
  <c r="K11" i="105" s="1"/>
  <c r="E19" i="105"/>
  <c r="G19" i="105" s="1"/>
  <c r="H19" i="105" s="1"/>
  <c r="K19" i="105" s="1"/>
  <c r="E16" i="105"/>
  <c r="G16" i="105" s="1"/>
  <c r="H16" i="105" s="1"/>
  <c r="K16" i="105" s="1"/>
  <c r="E14" i="105"/>
  <c r="G14" i="105" s="1"/>
  <c r="H14" i="105" s="1"/>
  <c r="K14" i="105" s="1"/>
  <c r="E5" i="104"/>
  <c r="G5" i="104" s="1"/>
  <c r="H5" i="104" s="1"/>
  <c r="K5" i="104" s="1"/>
  <c r="E15" i="104"/>
  <c r="G15" i="104" s="1"/>
  <c r="H15" i="104" s="1"/>
  <c r="K15" i="104" s="1"/>
  <c r="E16" i="104"/>
  <c r="G16" i="104" s="1"/>
  <c r="H16" i="104" s="1"/>
  <c r="K16" i="104" s="1"/>
  <c r="E10" i="104"/>
  <c r="G10" i="104" s="1"/>
  <c r="H10" i="104" s="1"/>
  <c r="K10" i="104" s="1"/>
  <c r="C52" i="104"/>
  <c r="E13" i="104"/>
  <c r="G13" i="104" s="1"/>
  <c r="H13" i="104" s="1"/>
  <c r="K13" i="104" s="1"/>
  <c r="L13" i="104" s="1"/>
  <c r="E11" i="104"/>
  <c r="G11" i="104" s="1"/>
  <c r="H11" i="104" s="1"/>
  <c r="K11" i="104" s="1"/>
  <c r="E6" i="104"/>
  <c r="G6" i="104" s="1"/>
  <c r="H6" i="104" s="1"/>
  <c r="K6" i="104" s="1"/>
  <c r="E8" i="104"/>
  <c r="G8" i="104" s="1"/>
  <c r="H8" i="104" s="1"/>
  <c r="K8" i="104" s="1"/>
  <c r="L8" i="104" s="1"/>
  <c r="I1" i="104"/>
  <c r="E14" i="104"/>
  <c r="G14" i="104" s="1"/>
  <c r="H14" i="104" s="1"/>
  <c r="K14" i="104" s="1"/>
  <c r="E12" i="104"/>
  <c r="G12" i="104" s="1"/>
  <c r="H12" i="104" s="1"/>
  <c r="K12" i="104" s="1"/>
  <c r="L12" i="104" s="1"/>
  <c r="E7" i="104"/>
  <c r="G7" i="104" s="1"/>
  <c r="H7" i="104" s="1"/>
  <c r="K7" i="104" s="1"/>
  <c r="E9" i="104"/>
  <c r="G9" i="104" s="1"/>
  <c r="H9" i="104" s="1"/>
  <c r="K9" i="104" s="1"/>
  <c r="E6" i="103"/>
  <c r="G6" i="103" s="1"/>
  <c r="H6" i="103" s="1"/>
  <c r="K6" i="103" s="1"/>
  <c r="L6" i="103" s="1"/>
  <c r="E7" i="103"/>
  <c r="G7" i="103" s="1"/>
  <c r="H7" i="103" s="1"/>
  <c r="K7" i="103" s="1"/>
  <c r="C53" i="103"/>
  <c r="E65" i="103"/>
  <c r="G65" i="103" s="1"/>
  <c r="H65" i="103" s="1"/>
  <c r="E66" i="103"/>
  <c r="G66" i="103" s="1"/>
  <c r="H66" i="103" s="1"/>
  <c r="AE30" i="102"/>
  <c r="E1" i="102"/>
  <c r="AM5" i="102"/>
  <c r="AO5" i="102" s="1"/>
  <c r="AP5" i="102" s="1"/>
  <c r="AM8" i="102"/>
  <c r="AO8" i="102" s="1"/>
  <c r="AP8" i="102" s="1"/>
  <c r="AS8" i="102" s="1"/>
  <c r="AT8" i="102" s="1"/>
  <c r="AM7" i="102"/>
  <c r="AO7" i="102" s="1"/>
  <c r="AP7" i="102" s="1"/>
  <c r="AS7" i="102" s="1"/>
  <c r="AT7" i="102" s="1"/>
  <c r="AM12" i="102"/>
  <c r="AO12" i="102" s="1"/>
  <c r="AP12" i="102" s="1"/>
  <c r="AS12" i="102" s="1"/>
  <c r="AT12" i="102" s="1"/>
  <c r="AM11" i="102"/>
  <c r="AO11" i="102" s="1"/>
  <c r="AP11" i="102" s="1"/>
  <c r="AS11" i="102" s="1"/>
  <c r="AM6" i="102"/>
  <c r="AO6" i="102" s="1"/>
  <c r="AP6" i="102" s="1"/>
  <c r="AS6" i="102" s="1"/>
  <c r="AT6" i="102" s="1"/>
  <c r="AM9" i="102"/>
  <c r="AO9" i="102" s="1"/>
  <c r="AP9" i="102" s="1"/>
  <c r="AS9" i="102" s="1"/>
  <c r="AM10" i="102"/>
  <c r="AO10" i="102" s="1"/>
  <c r="AP10" i="102" s="1"/>
  <c r="AS10" i="102" s="1"/>
  <c r="E1" i="101"/>
  <c r="E1" i="99"/>
  <c r="E1" i="100"/>
  <c r="E1" i="98"/>
  <c r="AM1" i="95"/>
  <c r="AO1" i="95"/>
  <c r="AM5" i="95" s="1"/>
  <c r="AO5" i="95" s="1"/>
  <c r="AP5" i="95" s="1"/>
  <c r="E1" i="96"/>
  <c r="T32" i="59"/>
  <c r="U32" i="59" s="1"/>
  <c r="J52" i="59"/>
  <c r="D54" i="94"/>
  <c r="C55" i="94"/>
  <c r="D55" i="94" s="1"/>
  <c r="U32" i="95"/>
  <c r="J52" i="95"/>
  <c r="B67" i="95" s="1"/>
  <c r="U32" i="94"/>
  <c r="J52" i="94" s="1"/>
  <c r="B70" i="94" s="1"/>
  <c r="AF29" i="95"/>
  <c r="AB29" i="95"/>
  <c r="AE29" i="94"/>
  <c r="AB29" i="94"/>
  <c r="T34" i="19"/>
  <c r="U29" i="19"/>
  <c r="B104" i="59"/>
  <c r="C104" i="59"/>
  <c r="D104" i="59"/>
  <c r="F104" i="59"/>
  <c r="B105" i="59"/>
  <c r="C105" i="59"/>
  <c r="D105" i="59"/>
  <c r="F105" i="59"/>
  <c r="B80" i="59"/>
  <c r="C80" i="59"/>
  <c r="D80" i="59"/>
  <c r="F80" i="59"/>
  <c r="B81" i="59"/>
  <c r="C81" i="59"/>
  <c r="D81" i="59"/>
  <c r="F81" i="59"/>
  <c r="I21" i="59"/>
  <c r="B139" i="28"/>
  <c r="C139" i="28"/>
  <c r="D139" i="28"/>
  <c r="F139" i="28"/>
  <c r="B140" i="28"/>
  <c r="C140" i="28"/>
  <c r="D140" i="28"/>
  <c r="F140" i="28"/>
  <c r="B111" i="28"/>
  <c r="C111" i="28"/>
  <c r="D111" i="28"/>
  <c r="F111" i="28"/>
  <c r="B112" i="28"/>
  <c r="C112" i="28"/>
  <c r="D112" i="28"/>
  <c r="F112" i="28"/>
  <c r="B84" i="28"/>
  <c r="C84" i="28"/>
  <c r="D84" i="28"/>
  <c r="F84" i="28"/>
  <c r="B85" i="28"/>
  <c r="C85" i="28"/>
  <c r="D85" i="28"/>
  <c r="F85" i="28"/>
  <c r="I25" i="28"/>
  <c r="B79" i="26"/>
  <c r="C79" i="26"/>
  <c r="D79" i="26"/>
  <c r="F79" i="26"/>
  <c r="B80" i="26"/>
  <c r="C80" i="26"/>
  <c r="D80" i="26"/>
  <c r="F80" i="26"/>
  <c r="I20" i="26"/>
  <c r="B113" i="33"/>
  <c r="C113" i="33"/>
  <c r="D113" i="33"/>
  <c r="F113" i="33"/>
  <c r="B114" i="33"/>
  <c r="C114" i="33"/>
  <c r="D114" i="33"/>
  <c r="F114" i="33"/>
  <c r="B85" i="33"/>
  <c r="C85" i="33"/>
  <c r="D85" i="33"/>
  <c r="F85" i="33"/>
  <c r="B86" i="33"/>
  <c r="C86" i="33"/>
  <c r="D86" i="33"/>
  <c r="F86" i="33"/>
  <c r="I26" i="33"/>
  <c r="I24" i="70"/>
  <c r="K155" i="1"/>
  <c r="J81" i="80"/>
  <c r="O72" i="80" s="1"/>
  <c r="R44" i="58"/>
  <c r="R44" i="56"/>
  <c r="R44" i="30"/>
  <c r="R44" i="29"/>
  <c r="R44" i="17"/>
  <c r="R44" i="8"/>
  <c r="R44" i="3"/>
  <c r="E79" i="94" l="1"/>
  <c r="G79" i="94" s="1"/>
  <c r="H79" i="94" s="1"/>
  <c r="E75" i="94"/>
  <c r="G75" i="94" s="1"/>
  <c r="H75" i="94" s="1"/>
  <c r="E83" i="94"/>
  <c r="G83" i="94" s="1"/>
  <c r="H83" i="94" s="1"/>
  <c r="E78" i="94"/>
  <c r="G78" i="94" s="1"/>
  <c r="H78" i="94" s="1"/>
  <c r="E81" i="94"/>
  <c r="G81" i="94" s="1"/>
  <c r="H81" i="94" s="1"/>
  <c r="E84" i="94"/>
  <c r="G84" i="94" s="1"/>
  <c r="H84" i="94" s="1"/>
  <c r="E77" i="94"/>
  <c r="G77" i="94" s="1"/>
  <c r="H77" i="94" s="1"/>
  <c r="E80" i="94"/>
  <c r="G80" i="94" s="1"/>
  <c r="H80" i="94" s="1"/>
  <c r="E82" i="94"/>
  <c r="G82" i="94" s="1"/>
  <c r="H82" i="94" s="1"/>
  <c r="E76" i="94"/>
  <c r="G76" i="94" s="1"/>
  <c r="H76" i="94" s="1"/>
  <c r="E16" i="94"/>
  <c r="G16" i="94" s="1"/>
  <c r="H16" i="94" s="1"/>
  <c r="K16" i="94" s="1"/>
  <c r="L16" i="94" s="1"/>
  <c r="E17" i="94"/>
  <c r="G17" i="94" s="1"/>
  <c r="H17" i="94" s="1"/>
  <c r="K17" i="94" s="1"/>
  <c r="L17" i="94" s="1"/>
  <c r="E18" i="94"/>
  <c r="G18" i="94" s="1"/>
  <c r="H18" i="94" s="1"/>
  <c r="K18" i="94" s="1"/>
  <c r="L18" i="94" s="1"/>
  <c r="E19" i="94"/>
  <c r="G19" i="94" s="1"/>
  <c r="H19" i="94" s="1"/>
  <c r="K19" i="94" s="1"/>
  <c r="L19" i="94" s="1"/>
  <c r="E20" i="94"/>
  <c r="G20" i="94" s="1"/>
  <c r="H20" i="94" s="1"/>
  <c r="K20" i="94" s="1"/>
  <c r="L20" i="94" s="1"/>
  <c r="E21" i="94"/>
  <c r="G21" i="94" s="1"/>
  <c r="H21" i="94" s="1"/>
  <c r="K21" i="94" s="1"/>
  <c r="L21" i="94" s="1"/>
  <c r="E22" i="94"/>
  <c r="G22" i="94" s="1"/>
  <c r="H22" i="94" s="1"/>
  <c r="K22" i="94" s="1"/>
  <c r="L22" i="94" s="1"/>
  <c r="E14" i="94"/>
  <c r="G14" i="94" s="1"/>
  <c r="H14" i="94" s="1"/>
  <c r="K14" i="94" s="1"/>
  <c r="L14" i="94" s="1"/>
  <c r="E15" i="94"/>
  <c r="G15" i="94" s="1"/>
  <c r="H15" i="94" s="1"/>
  <c r="K15" i="94" s="1"/>
  <c r="L15" i="94" s="1"/>
  <c r="E13" i="94"/>
  <c r="G13" i="94" s="1"/>
  <c r="H13" i="94" s="1"/>
  <c r="V28" i="101"/>
  <c r="K13" i="101"/>
  <c r="K14" i="98"/>
  <c r="V28" i="98"/>
  <c r="K15" i="96"/>
  <c r="L15" i="96" s="1"/>
  <c r="V28" i="96"/>
  <c r="V28" i="100"/>
  <c r="K14" i="100"/>
  <c r="L14" i="100" s="1"/>
  <c r="V35" i="100" s="1"/>
  <c r="K16" i="99"/>
  <c r="L16" i="99" s="1"/>
  <c r="V28" i="99"/>
  <c r="E6" i="110"/>
  <c r="G6" i="110" s="1"/>
  <c r="H6" i="110" s="1"/>
  <c r="K6" i="110" s="1"/>
  <c r="H55" i="110"/>
  <c r="H56" i="110" s="1"/>
  <c r="G5" i="110"/>
  <c r="H5" i="110" s="1"/>
  <c r="K5" i="110" s="1"/>
  <c r="E65" i="110"/>
  <c r="G65" i="110" s="1"/>
  <c r="H65" i="110" s="1"/>
  <c r="E66" i="110"/>
  <c r="G66" i="110" s="1"/>
  <c r="H66" i="110" s="1"/>
  <c r="E16" i="107"/>
  <c r="G16" i="107" s="1"/>
  <c r="H16" i="107" s="1"/>
  <c r="K16" i="107" s="1"/>
  <c r="E10" i="107"/>
  <c r="G10" i="107" s="1"/>
  <c r="H10" i="107" s="1"/>
  <c r="K10" i="107" s="1"/>
  <c r="E15" i="107"/>
  <c r="G15" i="107" s="1"/>
  <c r="H15" i="107" s="1"/>
  <c r="K15" i="107" s="1"/>
  <c r="E7" i="107"/>
  <c r="G7" i="107" s="1"/>
  <c r="H7" i="107" s="1"/>
  <c r="K7" i="107" s="1"/>
  <c r="C52" i="107"/>
  <c r="C53" i="107" s="1"/>
  <c r="C54" i="107" s="1"/>
  <c r="C55" i="107" s="1"/>
  <c r="D55" i="107" s="1"/>
  <c r="E18" i="107"/>
  <c r="G18" i="107" s="1"/>
  <c r="H18" i="107" s="1"/>
  <c r="K18" i="107" s="1"/>
  <c r="E23" i="107"/>
  <c r="G23" i="107" s="1"/>
  <c r="H23" i="107" s="1"/>
  <c r="K23" i="107" s="1"/>
  <c r="E12" i="107"/>
  <c r="G12" i="107" s="1"/>
  <c r="H12" i="107" s="1"/>
  <c r="K12" i="107" s="1"/>
  <c r="E8" i="107"/>
  <c r="G8" i="107" s="1"/>
  <c r="H8" i="107" s="1"/>
  <c r="K8" i="107" s="1"/>
  <c r="E13" i="107"/>
  <c r="G13" i="107" s="1"/>
  <c r="H13" i="107" s="1"/>
  <c r="K13" i="107" s="1"/>
  <c r="E19" i="107"/>
  <c r="G19" i="107" s="1"/>
  <c r="H19" i="107" s="1"/>
  <c r="K19" i="107" s="1"/>
  <c r="E21" i="107"/>
  <c r="G21" i="107" s="1"/>
  <c r="H21" i="107" s="1"/>
  <c r="K21" i="107" s="1"/>
  <c r="E22" i="107"/>
  <c r="G22" i="107" s="1"/>
  <c r="H22" i="107" s="1"/>
  <c r="K22" i="107" s="1"/>
  <c r="E24" i="107"/>
  <c r="G24" i="107" s="1"/>
  <c r="H24" i="107" s="1"/>
  <c r="K24" i="107" s="1"/>
  <c r="E25" i="107"/>
  <c r="G25" i="107" s="1"/>
  <c r="H25" i="107" s="1"/>
  <c r="K25" i="107" s="1"/>
  <c r="E26" i="107"/>
  <c r="G26" i="107" s="1"/>
  <c r="H26" i="107" s="1"/>
  <c r="K26" i="107" s="1"/>
  <c r="E27" i="107"/>
  <c r="G27" i="107" s="1"/>
  <c r="H27" i="107" s="1"/>
  <c r="K27" i="107" s="1"/>
  <c r="E6" i="107"/>
  <c r="G6" i="107" s="1"/>
  <c r="H6" i="107" s="1"/>
  <c r="K6" i="107" s="1"/>
  <c r="E9" i="107"/>
  <c r="G9" i="107" s="1"/>
  <c r="H9" i="107" s="1"/>
  <c r="K9" i="107" s="1"/>
  <c r="E11" i="107"/>
  <c r="G11" i="107" s="1"/>
  <c r="H11" i="107" s="1"/>
  <c r="K11" i="107" s="1"/>
  <c r="E14" i="107"/>
  <c r="G14" i="107" s="1"/>
  <c r="H14" i="107" s="1"/>
  <c r="K14" i="107" s="1"/>
  <c r="E17" i="107"/>
  <c r="G17" i="107" s="1"/>
  <c r="H17" i="107" s="1"/>
  <c r="K17" i="107" s="1"/>
  <c r="E20" i="107"/>
  <c r="G20" i="107" s="1"/>
  <c r="H20" i="107" s="1"/>
  <c r="K20" i="107" s="1"/>
  <c r="C54" i="114"/>
  <c r="D53" i="114"/>
  <c r="I54" i="102"/>
  <c r="J55" i="102"/>
  <c r="I55" i="102" s="1"/>
  <c r="I55" i="110"/>
  <c r="B77" i="106"/>
  <c r="J54" i="106"/>
  <c r="B94" i="106" s="1"/>
  <c r="V28" i="106"/>
  <c r="I53" i="106"/>
  <c r="E80" i="105"/>
  <c r="G80" i="105" s="1"/>
  <c r="H80" i="105" s="1"/>
  <c r="E70" i="105"/>
  <c r="G70" i="105" s="1"/>
  <c r="H70" i="105" s="1"/>
  <c r="E71" i="105"/>
  <c r="G71" i="105" s="1"/>
  <c r="H71" i="105" s="1"/>
  <c r="E73" i="105"/>
  <c r="G73" i="105" s="1"/>
  <c r="H73" i="105" s="1"/>
  <c r="E75" i="105"/>
  <c r="G75" i="105" s="1"/>
  <c r="H75" i="105" s="1"/>
  <c r="E76" i="105"/>
  <c r="G76" i="105" s="1"/>
  <c r="H76" i="105" s="1"/>
  <c r="E68" i="105"/>
  <c r="G68" i="105" s="1"/>
  <c r="H68" i="105" s="1"/>
  <c r="E69" i="105"/>
  <c r="G69" i="105" s="1"/>
  <c r="H69" i="105" s="1"/>
  <c r="E72" i="105"/>
  <c r="G72" i="105" s="1"/>
  <c r="H72" i="105" s="1"/>
  <c r="E74" i="105"/>
  <c r="G74" i="105" s="1"/>
  <c r="H74" i="105" s="1"/>
  <c r="E77" i="105"/>
  <c r="G77" i="105" s="1"/>
  <c r="H77" i="105" s="1"/>
  <c r="E78" i="105"/>
  <c r="G78" i="105" s="1"/>
  <c r="H78" i="105" s="1"/>
  <c r="E79" i="105"/>
  <c r="G79" i="105" s="1"/>
  <c r="H79" i="105" s="1"/>
  <c r="E67" i="105"/>
  <c r="G67" i="105" s="1"/>
  <c r="H67" i="105" s="1"/>
  <c r="E66" i="105"/>
  <c r="G66" i="105" s="1"/>
  <c r="H66" i="105" s="1"/>
  <c r="G65" i="105"/>
  <c r="H65" i="105" s="1"/>
  <c r="C53" i="106"/>
  <c r="C54" i="106" s="1"/>
  <c r="D54" i="115"/>
  <c r="C55" i="115"/>
  <c r="D55" i="115" s="1"/>
  <c r="J55" i="113"/>
  <c r="B94" i="113"/>
  <c r="H94" i="113" s="1"/>
  <c r="I54" i="113"/>
  <c r="H55" i="106"/>
  <c r="E100" i="106" s="1"/>
  <c r="G100" i="106" s="1"/>
  <c r="H100" i="106" s="1"/>
  <c r="E82" i="106"/>
  <c r="G82" i="106" s="1"/>
  <c r="H82" i="106" s="1"/>
  <c r="E65" i="113"/>
  <c r="G65" i="113" s="1"/>
  <c r="H65" i="113" s="1"/>
  <c r="E66" i="113"/>
  <c r="G66" i="113" s="1"/>
  <c r="H66" i="113" s="1"/>
  <c r="E67" i="113"/>
  <c r="G67" i="113" s="1"/>
  <c r="H67" i="113" s="1"/>
  <c r="E68" i="113"/>
  <c r="G68" i="113" s="1"/>
  <c r="H68" i="113" s="1"/>
  <c r="E69" i="113"/>
  <c r="G69" i="113" s="1"/>
  <c r="H69" i="113" s="1"/>
  <c r="E70" i="113"/>
  <c r="G70" i="113" s="1"/>
  <c r="H70" i="113" s="1"/>
  <c r="E71" i="113"/>
  <c r="G71" i="113" s="1"/>
  <c r="H71" i="113" s="1"/>
  <c r="E72" i="113"/>
  <c r="G72" i="113" s="1"/>
  <c r="H72" i="113" s="1"/>
  <c r="E73" i="113"/>
  <c r="G73" i="113" s="1"/>
  <c r="H73" i="113" s="1"/>
  <c r="E74" i="113"/>
  <c r="G74" i="113" s="1"/>
  <c r="H74" i="113" s="1"/>
  <c r="E75" i="113"/>
  <c r="G75" i="113" s="1"/>
  <c r="H75" i="113" s="1"/>
  <c r="E65" i="112"/>
  <c r="G65" i="112" s="1"/>
  <c r="H65" i="112" s="1"/>
  <c r="E66" i="112"/>
  <c r="G66" i="112" s="1"/>
  <c r="H66" i="112" s="1"/>
  <c r="E67" i="112"/>
  <c r="G67" i="112" s="1"/>
  <c r="H67" i="112" s="1"/>
  <c r="E68" i="112"/>
  <c r="G68" i="112" s="1"/>
  <c r="H68" i="112" s="1"/>
  <c r="E69" i="112"/>
  <c r="G69" i="112" s="1"/>
  <c r="H69" i="112" s="1"/>
  <c r="E70" i="112"/>
  <c r="G70" i="112" s="1"/>
  <c r="H70" i="112" s="1"/>
  <c r="E5" i="111"/>
  <c r="G5" i="111" s="1"/>
  <c r="H5" i="111" s="1"/>
  <c r="K5" i="111" s="1"/>
  <c r="E7" i="111"/>
  <c r="E9" i="111"/>
  <c r="E8" i="111"/>
  <c r="E65" i="111"/>
  <c r="G65" i="111" s="1"/>
  <c r="H65" i="111" s="1"/>
  <c r="E66" i="111"/>
  <c r="G66" i="111" s="1"/>
  <c r="H66" i="111" s="1"/>
  <c r="E67" i="111"/>
  <c r="G67" i="111" s="1"/>
  <c r="H67" i="111" s="1"/>
  <c r="E68" i="111"/>
  <c r="G68" i="111" s="1"/>
  <c r="H68" i="111" s="1"/>
  <c r="E69" i="111"/>
  <c r="G69" i="111" s="1"/>
  <c r="H69" i="111" s="1"/>
  <c r="H71" i="111"/>
  <c r="H53" i="111"/>
  <c r="E6" i="109"/>
  <c r="G6" i="109" s="1"/>
  <c r="H6" i="109" s="1"/>
  <c r="K6" i="109" s="1"/>
  <c r="E8" i="109"/>
  <c r="G8" i="109" s="1"/>
  <c r="H8" i="109" s="1"/>
  <c r="K8" i="109" s="1"/>
  <c r="E10" i="109"/>
  <c r="G10" i="109" s="1"/>
  <c r="H10" i="109" s="1"/>
  <c r="K10" i="109" s="1"/>
  <c r="E15" i="109"/>
  <c r="G15" i="109" s="1"/>
  <c r="H15" i="109" s="1"/>
  <c r="K15" i="109" s="1"/>
  <c r="E17" i="109"/>
  <c r="G17" i="109" s="1"/>
  <c r="H17" i="109" s="1"/>
  <c r="K17" i="109" s="1"/>
  <c r="E18" i="109"/>
  <c r="G18" i="109" s="1"/>
  <c r="H18" i="109" s="1"/>
  <c r="K18" i="109" s="1"/>
  <c r="E20" i="109"/>
  <c r="G20" i="109" s="1"/>
  <c r="H20" i="109" s="1"/>
  <c r="K20" i="109" s="1"/>
  <c r="E19" i="109"/>
  <c r="G19" i="109" s="1"/>
  <c r="H19" i="109" s="1"/>
  <c r="K19" i="109" s="1"/>
  <c r="E14" i="109"/>
  <c r="G14" i="109" s="1"/>
  <c r="H14" i="109" s="1"/>
  <c r="K14" i="109" s="1"/>
  <c r="E21" i="109"/>
  <c r="G21" i="109" s="1"/>
  <c r="H21" i="109" s="1"/>
  <c r="K21" i="109" s="1"/>
  <c r="C52" i="109"/>
  <c r="E7" i="109"/>
  <c r="G7" i="109" s="1"/>
  <c r="H7" i="109" s="1"/>
  <c r="K7" i="109" s="1"/>
  <c r="E9" i="109"/>
  <c r="G9" i="109" s="1"/>
  <c r="H9" i="109" s="1"/>
  <c r="K9" i="109" s="1"/>
  <c r="E11" i="109"/>
  <c r="G11" i="109" s="1"/>
  <c r="H11" i="109" s="1"/>
  <c r="K11" i="109" s="1"/>
  <c r="E12" i="109"/>
  <c r="G12" i="109" s="1"/>
  <c r="H12" i="109" s="1"/>
  <c r="K12" i="109" s="1"/>
  <c r="E13" i="109"/>
  <c r="G13" i="109" s="1"/>
  <c r="H13" i="109" s="1"/>
  <c r="K13" i="109" s="1"/>
  <c r="E16" i="109"/>
  <c r="G16" i="109" s="1"/>
  <c r="H16" i="109" s="1"/>
  <c r="K16" i="109" s="1"/>
  <c r="G65" i="108"/>
  <c r="H5" i="108"/>
  <c r="K5" i="108" s="1"/>
  <c r="E8" i="108"/>
  <c r="G8" i="108" s="1"/>
  <c r="H8" i="108" s="1"/>
  <c r="K8" i="108" s="1"/>
  <c r="C52" i="108"/>
  <c r="E7" i="108"/>
  <c r="G7" i="108" s="1"/>
  <c r="H7" i="108" s="1"/>
  <c r="K7" i="108" s="1"/>
  <c r="E6" i="108"/>
  <c r="G6" i="108" s="1"/>
  <c r="H6" i="108" s="1"/>
  <c r="K6" i="108" s="1"/>
  <c r="E9" i="108"/>
  <c r="G9" i="108" s="1"/>
  <c r="H9" i="108" s="1"/>
  <c r="K9" i="108" s="1"/>
  <c r="E10" i="108"/>
  <c r="G10" i="108" s="1"/>
  <c r="H10" i="108" s="1"/>
  <c r="K10" i="108" s="1"/>
  <c r="H55" i="109"/>
  <c r="E113" i="109" s="1"/>
  <c r="G113" i="109" s="1"/>
  <c r="H113" i="109" s="1"/>
  <c r="E88" i="109"/>
  <c r="G88" i="109" s="1"/>
  <c r="H88" i="109" s="1"/>
  <c r="H54" i="113"/>
  <c r="H54" i="112"/>
  <c r="J54" i="111"/>
  <c r="E65" i="108"/>
  <c r="H54" i="108"/>
  <c r="H55" i="108" s="1"/>
  <c r="E65" i="107"/>
  <c r="G65" i="107" s="1"/>
  <c r="H65" i="107" s="1"/>
  <c r="H54" i="107"/>
  <c r="I56" i="112"/>
  <c r="J57" i="112"/>
  <c r="E11" i="97"/>
  <c r="G11" i="97" s="1"/>
  <c r="H11" i="97" s="1"/>
  <c r="K11" i="97" s="1"/>
  <c r="E13" i="97"/>
  <c r="G13" i="97" s="1"/>
  <c r="H13" i="97" s="1"/>
  <c r="K13" i="97" s="1"/>
  <c r="E10" i="97"/>
  <c r="G10" i="97" s="1"/>
  <c r="H10" i="97" s="1"/>
  <c r="K10" i="97" s="1"/>
  <c r="E12" i="97"/>
  <c r="G12" i="97" s="1"/>
  <c r="H12" i="97" s="1"/>
  <c r="K12" i="97" s="1"/>
  <c r="E8" i="97"/>
  <c r="G8" i="97" s="1"/>
  <c r="H8" i="97" s="1"/>
  <c r="K8" i="97" s="1"/>
  <c r="E7" i="97"/>
  <c r="G7" i="97" s="1"/>
  <c r="H7" i="97" s="1"/>
  <c r="K7" i="97" s="1"/>
  <c r="E9" i="97"/>
  <c r="G9" i="97" s="1"/>
  <c r="H9" i="97" s="1"/>
  <c r="K9" i="97" s="1"/>
  <c r="E6" i="97"/>
  <c r="G6" i="97" s="1"/>
  <c r="H6" i="97" s="1"/>
  <c r="K6" i="97" s="1"/>
  <c r="C52" i="97"/>
  <c r="H53" i="97"/>
  <c r="E5" i="97"/>
  <c r="G5" i="97" s="1"/>
  <c r="H5" i="97" s="1"/>
  <c r="K5" i="97" s="1"/>
  <c r="J54" i="97"/>
  <c r="J55" i="97" s="1"/>
  <c r="B75" i="97"/>
  <c r="I53" i="97"/>
  <c r="E66" i="104"/>
  <c r="G66" i="104" s="1"/>
  <c r="H66" i="104" s="1"/>
  <c r="E77" i="104"/>
  <c r="G77" i="104" s="1"/>
  <c r="H77" i="104" s="1"/>
  <c r="C53" i="105"/>
  <c r="E69" i="104"/>
  <c r="G69" i="104" s="1"/>
  <c r="H69" i="104" s="1"/>
  <c r="E70" i="104"/>
  <c r="G70" i="104" s="1"/>
  <c r="H70" i="104" s="1"/>
  <c r="E73" i="104"/>
  <c r="G73" i="104" s="1"/>
  <c r="H73" i="104" s="1"/>
  <c r="E76" i="104"/>
  <c r="G76" i="104" s="1"/>
  <c r="H76" i="104" s="1"/>
  <c r="E74" i="104"/>
  <c r="G74" i="104" s="1"/>
  <c r="H74" i="104" s="1"/>
  <c r="E67" i="104"/>
  <c r="G67" i="104" s="1"/>
  <c r="H67" i="104" s="1"/>
  <c r="E72" i="104"/>
  <c r="G72" i="104" s="1"/>
  <c r="H72" i="104" s="1"/>
  <c r="E75" i="104"/>
  <c r="G75" i="104" s="1"/>
  <c r="H75" i="104" s="1"/>
  <c r="C53" i="104"/>
  <c r="E71" i="104"/>
  <c r="G71" i="104" s="1"/>
  <c r="H71" i="104" s="1"/>
  <c r="E68" i="104"/>
  <c r="G68" i="104" s="1"/>
  <c r="H68" i="104" s="1"/>
  <c r="D53" i="103"/>
  <c r="C54" i="103"/>
  <c r="G1" i="102"/>
  <c r="I1" i="102" s="1"/>
  <c r="C52" i="102" s="1"/>
  <c r="D52" i="102"/>
  <c r="E5" i="102"/>
  <c r="G5" i="102" s="1"/>
  <c r="H5" i="102" s="1"/>
  <c r="K5" i="102" s="1"/>
  <c r="G1" i="101"/>
  <c r="D52" i="101"/>
  <c r="I52" i="101"/>
  <c r="H52" i="101" s="1"/>
  <c r="J53" i="101"/>
  <c r="J54" i="101" s="1"/>
  <c r="V28" i="102"/>
  <c r="G1" i="99"/>
  <c r="J53" i="99"/>
  <c r="I52" i="99"/>
  <c r="H52" i="99" s="1"/>
  <c r="H53" i="99" s="1"/>
  <c r="I52" i="100"/>
  <c r="H52" i="100" s="1"/>
  <c r="J53" i="100"/>
  <c r="G1" i="100"/>
  <c r="D52" i="100"/>
  <c r="G1" i="98"/>
  <c r="J53" i="98"/>
  <c r="J54" i="98" s="1"/>
  <c r="I52" i="98"/>
  <c r="H52" i="98" s="1"/>
  <c r="G1" i="96"/>
  <c r="E6" i="96" s="1"/>
  <c r="G6" i="96" s="1"/>
  <c r="H6" i="96" s="1"/>
  <c r="K6" i="96" s="1"/>
  <c r="D52" i="96"/>
  <c r="I52" i="96"/>
  <c r="H52" i="96" s="1"/>
  <c r="J53" i="96"/>
  <c r="AM6" i="95"/>
  <c r="AO6" i="95" s="1"/>
  <c r="AP6" i="95" s="1"/>
  <c r="AM7" i="95"/>
  <c r="AO7" i="95" s="1"/>
  <c r="AP7" i="95" s="1"/>
  <c r="AS7" i="95" s="1"/>
  <c r="AM8" i="95"/>
  <c r="AO8" i="95" s="1"/>
  <c r="AP8" i="95" s="1"/>
  <c r="AS8" i="95" s="1"/>
  <c r="AM9" i="95"/>
  <c r="AO9" i="95" s="1"/>
  <c r="AP9" i="95" s="1"/>
  <c r="AS9" i="95" s="1"/>
  <c r="AM10" i="95"/>
  <c r="AO10" i="95" s="1"/>
  <c r="AP10" i="95" s="1"/>
  <c r="AS10" i="95" s="1"/>
  <c r="AM11" i="95"/>
  <c r="AO11" i="95" s="1"/>
  <c r="AP11" i="95" s="1"/>
  <c r="AS11" i="95" s="1"/>
  <c r="AM12" i="95"/>
  <c r="AO12" i="95" s="1"/>
  <c r="AP12" i="95" s="1"/>
  <c r="AS12" i="95" s="1"/>
  <c r="E1" i="95"/>
  <c r="I52" i="95"/>
  <c r="H52" i="95" s="1"/>
  <c r="J53" i="95"/>
  <c r="E1" i="94"/>
  <c r="V28" i="94" l="1"/>
  <c r="K13" i="94"/>
  <c r="L13" i="101"/>
  <c r="V35" i="101" s="1"/>
  <c r="X28" i="101"/>
  <c r="C55" i="114"/>
  <c r="D54" i="114"/>
  <c r="J55" i="106"/>
  <c r="I54" i="106"/>
  <c r="B113" i="113"/>
  <c r="H113" i="113" s="1"/>
  <c r="J56" i="113"/>
  <c r="I55" i="113"/>
  <c r="E75" i="106"/>
  <c r="G75" i="106" s="1"/>
  <c r="H75" i="106" s="1"/>
  <c r="E74" i="106"/>
  <c r="G74" i="106" s="1"/>
  <c r="H74" i="106" s="1"/>
  <c r="E73" i="106"/>
  <c r="G73" i="106" s="1"/>
  <c r="H73" i="106" s="1"/>
  <c r="E72" i="106"/>
  <c r="G72" i="106" s="1"/>
  <c r="H72" i="106" s="1"/>
  <c r="E71" i="106"/>
  <c r="G71" i="106" s="1"/>
  <c r="H71" i="106" s="1"/>
  <c r="E70" i="106"/>
  <c r="G70" i="106" s="1"/>
  <c r="H70" i="106" s="1"/>
  <c r="E69" i="106"/>
  <c r="G69" i="106" s="1"/>
  <c r="H69" i="106" s="1"/>
  <c r="E68" i="106"/>
  <c r="G68" i="106" s="1"/>
  <c r="H68" i="106" s="1"/>
  <c r="E67" i="106"/>
  <c r="G67" i="106" s="1"/>
  <c r="H67" i="106" s="1"/>
  <c r="E66" i="106"/>
  <c r="G66" i="106" s="1"/>
  <c r="H66" i="106" s="1"/>
  <c r="D53" i="106"/>
  <c r="E92" i="106"/>
  <c r="G92" i="106" s="1"/>
  <c r="H92" i="106" s="1"/>
  <c r="E91" i="106"/>
  <c r="G91" i="106" s="1"/>
  <c r="H91" i="106" s="1"/>
  <c r="E90" i="106"/>
  <c r="G90" i="106" s="1"/>
  <c r="H90" i="106" s="1"/>
  <c r="E89" i="106"/>
  <c r="G89" i="106" s="1"/>
  <c r="H89" i="106" s="1"/>
  <c r="E88" i="106"/>
  <c r="G88" i="106" s="1"/>
  <c r="H88" i="106" s="1"/>
  <c r="E87" i="106"/>
  <c r="G87" i="106" s="1"/>
  <c r="H87" i="106" s="1"/>
  <c r="E86" i="106"/>
  <c r="G86" i="106" s="1"/>
  <c r="H86" i="106" s="1"/>
  <c r="E85" i="106"/>
  <c r="G85" i="106" s="1"/>
  <c r="H85" i="106" s="1"/>
  <c r="E84" i="106"/>
  <c r="G84" i="106" s="1"/>
  <c r="H84" i="106" s="1"/>
  <c r="E83" i="106"/>
  <c r="G83" i="106" s="1"/>
  <c r="H83" i="106" s="1"/>
  <c r="D54" i="106"/>
  <c r="C55" i="106"/>
  <c r="H55" i="113"/>
  <c r="H55" i="112"/>
  <c r="C53" i="109"/>
  <c r="C54" i="109" s="1"/>
  <c r="C55" i="109" s="1"/>
  <c r="H65" i="108"/>
  <c r="D53" i="107"/>
  <c r="B62" i="107"/>
  <c r="B63" i="107"/>
  <c r="E66" i="107"/>
  <c r="G66" i="107" s="1"/>
  <c r="H66" i="107" s="1"/>
  <c r="E67" i="107"/>
  <c r="G67" i="107" s="1"/>
  <c r="H67" i="107" s="1"/>
  <c r="E68" i="107"/>
  <c r="G68" i="107" s="1"/>
  <c r="H68" i="107" s="1"/>
  <c r="E69" i="107"/>
  <c r="G69" i="107" s="1"/>
  <c r="H69" i="107" s="1"/>
  <c r="E70" i="107"/>
  <c r="G70" i="107" s="1"/>
  <c r="H70" i="107" s="1"/>
  <c r="E71" i="107"/>
  <c r="G71" i="107" s="1"/>
  <c r="H71" i="107" s="1"/>
  <c r="E74" i="107"/>
  <c r="G74" i="107" s="1"/>
  <c r="H74" i="107" s="1"/>
  <c r="E75" i="107"/>
  <c r="G75" i="107" s="1"/>
  <c r="H75" i="107" s="1"/>
  <c r="E76" i="107"/>
  <c r="G76" i="107" s="1"/>
  <c r="H76" i="107" s="1"/>
  <c r="E77" i="107"/>
  <c r="G77" i="107" s="1"/>
  <c r="H77" i="107" s="1"/>
  <c r="E78" i="107"/>
  <c r="G78" i="107" s="1"/>
  <c r="H78" i="107" s="1"/>
  <c r="E79" i="107"/>
  <c r="G79" i="107" s="1"/>
  <c r="H79" i="107" s="1"/>
  <c r="E80" i="107"/>
  <c r="G80" i="107" s="1"/>
  <c r="H80" i="107" s="1"/>
  <c r="E81" i="107"/>
  <c r="G81" i="107" s="1"/>
  <c r="H81" i="107" s="1"/>
  <c r="E82" i="107"/>
  <c r="G82" i="107" s="1"/>
  <c r="H82" i="107" s="1"/>
  <c r="E83" i="107"/>
  <c r="G83" i="107" s="1"/>
  <c r="H83" i="107" s="1"/>
  <c r="E84" i="107"/>
  <c r="G84" i="107" s="1"/>
  <c r="H84" i="107" s="1"/>
  <c r="E85" i="107"/>
  <c r="G85" i="107" s="1"/>
  <c r="H85" i="107" s="1"/>
  <c r="E86" i="107"/>
  <c r="G86" i="107" s="1"/>
  <c r="H86" i="107" s="1"/>
  <c r="E87" i="107"/>
  <c r="G87" i="107" s="1"/>
  <c r="H87" i="107" s="1"/>
  <c r="B91" i="107"/>
  <c r="B92" i="107"/>
  <c r="E72" i="107"/>
  <c r="G72" i="107" s="1"/>
  <c r="H72" i="107" s="1"/>
  <c r="E73" i="107"/>
  <c r="G73" i="107" s="1"/>
  <c r="H73" i="107" s="1"/>
  <c r="D54" i="107"/>
  <c r="E95" i="107"/>
  <c r="G95" i="107" s="1"/>
  <c r="H95" i="107" s="1"/>
  <c r="E96" i="107"/>
  <c r="G96" i="107" s="1"/>
  <c r="H96" i="107" s="1"/>
  <c r="E97" i="107"/>
  <c r="G97" i="107" s="1"/>
  <c r="H97" i="107" s="1"/>
  <c r="E98" i="107"/>
  <c r="G98" i="107" s="1"/>
  <c r="H98" i="107" s="1"/>
  <c r="E99" i="107"/>
  <c r="G99" i="107" s="1"/>
  <c r="H99" i="107" s="1"/>
  <c r="E100" i="107"/>
  <c r="G100" i="107" s="1"/>
  <c r="H100" i="107" s="1"/>
  <c r="E101" i="107"/>
  <c r="G101" i="107" s="1"/>
  <c r="H101" i="107" s="1"/>
  <c r="E102" i="107"/>
  <c r="G102" i="107" s="1"/>
  <c r="H102" i="107" s="1"/>
  <c r="E103" i="107"/>
  <c r="G103" i="107" s="1"/>
  <c r="H103" i="107" s="1"/>
  <c r="E104" i="107"/>
  <c r="G104" i="107" s="1"/>
  <c r="H104" i="107" s="1"/>
  <c r="E105" i="107"/>
  <c r="G105" i="107" s="1"/>
  <c r="H105" i="107" s="1"/>
  <c r="E106" i="107"/>
  <c r="G106" i="107" s="1"/>
  <c r="H106" i="107" s="1"/>
  <c r="E107" i="107"/>
  <c r="G107" i="107" s="1"/>
  <c r="H107" i="107" s="1"/>
  <c r="E108" i="107"/>
  <c r="G108" i="107" s="1"/>
  <c r="H108" i="107" s="1"/>
  <c r="E109" i="107"/>
  <c r="G109" i="107" s="1"/>
  <c r="H109" i="107" s="1"/>
  <c r="E110" i="107"/>
  <c r="G110" i="107" s="1"/>
  <c r="H110" i="107" s="1"/>
  <c r="E111" i="107"/>
  <c r="G111" i="107" s="1"/>
  <c r="H111" i="107" s="1"/>
  <c r="E112" i="107"/>
  <c r="G112" i="107" s="1"/>
  <c r="H112" i="107" s="1"/>
  <c r="E113" i="107"/>
  <c r="G113" i="107" s="1"/>
  <c r="H113" i="107" s="1"/>
  <c r="E114" i="107"/>
  <c r="G114" i="107" s="1"/>
  <c r="H114" i="107" s="1"/>
  <c r="E115" i="107"/>
  <c r="G115" i="107" s="1"/>
  <c r="H115" i="107" s="1"/>
  <c r="E116" i="107"/>
  <c r="G116" i="107" s="1"/>
  <c r="H116" i="107" s="1"/>
  <c r="C53" i="108"/>
  <c r="E92" i="113"/>
  <c r="G92" i="113" s="1"/>
  <c r="H92" i="113" s="1"/>
  <c r="E91" i="113"/>
  <c r="G91" i="113" s="1"/>
  <c r="H91" i="113" s="1"/>
  <c r="E90" i="113"/>
  <c r="G90" i="113" s="1"/>
  <c r="H90" i="113" s="1"/>
  <c r="E88" i="113"/>
  <c r="G88" i="113" s="1"/>
  <c r="H88" i="113" s="1"/>
  <c r="E89" i="113"/>
  <c r="G89" i="113" s="1"/>
  <c r="H89" i="113" s="1"/>
  <c r="E87" i="113"/>
  <c r="G87" i="113" s="1"/>
  <c r="H87" i="113" s="1"/>
  <c r="E86" i="113"/>
  <c r="G86" i="113" s="1"/>
  <c r="H86" i="113" s="1"/>
  <c r="E85" i="113"/>
  <c r="G85" i="113" s="1"/>
  <c r="H85" i="113" s="1"/>
  <c r="E84" i="113"/>
  <c r="G84" i="113" s="1"/>
  <c r="H84" i="113" s="1"/>
  <c r="E83" i="113"/>
  <c r="G83" i="113" s="1"/>
  <c r="H83" i="113" s="1"/>
  <c r="E82" i="113"/>
  <c r="G82" i="113" s="1"/>
  <c r="H82" i="113" s="1"/>
  <c r="E82" i="112"/>
  <c r="G82" i="112" s="1"/>
  <c r="H82" i="112" s="1"/>
  <c r="E81" i="112"/>
  <c r="G81" i="112" s="1"/>
  <c r="H81" i="112" s="1"/>
  <c r="E80" i="112"/>
  <c r="G80" i="112" s="1"/>
  <c r="H80" i="112" s="1"/>
  <c r="E79" i="112"/>
  <c r="G79" i="112" s="1"/>
  <c r="H79" i="112" s="1"/>
  <c r="E78" i="112"/>
  <c r="G78" i="112" s="1"/>
  <c r="H78" i="112" s="1"/>
  <c r="E77" i="112"/>
  <c r="G77" i="112" s="1"/>
  <c r="H77" i="112" s="1"/>
  <c r="H54" i="111"/>
  <c r="H55" i="111" s="1"/>
  <c r="I54" i="111"/>
  <c r="J55" i="111"/>
  <c r="I55" i="111" s="1"/>
  <c r="E94" i="107"/>
  <c r="G94" i="107" s="1"/>
  <c r="H94" i="107" s="1"/>
  <c r="H55" i="107"/>
  <c r="I57" i="112"/>
  <c r="J58" i="112"/>
  <c r="I58" i="112" s="1"/>
  <c r="C53" i="97"/>
  <c r="C54" i="97" s="1"/>
  <c r="D54" i="97" s="1"/>
  <c r="H54" i="97"/>
  <c r="E65" i="97"/>
  <c r="G65" i="97" s="1"/>
  <c r="H65" i="97" s="1"/>
  <c r="B91" i="97"/>
  <c r="I54" i="97"/>
  <c r="B106" i="97"/>
  <c r="I55" i="97"/>
  <c r="D53" i="105"/>
  <c r="C54" i="105"/>
  <c r="D54" i="105" s="1"/>
  <c r="D53" i="104"/>
  <c r="C54" i="104"/>
  <c r="D54" i="103"/>
  <c r="C55" i="103"/>
  <c r="C53" i="102"/>
  <c r="E5" i="101"/>
  <c r="G5" i="101" s="1"/>
  <c r="H5" i="101" s="1"/>
  <c r="K5" i="101" s="1"/>
  <c r="L5" i="101" s="1"/>
  <c r="S35" i="101" s="1"/>
  <c r="E6" i="101"/>
  <c r="G6" i="101" s="1"/>
  <c r="H6" i="101" s="1"/>
  <c r="K6" i="101" s="1"/>
  <c r="E7" i="101"/>
  <c r="E65" i="101"/>
  <c r="G65" i="101" s="1"/>
  <c r="H65" i="101" s="1"/>
  <c r="E66" i="101"/>
  <c r="G66" i="101" s="1"/>
  <c r="H66" i="101" s="1"/>
  <c r="E67" i="101"/>
  <c r="G67" i="101" s="1"/>
  <c r="H67" i="101" s="1"/>
  <c r="H53" i="101"/>
  <c r="I53" i="101"/>
  <c r="B69" i="101"/>
  <c r="H69" i="101" s="1"/>
  <c r="I54" i="101"/>
  <c r="J55" i="101"/>
  <c r="I55" i="101" s="1"/>
  <c r="G66" i="99"/>
  <c r="H66" i="99" s="1"/>
  <c r="G70" i="99"/>
  <c r="H70" i="99" s="1"/>
  <c r="G65" i="99"/>
  <c r="H65" i="99" s="1"/>
  <c r="G67" i="99"/>
  <c r="H67" i="99" s="1"/>
  <c r="G69" i="99"/>
  <c r="H69" i="99" s="1"/>
  <c r="G68" i="99"/>
  <c r="H68" i="99" s="1"/>
  <c r="E5" i="99"/>
  <c r="G5" i="99" s="1"/>
  <c r="H5" i="99" s="1"/>
  <c r="K5" i="99" s="1"/>
  <c r="E6" i="99"/>
  <c r="G6" i="99" s="1"/>
  <c r="H6" i="99" s="1"/>
  <c r="K6" i="99" s="1"/>
  <c r="E9" i="99"/>
  <c r="E8" i="99"/>
  <c r="G8" i="99" s="1"/>
  <c r="H8" i="99" s="1"/>
  <c r="K8" i="99" s="1"/>
  <c r="E10" i="99"/>
  <c r="G10" i="99" s="1"/>
  <c r="H10" i="99" s="1"/>
  <c r="K10" i="99" s="1"/>
  <c r="E7" i="99"/>
  <c r="I53" i="99"/>
  <c r="J54" i="99"/>
  <c r="B72" i="99"/>
  <c r="H72" i="99" s="1"/>
  <c r="H53" i="100"/>
  <c r="I53" i="100"/>
  <c r="B71" i="100"/>
  <c r="H71" i="100" s="1"/>
  <c r="E8" i="100"/>
  <c r="E6" i="100"/>
  <c r="G6" i="100" s="1"/>
  <c r="H6" i="100" s="1"/>
  <c r="K6" i="100" s="1"/>
  <c r="E9" i="100"/>
  <c r="E5" i="100"/>
  <c r="G5" i="100" s="1"/>
  <c r="H5" i="100" s="1"/>
  <c r="K5" i="100" s="1"/>
  <c r="E66" i="100"/>
  <c r="G66" i="100" s="1"/>
  <c r="H66" i="100" s="1"/>
  <c r="E68" i="100"/>
  <c r="G68" i="100" s="1"/>
  <c r="H68" i="100" s="1"/>
  <c r="E65" i="100"/>
  <c r="G65" i="100" s="1"/>
  <c r="H65" i="100" s="1"/>
  <c r="E67" i="100"/>
  <c r="G67" i="100" s="1"/>
  <c r="H67" i="100" s="1"/>
  <c r="E69" i="100"/>
  <c r="G69" i="100" s="1"/>
  <c r="H69" i="100" s="1"/>
  <c r="J54" i="100"/>
  <c r="E9" i="98"/>
  <c r="E6" i="98"/>
  <c r="G6" i="98" s="1"/>
  <c r="H6" i="98" s="1"/>
  <c r="K6" i="98" s="1"/>
  <c r="E8" i="98"/>
  <c r="E5" i="98"/>
  <c r="G5" i="98" s="1"/>
  <c r="H5" i="98" s="1"/>
  <c r="K5" i="98" s="1"/>
  <c r="G65" i="98"/>
  <c r="H65" i="98" s="1"/>
  <c r="G66" i="98"/>
  <c r="H66" i="98" s="1"/>
  <c r="G67" i="98"/>
  <c r="H67" i="98" s="1"/>
  <c r="G68" i="98"/>
  <c r="H68" i="98" s="1"/>
  <c r="G69" i="98"/>
  <c r="H69" i="98" s="1"/>
  <c r="B71" i="98"/>
  <c r="H71" i="98" s="1"/>
  <c r="I53" i="98"/>
  <c r="H53" i="98"/>
  <c r="I54" i="98"/>
  <c r="J55" i="98"/>
  <c r="I55" i="98" s="1"/>
  <c r="H54" i="99"/>
  <c r="H55" i="99" s="1"/>
  <c r="E5" i="96"/>
  <c r="G5" i="96" s="1"/>
  <c r="H5" i="96" s="1"/>
  <c r="K5" i="96" s="1"/>
  <c r="E9" i="96"/>
  <c r="E8" i="96"/>
  <c r="G8" i="96" s="1"/>
  <c r="H8" i="96" s="1"/>
  <c r="K8" i="96" s="1"/>
  <c r="E7" i="96"/>
  <c r="E10" i="96"/>
  <c r="G10" i="96" s="1"/>
  <c r="H10" i="96" s="1"/>
  <c r="K10" i="96" s="1"/>
  <c r="L10" i="96" s="1"/>
  <c r="E66" i="96"/>
  <c r="G66" i="96" s="1"/>
  <c r="H66" i="96" s="1"/>
  <c r="E68" i="96"/>
  <c r="G68" i="96" s="1"/>
  <c r="H68" i="96" s="1"/>
  <c r="E70" i="96"/>
  <c r="G70" i="96" s="1"/>
  <c r="H70" i="96" s="1"/>
  <c r="E65" i="96"/>
  <c r="G65" i="96" s="1"/>
  <c r="H65" i="96" s="1"/>
  <c r="E67" i="96"/>
  <c r="G67" i="96" s="1"/>
  <c r="H67" i="96" s="1"/>
  <c r="E69" i="96"/>
  <c r="G69" i="96" s="1"/>
  <c r="H69" i="96" s="1"/>
  <c r="H53" i="96"/>
  <c r="I53" i="96"/>
  <c r="B72" i="96"/>
  <c r="H72" i="96" s="1"/>
  <c r="J54" i="96"/>
  <c r="V28" i="95"/>
  <c r="AS6" i="95"/>
  <c r="AT6" i="95" s="1"/>
  <c r="D52" i="95"/>
  <c r="G1" i="95"/>
  <c r="I1" i="95" s="1"/>
  <c r="C52" i="95" s="1"/>
  <c r="H53" i="95"/>
  <c r="E5" i="95"/>
  <c r="G5" i="95" s="1"/>
  <c r="H5" i="95" s="1"/>
  <c r="K5" i="95" s="1"/>
  <c r="E65" i="95"/>
  <c r="G65" i="95" s="1"/>
  <c r="H65" i="95" s="1"/>
  <c r="I52" i="94"/>
  <c r="H52" i="94" s="1"/>
  <c r="J53" i="94"/>
  <c r="G1" i="94"/>
  <c r="D52" i="94"/>
  <c r="E68" i="94" s="1"/>
  <c r="G68" i="94" s="1"/>
  <c r="H68" i="94" s="1"/>
  <c r="I53" i="95"/>
  <c r="J54" i="95"/>
  <c r="B71" i="37"/>
  <c r="C71" i="37"/>
  <c r="D71" i="37"/>
  <c r="F71" i="37"/>
  <c r="B72" i="37"/>
  <c r="C72" i="37"/>
  <c r="D72" i="37"/>
  <c r="F72" i="37"/>
  <c r="B73" i="37"/>
  <c r="C73" i="37"/>
  <c r="D73" i="37"/>
  <c r="F73" i="37"/>
  <c r="B74" i="37"/>
  <c r="C74" i="37"/>
  <c r="D74" i="37"/>
  <c r="F74" i="37"/>
  <c r="B75" i="37"/>
  <c r="C75" i="37"/>
  <c r="D75" i="37"/>
  <c r="F75" i="37"/>
  <c r="B76" i="37"/>
  <c r="C76" i="37"/>
  <c r="D76" i="37"/>
  <c r="F76" i="37"/>
  <c r="I14" i="37"/>
  <c r="I15" i="37"/>
  <c r="I16" i="37"/>
  <c r="L13" i="1"/>
  <c r="O13" i="1" s="1"/>
  <c r="I157" i="1"/>
  <c r="I156" i="1"/>
  <c r="J156" i="1" s="1"/>
  <c r="L13" i="94" l="1"/>
  <c r="V35" i="94" s="1"/>
  <c r="X28" i="94"/>
  <c r="C56" i="114"/>
  <c r="D56" i="114" s="1"/>
  <c r="D55" i="114"/>
  <c r="B112" i="106"/>
  <c r="I55" i="106"/>
  <c r="J5" i="97"/>
  <c r="L5" i="97" s="1"/>
  <c r="S35" i="97" s="1"/>
  <c r="AA30" i="97" s="1"/>
  <c r="J5" i="113"/>
  <c r="L5" i="113" s="1"/>
  <c r="E95" i="112"/>
  <c r="G95" i="112" s="1"/>
  <c r="H95" i="112" s="1"/>
  <c r="E96" i="112"/>
  <c r="G96" i="112" s="1"/>
  <c r="H96" i="112" s="1"/>
  <c r="B98" i="106"/>
  <c r="B63" i="106"/>
  <c r="B80" i="106"/>
  <c r="B62" i="106"/>
  <c r="E94" i="106"/>
  <c r="G94" i="106"/>
  <c r="E109" i="106"/>
  <c r="G109" i="106" s="1"/>
  <c r="H109" i="106" s="1"/>
  <c r="E110" i="106"/>
  <c r="G110" i="106" s="1"/>
  <c r="H110" i="106" s="1"/>
  <c r="B97" i="106"/>
  <c r="B79" i="106"/>
  <c r="B130" i="113"/>
  <c r="H130" i="113" s="1"/>
  <c r="I56" i="113"/>
  <c r="J57" i="113"/>
  <c r="J58" i="113" s="1"/>
  <c r="I58" i="113" s="1"/>
  <c r="E94" i="112"/>
  <c r="G94" i="112" s="1"/>
  <c r="H94" i="112" s="1"/>
  <c r="E93" i="112"/>
  <c r="G93" i="112" s="1"/>
  <c r="H93" i="112" s="1"/>
  <c r="E92" i="112"/>
  <c r="G92" i="112" s="1"/>
  <c r="H92" i="112" s="1"/>
  <c r="E91" i="112"/>
  <c r="G91" i="112" s="1"/>
  <c r="H91" i="112" s="1"/>
  <c r="G77" i="106"/>
  <c r="E77" i="106"/>
  <c r="D55" i="106"/>
  <c r="E101" i="106"/>
  <c r="G101" i="106" s="1"/>
  <c r="H101" i="106" s="1"/>
  <c r="E102" i="106"/>
  <c r="G102" i="106" s="1"/>
  <c r="H102" i="106" s="1"/>
  <c r="E103" i="106"/>
  <c r="G103" i="106" s="1"/>
  <c r="H103" i="106" s="1"/>
  <c r="E104" i="106"/>
  <c r="G104" i="106" s="1"/>
  <c r="H104" i="106" s="1"/>
  <c r="E105" i="106"/>
  <c r="G105" i="106" s="1"/>
  <c r="H105" i="106" s="1"/>
  <c r="E106" i="106"/>
  <c r="G106" i="106" s="1"/>
  <c r="H106" i="106" s="1"/>
  <c r="E107" i="106"/>
  <c r="G107" i="106" s="1"/>
  <c r="H107" i="106" s="1"/>
  <c r="E108" i="106"/>
  <c r="G108" i="106" s="1"/>
  <c r="H108" i="106" s="1"/>
  <c r="E111" i="113"/>
  <c r="G111" i="113" s="1"/>
  <c r="H111" i="113" s="1"/>
  <c r="E110" i="113"/>
  <c r="G110" i="113" s="1"/>
  <c r="H110" i="113" s="1"/>
  <c r="E109" i="113"/>
  <c r="G109" i="113" s="1"/>
  <c r="H109" i="113" s="1"/>
  <c r="E108" i="113"/>
  <c r="G108" i="113" s="1"/>
  <c r="H108" i="113" s="1"/>
  <c r="E107" i="113"/>
  <c r="G107" i="113" s="1"/>
  <c r="H107" i="113" s="1"/>
  <c r="E106" i="113"/>
  <c r="G106" i="113" s="1"/>
  <c r="H106" i="113" s="1"/>
  <c r="E105" i="113"/>
  <c r="G105" i="113" s="1"/>
  <c r="H105" i="113" s="1"/>
  <c r="E104" i="113"/>
  <c r="G104" i="113" s="1"/>
  <c r="H104" i="113" s="1"/>
  <c r="E103" i="113"/>
  <c r="G103" i="113" s="1"/>
  <c r="H103" i="113" s="1"/>
  <c r="E102" i="113"/>
  <c r="G102" i="113" s="1"/>
  <c r="H102" i="113" s="1"/>
  <c r="E101" i="113"/>
  <c r="G101" i="113" s="1"/>
  <c r="H101" i="113" s="1"/>
  <c r="H56" i="113"/>
  <c r="H56" i="112"/>
  <c r="C54" i="108"/>
  <c r="B62" i="108" s="1"/>
  <c r="B62" i="109"/>
  <c r="B110" i="109"/>
  <c r="B111" i="109"/>
  <c r="B63" i="109"/>
  <c r="E66" i="109"/>
  <c r="G66" i="109" s="1"/>
  <c r="H66" i="109" s="1"/>
  <c r="E67" i="109"/>
  <c r="G67" i="109" s="1"/>
  <c r="H67" i="109" s="1"/>
  <c r="E68" i="109"/>
  <c r="G68" i="109" s="1"/>
  <c r="H68" i="109" s="1"/>
  <c r="E69" i="109"/>
  <c r="G69" i="109" s="1"/>
  <c r="H69" i="109" s="1"/>
  <c r="E70" i="109"/>
  <c r="G70" i="109" s="1"/>
  <c r="H70" i="109" s="1"/>
  <c r="E71" i="109"/>
  <c r="G71" i="109" s="1"/>
  <c r="H71" i="109" s="1"/>
  <c r="E72" i="109"/>
  <c r="G72" i="109" s="1"/>
  <c r="H72" i="109" s="1"/>
  <c r="E73" i="109"/>
  <c r="G73" i="109" s="1"/>
  <c r="H73" i="109" s="1"/>
  <c r="E74" i="109"/>
  <c r="G74" i="109" s="1"/>
  <c r="H74" i="109" s="1"/>
  <c r="E75" i="109"/>
  <c r="G75" i="109" s="1"/>
  <c r="H75" i="109" s="1"/>
  <c r="E76" i="109"/>
  <c r="G76" i="109" s="1"/>
  <c r="H76" i="109" s="1"/>
  <c r="D53" i="109"/>
  <c r="E77" i="109"/>
  <c r="G77" i="109" s="1"/>
  <c r="H77" i="109" s="1"/>
  <c r="E78" i="109"/>
  <c r="G78" i="109" s="1"/>
  <c r="H78" i="109" s="1"/>
  <c r="E79" i="109"/>
  <c r="G79" i="109" s="1"/>
  <c r="H79" i="109" s="1"/>
  <c r="E80" i="109"/>
  <c r="G80" i="109" s="1"/>
  <c r="H80" i="109" s="1"/>
  <c r="E81" i="109"/>
  <c r="G81" i="109" s="1"/>
  <c r="H81" i="109" s="1"/>
  <c r="B85" i="109"/>
  <c r="B86" i="109"/>
  <c r="E100" i="109"/>
  <c r="G100" i="109" s="1"/>
  <c r="H100" i="109" s="1"/>
  <c r="E101" i="109"/>
  <c r="G101" i="109" s="1"/>
  <c r="H101" i="109" s="1"/>
  <c r="E102" i="109"/>
  <c r="G102" i="109" s="1"/>
  <c r="H102" i="109" s="1"/>
  <c r="E103" i="109"/>
  <c r="G103" i="109" s="1"/>
  <c r="H103" i="109" s="1"/>
  <c r="E104" i="109"/>
  <c r="G104" i="109" s="1"/>
  <c r="H104" i="109" s="1"/>
  <c r="D54" i="109"/>
  <c r="E89" i="109"/>
  <c r="G89" i="109" s="1"/>
  <c r="H89" i="109" s="1"/>
  <c r="E90" i="109"/>
  <c r="G90" i="109" s="1"/>
  <c r="H90" i="109" s="1"/>
  <c r="E91" i="109"/>
  <c r="G91" i="109" s="1"/>
  <c r="H91" i="109" s="1"/>
  <c r="E92" i="109"/>
  <c r="G92" i="109" s="1"/>
  <c r="H92" i="109" s="1"/>
  <c r="E93" i="109"/>
  <c r="G93" i="109" s="1"/>
  <c r="H93" i="109" s="1"/>
  <c r="E94" i="109"/>
  <c r="G94" i="109" s="1"/>
  <c r="H94" i="109" s="1"/>
  <c r="E95" i="109"/>
  <c r="G95" i="109" s="1"/>
  <c r="H95" i="109" s="1"/>
  <c r="E96" i="109"/>
  <c r="G96" i="109" s="1"/>
  <c r="H96" i="109" s="1"/>
  <c r="E97" i="109"/>
  <c r="G97" i="109" s="1"/>
  <c r="H97" i="109" s="1"/>
  <c r="E98" i="109"/>
  <c r="G98" i="109" s="1"/>
  <c r="H98" i="109" s="1"/>
  <c r="E99" i="109"/>
  <c r="G99" i="109" s="1"/>
  <c r="H99" i="109" s="1"/>
  <c r="E114" i="109"/>
  <c r="G114" i="109" s="1"/>
  <c r="H114" i="109" s="1"/>
  <c r="E115" i="109"/>
  <c r="G115" i="109" s="1"/>
  <c r="H115" i="109" s="1"/>
  <c r="E116" i="109"/>
  <c r="G116" i="109" s="1"/>
  <c r="H116" i="109" s="1"/>
  <c r="E117" i="109"/>
  <c r="G117" i="109" s="1"/>
  <c r="H117" i="109" s="1"/>
  <c r="E118" i="109"/>
  <c r="G118" i="109" s="1"/>
  <c r="H118" i="109" s="1"/>
  <c r="E119" i="109"/>
  <c r="G119" i="109" s="1"/>
  <c r="H119" i="109" s="1"/>
  <c r="E120" i="109"/>
  <c r="G120" i="109" s="1"/>
  <c r="H120" i="109" s="1"/>
  <c r="E121" i="109"/>
  <c r="G121" i="109" s="1"/>
  <c r="H121" i="109" s="1"/>
  <c r="E122" i="109"/>
  <c r="G122" i="109" s="1"/>
  <c r="H122" i="109" s="1"/>
  <c r="E123" i="109"/>
  <c r="G123" i="109" s="1"/>
  <c r="H123" i="109" s="1"/>
  <c r="E124" i="109"/>
  <c r="G124" i="109" s="1"/>
  <c r="H124" i="109" s="1"/>
  <c r="E125" i="109"/>
  <c r="G125" i="109" s="1"/>
  <c r="H125" i="109" s="1"/>
  <c r="E127" i="109"/>
  <c r="G127" i="109" s="1"/>
  <c r="H127" i="109" s="1"/>
  <c r="E129" i="109"/>
  <c r="G129" i="109" s="1"/>
  <c r="H129" i="109" s="1"/>
  <c r="E126" i="109"/>
  <c r="G126" i="109" s="1"/>
  <c r="H126" i="109" s="1"/>
  <c r="E128" i="109"/>
  <c r="G128" i="109" s="1"/>
  <c r="H128" i="109" s="1"/>
  <c r="D55" i="109"/>
  <c r="E89" i="107"/>
  <c r="G89" i="107"/>
  <c r="E118" i="107"/>
  <c r="G118" i="107"/>
  <c r="D53" i="108"/>
  <c r="E66" i="108"/>
  <c r="G66" i="108" s="1"/>
  <c r="H66" i="108" s="1"/>
  <c r="E67" i="108"/>
  <c r="G67" i="108" s="1"/>
  <c r="H67" i="108" s="1"/>
  <c r="E68" i="108"/>
  <c r="G68" i="108" s="1"/>
  <c r="H68" i="108" s="1"/>
  <c r="E69" i="108"/>
  <c r="G69" i="108" s="1"/>
  <c r="H69" i="108" s="1"/>
  <c r="E70" i="108"/>
  <c r="G70" i="108" s="1"/>
  <c r="H70" i="108" s="1"/>
  <c r="E72" i="97"/>
  <c r="G72" i="97" s="1"/>
  <c r="H72" i="97" s="1"/>
  <c r="E71" i="97"/>
  <c r="G71" i="97" s="1"/>
  <c r="H71" i="97" s="1"/>
  <c r="E68" i="97"/>
  <c r="G68" i="97" s="1"/>
  <c r="H68" i="97" s="1"/>
  <c r="E67" i="97"/>
  <c r="G67" i="97" s="1"/>
  <c r="H67" i="97" s="1"/>
  <c r="E73" i="97"/>
  <c r="G73" i="97" s="1"/>
  <c r="H73" i="97" s="1"/>
  <c r="E69" i="97"/>
  <c r="G69" i="97" s="1"/>
  <c r="H69" i="97" s="1"/>
  <c r="D53" i="97"/>
  <c r="E75" i="97" s="1"/>
  <c r="E66" i="97"/>
  <c r="G66" i="97" s="1"/>
  <c r="H66" i="97" s="1"/>
  <c r="E70" i="97"/>
  <c r="G70" i="97" s="1"/>
  <c r="H70" i="97" s="1"/>
  <c r="E89" i="97"/>
  <c r="G89" i="97" s="1"/>
  <c r="H89" i="97" s="1"/>
  <c r="E88" i="97"/>
  <c r="G88" i="97" s="1"/>
  <c r="H88" i="97" s="1"/>
  <c r="E86" i="97"/>
  <c r="G86" i="97" s="1"/>
  <c r="H86" i="97" s="1"/>
  <c r="E85" i="97"/>
  <c r="G85" i="97" s="1"/>
  <c r="H85" i="97" s="1"/>
  <c r="E84" i="97"/>
  <c r="G84" i="97" s="1"/>
  <c r="H84" i="97" s="1"/>
  <c r="E83" i="97"/>
  <c r="G83" i="97" s="1"/>
  <c r="H83" i="97" s="1"/>
  <c r="E82" i="97"/>
  <c r="G82" i="97" s="1"/>
  <c r="H82" i="97" s="1"/>
  <c r="C55" i="97"/>
  <c r="B62" i="97" s="1"/>
  <c r="E87" i="97"/>
  <c r="G87" i="97" s="1"/>
  <c r="H87" i="97" s="1"/>
  <c r="E81" i="97"/>
  <c r="G81" i="97" s="1"/>
  <c r="H81" i="97" s="1"/>
  <c r="H55" i="97"/>
  <c r="E96" i="97" s="1"/>
  <c r="G96" i="97" s="1"/>
  <c r="H96" i="97" s="1"/>
  <c r="C55" i="105"/>
  <c r="D55" i="105" s="1"/>
  <c r="D54" i="104"/>
  <c r="C55" i="104"/>
  <c r="D55" i="104" s="1"/>
  <c r="D55" i="103"/>
  <c r="C56" i="103"/>
  <c r="D56" i="103" s="1"/>
  <c r="AB30" i="101"/>
  <c r="D53" i="102"/>
  <c r="C54" i="102"/>
  <c r="H54" i="101"/>
  <c r="H55" i="101" s="1"/>
  <c r="I54" i="99"/>
  <c r="J55" i="99"/>
  <c r="I55" i="99" s="1"/>
  <c r="H54" i="100"/>
  <c r="H55" i="100" s="1"/>
  <c r="I54" i="100"/>
  <c r="J55" i="100"/>
  <c r="I55" i="100" s="1"/>
  <c r="H54" i="98"/>
  <c r="H55" i="98" s="1"/>
  <c r="I54" i="96"/>
  <c r="J55" i="96"/>
  <c r="I55" i="96" s="1"/>
  <c r="H54" i="96"/>
  <c r="H55" i="96" s="1"/>
  <c r="C53" i="95"/>
  <c r="H53" i="94"/>
  <c r="I53" i="94"/>
  <c r="H70" i="94"/>
  <c r="E5" i="94"/>
  <c r="G5" i="94" s="1"/>
  <c r="H5" i="94" s="1"/>
  <c r="K5" i="94" s="1"/>
  <c r="E7" i="94"/>
  <c r="E8" i="94"/>
  <c r="E6" i="94"/>
  <c r="G6" i="94" s="1"/>
  <c r="H6" i="94" s="1"/>
  <c r="K6" i="94" s="1"/>
  <c r="E65" i="94"/>
  <c r="G65" i="94" s="1"/>
  <c r="H65" i="94" s="1"/>
  <c r="E66" i="94"/>
  <c r="G66" i="94" s="1"/>
  <c r="H66" i="94" s="1"/>
  <c r="E67" i="94"/>
  <c r="G67" i="94" s="1"/>
  <c r="H67" i="94" s="1"/>
  <c r="H54" i="95"/>
  <c r="H55" i="95" s="1"/>
  <c r="J54" i="94"/>
  <c r="I54" i="95"/>
  <c r="J55" i="95"/>
  <c r="I55" i="95" s="1"/>
  <c r="J157" i="1"/>
  <c r="O157" i="1"/>
  <c r="K13" i="1"/>
  <c r="N13" i="1" s="1"/>
  <c r="D6" i="54"/>
  <c r="D71" i="53"/>
  <c r="B70" i="53"/>
  <c r="C70" i="53"/>
  <c r="D70" i="53"/>
  <c r="F70" i="53"/>
  <c r="B71" i="53"/>
  <c r="C71" i="53"/>
  <c r="F71" i="53"/>
  <c r="R44" i="57"/>
  <c r="K156" i="1"/>
  <c r="K157" i="1" s="1"/>
  <c r="I20" i="86"/>
  <c r="I21" i="85"/>
  <c r="R44" i="67"/>
  <c r="V40" i="67"/>
  <c r="R44" i="69"/>
  <c r="U28" i="3"/>
  <c r="T28" i="3" s="1"/>
  <c r="S28" i="86"/>
  <c r="S27" i="86"/>
  <c r="D51" i="86"/>
  <c r="C51" i="86"/>
  <c r="D51" i="85"/>
  <c r="C51" i="85"/>
  <c r="B93" i="97" l="1"/>
  <c r="B78" i="97"/>
  <c r="H57" i="112"/>
  <c r="J5" i="110"/>
  <c r="L5" i="110" s="1"/>
  <c r="J5" i="106"/>
  <c r="L5" i="106" s="1"/>
  <c r="S35" i="106" s="1"/>
  <c r="AB30" i="106" s="1"/>
  <c r="B63" i="97"/>
  <c r="B94" i="97"/>
  <c r="B63" i="108"/>
  <c r="H94" i="106"/>
  <c r="C94" i="106"/>
  <c r="E112" i="106"/>
  <c r="G112" i="106"/>
  <c r="B147" i="113"/>
  <c r="H147" i="113" s="1"/>
  <c r="I57" i="113"/>
  <c r="C77" i="106"/>
  <c r="H77" i="106"/>
  <c r="E118" i="113"/>
  <c r="G118" i="113" s="1"/>
  <c r="H118" i="113" s="1"/>
  <c r="E119" i="113"/>
  <c r="G119" i="113" s="1"/>
  <c r="H119" i="113" s="1"/>
  <c r="E120" i="113"/>
  <c r="G120" i="113" s="1"/>
  <c r="H120" i="113" s="1"/>
  <c r="E121" i="113"/>
  <c r="G121" i="113" s="1"/>
  <c r="H121" i="113" s="1"/>
  <c r="E122" i="113"/>
  <c r="G122" i="113" s="1"/>
  <c r="H122" i="113" s="1"/>
  <c r="E123" i="113"/>
  <c r="G123" i="113" s="1"/>
  <c r="H123" i="113" s="1"/>
  <c r="E124" i="113"/>
  <c r="G124" i="113" s="1"/>
  <c r="H124" i="113" s="1"/>
  <c r="E125" i="113"/>
  <c r="G125" i="113" s="1"/>
  <c r="H125" i="113" s="1"/>
  <c r="E126" i="113"/>
  <c r="G126" i="113" s="1"/>
  <c r="H126" i="113" s="1"/>
  <c r="E127" i="113"/>
  <c r="G127" i="113" s="1"/>
  <c r="H127" i="113" s="1"/>
  <c r="E128" i="113"/>
  <c r="G128" i="113" s="1"/>
  <c r="H128" i="113" s="1"/>
  <c r="H57" i="113"/>
  <c r="D54" i="108"/>
  <c r="C55" i="108"/>
  <c r="D55" i="108" s="1"/>
  <c r="E83" i="109"/>
  <c r="G83" i="109"/>
  <c r="E106" i="109"/>
  <c r="G106" i="109"/>
  <c r="G131" i="109"/>
  <c r="E131" i="109"/>
  <c r="H89" i="107"/>
  <c r="C89" i="107"/>
  <c r="H118" i="107"/>
  <c r="C118" i="107"/>
  <c r="E72" i="108"/>
  <c r="G72" i="108"/>
  <c r="H75" i="97"/>
  <c r="G75" i="97"/>
  <c r="E91" i="97"/>
  <c r="G91" i="97"/>
  <c r="B79" i="97"/>
  <c r="E97" i="97"/>
  <c r="G97" i="97" s="1"/>
  <c r="H97" i="97" s="1"/>
  <c r="E98" i="97"/>
  <c r="G98" i="97" s="1"/>
  <c r="H98" i="97" s="1"/>
  <c r="E99" i="97"/>
  <c r="G99" i="97" s="1"/>
  <c r="H99" i="97" s="1"/>
  <c r="E100" i="97"/>
  <c r="G100" i="97" s="1"/>
  <c r="H100" i="97" s="1"/>
  <c r="E101" i="97"/>
  <c r="G101" i="97" s="1"/>
  <c r="H101" i="97" s="1"/>
  <c r="E102" i="97"/>
  <c r="G102" i="97" s="1"/>
  <c r="H102" i="97" s="1"/>
  <c r="E103" i="97"/>
  <c r="G103" i="97" s="1"/>
  <c r="H103" i="97" s="1"/>
  <c r="E104" i="97"/>
  <c r="G104" i="97" s="1"/>
  <c r="H104" i="97" s="1"/>
  <c r="D55" i="97"/>
  <c r="J9" i="100"/>
  <c r="L9" i="100" s="1"/>
  <c r="J7" i="101"/>
  <c r="L7" i="101" s="1"/>
  <c r="X35" i="101" s="1"/>
  <c r="AD30" i="101" s="1"/>
  <c r="D54" i="102"/>
  <c r="C55" i="102"/>
  <c r="D55" i="102" s="1"/>
  <c r="J8" i="94"/>
  <c r="L8" i="94" s="1"/>
  <c r="J8" i="99"/>
  <c r="L8" i="99" s="1"/>
  <c r="J9" i="98"/>
  <c r="L9" i="98" s="1"/>
  <c r="D53" i="95"/>
  <c r="C54" i="95"/>
  <c r="H54" i="94"/>
  <c r="H55" i="94" s="1"/>
  <c r="I54" i="94"/>
  <c r="J55" i="94"/>
  <c r="I55" i="94" s="1"/>
  <c r="N157" i="1"/>
  <c r="N156" i="1"/>
  <c r="S29" i="86"/>
  <c r="T29" i="86" s="1"/>
  <c r="V44" i="67"/>
  <c r="U44" i="67"/>
  <c r="W44" i="67" s="1"/>
  <c r="T29" i="3"/>
  <c r="S28" i="3"/>
  <c r="T27" i="86"/>
  <c r="H58" i="112" l="1"/>
  <c r="B75" i="112"/>
  <c r="B88" i="112"/>
  <c r="B74" i="112"/>
  <c r="B62" i="112"/>
  <c r="H112" i="106"/>
  <c r="C112" i="106"/>
  <c r="E145" i="113"/>
  <c r="G145" i="113" s="1"/>
  <c r="H145" i="113" s="1"/>
  <c r="E143" i="113"/>
  <c r="G143" i="113" s="1"/>
  <c r="H143" i="113" s="1"/>
  <c r="E142" i="113"/>
  <c r="G142" i="113" s="1"/>
  <c r="H142" i="113" s="1"/>
  <c r="E141" i="113"/>
  <c r="G141" i="113" s="1"/>
  <c r="H141" i="113" s="1"/>
  <c r="E140" i="113"/>
  <c r="G140" i="113" s="1"/>
  <c r="H140" i="113" s="1"/>
  <c r="E136" i="113"/>
  <c r="G136" i="113" s="1"/>
  <c r="H136" i="113" s="1"/>
  <c r="E144" i="113"/>
  <c r="G144" i="113" s="1"/>
  <c r="H144" i="113" s="1"/>
  <c r="E139" i="113"/>
  <c r="G139" i="113" s="1"/>
  <c r="H139" i="113" s="1"/>
  <c r="E138" i="113"/>
  <c r="G138" i="113" s="1"/>
  <c r="H138" i="113" s="1"/>
  <c r="E137" i="113"/>
  <c r="G137" i="113" s="1"/>
  <c r="H137" i="113" s="1"/>
  <c r="E135" i="113"/>
  <c r="G135" i="113" s="1"/>
  <c r="H135" i="113" s="1"/>
  <c r="H58" i="113"/>
  <c r="B80" i="113" s="1"/>
  <c r="H83" i="109"/>
  <c r="C83" i="109"/>
  <c r="H106" i="109"/>
  <c r="C106" i="109"/>
  <c r="H131" i="109"/>
  <c r="C131" i="109"/>
  <c r="H72" i="108"/>
  <c r="C72" i="108"/>
  <c r="H91" i="97"/>
  <c r="C91" i="97"/>
  <c r="G106" i="97"/>
  <c r="E106" i="97"/>
  <c r="D54" i="95"/>
  <c r="C55" i="95"/>
  <c r="D55" i="95" s="1"/>
  <c r="AN5" i="1"/>
  <c r="AA31" i="86"/>
  <c r="Z32" i="86" s="1"/>
  <c r="B63" i="112" l="1"/>
  <c r="B89" i="112"/>
  <c r="B115" i="113"/>
  <c r="B98" i="113"/>
  <c r="B62" i="113"/>
  <c r="B79" i="113"/>
  <c r="B132" i="113"/>
  <c r="B63" i="113"/>
  <c r="B133" i="113"/>
  <c r="B99" i="113"/>
  <c r="B116" i="113"/>
  <c r="C106" i="97"/>
  <c r="H106" i="97"/>
  <c r="Y32" i="86"/>
  <c r="U28" i="7" l="1"/>
  <c r="S29" i="89"/>
  <c r="U44" i="56" l="1"/>
  <c r="V44" i="56"/>
  <c r="AA25" i="85"/>
  <c r="AA19" i="92"/>
  <c r="S28" i="92"/>
  <c r="S30" i="92" s="1"/>
  <c r="AB19" i="92"/>
  <c r="AC19" i="92" l="1"/>
  <c r="AA20" i="92" s="1"/>
  <c r="U28" i="92"/>
  <c r="AB20" i="92"/>
  <c r="AC20" i="92" l="1"/>
  <c r="D6" i="14" l="1"/>
  <c r="U30" i="37"/>
  <c r="L59" i="2"/>
  <c r="B133" i="4"/>
  <c r="C133" i="4"/>
  <c r="D133" i="4"/>
  <c r="F133" i="4"/>
  <c r="B130" i="4"/>
  <c r="C130" i="4"/>
  <c r="D130" i="4"/>
  <c r="F130" i="4"/>
  <c r="B131" i="4"/>
  <c r="C131" i="4"/>
  <c r="D131" i="4"/>
  <c r="F131" i="4"/>
  <c r="B132" i="4"/>
  <c r="C132" i="4"/>
  <c r="D132" i="4"/>
  <c r="F132" i="4"/>
  <c r="B111" i="4"/>
  <c r="C111" i="4"/>
  <c r="D111" i="4"/>
  <c r="F111" i="4"/>
  <c r="B112" i="4"/>
  <c r="C112" i="4"/>
  <c r="D112" i="4"/>
  <c r="F112" i="4"/>
  <c r="B113" i="4"/>
  <c r="C113" i="4"/>
  <c r="D113" i="4"/>
  <c r="F113" i="4"/>
  <c r="B114" i="4"/>
  <c r="C114" i="4"/>
  <c r="D114" i="4"/>
  <c r="F114" i="4"/>
  <c r="B91" i="4"/>
  <c r="C91" i="4"/>
  <c r="D91" i="4"/>
  <c r="F91" i="4"/>
  <c r="B92" i="4"/>
  <c r="C92" i="4"/>
  <c r="D92" i="4"/>
  <c r="F92" i="4"/>
  <c r="B93" i="4"/>
  <c r="C93" i="4"/>
  <c r="D93" i="4"/>
  <c r="F93" i="4"/>
  <c r="B94" i="4"/>
  <c r="C94" i="4"/>
  <c r="D94" i="4"/>
  <c r="F94" i="4"/>
  <c r="B73" i="4"/>
  <c r="C73" i="4"/>
  <c r="D73" i="4"/>
  <c r="F73" i="4"/>
  <c r="B74" i="4"/>
  <c r="C74" i="4"/>
  <c r="D74" i="4"/>
  <c r="F74" i="4"/>
  <c r="B75" i="4"/>
  <c r="C75" i="4"/>
  <c r="D75" i="4"/>
  <c r="F75" i="4"/>
  <c r="B76" i="4"/>
  <c r="C76" i="4"/>
  <c r="D76" i="4"/>
  <c r="F76" i="4"/>
  <c r="I15" i="4"/>
  <c r="I16" i="4"/>
  <c r="L95" i="1"/>
  <c r="L88" i="1"/>
  <c r="O88" i="1" s="1"/>
  <c r="K88" i="1"/>
  <c r="N88" i="1" s="1"/>
  <c r="C51" i="4"/>
  <c r="E37" i="61"/>
  <c r="F37" i="61" s="1"/>
  <c r="H37" i="61" s="1"/>
  <c r="I39" i="61"/>
  <c r="E39" i="61"/>
  <c r="F39" i="61" s="1"/>
  <c r="H39" i="61" s="1"/>
  <c r="I38" i="61"/>
  <c r="E38" i="61"/>
  <c r="F38" i="61" s="1"/>
  <c r="H38" i="61" s="1"/>
  <c r="I37" i="61"/>
  <c r="F123" i="4"/>
  <c r="F124" i="4"/>
  <c r="F125" i="4"/>
  <c r="F126" i="4"/>
  <c r="F127" i="4"/>
  <c r="F128" i="4"/>
  <c r="F129" i="4"/>
  <c r="B123" i="4"/>
  <c r="C123" i="4"/>
  <c r="D123" i="4"/>
  <c r="B124" i="4"/>
  <c r="C124" i="4"/>
  <c r="D124" i="4"/>
  <c r="B125" i="4"/>
  <c r="C125" i="4"/>
  <c r="D125" i="4"/>
  <c r="B126" i="4"/>
  <c r="C126" i="4"/>
  <c r="D126" i="4"/>
  <c r="B127" i="4"/>
  <c r="C127" i="4"/>
  <c r="D127" i="4"/>
  <c r="B128" i="4"/>
  <c r="C128" i="4"/>
  <c r="D128" i="4"/>
  <c r="B129" i="4"/>
  <c r="C129" i="4"/>
  <c r="D129" i="4"/>
  <c r="F104" i="4"/>
  <c r="F105" i="4"/>
  <c r="F106" i="4"/>
  <c r="F107" i="4"/>
  <c r="F108" i="4"/>
  <c r="F109" i="4"/>
  <c r="F110" i="4"/>
  <c r="B104" i="4"/>
  <c r="C104" i="4"/>
  <c r="D104" i="4"/>
  <c r="B105" i="4"/>
  <c r="C105" i="4"/>
  <c r="D105" i="4"/>
  <c r="B106" i="4"/>
  <c r="C106" i="4"/>
  <c r="D106" i="4"/>
  <c r="B107" i="4"/>
  <c r="C107" i="4"/>
  <c r="D107" i="4"/>
  <c r="B108" i="4"/>
  <c r="C108" i="4"/>
  <c r="D108" i="4"/>
  <c r="B109" i="4"/>
  <c r="C109" i="4"/>
  <c r="D109" i="4"/>
  <c r="B110" i="4"/>
  <c r="C110" i="4"/>
  <c r="D110" i="4"/>
  <c r="F84" i="4"/>
  <c r="F85" i="4"/>
  <c r="F86" i="4"/>
  <c r="F87" i="4"/>
  <c r="F88" i="4"/>
  <c r="F89" i="4"/>
  <c r="F90" i="4"/>
  <c r="B84" i="4"/>
  <c r="C84" i="4"/>
  <c r="D84" i="4"/>
  <c r="B85" i="4"/>
  <c r="C85" i="4"/>
  <c r="D85" i="4"/>
  <c r="B86" i="4"/>
  <c r="C86" i="4"/>
  <c r="D86" i="4"/>
  <c r="B87" i="4"/>
  <c r="C87" i="4"/>
  <c r="D87" i="4"/>
  <c r="B88" i="4"/>
  <c r="C88" i="4"/>
  <c r="D88" i="4"/>
  <c r="B89" i="4"/>
  <c r="C89" i="4"/>
  <c r="D89" i="4"/>
  <c r="B90" i="4"/>
  <c r="C90" i="4"/>
  <c r="D90" i="4"/>
  <c r="F66" i="4"/>
  <c r="F67" i="4"/>
  <c r="F68" i="4"/>
  <c r="F69" i="4"/>
  <c r="F70" i="4"/>
  <c r="F71" i="4"/>
  <c r="F72" i="4"/>
  <c r="B66" i="4"/>
  <c r="C66" i="4"/>
  <c r="D66" i="4"/>
  <c r="B67" i="4"/>
  <c r="C67" i="4"/>
  <c r="D67" i="4"/>
  <c r="B68" i="4"/>
  <c r="C68" i="4"/>
  <c r="D68" i="4"/>
  <c r="B69" i="4"/>
  <c r="C69" i="4"/>
  <c r="D69" i="4"/>
  <c r="B70" i="4"/>
  <c r="C70" i="4"/>
  <c r="D70" i="4"/>
  <c r="B71" i="4"/>
  <c r="C71" i="4"/>
  <c r="D71" i="4"/>
  <c r="B72" i="4"/>
  <c r="C72" i="4"/>
  <c r="D72" i="4"/>
  <c r="AC28" i="70"/>
  <c r="AD28" i="70"/>
  <c r="AC28" i="69"/>
  <c r="AD28" i="69"/>
  <c r="AB28" i="65"/>
  <c r="AB28" i="62"/>
  <c r="AD28" i="60"/>
  <c r="AC28" i="60"/>
  <c r="AB28" i="60"/>
  <c r="AB28" i="59"/>
  <c r="AB28" i="58"/>
  <c r="W35" i="58"/>
  <c r="W32" i="58"/>
  <c r="W28" i="58"/>
  <c r="AD28" i="57"/>
  <c r="AC28" i="57"/>
  <c r="J15" i="113" l="1"/>
  <c r="L15" i="113" s="1"/>
  <c r="J37" i="113"/>
  <c r="L37" i="113" s="1"/>
  <c r="U33" i="113" s="1"/>
  <c r="AB30" i="113" s="1"/>
  <c r="T30" i="37"/>
  <c r="S30" i="37"/>
  <c r="K38" i="61"/>
  <c r="K39" i="61"/>
  <c r="K37" i="61"/>
  <c r="W28" i="61"/>
  <c r="W32" i="61" s="1"/>
  <c r="AB28" i="56"/>
  <c r="AC28" i="56"/>
  <c r="W28" i="53"/>
  <c r="U33" i="51"/>
  <c r="U28" i="51"/>
  <c r="U30" i="51" s="1"/>
  <c r="AB28" i="79"/>
  <c r="AA28" i="79"/>
  <c r="S28" i="79"/>
  <c r="T28" i="79" s="1"/>
  <c r="AB28" i="50"/>
  <c r="AE28" i="56" l="1"/>
  <c r="AB28" i="49"/>
  <c r="AB28" i="48"/>
  <c r="AC28" i="48"/>
  <c r="AB28" i="46"/>
  <c r="AC28" i="45"/>
  <c r="AB28" i="45"/>
  <c r="AA28" i="45"/>
  <c r="AB28" i="44"/>
  <c r="AD28" i="43"/>
  <c r="AC28" i="43"/>
  <c r="AB28" i="43"/>
  <c r="I37" i="43"/>
  <c r="AC28" i="41"/>
  <c r="U28" i="37"/>
  <c r="AQ13" i="36"/>
  <c r="AQ12" i="36"/>
  <c r="AQ11" i="36"/>
  <c r="AQ10" i="36"/>
  <c r="AQ9" i="36"/>
  <c r="AQ8" i="36"/>
  <c r="AQ7" i="36"/>
  <c r="AQ6" i="36"/>
  <c r="AA28" i="36"/>
  <c r="AC28" i="36" s="1"/>
  <c r="AC29" i="36" s="1"/>
  <c r="U28" i="34"/>
  <c r="U33" i="34"/>
  <c r="U30" i="34"/>
  <c r="AB28" i="33"/>
  <c r="AB28" i="32"/>
  <c r="AA28" i="32"/>
  <c r="AB28" i="27"/>
  <c r="AA28" i="27"/>
  <c r="AC28" i="27" s="1"/>
  <c r="AC28" i="26"/>
  <c r="AB28" i="26"/>
  <c r="AC28" i="25"/>
  <c r="AB28" i="25"/>
  <c r="AC28" i="21"/>
  <c r="W35" i="21"/>
  <c r="W32" i="21"/>
  <c r="W28" i="21"/>
  <c r="AF1" i="67"/>
  <c r="AF1" i="53"/>
  <c r="D73" i="53" s="1"/>
  <c r="AF1" i="37"/>
  <c r="AB28" i="20"/>
  <c r="AC28" i="20"/>
  <c r="AD28" i="17"/>
  <c r="AA28" i="19"/>
  <c r="S30" i="6"/>
  <c r="T30" i="6" s="1"/>
  <c r="AD28" i="6"/>
  <c r="D51" i="87"/>
  <c r="C51" i="87"/>
  <c r="AA28" i="10"/>
  <c r="AC28" i="10" s="1"/>
  <c r="I16" i="67"/>
  <c r="G16" i="67"/>
  <c r="H16" i="67" s="1"/>
  <c r="W28" i="67" s="1"/>
  <c r="E16" i="67"/>
  <c r="E76" i="67" s="1"/>
  <c r="I13" i="37"/>
  <c r="G13" i="37"/>
  <c r="H13" i="37" s="1"/>
  <c r="E13" i="37"/>
  <c r="E73" i="37" s="1"/>
  <c r="G73" i="37" s="1"/>
  <c r="H73" i="37" s="1"/>
  <c r="I11" i="53"/>
  <c r="G11" i="53"/>
  <c r="H11" i="53" s="1"/>
  <c r="E11" i="53"/>
  <c r="E71" i="53" s="1"/>
  <c r="G71" i="53" s="1"/>
  <c r="H71" i="53" s="1"/>
  <c r="X28" i="11"/>
  <c r="X28" i="37"/>
  <c r="E7" i="11"/>
  <c r="E67" i="11" s="1"/>
  <c r="G7" i="11"/>
  <c r="H7" i="11" s="1"/>
  <c r="J6" i="111"/>
  <c r="L6" i="111" s="1"/>
  <c r="J13" i="37"/>
  <c r="I7" i="11"/>
  <c r="L113" i="1"/>
  <c r="O113" i="1" s="1"/>
  <c r="K113" i="1"/>
  <c r="N113" i="1" s="1"/>
  <c r="L112" i="1"/>
  <c r="O112" i="1" s="1"/>
  <c r="K112" i="1"/>
  <c r="N112" i="1" s="1"/>
  <c r="I38" i="23"/>
  <c r="S30" i="11"/>
  <c r="S28" i="11"/>
  <c r="U30" i="17"/>
  <c r="T30" i="17" s="1"/>
  <c r="U28" i="17"/>
  <c r="T29" i="17" s="1"/>
  <c r="U30" i="29"/>
  <c r="S30" i="29" s="1"/>
  <c r="AD28" i="28"/>
  <c r="AC28" i="17"/>
  <c r="AB28" i="17"/>
  <c r="W35" i="17"/>
  <c r="W28" i="17"/>
  <c r="W32" i="17" s="1"/>
  <c r="U29" i="3"/>
  <c r="U28" i="8"/>
  <c r="T29" i="8" s="1"/>
  <c r="AC28" i="7"/>
  <c r="AD28" i="3"/>
  <c r="AC28" i="3"/>
  <c r="AB28" i="3"/>
  <c r="AB28" i="5"/>
  <c r="AA28" i="5"/>
  <c r="AD28" i="8"/>
  <c r="AB28" i="8"/>
  <c r="AB28" i="16"/>
  <c r="AA28" i="16"/>
  <c r="AC28" i="16" s="1"/>
  <c r="AB28" i="15"/>
  <c r="AC30" i="67" l="1"/>
  <c r="D78" i="67"/>
  <c r="AD30" i="37"/>
  <c r="D78" i="37"/>
  <c r="J11" i="53"/>
  <c r="J7" i="110"/>
  <c r="L7" i="110" s="1"/>
  <c r="W33" i="110" s="1"/>
  <c r="AD30" i="110" s="1"/>
  <c r="W35" i="111"/>
  <c r="AC30" i="111" s="1"/>
  <c r="W28" i="111"/>
  <c r="J7" i="100"/>
  <c r="L7" i="100" s="1"/>
  <c r="X35" i="100" s="1"/>
  <c r="AD30" i="100" s="1"/>
  <c r="J6" i="101"/>
  <c r="L6" i="101" s="1"/>
  <c r="J6" i="99"/>
  <c r="L6" i="99" s="1"/>
  <c r="J7" i="98"/>
  <c r="L7" i="98" s="1"/>
  <c r="X35" i="98" s="1"/>
  <c r="AD30" i="98" s="1"/>
  <c r="J6" i="94"/>
  <c r="L6" i="94" s="1"/>
  <c r="J6" i="96"/>
  <c r="L6" i="96" s="1"/>
  <c r="S28" i="37"/>
  <c r="T28" i="37"/>
  <c r="J16" i="67"/>
  <c r="T28" i="8"/>
  <c r="AD30" i="53"/>
  <c r="T30" i="29"/>
  <c r="S32" i="11"/>
  <c r="AF28" i="43"/>
  <c r="J7" i="11"/>
  <c r="U30" i="6"/>
  <c r="K16" i="67"/>
  <c r="K13" i="37"/>
  <c r="L13" i="37" s="1"/>
  <c r="X35" i="37" s="1"/>
  <c r="AE30" i="37" s="1"/>
  <c r="K11" i="53"/>
  <c r="K7" i="11"/>
  <c r="K114" i="1"/>
  <c r="N114" i="1" s="1"/>
  <c r="L114" i="1"/>
  <c r="O114" i="1" s="1"/>
  <c r="AC28" i="8"/>
  <c r="AB29" i="16"/>
  <c r="E72" i="11" l="1"/>
  <c r="G72" i="11"/>
  <c r="W35" i="101"/>
  <c r="W28" i="101"/>
  <c r="W28" i="99"/>
  <c r="W35" i="99"/>
  <c r="AC30" i="99" s="1"/>
  <c r="W35" i="94"/>
  <c r="AC30" i="94" s="1"/>
  <c r="W28" i="94"/>
  <c r="W28" i="96"/>
  <c r="W35" i="96"/>
  <c r="AC30" i="96" s="1"/>
  <c r="L16" i="67"/>
  <c r="W35" i="67" s="1"/>
  <c r="AD30" i="67" s="1"/>
  <c r="L11" i="53"/>
  <c r="X35" i="53" s="1"/>
  <c r="AE30" i="53" s="1"/>
  <c r="X28" i="53"/>
  <c r="L7" i="11"/>
  <c r="X35" i="11" s="1"/>
  <c r="AF28" i="8"/>
  <c r="I10" i="87"/>
  <c r="S29" i="10"/>
  <c r="AC30" i="101" l="1"/>
  <c r="AD29" i="8"/>
  <c r="AB29" i="8"/>
  <c r="AC29" i="8"/>
  <c r="AC28" i="37"/>
  <c r="AB28" i="37"/>
  <c r="AB28" i="11"/>
  <c r="D5" i="11"/>
  <c r="D65" i="11" s="1"/>
  <c r="V32" i="5"/>
  <c r="V28" i="5"/>
  <c r="V28" i="4"/>
  <c r="V32" i="4" s="1"/>
  <c r="V28" i="61"/>
  <c r="U30" i="3"/>
  <c r="U48" i="3"/>
  <c r="T48" i="3"/>
  <c r="V40" i="60"/>
  <c r="U28" i="60"/>
  <c r="U30" i="60"/>
  <c r="T30" i="60" s="1"/>
  <c r="I38" i="70"/>
  <c r="I37" i="70"/>
  <c r="I37" i="69"/>
  <c r="I38" i="66"/>
  <c r="I37" i="66"/>
  <c r="I37" i="62"/>
  <c r="I38" i="60"/>
  <c r="I37" i="60"/>
  <c r="I37" i="59"/>
  <c r="I38" i="57"/>
  <c r="I37" i="57"/>
  <c r="I37" i="56"/>
  <c r="I37" i="79"/>
  <c r="I38" i="49"/>
  <c r="I37" i="49"/>
  <c r="I38" i="48"/>
  <c r="I37" i="48"/>
  <c r="I37" i="47"/>
  <c r="I37" i="46"/>
  <c r="I37" i="44"/>
  <c r="I37" i="41"/>
  <c r="I37" i="35"/>
  <c r="I38" i="33"/>
  <c r="I37" i="33"/>
  <c r="I37" i="32"/>
  <c r="I38" i="30"/>
  <c r="I37" i="30"/>
  <c r="I37" i="29"/>
  <c r="I38" i="28"/>
  <c r="I37" i="28"/>
  <c r="I38" i="26"/>
  <c r="I39" i="26"/>
  <c r="I37" i="26"/>
  <c r="I37" i="25"/>
  <c r="I37" i="23"/>
  <c r="I38" i="20"/>
  <c r="I37" i="20"/>
  <c r="I37" i="18"/>
  <c r="I37" i="19"/>
  <c r="I37" i="15"/>
  <c r="I37" i="10"/>
  <c r="I38" i="9"/>
  <c r="I37" i="9"/>
  <c r="I38" i="8"/>
  <c r="I37" i="8"/>
  <c r="I37" i="7"/>
  <c r="I38" i="5"/>
  <c r="I37" i="5"/>
  <c r="I37" i="6"/>
  <c r="I38" i="4"/>
  <c r="I37" i="4"/>
  <c r="I37" i="3"/>
  <c r="T28" i="60" l="1"/>
  <c r="T29" i="60"/>
  <c r="S30" i="60"/>
  <c r="S28" i="60"/>
  <c r="AE30" i="11"/>
  <c r="AF28" i="37"/>
  <c r="AB29" i="37" s="1"/>
  <c r="T32" i="60" l="1"/>
  <c r="S32" i="60"/>
  <c r="AF29" i="37"/>
  <c r="AC29" i="37"/>
  <c r="AB28" i="70"/>
  <c r="AB28" i="69"/>
  <c r="AA28" i="67"/>
  <c r="AA28" i="65"/>
  <c r="AC28" i="65" s="1"/>
  <c r="AA28" i="62"/>
  <c r="AB28" i="61"/>
  <c r="AA28" i="59"/>
  <c r="AA28" i="58"/>
  <c r="AB28" i="57"/>
  <c r="AB28" i="53"/>
  <c r="AC28" i="53" s="1"/>
  <c r="AA28" i="51"/>
  <c r="AA28" i="50"/>
  <c r="AC28" i="50" s="1"/>
  <c r="AA28" i="49"/>
  <c r="AA28" i="48"/>
  <c r="AE28" i="48" s="1"/>
  <c r="AA28" i="47"/>
  <c r="AA28" i="46"/>
  <c r="AA28" i="44"/>
  <c r="AD28" i="44" s="1"/>
  <c r="AB29" i="44" s="1"/>
  <c r="AB28" i="41"/>
  <c r="AA28" i="33"/>
  <c r="AB28" i="28"/>
  <c r="AB28" i="21"/>
  <c r="AA28" i="20"/>
  <c r="AB28" i="18"/>
  <c r="AB28" i="9"/>
  <c r="AA28" i="7"/>
  <c r="AB28" i="6"/>
  <c r="AQ8" i="70"/>
  <c r="AQ9" i="70"/>
  <c r="AQ10" i="70"/>
  <c r="AQ11" i="70"/>
  <c r="AQ12" i="70"/>
  <c r="AQ7" i="70"/>
  <c r="AQ6" i="70"/>
  <c r="AQ8" i="69"/>
  <c r="AQ9" i="69"/>
  <c r="AQ10" i="69"/>
  <c r="AQ11" i="69"/>
  <c r="AQ12" i="69"/>
  <c r="AQ7" i="69"/>
  <c r="AQ6" i="69"/>
  <c r="AQ8" i="61"/>
  <c r="AS8" i="61" s="1"/>
  <c r="AQ9" i="61"/>
  <c r="AS9" i="61" s="1"/>
  <c r="AQ10" i="61"/>
  <c r="AS10" i="61" s="1"/>
  <c r="AQ11" i="61"/>
  <c r="AS11" i="61" s="1"/>
  <c r="AQ12" i="61"/>
  <c r="AS12" i="61" s="1"/>
  <c r="AQ7" i="61"/>
  <c r="AS7" i="61" s="1"/>
  <c r="AQ6" i="61"/>
  <c r="AS6" i="61" s="1"/>
  <c r="AQ8" i="60"/>
  <c r="AQ9" i="60"/>
  <c r="AQ10" i="60"/>
  <c r="AQ11" i="60"/>
  <c r="AQ12" i="60"/>
  <c r="AQ13" i="60"/>
  <c r="AQ14" i="60"/>
  <c r="AR14" i="60"/>
  <c r="AQ7" i="60"/>
  <c r="AQ6" i="60"/>
  <c r="AQ8" i="58"/>
  <c r="AR8" i="58"/>
  <c r="AQ9" i="58"/>
  <c r="AQ10" i="58"/>
  <c r="AQ11" i="58"/>
  <c r="AQ12" i="58"/>
  <c r="AQ13" i="58"/>
  <c r="AQ14" i="58"/>
  <c r="AQ15" i="58"/>
  <c r="AQ7" i="58"/>
  <c r="AQ6" i="58"/>
  <c r="AQ8" i="57"/>
  <c r="AQ9" i="57"/>
  <c r="AQ10" i="57"/>
  <c r="AQ11" i="57"/>
  <c r="AQ12" i="57"/>
  <c r="AQ13" i="57"/>
  <c r="AQ14" i="57"/>
  <c r="AQ15" i="57"/>
  <c r="AQ16" i="57"/>
  <c r="AQ17" i="57"/>
  <c r="AQ18" i="57"/>
  <c r="AQ19" i="57"/>
  <c r="AQ7" i="57"/>
  <c r="AQ6" i="57"/>
  <c r="AQ8" i="56"/>
  <c r="AQ9" i="56"/>
  <c r="AQ10" i="56"/>
  <c r="AQ11" i="56"/>
  <c r="AQ12" i="56"/>
  <c r="AQ13" i="56"/>
  <c r="AQ7" i="56"/>
  <c r="AQ6" i="56"/>
  <c r="AQ7" i="53"/>
  <c r="AQ8" i="53"/>
  <c r="AQ9" i="53"/>
  <c r="AQ10" i="53"/>
  <c r="AQ11" i="53"/>
  <c r="AQ12" i="53"/>
  <c r="AQ6" i="53"/>
  <c r="AQ9" i="79"/>
  <c r="AQ10" i="79"/>
  <c r="AQ11" i="79"/>
  <c r="AQ12" i="79"/>
  <c r="AQ13" i="79"/>
  <c r="AQ14" i="79"/>
  <c r="AQ15" i="79"/>
  <c r="AQ16" i="79"/>
  <c r="AQ17" i="79"/>
  <c r="AQ18" i="79"/>
  <c r="AR18" i="79"/>
  <c r="AQ19" i="79"/>
  <c r="AQ8" i="79"/>
  <c r="AQ7" i="79"/>
  <c r="AQ6" i="79"/>
  <c r="AQ9" i="47"/>
  <c r="AQ10" i="47"/>
  <c r="AQ11" i="47"/>
  <c r="AQ12" i="47"/>
  <c r="AQ13" i="47"/>
  <c r="AQ14" i="47"/>
  <c r="AQ15" i="47"/>
  <c r="AQ16" i="47"/>
  <c r="AQ17" i="47"/>
  <c r="AQ8" i="47"/>
  <c r="AQ7" i="47"/>
  <c r="AQ6" i="47"/>
  <c r="AQ8" i="43"/>
  <c r="AQ9" i="43"/>
  <c r="AQ10" i="43"/>
  <c r="AQ11" i="43"/>
  <c r="AQ12" i="43"/>
  <c r="AR12" i="43"/>
  <c r="AQ13" i="43"/>
  <c r="AQ14" i="43"/>
  <c r="AQ15" i="43"/>
  <c r="AQ16" i="43"/>
  <c r="AQ17" i="43"/>
  <c r="AQ7" i="43"/>
  <c r="AQ6" i="43"/>
  <c r="AQ8" i="41"/>
  <c r="AQ9" i="41"/>
  <c r="AQ10" i="41"/>
  <c r="AQ11" i="41"/>
  <c r="AQ12" i="41"/>
  <c r="AQ7" i="41"/>
  <c r="AQ6" i="41"/>
  <c r="AQ10" i="37"/>
  <c r="AQ11" i="37"/>
  <c r="AQ12" i="37"/>
  <c r="AQ13" i="37"/>
  <c r="AQ9" i="37"/>
  <c r="AQ8" i="37"/>
  <c r="AQ7" i="37"/>
  <c r="AQ6" i="37"/>
  <c r="I9" i="92"/>
  <c r="I10" i="92"/>
  <c r="I11" i="92"/>
  <c r="I12" i="92"/>
  <c r="I13" i="92"/>
  <c r="I14" i="92"/>
  <c r="I15" i="92"/>
  <c r="I16" i="92"/>
  <c r="I17" i="92"/>
  <c r="I18" i="92"/>
  <c r="I19" i="92"/>
  <c r="I8" i="92"/>
  <c r="I7" i="92"/>
  <c r="I6" i="92"/>
  <c r="J5" i="92"/>
  <c r="I5" i="92"/>
  <c r="AQ8" i="29"/>
  <c r="AQ9" i="29"/>
  <c r="AQ10" i="29"/>
  <c r="AQ11" i="29"/>
  <c r="AQ12" i="29"/>
  <c r="AQ13" i="29"/>
  <c r="AQ7" i="29"/>
  <c r="AQ6" i="29"/>
  <c r="AQ8" i="28"/>
  <c r="AQ9" i="28"/>
  <c r="AQ10" i="28"/>
  <c r="AQ11" i="28"/>
  <c r="AQ12" i="28"/>
  <c r="AQ13" i="28"/>
  <c r="AQ14" i="28"/>
  <c r="AQ15" i="28"/>
  <c r="AQ16" i="28"/>
  <c r="AQ17" i="28"/>
  <c r="AQ18" i="28"/>
  <c r="AQ19" i="28"/>
  <c r="AQ7" i="28"/>
  <c r="AQ6" i="28"/>
  <c r="AQ9" i="26"/>
  <c r="AQ10" i="26"/>
  <c r="AQ11" i="26"/>
  <c r="AQ12" i="26"/>
  <c r="AQ8" i="26"/>
  <c r="AQ7" i="26"/>
  <c r="AQ6" i="26"/>
  <c r="AQ9" i="25"/>
  <c r="AQ10" i="25"/>
  <c r="AQ11" i="25"/>
  <c r="AQ12" i="25"/>
  <c r="AQ13" i="25"/>
  <c r="AQ14" i="25"/>
  <c r="AQ15" i="25"/>
  <c r="AQ16" i="25"/>
  <c r="AQ8" i="25"/>
  <c r="AQ7" i="25"/>
  <c r="AQ6" i="25"/>
  <c r="AQ9" i="21"/>
  <c r="AQ10" i="21"/>
  <c r="AQ11" i="21"/>
  <c r="AQ12" i="21"/>
  <c r="AQ13" i="21"/>
  <c r="AQ8" i="21"/>
  <c r="AQ7" i="21"/>
  <c r="AQ6" i="21"/>
  <c r="AQ8" i="18"/>
  <c r="AQ9" i="18"/>
  <c r="AQ10" i="18"/>
  <c r="AQ11" i="18"/>
  <c r="AQ12" i="18"/>
  <c r="AQ13" i="18"/>
  <c r="AQ14" i="18"/>
  <c r="AQ15" i="18"/>
  <c r="AQ16" i="18"/>
  <c r="AQ17" i="18"/>
  <c r="AQ18" i="18"/>
  <c r="AQ19" i="18"/>
  <c r="AQ7" i="18"/>
  <c r="AQ6" i="18"/>
  <c r="AQ7" i="15"/>
  <c r="AQ8" i="15"/>
  <c r="AQ9" i="15"/>
  <c r="AQ10" i="15"/>
  <c r="AQ11" i="15"/>
  <c r="AQ12" i="15"/>
  <c r="AQ6" i="15"/>
  <c r="I14" i="11"/>
  <c r="I15" i="11"/>
  <c r="I16" i="11"/>
  <c r="I17" i="11"/>
  <c r="I18" i="11"/>
  <c r="I19" i="11"/>
  <c r="I20" i="11"/>
  <c r="I21" i="11"/>
  <c r="I22" i="11"/>
  <c r="I23" i="11"/>
  <c r="I24" i="11"/>
  <c r="I25" i="11"/>
  <c r="I26" i="11"/>
  <c r="I27" i="11"/>
  <c r="I28" i="11"/>
  <c r="AQ8" i="9"/>
  <c r="AQ9" i="9"/>
  <c r="AQ10" i="9"/>
  <c r="AQ11" i="9"/>
  <c r="AQ12" i="9"/>
  <c r="AQ13" i="9"/>
  <c r="AQ14" i="9"/>
  <c r="AQ15" i="9"/>
  <c r="AR15" i="9"/>
  <c r="AQ16" i="9"/>
  <c r="AQ17" i="9"/>
  <c r="AQ18" i="9"/>
  <c r="AQ19" i="9"/>
  <c r="AQ20" i="9"/>
  <c r="AQ7" i="9"/>
  <c r="AQ6" i="9"/>
  <c r="AQ7" i="6"/>
  <c r="AQ8" i="6"/>
  <c r="AQ9" i="6"/>
  <c r="AQ10" i="6"/>
  <c r="AQ11" i="6"/>
  <c r="AQ12" i="6"/>
  <c r="AQ13" i="6"/>
  <c r="AQ6" i="6"/>
  <c r="AQ7" i="17"/>
  <c r="AQ8" i="17"/>
  <c r="AQ9" i="17"/>
  <c r="AQ10" i="17"/>
  <c r="AQ11" i="17"/>
  <c r="AQ12" i="17"/>
  <c r="AQ13" i="17"/>
  <c r="AQ14" i="17"/>
  <c r="AQ15" i="17"/>
  <c r="AQ16" i="17"/>
  <c r="AQ6" i="17"/>
  <c r="AQ7" i="8"/>
  <c r="AQ8" i="8"/>
  <c r="AQ9" i="8"/>
  <c r="AQ10" i="8"/>
  <c r="AQ11" i="8"/>
  <c r="AQ12" i="8"/>
  <c r="AQ6" i="8"/>
  <c r="AQ7" i="3"/>
  <c r="AQ8" i="3"/>
  <c r="AQ9" i="3"/>
  <c r="AQ10" i="3"/>
  <c r="AQ11" i="3"/>
  <c r="AQ12" i="3"/>
  <c r="AQ13" i="3"/>
  <c r="AQ6" i="3"/>
  <c r="U32" i="60" l="1"/>
  <c r="U29" i="60"/>
  <c r="AF28" i="53"/>
  <c r="AC29" i="53" s="1"/>
  <c r="L117" i="1"/>
  <c r="B88" i="5"/>
  <c r="C88" i="5"/>
  <c r="D88" i="5"/>
  <c r="F88" i="5"/>
  <c r="I28" i="5"/>
  <c r="T30" i="8"/>
  <c r="I20" i="3"/>
  <c r="I22" i="3"/>
  <c r="I21" i="3"/>
  <c r="F121" i="28"/>
  <c r="F122" i="28"/>
  <c r="F123" i="28"/>
  <c r="F124" i="28"/>
  <c r="F125" i="28"/>
  <c r="F126" i="28"/>
  <c r="F127" i="28"/>
  <c r="F128" i="28"/>
  <c r="F129" i="28"/>
  <c r="F130" i="28"/>
  <c r="F131" i="28"/>
  <c r="F132" i="28"/>
  <c r="F133" i="28"/>
  <c r="F134" i="28"/>
  <c r="F135" i="28"/>
  <c r="F136" i="28"/>
  <c r="F137" i="28"/>
  <c r="F138" i="28"/>
  <c r="F120" i="28"/>
  <c r="B121" i="28"/>
  <c r="C121" i="28"/>
  <c r="D121" i="28"/>
  <c r="B122" i="28"/>
  <c r="C122" i="28"/>
  <c r="D122" i="28"/>
  <c r="B123" i="28"/>
  <c r="C123" i="28"/>
  <c r="D123" i="28"/>
  <c r="B124" i="28"/>
  <c r="C124" i="28"/>
  <c r="D124" i="28"/>
  <c r="B125" i="28"/>
  <c r="C125" i="28"/>
  <c r="D125" i="28"/>
  <c r="B126" i="28"/>
  <c r="C126" i="28"/>
  <c r="D126" i="28"/>
  <c r="B127" i="28"/>
  <c r="C127" i="28"/>
  <c r="D127" i="28"/>
  <c r="B128" i="28"/>
  <c r="C128" i="28"/>
  <c r="D128" i="28"/>
  <c r="B129" i="28"/>
  <c r="C129" i="28"/>
  <c r="D129" i="28"/>
  <c r="B130" i="28"/>
  <c r="C130" i="28"/>
  <c r="D130" i="28"/>
  <c r="B131" i="28"/>
  <c r="C131" i="28"/>
  <c r="D131" i="28"/>
  <c r="B132" i="28"/>
  <c r="C132" i="28"/>
  <c r="D132" i="28"/>
  <c r="B133" i="28"/>
  <c r="C133" i="28"/>
  <c r="D133" i="28"/>
  <c r="B134" i="28"/>
  <c r="C134" i="28"/>
  <c r="D134" i="28"/>
  <c r="B135" i="28"/>
  <c r="C135" i="28"/>
  <c r="D135" i="28"/>
  <c r="B136" i="28"/>
  <c r="C136" i="28"/>
  <c r="D136" i="28"/>
  <c r="B137" i="28"/>
  <c r="C137" i="28"/>
  <c r="D137" i="28"/>
  <c r="B138" i="28"/>
  <c r="C138" i="28"/>
  <c r="D138" i="28"/>
  <c r="C120" i="28"/>
  <c r="B120" i="28"/>
  <c r="L3" i="1"/>
  <c r="S28" i="6"/>
  <c r="S32" i="6" s="1"/>
  <c r="K33" i="1"/>
  <c r="N33" i="1" s="1"/>
  <c r="L33" i="1"/>
  <c r="O33" i="1" s="1"/>
  <c r="K36" i="1"/>
  <c r="N36" i="1" s="1"/>
  <c r="L36" i="1"/>
  <c r="O36" i="1" s="1"/>
  <c r="K73" i="1"/>
  <c r="N73" i="1" s="1"/>
  <c r="L73" i="1"/>
  <c r="O73" i="1" s="1"/>
  <c r="K85" i="1"/>
  <c r="N85" i="1" s="1"/>
  <c r="L85" i="1"/>
  <c r="O85" i="1" s="1"/>
  <c r="K86" i="1"/>
  <c r="N86" i="1" s="1"/>
  <c r="L86" i="1"/>
  <c r="O86" i="1" s="1"/>
  <c r="K87" i="1"/>
  <c r="N87" i="1" s="1"/>
  <c r="L87" i="1"/>
  <c r="O87" i="1" s="1"/>
  <c r="L144" i="1"/>
  <c r="L127" i="1"/>
  <c r="L125" i="1"/>
  <c r="L151" i="1"/>
  <c r="L118" i="1"/>
  <c r="L119" i="1"/>
  <c r="L121" i="1"/>
  <c r="L122" i="1"/>
  <c r="L123" i="1"/>
  <c r="L124" i="1"/>
  <c r="L126" i="1"/>
  <c r="L128" i="1"/>
  <c r="L129" i="1"/>
  <c r="L130" i="1"/>
  <c r="L131" i="1"/>
  <c r="L132" i="1"/>
  <c r="L133" i="1"/>
  <c r="L134" i="1"/>
  <c r="L135" i="1"/>
  <c r="L137" i="1"/>
  <c r="L138" i="1"/>
  <c r="L140" i="1"/>
  <c r="L141" i="1"/>
  <c r="L142" i="1"/>
  <c r="L143" i="1"/>
  <c r="L146" i="1"/>
  <c r="L147" i="1"/>
  <c r="L148" i="1"/>
  <c r="L116" i="1"/>
  <c r="L60" i="2"/>
  <c r="L54" i="2"/>
  <c r="L55" i="2"/>
  <c r="L56" i="2"/>
  <c r="L57" i="2"/>
  <c r="L58" i="2"/>
  <c r="L61" i="2"/>
  <c r="L63" i="2"/>
  <c r="L64" i="2"/>
  <c r="L65" i="2"/>
  <c r="L53" i="2"/>
  <c r="I6" i="3"/>
  <c r="I7" i="3"/>
  <c r="I8" i="3"/>
  <c r="I9" i="3"/>
  <c r="I10" i="3"/>
  <c r="I11" i="3"/>
  <c r="I12" i="3"/>
  <c r="I13" i="3"/>
  <c r="I14" i="3"/>
  <c r="I15" i="3"/>
  <c r="I16" i="3"/>
  <c r="I17" i="3"/>
  <c r="I18" i="3"/>
  <c r="I19" i="3"/>
  <c r="T32" i="4"/>
  <c r="S28" i="4"/>
  <c r="S30" i="4"/>
  <c r="I6" i="4"/>
  <c r="I7" i="4"/>
  <c r="I8" i="4"/>
  <c r="I9" i="4"/>
  <c r="I10" i="4"/>
  <c r="I11" i="4"/>
  <c r="I12" i="4"/>
  <c r="I13" i="4"/>
  <c r="I14" i="4"/>
  <c r="I6" i="6"/>
  <c r="I7" i="6"/>
  <c r="I8" i="6"/>
  <c r="I9" i="6"/>
  <c r="I10" i="6"/>
  <c r="I11" i="6"/>
  <c r="U28" i="5"/>
  <c r="U30" i="5"/>
  <c r="I6" i="5"/>
  <c r="I7" i="5"/>
  <c r="I8" i="5"/>
  <c r="I9" i="5"/>
  <c r="I10" i="5"/>
  <c r="I11" i="5"/>
  <c r="I12" i="5"/>
  <c r="I13" i="5"/>
  <c r="I14" i="5"/>
  <c r="I15" i="5"/>
  <c r="I16" i="5"/>
  <c r="I17" i="5"/>
  <c r="I18" i="5"/>
  <c r="I19" i="5"/>
  <c r="I20" i="5"/>
  <c r="I21" i="5"/>
  <c r="I22" i="5"/>
  <c r="I23" i="5"/>
  <c r="I24" i="5"/>
  <c r="I25" i="5"/>
  <c r="I26" i="5"/>
  <c r="I27" i="5"/>
  <c r="I6" i="7"/>
  <c r="I7" i="7"/>
  <c r="I8" i="7"/>
  <c r="I9" i="7"/>
  <c r="I10" i="7"/>
  <c r="I11" i="7"/>
  <c r="I12" i="7"/>
  <c r="I13" i="7"/>
  <c r="I14" i="7"/>
  <c r="I15" i="7"/>
  <c r="I16" i="7"/>
  <c r="I17" i="7"/>
  <c r="I18" i="7"/>
  <c r="I19" i="7"/>
  <c r="I6" i="8"/>
  <c r="I7" i="8"/>
  <c r="I8" i="8"/>
  <c r="I9" i="8"/>
  <c r="I10" i="8"/>
  <c r="I11" i="8"/>
  <c r="I12" i="8"/>
  <c r="I13" i="8"/>
  <c r="I14" i="8"/>
  <c r="I15" i="8"/>
  <c r="I16" i="8"/>
  <c r="I17" i="8"/>
  <c r="I18" i="8"/>
  <c r="I19" i="8"/>
  <c r="I20" i="8"/>
  <c r="I21" i="8"/>
  <c r="I22" i="8"/>
  <c r="I23" i="8"/>
  <c r="S28" i="9"/>
  <c r="S30" i="9"/>
  <c r="I6" i="11"/>
  <c r="I5" i="11"/>
  <c r="S28" i="89"/>
  <c r="I6" i="89"/>
  <c r="I7" i="89"/>
  <c r="I8" i="89"/>
  <c r="I9" i="89"/>
  <c r="I10" i="89"/>
  <c r="I6" i="10"/>
  <c r="I7" i="10"/>
  <c r="I8" i="10"/>
  <c r="I9" i="10"/>
  <c r="S28" i="10"/>
  <c r="S28" i="87"/>
  <c r="I6" i="87"/>
  <c r="I7" i="87"/>
  <c r="I8" i="87"/>
  <c r="I9" i="87"/>
  <c r="I11" i="87"/>
  <c r="I12" i="87"/>
  <c r="I13" i="87"/>
  <c r="I14" i="87"/>
  <c r="I15" i="87"/>
  <c r="I16" i="87"/>
  <c r="I17" i="87"/>
  <c r="I18" i="87"/>
  <c r="I19" i="87"/>
  <c r="I5" i="87"/>
  <c r="I7" i="82"/>
  <c r="I8" i="82"/>
  <c r="I9" i="82"/>
  <c r="S27" i="82"/>
  <c r="S28" i="82"/>
  <c r="S29" i="12"/>
  <c r="S28" i="12"/>
  <c r="I7" i="12"/>
  <c r="I8" i="12"/>
  <c r="I9" i="12"/>
  <c r="I10" i="12"/>
  <c r="I11" i="12"/>
  <c r="I12" i="12"/>
  <c r="I13" i="12"/>
  <c r="I7" i="13"/>
  <c r="I8" i="13"/>
  <c r="I9" i="13"/>
  <c r="I10" i="13"/>
  <c r="I11" i="13"/>
  <c r="I12" i="13"/>
  <c r="I13" i="13"/>
  <c r="I14" i="13"/>
  <c r="T28" i="13"/>
  <c r="S29" i="13"/>
  <c r="I6" i="82"/>
  <c r="I6" i="12"/>
  <c r="I6" i="13"/>
  <c r="I6" i="14"/>
  <c r="I7" i="14"/>
  <c r="I8" i="14"/>
  <c r="I9" i="14"/>
  <c r="I10" i="14"/>
  <c r="I11" i="14"/>
  <c r="I12" i="14"/>
  <c r="T28" i="14"/>
  <c r="S29" i="14"/>
  <c r="U30" i="15"/>
  <c r="U28" i="15"/>
  <c r="T28" i="15" s="1"/>
  <c r="I6" i="15"/>
  <c r="I7" i="15"/>
  <c r="I8" i="15"/>
  <c r="I9" i="15"/>
  <c r="I10" i="15"/>
  <c r="I11" i="15"/>
  <c r="I12" i="15"/>
  <c r="I13" i="15"/>
  <c r="I14" i="15"/>
  <c r="I15" i="15"/>
  <c r="I16" i="15"/>
  <c r="I17" i="15"/>
  <c r="I18" i="15"/>
  <c r="I19" i="15"/>
  <c r="I20" i="15"/>
  <c r="I21" i="15"/>
  <c r="I22" i="15"/>
  <c r="I23" i="15"/>
  <c r="I24" i="15"/>
  <c r="I25" i="15"/>
  <c r="I26" i="15"/>
  <c r="I27" i="15"/>
  <c r="I28" i="15"/>
  <c r="I29" i="15"/>
  <c r="U28" i="16"/>
  <c r="U30" i="16"/>
  <c r="T30" i="16" s="1"/>
  <c r="L15" i="16"/>
  <c r="I6" i="16"/>
  <c r="I7" i="16"/>
  <c r="I8" i="16"/>
  <c r="I9" i="16"/>
  <c r="I10" i="16"/>
  <c r="I11" i="16"/>
  <c r="I12" i="16"/>
  <c r="I13" i="16"/>
  <c r="I14" i="16"/>
  <c r="I16" i="16"/>
  <c r="I17" i="16"/>
  <c r="I18" i="16"/>
  <c r="I6" i="19"/>
  <c r="I7" i="19"/>
  <c r="I8" i="19"/>
  <c r="I9" i="19"/>
  <c r="I10" i="19"/>
  <c r="I11" i="19"/>
  <c r="I12" i="19"/>
  <c r="I13" i="19"/>
  <c r="I14" i="19"/>
  <c r="I15" i="19"/>
  <c r="I16" i="19"/>
  <c r="I17" i="19"/>
  <c r="I6" i="17"/>
  <c r="I7" i="17"/>
  <c r="I8" i="17"/>
  <c r="I9" i="17"/>
  <c r="I10" i="17"/>
  <c r="I11" i="17"/>
  <c r="I12" i="17"/>
  <c r="I13" i="17"/>
  <c r="I14" i="17"/>
  <c r="I15" i="17"/>
  <c r="I16" i="17"/>
  <c r="I17" i="17"/>
  <c r="I18" i="17"/>
  <c r="I19" i="17"/>
  <c r="I20" i="17"/>
  <c r="I21" i="17"/>
  <c r="I22" i="17"/>
  <c r="I23" i="17"/>
  <c r="I24" i="17"/>
  <c r="I25" i="17"/>
  <c r="I26" i="17"/>
  <c r="I27" i="17"/>
  <c r="I28" i="17"/>
  <c r="U28" i="18"/>
  <c r="U30" i="18"/>
  <c r="I6" i="18"/>
  <c r="I7" i="18"/>
  <c r="I8" i="18"/>
  <c r="I9" i="18"/>
  <c r="I10" i="18"/>
  <c r="I11" i="18"/>
  <c r="I12" i="18"/>
  <c r="I13" i="18"/>
  <c r="I14" i="18"/>
  <c r="I15" i="18"/>
  <c r="I16" i="18"/>
  <c r="I17" i="18"/>
  <c r="I18" i="18"/>
  <c r="I19" i="18"/>
  <c r="I20" i="18"/>
  <c r="I6" i="20"/>
  <c r="I7" i="20"/>
  <c r="I8" i="20"/>
  <c r="I9" i="20"/>
  <c r="I10" i="20"/>
  <c r="I11" i="20"/>
  <c r="I12" i="20"/>
  <c r="I13" i="20"/>
  <c r="I14" i="20"/>
  <c r="I15" i="20"/>
  <c r="I16" i="20"/>
  <c r="I17" i="20"/>
  <c r="I18" i="20"/>
  <c r="I19" i="20"/>
  <c r="U28" i="20"/>
  <c r="U30" i="20"/>
  <c r="U30" i="21"/>
  <c r="U28" i="21"/>
  <c r="I6" i="21"/>
  <c r="I7" i="21"/>
  <c r="I8" i="21"/>
  <c r="I9" i="21"/>
  <c r="I10" i="21"/>
  <c r="I11" i="21"/>
  <c r="I12" i="21"/>
  <c r="I13" i="21"/>
  <c r="I14" i="21"/>
  <c r="I15" i="21"/>
  <c r="I16" i="21"/>
  <c r="I17" i="21"/>
  <c r="S29" i="23"/>
  <c r="S28" i="23"/>
  <c r="I6" i="23"/>
  <c r="I7" i="23"/>
  <c r="I8" i="23"/>
  <c r="I9" i="23"/>
  <c r="I10" i="23"/>
  <c r="I11" i="23"/>
  <c r="I12" i="23"/>
  <c r="I13" i="23"/>
  <c r="I14" i="23"/>
  <c r="I15" i="23"/>
  <c r="I16" i="23"/>
  <c r="I17" i="23"/>
  <c r="I18" i="23"/>
  <c r="T28" i="24"/>
  <c r="S29" i="24"/>
  <c r="I6" i="24"/>
  <c r="I7" i="24"/>
  <c r="I8" i="24"/>
  <c r="I9" i="24"/>
  <c r="I10" i="24"/>
  <c r="I11" i="24"/>
  <c r="I12" i="24"/>
  <c r="I13" i="24"/>
  <c r="I6" i="25"/>
  <c r="I7" i="25"/>
  <c r="I8" i="25"/>
  <c r="U30" i="25"/>
  <c r="U28" i="25"/>
  <c r="U30" i="26"/>
  <c r="U28" i="26"/>
  <c r="I6" i="26"/>
  <c r="I7" i="26"/>
  <c r="I8" i="26"/>
  <c r="I9" i="26"/>
  <c r="I10" i="26"/>
  <c r="I11" i="26"/>
  <c r="I12" i="26"/>
  <c r="I13" i="26"/>
  <c r="I14" i="26"/>
  <c r="I15" i="26"/>
  <c r="I16" i="26"/>
  <c r="I17" i="26"/>
  <c r="I18" i="26"/>
  <c r="I19" i="26"/>
  <c r="I5" i="26"/>
  <c r="I6" i="27"/>
  <c r="I7" i="27"/>
  <c r="I8" i="27"/>
  <c r="I9" i="27"/>
  <c r="I10" i="27"/>
  <c r="I11" i="27"/>
  <c r="I12" i="27"/>
  <c r="I13" i="27"/>
  <c r="I14" i="27"/>
  <c r="I15" i="27"/>
  <c r="I16" i="27"/>
  <c r="I17" i="27"/>
  <c r="I18" i="27"/>
  <c r="I19" i="27"/>
  <c r="U28" i="27"/>
  <c r="U30" i="27"/>
  <c r="U28" i="28"/>
  <c r="T29" i="28" s="1"/>
  <c r="U30" i="28"/>
  <c r="T30" i="28" s="1"/>
  <c r="I6" i="28"/>
  <c r="I7" i="28"/>
  <c r="I8" i="28"/>
  <c r="I9" i="28"/>
  <c r="I10" i="28"/>
  <c r="I11" i="28"/>
  <c r="I12" i="28"/>
  <c r="I13" i="28"/>
  <c r="I14" i="28"/>
  <c r="I15" i="28"/>
  <c r="I16" i="28"/>
  <c r="I17" i="28"/>
  <c r="I18" i="28"/>
  <c r="I19" i="28"/>
  <c r="I20" i="28"/>
  <c r="I21" i="28"/>
  <c r="I22" i="28"/>
  <c r="I23" i="28"/>
  <c r="I24" i="28"/>
  <c r="U28" i="29"/>
  <c r="I6" i="29"/>
  <c r="I7" i="29"/>
  <c r="I8" i="29"/>
  <c r="I9" i="29"/>
  <c r="I10" i="29"/>
  <c r="I11" i="29"/>
  <c r="I12" i="29"/>
  <c r="I13" i="29"/>
  <c r="I14" i="29"/>
  <c r="I15" i="29"/>
  <c r="I16" i="29"/>
  <c r="I17" i="29"/>
  <c r="I18" i="29"/>
  <c r="I19" i="29"/>
  <c r="S30" i="30"/>
  <c r="S28" i="30"/>
  <c r="I6" i="30"/>
  <c r="I7" i="30"/>
  <c r="I8" i="30"/>
  <c r="I9" i="30"/>
  <c r="I10" i="30"/>
  <c r="I11" i="30"/>
  <c r="I12" i="30"/>
  <c r="I13" i="30"/>
  <c r="T30" i="31"/>
  <c r="U30" i="31" s="1"/>
  <c r="U28" i="31"/>
  <c r="T29" i="31" s="1"/>
  <c r="I6" i="31"/>
  <c r="I7" i="31"/>
  <c r="I8" i="31"/>
  <c r="I9" i="31"/>
  <c r="I10" i="31"/>
  <c r="I11" i="31"/>
  <c r="I12" i="31"/>
  <c r="I13" i="31"/>
  <c r="I14" i="31"/>
  <c r="I15" i="31"/>
  <c r="I16" i="31"/>
  <c r="I17" i="31"/>
  <c r="I18" i="31"/>
  <c r="I19" i="31"/>
  <c r="I20" i="31"/>
  <c r="I21" i="31"/>
  <c r="I22" i="31"/>
  <c r="I23" i="31"/>
  <c r="I24" i="31"/>
  <c r="U30" i="32"/>
  <c r="U28" i="32"/>
  <c r="I6" i="32"/>
  <c r="I7" i="32"/>
  <c r="I8" i="32"/>
  <c r="I9" i="32"/>
  <c r="I10" i="32"/>
  <c r="I11" i="32"/>
  <c r="I12" i="32"/>
  <c r="I13" i="32"/>
  <c r="I14" i="32"/>
  <c r="I15" i="32"/>
  <c r="I16" i="32"/>
  <c r="I17" i="32"/>
  <c r="I18" i="32"/>
  <c r="I19" i="32"/>
  <c r="U30" i="33"/>
  <c r="U28" i="33"/>
  <c r="I6" i="33"/>
  <c r="I7" i="33"/>
  <c r="I8" i="33"/>
  <c r="I9" i="33"/>
  <c r="I10" i="33"/>
  <c r="I11" i="33"/>
  <c r="I12" i="33"/>
  <c r="I13" i="33"/>
  <c r="I14" i="33"/>
  <c r="I15" i="33"/>
  <c r="I16" i="33"/>
  <c r="I17" i="33"/>
  <c r="I18" i="33"/>
  <c r="I19" i="33"/>
  <c r="I20" i="33"/>
  <c r="I21" i="33"/>
  <c r="I22" i="33"/>
  <c r="I23" i="33"/>
  <c r="I24" i="33"/>
  <c r="I25" i="33"/>
  <c r="I5" i="33"/>
  <c r="S29" i="34"/>
  <c r="S28" i="34"/>
  <c r="I6" i="34"/>
  <c r="I7" i="34"/>
  <c r="I8" i="34"/>
  <c r="I9" i="34"/>
  <c r="I10" i="34"/>
  <c r="S29" i="35"/>
  <c r="S28" i="35"/>
  <c r="I6" i="35"/>
  <c r="I7" i="35"/>
  <c r="I8" i="35"/>
  <c r="I9" i="35"/>
  <c r="S30" i="36"/>
  <c r="S28" i="36"/>
  <c r="I5" i="36"/>
  <c r="I6" i="37"/>
  <c r="I7" i="37"/>
  <c r="I8" i="37"/>
  <c r="I9" i="37"/>
  <c r="I10" i="37"/>
  <c r="I11" i="37"/>
  <c r="I12" i="37"/>
  <c r="T28" i="38"/>
  <c r="S29" i="38"/>
  <c r="I7" i="38"/>
  <c r="I8" i="38"/>
  <c r="I9" i="38"/>
  <c r="I10" i="38"/>
  <c r="I11" i="38"/>
  <c r="I12" i="38"/>
  <c r="I6" i="38"/>
  <c r="I7" i="39"/>
  <c r="I8" i="39"/>
  <c r="I9" i="39"/>
  <c r="I10" i="39"/>
  <c r="I11" i="39"/>
  <c r="I6" i="39"/>
  <c r="S29" i="39"/>
  <c r="S28" i="39"/>
  <c r="T28" i="40"/>
  <c r="S29" i="40"/>
  <c r="I6" i="40"/>
  <c r="I7" i="40"/>
  <c r="I8" i="40"/>
  <c r="I9" i="40"/>
  <c r="I10" i="40"/>
  <c r="I11" i="40"/>
  <c r="I12" i="40"/>
  <c r="I13" i="40"/>
  <c r="I14" i="40"/>
  <c r="I6" i="41"/>
  <c r="I7" i="41"/>
  <c r="I8" i="41"/>
  <c r="I9" i="41"/>
  <c r="I10" i="41"/>
  <c r="I11" i="41"/>
  <c r="I12" i="41"/>
  <c r="I13" i="41"/>
  <c r="I14" i="41"/>
  <c r="U28" i="41"/>
  <c r="U30" i="41"/>
  <c r="S29" i="42"/>
  <c r="I6" i="42"/>
  <c r="I7" i="42"/>
  <c r="I8" i="42"/>
  <c r="I9" i="42"/>
  <c r="I10" i="42"/>
  <c r="I11" i="42"/>
  <c r="I12" i="42"/>
  <c r="I5" i="42"/>
  <c r="I6" i="43"/>
  <c r="I7" i="43"/>
  <c r="I8" i="43"/>
  <c r="I9" i="43"/>
  <c r="I10" i="43"/>
  <c r="I11" i="43"/>
  <c r="I12" i="43"/>
  <c r="I13" i="43"/>
  <c r="I14" i="43"/>
  <c r="I15" i="43"/>
  <c r="I16" i="43"/>
  <c r="I17" i="43"/>
  <c r="V28" i="43"/>
  <c r="T29" i="43" s="1"/>
  <c r="V30" i="43"/>
  <c r="U30" i="44"/>
  <c r="U28" i="44"/>
  <c r="I6" i="44"/>
  <c r="I7" i="44"/>
  <c r="I8" i="44"/>
  <c r="I9" i="44"/>
  <c r="I10" i="44"/>
  <c r="I11" i="44"/>
  <c r="I12" i="44"/>
  <c r="I13" i="44"/>
  <c r="I14" i="44"/>
  <c r="I15" i="44"/>
  <c r="I16" i="44"/>
  <c r="I17" i="44"/>
  <c r="I18" i="44"/>
  <c r="I19" i="44"/>
  <c r="I20" i="44"/>
  <c r="U30" i="45"/>
  <c r="T30" i="45" s="1"/>
  <c r="U28" i="45"/>
  <c r="I6" i="45"/>
  <c r="I7" i="45"/>
  <c r="I8" i="45"/>
  <c r="I9" i="45"/>
  <c r="I10" i="45"/>
  <c r="I11" i="45"/>
  <c r="I12" i="45"/>
  <c r="I13" i="45"/>
  <c r="I14" i="45"/>
  <c r="I15" i="45"/>
  <c r="I16" i="45"/>
  <c r="I17" i="45"/>
  <c r="I18" i="45"/>
  <c r="I19" i="45"/>
  <c r="I20" i="45"/>
  <c r="I5" i="45"/>
  <c r="U30" i="46"/>
  <c r="U28" i="46"/>
  <c r="I6" i="46"/>
  <c r="I7" i="46"/>
  <c r="I8" i="46"/>
  <c r="I9" i="46"/>
  <c r="I10" i="46"/>
  <c r="I11" i="46"/>
  <c r="I12" i="46"/>
  <c r="I13" i="46"/>
  <c r="I14" i="46"/>
  <c r="I15" i="46"/>
  <c r="I5" i="46"/>
  <c r="I6" i="47"/>
  <c r="I7" i="47"/>
  <c r="I8" i="47"/>
  <c r="I9" i="47"/>
  <c r="I10" i="47"/>
  <c r="I11" i="47"/>
  <c r="I12" i="47"/>
  <c r="I13" i="47"/>
  <c r="I14" i="47"/>
  <c r="I15" i="47"/>
  <c r="I16" i="47"/>
  <c r="I17" i="47"/>
  <c r="I18" i="47"/>
  <c r="I19" i="47"/>
  <c r="I20" i="47"/>
  <c r="I21" i="47"/>
  <c r="U28" i="47"/>
  <c r="U30" i="47"/>
  <c r="I6" i="48"/>
  <c r="I7" i="48"/>
  <c r="I8" i="48"/>
  <c r="I9" i="48"/>
  <c r="I10" i="48"/>
  <c r="I11" i="48"/>
  <c r="I12" i="48"/>
  <c r="I13" i="48"/>
  <c r="I14" i="48"/>
  <c r="I15" i="48"/>
  <c r="I16" i="48"/>
  <c r="I17" i="48"/>
  <c r="U30" i="48"/>
  <c r="U28" i="48"/>
  <c r="I6" i="49"/>
  <c r="I7" i="49"/>
  <c r="I8" i="49"/>
  <c r="I9" i="49"/>
  <c r="I10" i="49"/>
  <c r="I11" i="49"/>
  <c r="I12" i="49"/>
  <c r="I13" i="49"/>
  <c r="I14" i="49"/>
  <c r="I15" i="49"/>
  <c r="I16" i="49"/>
  <c r="I17" i="49"/>
  <c r="I5" i="49"/>
  <c r="U30" i="50"/>
  <c r="U28" i="50"/>
  <c r="I6" i="50"/>
  <c r="I7" i="50"/>
  <c r="I8" i="50"/>
  <c r="I9" i="50"/>
  <c r="I10" i="50"/>
  <c r="I11" i="50"/>
  <c r="I12" i="50"/>
  <c r="I13" i="50"/>
  <c r="I14" i="50"/>
  <c r="I15" i="50"/>
  <c r="I16" i="50"/>
  <c r="I17" i="50"/>
  <c r="I18" i="50"/>
  <c r="I19" i="50"/>
  <c r="I20" i="50"/>
  <c r="I21" i="50"/>
  <c r="S30" i="79"/>
  <c r="T30" i="79" s="1"/>
  <c r="T32" i="79" s="1"/>
  <c r="I6" i="79"/>
  <c r="I7" i="79"/>
  <c r="I8" i="79"/>
  <c r="I9" i="79"/>
  <c r="U28" i="52"/>
  <c r="U32" i="52" s="1"/>
  <c r="S30" i="52"/>
  <c r="I6" i="51"/>
  <c r="I7" i="51"/>
  <c r="I8" i="51"/>
  <c r="I9" i="51"/>
  <c r="I10" i="51"/>
  <c r="I11" i="51"/>
  <c r="I12" i="51"/>
  <c r="I13" i="51"/>
  <c r="I14" i="51"/>
  <c r="I15" i="51"/>
  <c r="I16" i="51"/>
  <c r="I17" i="51"/>
  <c r="S29" i="51"/>
  <c r="S28" i="51"/>
  <c r="I6" i="52"/>
  <c r="I7" i="52"/>
  <c r="I8" i="52"/>
  <c r="I9" i="52"/>
  <c r="I6" i="53"/>
  <c r="I7" i="53"/>
  <c r="I8" i="53"/>
  <c r="I9" i="53"/>
  <c r="I10" i="53"/>
  <c r="U28" i="53"/>
  <c r="U30" i="53"/>
  <c r="I7" i="54"/>
  <c r="I8" i="54"/>
  <c r="I9" i="54"/>
  <c r="I10" i="54"/>
  <c r="I11" i="54"/>
  <c r="I12" i="54"/>
  <c r="I6" i="54"/>
  <c r="S29" i="54"/>
  <c r="T28" i="54"/>
  <c r="S29" i="55"/>
  <c r="T28" i="55"/>
  <c r="I6" i="55"/>
  <c r="I7" i="55"/>
  <c r="I8" i="55"/>
  <c r="I9" i="55"/>
  <c r="I10" i="55"/>
  <c r="I11" i="55"/>
  <c r="I12" i="55"/>
  <c r="I13" i="55"/>
  <c r="I14" i="55"/>
  <c r="I6" i="56"/>
  <c r="I7" i="56"/>
  <c r="I8" i="56"/>
  <c r="I9" i="56"/>
  <c r="I10" i="56"/>
  <c r="I11" i="56"/>
  <c r="I12" i="56"/>
  <c r="I13" i="56"/>
  <c r="I14" i="56"/>
  <c r="I15" i="56"/>
  <c r="I16" i="56"/>
  <c r="I17" i="56"/>
  <c r="U30" i="57"/>
  <c r="T30" i="57" s="1"/>
  <c r="U28" i="57"/>
  <c r="T29" i="57" s="1"/>
  <c r="I6" i="57"/>
  <c r="I7" i="57"/>
  <c r="I8" i="57"/>
  <c r="I9" i="57"/>
  <c r="I10" i="57"/>
  <c r="I11" i="57"/>
  <c r="I12" i="57"/>
  <c r="I13" i="57"/>
  <c r="I14" i="57"/>
  <c r="I15" i="57"/>
  <c r="I16" i="57"/>
  <c r="I17" i="57"/>
  <c r="I18" i="57"/>
  <c r="I19" i="57"/>
  <c r="I20" i="57"/>
  <c r="I21" i="57"/>
  <c r="I22" i="57"/>
  <c r="I23" i="57"/>
  <c r="I24" i="57"/>
  <c r="I25" i="57"/>
  <c r="S28" i="58"/>
  <c r="S30" i="58"/>
  <c r="U28" i="61"/>
  <c r="U30" i="61"/>
  <c r="I6" i="62"/>
  <c r="I7" i="62"/>
  <c r="I8" i="62"/>
  <c r="I9" i="62"/>
  <c r="I10" i="62"/>
  <c r="I11" i="62"/>
  <c r="I12" i="62"/>
  <c r="I13" i="62"/>
  <c r="I14" i="62"/>
  <c r="I15" i="62"/>
  <c r="I16" i="62"/>
  <c r="I17" i="62"/>
  <c r="I18" i="62"/>
  <c r="I19" i="62"/>
  <c r="I20" i="62"/>
  <c r="U30" i="62"/>
  <c r="U28" i="62"/>
  <c r="T28" i="62" s="1"/>
  <c r="T30" i="64"/>
  <c r="U23" i="64"/>
  <c r="S32" i="64"/>
  <c r="T22" i="65"/>
  <c r="S30" i="65" s="1"/>
  <c r="U30" i="65" s="1"/>
  <c r="T30" i="65" s="1"/>
  <c r="R22" i="65"/>
  <c r="S28" i="65" s="1"/>
  <c r="U28" i="65" s="1"/>
  <c r="T28" i="65" s="1"/>
  <c r="S29" i="66"/>
  <c r="S28" i="66"/>
  <c r="I6" i="67"/>
  <c r="I7" i="67"/>
  <c r="I8" i="67"/>
  <c r="I9" i="67"/>
  <c r="I10" i="67"/>
  <c r="I11" i="67"/>
  <c r="I12" i="67"/>
  <c r="I13" i="67"/>
  <c r="I14" i="67"/>
  <c r="I15" i="67"/>
  <c r="U30" i="67"/>
  <c r="T30" i="67" s="1"/>
  <c r="U28" i="67"/>
  <c r="T28" i="67" s="1"/>
  <c r="S28" i="83"/>
  <c r="S27" i="83"/>
  <c r="S29" i="68"/>
  <c r="S28" i="68"/>
  <c r="S27" i="85"/>
  <c r="T27" i="85" s="1"/>
  <c r="S28" i="85"/>
  <c r="U28" i="69"/>
  <c r="T29" i="69" s="1"/>
  <c r="U30" i="69"/>
  <c r="T30" i="69" s="1"/>
  <c r="U28" i="70"/>
  <c r="T29" i="70" s="1"/>
  <c r="U30" i="70"/>
  <c r="T30" i="70" s="1"/>
  <c r="I6" i="58"/>
  <c r="I7" i="58"/>
  <c r="I8" i="58"/>
  <c r="I9" i="58"/>
  <c r="I10" i="58"/>
  <c r="I11" i="58"/>
  <c r="I12" i="58"/>
  <c r="I13" i="58"/>
  <c r="I14" i="58"/>
  <c r="I15" i="58"/>
  <c r="I16" i="58"/>
  <c r="I17" i="58"/>
  <c r="I18" i="58"/>
  <c r="I19" i="58"/>
  <c r="I20" i="58"/>
  <c r="I21" i="58"/>
  <c r="I6" i="59"/>
  <c r="I7" i="59"/>
  <c r="I8" i="59"/>
  <c r="I9" i="59"/>
  <c r="I10" i="59"/>
  <c r="I11" i="59"/>
  <c r="I12" i="59"/>
  <c r="I13" i="59"/>
  <c r="I14" i="59"/>
  <c r="I15" i="59"/>
  <c r="I16" i="59"/>
  <c r="I17" i="59"/>
  <c r="I18" i="59"/>
  <c r="I19" i="59"/>
  <c r="I20" i="59"/>
  <c r="I6" i="60"/>
  <c r="I7" i="60"/>
  <c r="I8" i="60"/>
  <c r="I9" i="60"/>
  <c r="I10" i="60"/>
  <c r="I11" i="60"/>
  <c r="I12" i="60"/>
  <c r="I13" i="60"/>
  <c r="I14" i="60"/>
  <c r="I15" i="60"/>
  <c r="I16" i="60"/>
  <c r="I17" i="60"/>
  <c r="I6" i="61"/>
  <c r="I7" i="61"/>
  <c r="I8" i="61"/>
  <c r="I9" i="61"/>
  <c r="I10" i="61"/>
  <c r="I11" i="61"/>
  <c r="I12" i="61"/>
  <c r="I13" i="61"/>
  <c r="I14" i="61"/>
  <c r="I15" i="61"/>
  <c r="I16" i="61"/>
  <c r="I17" i="61"/>
  <c r="I18" i="61"/>
  <c r="I6" i="64"/>
  <c r="I7" i="64"/>
  <c r="I8" i="64"/>
  <c r="I9" i="64"/>
  <c r="I10" i="64"/>
  <c r="I11" i="64"/>
  <c r="I12" i="64"/>
  <c r="I13" i="64"/>
  <c r="I5" i="64"/>
  <c r="I6" i="65"/>
  <c r="I7" i="65"/>
  <c r="I8" i="65"/>
  <c r="I9" i="65"/>
  <c r="I10" i="65"/>
  <c r="I11" i="65"/>
  <c r="I12" i="65"/>
  <c r="I13" i="65"/>
  <c r="I14" i="65"/>
  <c r="I15" i="65"/>
  <c r="I16" i="65"/>
  <c r="I17" i="65"/>
  <c r="I18" i="65"/>
  <c r="I19" i="65"/>
  <c r="I6" i="66"/>
  <c r="I7" i="66"/>
  <c r="I8" i="66"/>
  <c r="I9" i="66"/>
  <c r="I10" i="66"/>
  <c r="I11" i="66"/>
  <c r="I12" i="66"/>
  <c r="I13" i="66"/>
  <c r="I7" i="83"/>
  <c r="I8" i="83"/>
  <c r="I9" i="83"/>
  <c r="I6" i="83"/>
  <c r="I7" i="68"/>
  <c r="I8" i="68"/>
  <c r="I9" i="68"/>
  <c r="I10" i="68"/>
  <c r="I11" i="68"/>
  <c r="I12" i="68"/>
  <c r="I13" i="68"/>
  <c r="I6" i="68"/>
  <c r="I6" i="86"/>
  <c r="I7" i="86"/>
  <c r="I8" i="86"/>
  <c r="I9" i="86"/>
  <c r="I10" i="86"/>
  <c r="I11" i="86"/>
  <c r="I12" i="86"/>
  <c r="I13" i="86"/>
  <c r="I14" i="86"/>
  <c r="I15" i="86"/>
  <c r="I16" i="86"/>
  <c r="I17" i="86"/>
  <c r="I18" i="86"/>
  <c r="I19" i="86"/>
  <c r="I5" i="86"/>
  <c r="I6" i="85"/>
  <c r="I7" i="85"/>
  <c r="I8" i="85"/>
  <c r="I9" i="85"/>
  <c r="I10" i="85"/>
  <c r="I11" i="85"/>
  <c r="I12" i="85"/>
  <c r="I13" i="85"/>
  <c r="I14" i="85"/>
  <c r="I15" i="85"/>
  <c r="I16" i="85"/>
  <c r="I17" i="85"/>
  <c r="I18" i="85"/>
  <c r="I19" i="85"/>
  <c r="I20" i="85"/>
  <c r="I5" i="85"/>
  <c r="I6" i="69"/>
  <c r="I7" i="69"/>
  <c r="I8" i="69"/>
  <c r="I9" i="69"/>
  <c r="I10" i="69"/>
  <c r="I11" i="69"/>
  <c r="I12" i="69"/>
  <c r="I13" i="69"/>
  <c r="I14" i="69"/>
  <c r="I15" i="69"/>
  <c r="I16" i="69"/>
  <c r="I17" i="69"/>
  <c r="I18" i="69"/>
  <c r="I19" i="69"/>
  <c r="I20" i="69"/>
  <c r="I21" i="69"/>
  <c r="I22" i="69"/>
  <c r="I6" i="70"/>
  <c r="I7" i="70"/>
  <c r="I8" i="70"/>
  <c r="I9" i="70"/>
  <c r="I10" i="70"/>
  <c r="I11" i="70"/>
  <c r="I12" i="70"/>
  <c r="I13" i="70"/>
  <c r="I14" i="70"/>
  <c r="I15" i="70"/>
  <c r="I16" i="70"/>
  <c r="I17" i="70"/>
  <c r="I18" i="70"/>
  <c r="I19" i="70"/>
  <c r="I20" i="70"/>
  <c r="I21" i="70"/>
  <c r="I22" i="70"/>
  <c r="I23" i="70"/>
  <c r="J5" i="29"/>
  <c r="J5" i="32"/>
  <c r="J5" i="58"/>
  <c r="J5" i="60"/>
  <c r="J5" i="62"/>
  <c r="J5" i="65"/>
  <c r="J5" i="67"/>
  <c r="I5" i="3"/>
  <c r="I5" i="4"/>
  <c r="I5" i="6"/>
  <c r="I5" i="5"/>
  <c r="I5" i="7"/>
  <c r="I5" i="8"/>
  <c r="I5" i="9"/>
  <c r="I5" i="10"/>
  <c r="I5" i="15"/>
  <c r="I5" i="16"/>
  <c r="I5" i="19"/>
  <c r="I5" i="17"/>
  <c r="I5" i="18"/>
  <c r="I5" i="20"/>
  <c r="I5" i="21"/>
  <c r="I5" i="23"/>
  <c r="I5" i="25"/>
  <c r="I5" i="27"/>
  <c r="I5" i="28"/>
  <c r="I5" i="29"/>
  <c r="I5" i="30"/>
  <c r="I5" i="32"/>
  <c r="I5" i="34"/>
  <c r="I5" i="35"/>
  <c r="I5" i="37"/>
  <c r="I5" i="41"/>
  <c r="I5" i="43"/>
  <c r="I5" i="44"/>
  <c r="I5" i="47"/>
  <c r="I5" i="48"/>
  <c r="I5" i="50"/>
  <c r="I5" i="79"/>
  <c r="I5" i="51"/>
  <c r="I5" i="53"/>
  <c r="I5" i="56"/>
  <c r="I5" i="57"/>
  <c r="I5" i="58"/>
  <c r="I5" i="59"/>
  <c r="I5" i="60"/>
  <c r="I5" i="61"/>
  <c r="I5" i="62"/>
  <c r="I5" i="65"/>
  <c r="I5" i="66"/>
  <c r="I5" i="67"/>
  <c r="I5" i="69"/>
  <c r="I5" i="70"/>
  <c r="J6" i="25"/>
  <c r="K94" i="1"/>
  <c r="N94" i="1" s="1"/>
  <c r="L94" i="1"/>
  <c r="O94" i="1" s="1"/>
  <c r="T30" i="30" l="1"/>
  <c r="U30" i="30"/>
  <c r="T29" i="30"/>
  <c r="U29" i="30" s="1"/>
  <c r="U28" i="30"/>
  <c r="S28" i="67"/>
  <c r="S30" i="35"/>
  <c r="J52" i="35" s="1"/>
  <c r="U32" i="45"/>
  <c r="T30" i="20"/>
  <c r="S30" i="20"/>
  <c r="S30" i="51"/>
  <c r="T29" i="20"/>
  <c r="U32" i="46"/>
  <c r="S32" i="30"/>
  <c r="T29" i="29"/>
  <c r="S28" i="29"/>
  <c r="T28" i="29"/>
  <c r="T28" i="16"/>
  <c r="T32" i="16" s="1"/>
  <c r="T29" i="6"/>
  <c r="U28" i="6"/>
  <c r="S29" i="83"/>
  <c r="S30" i="68"/>
  <c r="S30" i="66"/>
  <c r="U32" i="25"/>
  <c r="S32" i="9"/>
  <c r="U32" i="9" s="1"/>
  <c r="AF29" i="53"/>
  <c r="AB29" i="53"/>
  <c r="S32" i="58"/>
  <c r="S37" i="58" s="1"/>
  <c r="S38" i="58" s="1"/>
  <c r="S30" i="39"/>
  <c r="S29" i="87"/>
  <c r="S30" i="10"/>
  <c r="S30" i="89"/>
  <c r="S28" i="8"/>
  <c r="S32" i="36"/>
  <c r="B67" i="36" s="1"/>
  <c r="S30" i="34"/>
  <c r="S30" i="23"/>
  <c r="S30" i="12"/>
  <c r="T30" i="12" s="1"/>
  <c r="S29" i="85"/>
  <c r="T29" i="85" s="1"/>
  <c r="S32" i="79"/>
  <c r="B71" i="79" s="1"/>
  <c r="T32" i="31"/>
  <c r="U29" i="31"/>
  <c r="U32" i="31" s="1"/>
  <c r="S29" i="82"/>
  <c r="S32" i="4"/>
  <c r="U32" i="4" s="1"/>
  <c r="J5" i="30"/>
  <c r="J159" i="1"/>
  <c r="J5" i="111" s="1"/>
  <c r="L5" i="111" s="1"/>
  <c r="S35" i="111" s="1"/>
  <c r="J158" i="1"/>
  <c r="J155" i="1"/>
  <c r="J5" i="108" s="1"/>
  <c r="L5" i="108" s="1"/>
  <c r="S35" i="108" s="1"/>
  <c r="J153" i="1"/>
  <c r="J37" i="6"/>
  <c r="F116" i="8"/>
  <c r="F117" i="8"/>
  <c r="F118" i="8"/>
  <c r="F119" i="8"/>
  <c r="F120" i="8"/>
  <c r="F121" i="8"/>
  <c r="F122" i="8"/>
  <c r="F123" i="8"/>
  <c r="F124" i="8"/>
  <c r="F125" i="8"/>
  <c r="F126" i="8"/>
  <c r="F127" i="8"/>
  <c r="F128" i="8"/>
  <c r="F129" i="8"/>
  <c r="F130" i="8"/>
  <c r="F131" i="8"/>
  <c r="F132" i="8"/>
  <c r="F133" i="8"/>
  <c r="F115" i="8"/>
  <c r="B116" i="8"/>
  <c r="C116" i="8"/>
  <c r="D116" i="8"/>
  <c r="B117" i="8"/>
  <c r="C117" i="8"/>
  <c r="D117" i="8"/>
  <c r="B118" i="8"/>
  <c r="C118" i="8"/>
  <c r="D118" i="8"/>
  <c r="B119" i="8"/>
  <c r="C119" i="8"/>
  <c r="D119" i="8"/>
  <c r="B120" i="8"/>
  <c r="C120" i="8"/>
  <c r="D120" i="8"/>
  <c r="B121" i="8"/>
  <c r="C121" i="8"/>
  <c r="D121" i="8"/>
  <c r="B122" i="8"/>
  <c r="C122" i="8"/>
  <c r="D122" i="8"/>
  <c r="B123" i="8"/>
  <c r="C123" i="8"/>
  <c r="D123" i="8"/>
  <c r="B124" i="8"/>
  <c r="C124" i="8"/>
  <c r="D124" i="8"/>
  <c r="B125" i="8"/>
  <c r="C125" i="8"/>
  <c r="D125" i="8"/>
  <c r="B126" i="8"/>
  <c r="C126" i="8"/>
  <c r="D126" i="8"/>
  <c r="B127" i="8"/>
  <c r="C127" i="8"/>
  <c r="D127" i="8"/>
  <c r="B128" i="8"/>
  <c r="C128" i="8"/>
  <c r="D128" i="8"/>
  <c r="B129" i="8"/>
  <c r="C129" i="8"/>
  <c r="D129" i="8"/>
  <c r="B130" i="8"/>
  <c r="C130" i="8"/>
  <c r="D130" i="8"/>
  <c r="B131" i="8"/>
  <c r="C131" i="8"/>
  <c r="D131" i="8"/>
  <c r="B132" i="8"/>
  <c r="C132" i="8"/>
  <c r="D132" i="8"/>
  <c r="B133" i="8"/>
  <c r="C133" i="8"/>
  <c r="D133" i="8"/>
  <c r="C115" i="8"/>
  <c r="B115" i="8"/>
  <c r="N55" i="2"/>
  <c r="K12" i="2"/>
  <c r="N12" i="2" s="1"/>
  <c r="L12" i="2"/>
  <c r="O12" i="2" s="1"/>
  <c r="K64" i="2"/>
  <c r="N64" i="2" s="1"/>
  <c r="J28" i="5"/>
  <c r="J6" i="110" l="1"/>
  <c r="L6" i="110" s="1"/>
  <c r="S33" i="110" s="1"/>
  <c r="AB30" i="110" s="1"/>
  <c r="J24" i="96"/>
  <c r="L24" i="96" s="1"/>
  <c r="J24" i="99"/>
  <c r="L24" i="99" s="1"/>
  <c r="V35" i="99" s="1"/>
  <c r="T27" i="87"/>
  <c r="T29" i="87" s="1"/>
  <c r="E1" i="87" s="1"/>
  <c r="AB30" i="111"/>
  <c r="AB30" i="108"/>
  <c r="J5" i="102"/>
  <c r="L5" i="102" s="1"/>
  <c r="S35" i="102" s="1"/>
  <c r="AB30" i="102" s="1"/>
  <c r="AF30" i="102" s="1"/>
  <c r="J5" i="107"/>
  <c r="L5" i="107" s="1"/>
  <c r="S35" i="107" s="1"/>
  <c r="AB30" i="107" s="1"/>
  <c r="J5" i="109"/>
  <c r="L5" i="109" s="1"/>
  <c r="S35" i="109" s="1"/>
  <c r="J5" i="112"/>
  <c r="L5" i="112" s="1"/>
  <c r="S33" i="112" s="1"/>
  <c r="J7" i="114"/>
  <c r="L7" i="114" s="1"/>
  <c r="J23" i="107"/>
  <c r="L23" i="107" s="1"/>
  <c r="J12" i="113"/>
  <c r="L12" i="113" s="1"/>
  <c r="J10" i="112"/>
  <c r="L10" i="112" s="1"/>
  <c r="J16" i="105"/>
  <c r="L16" i="105" s="1"/>
  <c r="J7" i="109"/>
  <c r="L7" i="109" s="1"/>
  <c r="J16" i="104"/>
  <c r="L16" i="104" s="1"/>
  <c r="J20" i="105"/>
  <c r="L20" i="105" s="1"/>
  <c r="J5" i="98"/>
  <c r="L5" i="98" s="1"/>
  <c r="S35" i="98" s="1"/>
  <c r="AB30" i="98" s="1"/>
  <c r="J5" i="100"/>
  <c r="L5" i="100" s="1"/>
  <c r="S35" i="100" s="1"/>
  <c r="J5" i="96"/>
  <c r="L5" i="96" s="1"/>
  <c r="S35" i="96" s="1"/>
  <c r="J5" i="99"/>
  <c r="L5" i="99" s="1"/>
  <c r="S35" i="99" s="1"/>
  <c r="J5" i="95"/>
  <c r="L5" i="95" s="1"/>
  <c r="S35" i="95" s="1"/>
  <c r="J5" i="94"/>
  <c r="L5" i="94" s="1"/>
  <c r="S35" i="94" s="1"/>
  <c r="AO1" i="30"/>
  <c r="AM1" i="30"/>
  <c r="J20" i="86"/>
  <c r="J21" i="85"/>
  <c r="AD28" i="29"/>
  <c r="AC28" i="29"/>
  <c r="AB28" i="29"/>
  <c r="AD28" i="30"/>
  <c r="AB28" i="30"/>
  <c r="L107" i="1"/>
  <c r="O107" i="1" s="1"/>
  <c r="K107" i="1"/>
  <c r="N107" i="1" s="1"/>
  <c r="T32" i="8"/>
  <c r="U29" i="8"/>
  <c r="U32" i="8" s="1"/>
  <c r="J5" i="19"/>
  <c r="J5" i="49"/>
  <c r="J5" i="59"/>
  <c r="J5" i="48"/>
  <c r="J5" i="33"/>
  <c r="J5" i="23"/>
  <c r="J5" i="7"/>
  <c r="J5" i="44"/>
  <c r="J5" i="46"/>
  <c r="J5" i="4"/>
  <c r="J5" i="5"/>
  <c r="J5" i="20"/>
  <c r="J5" i="66"/>
  <c r="J5" i="6"/>
  <c r="J5" i="21"/>
  <c r="J5" i="34"/>
  <c r="J5" i="26"/>
  <c r="J5" i="28"/>
  <c r="J5" i="18"/>
  <c r="J5" i="25"/>
  <c r="J5" i="47"/>
  <c r="J5" i="3"/>
  <c r="J5" i="37"/>
  <c r="J5" i="41"/>
  <c r="J5" i="10"/>
  <c r="J5" i="17"/>
  <c r="J5" i="35"/>
  <c r="J5" i="9"/>
  <c r="J5" i="11"/>
  <c r="J5" i="8"/>
  <c r="J5" i="79"/>
  <c r="J5" i="51"/>
  <c r="J5" i="53"/>
  <c r="J5" i="56"/>
  <c r="J5" i="57"/>
  <c r="J5" i="61"/>
  <c r="J5" i="15"/>
  <c r="J5" i="69"/>
  <c r="J5" i="70"/>
  <c r="J5" i="36"/>
  <c r="J5" i="43"/>
  <c r="J16" i="16"/>
  <c r="J17" i="17"/>
  <c r="J9" i="18"/>
  <c r="J15" i="21"/>
  <c r="J17" i="23"/>
  <c r="J13" i="33"/>
  <c r="J10" i="34"/>
  <c r="J11" i="45"/>
  <c r="J17" i="51"/>
  <c r="J16" i="57"/>
  <c r="J7" i="82"/>
  <c r="J7" i="66"/>
  <c r="J11" i="44"/>
  <c r="J7" i="83"/>
  <c r="J16" i="70"/>
  <c r="J20" i="3"/>
  <c r="J14" i="5"/>
  <c r="J16" i="8"/>
  <c r="J17" i="19"/>
  <c r="J19" i="59"/>
  <c r="J16" i="86"/>
  <c r="J15" i="20"/>
  <c r="J16" i="7"/>
  <c r="J9" i="114"/>
  <c r="L9" i="114" s="1"/>
  <c r="AR16" i="9"/>
  <c r="J65" i="2"/>
  <c r="AR7" i="9" s="1"/>
  <c r="J57" i="2"/>
  <c r="AR9" i="9" s="1"/>
  <c r="J53" i="2"/>
  <c r="AR19" i="9" s="1"/>
  <c r="J55" i="2"/>
  <c r="AR11" i="18" s="1"/>
  <c r="J58" i="2"/>
  <c r="J129" i="1"/>
  <c r="J127" i="1"/>
  <c r="J116" i="1"/>
  <c r="J16" i="62" s="1"/>
  <c r="J122" i="1"/>
  <c r="J123" i="1"/>
  <c r="J6" i="108" s="1"/>
  <c r="L6" i="108" s="1"/>
  <c r="J138" i="1"/>
  <c r="J37" i="49" s="1"/>
  <c r="J119" i="1"/>
  <c r="J130" i="1"/>
  <c r="J9" i="105" s="1"/>
  <c r="L9" i="105" s="1"/>
  <c r="J121" i="1"/>
  <c r="AB30" i="96" l="1"/>
  <c r="G1" i="87"/>
  <c r="I1" i="87" s="1"/>
  <c r="C52" i="87" s="1"/>
  <c r="C53" i="87" s="1"/>
  <c r="D53" i="87" s="1"/>
  <c r="D52" i="87"/>
  <c r="B81" i="87" s="1"/>
  <c r="AA30" i="109"/>
  <c r="AA30" i="112"/>
  <c r="T33" i="112"/>
  <c r="J21" i="11"/>
  <c r="J7" i="108"/>
  <c r="L7" i="108" s="1"/>
  <c r="J21" i="107"/>
  <c r="L21" i="107" s="1"/>
  <c r="J5" i="105"/>
  <c r="L5" i="105" s="1"/>
  <c r="J13" i="110"/>
  <c r="L13" i="110" s="1"/>
  <c r="J19" i="107"/>
  <c r="L19" i="107" s="1"/>
  <c r="J12" i="107"/>
  <c r="L12" i="107" s="1"/>
  <c r="J16" i="110"/>
  <c r="L16" i="110" s="1"/>
  <c r="J37" i="97"/>
  <c r="L37" i="97" s="1"/>
  <c r="J37" i="107"/>
  <c r="L37" i="107" s="1"/>
  <c r="W35" i="107" s="1"/>
  <c r="AE30" i="107" s="1"/>
  <c r="AB30" i="100"/>
  <c r="AB30" i="99"/>
  <c r="AB30" i="95"/>
  <c r="AB30" i="94"/>
  <c r="J9" i="86"/>
  <c r="AM5" i="30"/>
  <c r="AO5" i="30" s="1"/>
  <c r="AP5" i="30" s="1"/>
  <c r="AM6" i="30"/>
  <c r="AO6" i="30" s="1"/>
  <c r="AP6" i="30" s="1"/>
  <c r="AS6" i="30" s="1"/>
  <c r="AM7" i="30"/>
  <c r="AO7" i="30" s="1"/>
  <c r="AP7" i="30" s="1"/>
  <c r="AS7" i="30" s="1"/>
  <c r="AM8" i="30"/>
  <c r="AO8" i="30" s="1"/>
  <c r="AP8" i="30" s="1"/>
  <c r="AS8" i="30" s="1"/>
  <c r="AM10" i="30"/>
  <c r="AO10" i="30" s="1"/>
  <c r="AP10" i="30" s="1"/>
  <c r="AS10" i="30" s="1"/>
  <c r="AM13" i="30"/>
  <c r="AO13" i="30" s="1"/>
  <c r="AP13" i="30" s="1"/>
  <c r="AS13" i="30" s="1"/>
  <c r="AM12" i="30"/>
  <c r="AO12" i="30" s="1"/>
  <c r="AP12" i="30" s="1"/>
  <c r="AS12" i="30" s="1"/>
  <c r="AM11" i="30"/>
  <c r="AO11" i="30" s="1"/>
  <c r="AP11" i="30" s="1"/>
  <c r="AS11" i="30" s="1"/>
  <c r="AM9" i="30"/>
  <c r="AO9" i="30" s="1"/>
  <c r="AP9" i="30" s="1"/>
  <c r="AS9" i="30" s="1"/>
  <c r="J37" i="43"/>
  <c r="J14" i="11"/>
  <c r="J11" i="113"/>
  <c r="L11" i="113" s="1"/>
  <c r="K34" i="1"/>
  <c r="N34" i="1" s="1"/>
  <c r="L34" i="1"/>
  <c r="O34" i="1" s="1"/>
  <c r="AR13" i="43"/>
  <c r="AR8" i="9"/>
  <c r="J26" i="11"/>
  <c r="J37" i="62"/>
  <c r="J37" i="35"/>
  <c r="J37" i="60"/>
  <c r="J37" i="59"/>
  <c r="J37" i="57"/>
  <c r="J37" i="48"/>
  <c r="J37" i="47"/>
  <c r="J37" i="46"/>
  <c r="J37" i="44"/>
  <c r="J37" i="41"/>
  <c r="J37" i="29"/>
  <c r="J37" i="25"/>
  <c r="J37" i="23"/>
  <c r="J37" i="20"/>
  <c r="J37" i="18"/>
  <c r="J37" i="19"/>
  <c r="J37" i="15"/>
  <c r="J37" i="10"/>
  <c r="J37" i="9"/>
  <c r="J37" i="5"/>
  <c r="J37" i="56"/>
  <c r="J37" i="4"/>
  <c r="J37" i="3"/>
  <c r="J37" i="7"/>
  <c r="J37" i="70"/>
  <c r="J37" i="69"/>
  <c r="J37" i="8"/>
  <c r="J9" i="83"/>
  <c r="J9" i="82"/>
  <c r="J20" i="50"/>
  <c r="J18" i="16"/>
  <c r="J11" i="61"/>
  <c r="J15" i="8"/>
  <c r="J16" i="32"/>
  <c r="J25" i="17"/>
  <c r="J11" i="39"/>
  <c r="J13" i="21"/>
  <c r="J10" i="89"/>
  <c r="J13" i="12"/>
  <c r="J8" i="3"/>
  <c r="J11" i="8"/>
  <c r="J7" i="27"/>
  <c r="J16" i="51"/>
  <c r="J8" i="5"/>
  <c r="J10" i="15"/>
  <c r="J7" i="14"/>
  <c r="J13" i="18"/>
  <c r="J7" i="26"/>
  <c r="J8" i="28"/>
  <c r="J5" i="86"/>
  <c r="J7" i="38"/>
  <c r="J8" i="47"/>
  <c r="J7" i="54"/>
  <c r="J13" i="56"/>
  <c r="J10" i="57"/>
  <c r="J9" i="59"/>
  <c r="J8" i="70"/>
  <c r="J15" i="87"/>
  <c r="J7" i="12"/>
  <c r="J14" i="18"/>
  <c r="J18" i="17"/>
  <c r="J19" i="58"/>
  <c r="J16" i="47"/>
  <c r="J21" i="3"/>
  <c r="J14" i="51"/>
  <c r="J8" i="38"/>
  <c r="J8" i="54"/>
  <c r="J17" i="28"/>
  <c r="J12" i="37"/>
  <c r="J12" i="57"/>
  <c r="J19" i="17"/>
  <c r="J12" i="58"/>
  <c r="J15" i="47"/>
  <c r="J15" i="18"/>
  <c r="J8" i="14"/>
  <c r="J38" i="33"/>
  <c r="J37" i="33"/>
  <c r="J24" i="107"/>
  <c r="L24" i="107" s="1"/>
  <c r="AR17" i="9"/>
  <c r="J37" i="95" l="1"/>
  <c r="L37" i="95" s="1"/>
  <c r="W35" i="95" s="1"/>
  <c r="AE30" i="95" s="1"/>
  <c r="AF30" i="95" s="1"/>
  <c r="J37" i="106"/>
  <c r="L37" i="106" s="1"/>
  <c r="J38" i="23"/>
  <c r="J14" i="105"/>
  <c r="L14" i="105" s="1"/>
  <c r="J24" i="70"/>
  <c r="J21" i="59"/>
  <c r="J20" i="26"/>
  <c r="J25" i="28"/>
  <c r="J26" i="33"/>
  <c r="C54" i="87"/>
  <c r="J7" i="25"/>
  <c r="J37" i="28"/>
  <c r="J8" i="57"/>
  <c r="J14" i="86"/>
  <c r="J11" i="28"/>
  <c r="J22" i="3"/>
  <c r="J17" i="44"/>
  <c r="J19" i="8"/>
  <c r="J15" i="19"/>
  <c r="J11" i="6"/>
  <c r="J16" i="5"/>
  <c r="J17" i="45"/>
  <c r="J12" i="49"/>
  <c r="J11" i="56"/>
  <c r="J15" i="60"/>
  <c r="J10" i="18"/>
  <c r="J18" i="20"/>
  <c r="J16" i="21"/>
  <c r="J17" i="31"/>
  <c r="J13" i="41"/>
  <c r="J17" i="5"/>
  <c r="J10" i="61"/>
  <c r="J23" i="8"/>
  <c r="J8" i="27"/>
  <c r="J11" i="19"/>
  <c r="J28" i="17"/>
  <c r="J16" i="50"/>
  <c r="J8" i="26"/>
  <c r="J14" i="56"/>
  <c r="J14" i="21"/>
  <c r="J13" i="57"/>
  <c r="J16" i="49"/>
  <c r="J8" i="18"/>
  <c r="J14" i="69"/>
  <c r="J13" i="106"/>
  <c r="L13" i="106" s="1"/>
  <c r="AR13" i="56"/>
  <c r="J12" i="97"/>
  <c r="L12" i="97" s="1"/>
  <c r="J14" i="92"/>
  <c r="J15" i="105"/>
  <c r="L15" i="105" s="1"/>
  <c r="J5" i="50"/>
  <c r="AR13" i="108" l="1"/>
  <c r="AT13" i="108" s="1"/>
  <c r="J7" i="112"/>
  <c r="L7" i="112" s="1"/>
  <c r="J9" i="113"/>
  <c r="L9" i="113" s="1"/>
  <c r="J17" i="105"/>
  <c r="L17" i="105" s="1"/>
  <c r="J16" i="107"/>
  <c r="L16" i="107" s="1"/>
  <c r="J7" i="104"/>
  <c r="L7" i="104" s="1"/>
  <c r="J7" i="105"/>
  <c r="L7" i="105" s="1"/>
  <c r="J12" i="5"/>
  <c r="J9" i="104"/>
  <c r="L9" i="104" s="1"/>
  <c r="AR9" i="36"/>
  <c r="AR13" i="59"/>
  <c r="AR13" i="49"/>
  <c r="AR13" i="30"/>
  <c r="AT13" i="30" s="1"/>
  <c r="AR13" i="19"/>
  <c r="D54" i="87"/>
  <c r="C55" i="87"/>
  <c r="D55" i="87" s="1"/>
  <c r="J6" i="114"/>
  <c r="L6" i="114" s="1"/>
  <c r="L109" i="1"/>
  <c r="O109" i="1" s="1"/>
  <c r="K109" i="1"/>
  <c r="N109" i="1" s="1"/>
  <c r="J5" i="45"/>
  <c r="L105" i="1"/>
  <c r="O105" i="1" s="1"/>
  <c r="K105" i="1"/>
  <c r="N105" i="1" s="1"/>
  <c r="J5" i="16"/>
  <c r="L104" i="1"/>
  <c r="O104" i="1" s="1"/>
  <c r="K104" i="1"/>
  <c r="N104" i="1" s="1"/>
  <c r="L108" i="1"/>
  <c r="O108" i="1" s="1"/>
  <c r="K108" i="1"/>
  <c r="N108" i="1" s="1"/>
  <c r="J5" i="64"/>
  <c r="L106" i="1"/>
  <c r="O106" i="1" s="1"/>
  <c r="K106" i="1"/>
  <c r="N106" i="1" s="1"/>
  <c r="AR18" i="9"/>
  <c r="AR13" i="6"/>
  <c r="AR12" i="53"/>
  <c r="AR13" i="21"/>
  <c r="J13" i="16"/>
  <c r="J19" i="65"/>
  <c r="J9" i="64"/>
  <c r="J8" i="42"/>
  <c r="J16" i="69"/>
  <c r="J9" i="30"/>
  <c r="J19" i="32"/>
  <c r="J13" i="43"/>
  <c r="J8" i="33"/>
  <c r="J8" i="46"/>
  <c r="J13" i="45"/>
  <c r="J13" i="44"/>
  <c r="J9" i="41"/>
  <c r="J13" i="26"/>
  <c r="J13" i="27"/>
  <c r="J8" i="45"/>
  <c r="J8" i="44"/>
  <c r="J7" i="34"/>
  <c r="J9" i="50"/>
  <c r="J14" i="20"/>
  <c r="J9" i="48"/>
  <c r="J9" i="44"/>
  <c r="J10" i="27"/>
  <c r="J15" i="56"/>
  <c r="J15" i="23"/>
  <c r="J10" i="41"/>
  <c r="J10" i="26"/>
  <c r="J10" i="65"/>
  <c r="J9" i="45"/>
  <c r="J9" i="61"/>
  <c r="J14" i="60"/>
  <c r="J9" i="29"/>
  <c r="J9" i="62"/>
  <c r="J14" i="7"/>
  <c r="J9" i="66"/>
  <c r="J11" i="87"/>
  <c r="J13" i="32"/>
  <c r="J10" i="51"/>
  <c r="J9" i="31"/>
  <c r="J20" i="85"/>
  <c r="J21" i="70"/>
  <c r="J9" i="19"/>
  <c r="J9" i="26"/>
  <c r="J13" i="31"/>
  <c r="J10" i="37"/>
  <c r="J8" i="41"/>
  <c r="J17" i="50"/>
  <c r="J9" i="53"/>
  <c r="J6" i="56"/>
  <c r="J15" i="61"/>
  <c r="J25" i="57"/>
  <c r="J17" i="86"/>
  <c r="J17" i="8"/>
  <c r="J22" i="69"/>
  <c r="J27" i="17"/>
  <c r="J6" i="18"/>
  <c r="J17" i="21"/>
  <c r="J9" i="27"/>
  <c r="J9" i="56"/>
  <c r="J13" i="5"/>
  <c r="J13" i="8"/>
  <c r="J8" i="56"/>
  <c r="J7" i="86"/>
  <c r="J11" i="5"/>
  <c r="J12" i="8"/>
  <c r="J16" i="43"/>
  <c r="J16" i="31"/>
  <c r="J11" i="41"/>
  <c r="J10" i="53"/>
  <c r="J11" i="37"/>
  <c r="J7" i="56"/>
  <c r="J14" i="8"/>
  <c r="J14" i="61"/>
  <c r="J18" i="32"/>
  <c r="J7" i="18"/>
  <c r="J11" i="65"/>
  <c r="J10" i="5"/>
  <c r="J20" i="44"/>
  <c r="J15" i="86"/>
  <c r="J14" i="27"/>
  <c r="J14" i="26"/>
  <c r="J20" i="45"/>
  <c r="J7" i="21"/>
  <c r="J6" i="53"/>
  <c r="J6" i="21"/>
  <c r="J6" i="82"/>
  <c r="J6" i="83"/>
  <c r="J5" i="27"/>
  <c r="J17" i="48"/>
  <c r="J38" i="9"/>
  <c r="J8" i="85"/>
  <c r="J19" i="105"/>
  <c r="L19" i="105" s="1"/>
  <c r="J15" i="7"/>
  <c r="J6" i="109"/>
  <c r="L6" i="109" s="1"/>
  <c r="J10" i="87" l="1"/>
  <c r="J12" i="115"/>
  <c r="L12" i="115" s="1"/>
  <c r="J38" i="30"/>
  <c r="J8" i="79"/>
  <c r="J19" i="86"/>
  <c r="J12" i="13"/>
  <c r="J12" i="40"/>
  <c r="J6" i="79"/>
  <c r="J12" i="55"/>
  <c r="J9" i="85"/>
  <c r="AR13" i="107"/>
  <c r="AT13" i="107" s="1"/>
  <c r="E131" i="16"/>
  <c r="E132" i="16"/>
  <c r="E133" i="16"/>
  <c r="E134" i="16"/>
  <c r="E135" i="16"/>
  <c r="E136" i="16"/>
  <c r="E137" i="16"/>
  <c r="E138" i="16"/>
  <c r="E139" i="16"/>
  <c r="E140" i="16"/>
  <c r="E141" i="16"/>
  <c r="E142" i="16"/>
  <c r="E130" i="16"/>
  <c r="E129" i="16"/>
  <c r="AR18" i="107" l="1"/>
  <c r="AT18" i="107" s="1"/>
  <c r="AR8" i="108"/>
  <c r="AT8" i="108" s="1"/>
  <c r="AR19" i="107"/>
  <c r="AT19" i="107" s="1"/>
  <c r="AR9" i="108"/>
  <c r="AT9" i="108" s="1"/>
  <c r="J18" i="105"/>
  <c r="L18" i="105" s="1"/>
  <c r="J27" i="107"/>
  <c r="L27" i="107" s="1"/>
  <c r="AR9" i="59"/>
  <c r="AR9" i="49"/>
  <c r="AR9" i="30"/>
  <c r="AT9" i="30" s="1"/>
  <c r="AR9" i="19"/>
  <c r="AR13" i="36"/>
  <c r="AR8" i="30"/>
  <c r="AT8" i="30" s="1"/>
  <c r="AR8" i="19"/>
  <c r="AR8" i="59"/>
  <c r="AR8" i="49"/>
  <c r="AR8" i="41"/>
  <c r="AR8" i="53"/>
  <c r="AR8" i="3"/>
  <c r="AR13" i="47"/>
  <c r="AR8" i="69"/>
  <c r="AR8" i="56"/>
  <c r="AR8" i="8"/>
  <c r="AR13" i="79"/>
  <c r="AR8" i="61"/>
  <c r="AT8" i="61" s="1"/>
  <c r="AR18" i="57"/>
  <c r="AR8" i="25"/>
  <c r="AR8" i="70"/>
  <c r="AR8" i="15"/>
  <c r="AR8" i="37"/>
  <c r="AR8" i="26"/>
  <c r="AR18" i="28"/>
  <c r="AR8" i="21"/>
  <c r="AR18" i="18"/>
  <c r="AR6" i="9"/>
  <c r="AR8" i="6"/>
  <c r="AR8" i="17"/>
  <c r="AR9" i="8"/>
  <c r="AR9" i="56"/>
  <c r="AR19" i="57"/>
  <c r="AR9" i="37"/>
  <c r="AR17" i="47"/>
  <c r="AR9" i="69"/>
  <c r="AR9" i="70"/>
  <c r="AR9" i="3"/>
  <c r="AR19" i="28"/>
  <c r="AR9" i="26"/>
  <c r="AR9" i="25"/>
  <c r="AR9" i="21"/>
  <c r="AR9" i="41"/>
  <c r="AR19" i="18"/>
  <c r="AR9" i="15"/>
  <c r="AR9" i="61"/>
  <c r="AT9" i="61" s="1"/>
  <c r="AR9" i="53"/>
  <c r="AR9" i="6"/>
  <c r="AR9" i="17"/>
  <c r="AR12" i="8"/>
  <c r="AR12" i="69"/>
  <c r="AR15" i="58"/>
  <c r="AR20" i="9"/>
  <c r="AR13" i="28"/>
  <c r="AR12" i="56"/>
  <c r="AR16" i="47"/>
  <c r="AR13" i="57"/>
  <c r="AR13" i="18"/>
  <c r="AR12" i="17"/>
  <c r="AR16" i="25"/>
  <c r="AR12" i="26"/>
  <c r="AR12" i="41"/>
  <c r="AR12" i="15"/>
  <c r="AR12" i="70"/>
  <c r="AR16" i="17"/>
  <c r="J19" i="18"/>
  <c r="J18" i="8"/>
  <c r="J8" i="10"/>
  <c r="J15" i="17"/>
  <c r="J19" i="28"/>
  <c r="J8" i="35"/>
  <c r="J20" i="47"/>
  <c r="J14" i="49"/>
  <c r="J15" i="50"/>
  <c r="J17" i="56"/>
  <c r="J18" i="57"/>
  <c r="J18" i="62"/>
  <c r="J16" i="65"/>
  <c r="J17" i="85"/>
  <c r="J19" i="69"/>
  <c r="J14" i="3"/>
  <c r="J15" i="15"/>
  <c r="J7" i="10"/>
  <c r="J18" i="23"/>
  <c r="J18" i="26"/>
  <c r="J18" i="27"/>
  <c r="J18" i="28"/>
  <c r="J7" i="35"/>
  <c r="J10" i="44"/>
  <c r="J10" i="45"/>
  <c r="J17" i="49"/>
  <c r="J21" i="58"/>
  <c r="J17" i="59"/>
  <c r="J18" i="86"/>
  <c r="J18" i="70"/>
  <c r="J44" i="80" l="1"/>
  <c r="J59" i="2"/>
  <c r="J60" i="2"/>
  <c r="J62" i="2"/>
  <c r="AR6" i="43" s="1"/>
  <c r="J56" i="2"/>
  <c r="AR14" i="79" s="1"/>
  <c r="J61" i="2"/>
  <c r="J63" i="2"/>
  <c r="J134" i="1"/>
  <c r="J126" i="1"/>
  <c r="J22" i="11" s="1"/>
  <c r="J118" i="1"/>
  <c r="J11" i="115" s="1"/>
  <c r="L11" i="115" s="1"/>
  <c r="J141" i="1"/>
  <c r="J10" i="113" s="1"/>
  <c r="L10" i="113" s="1"/>
  <c r="J144" i="1"/>
  <c r="J9" i="79" s="1"/>
  <c r="J151" i="1"/>
  <c r="J7" i="115" s="1"/>
  <c r="L7" i="115" s="1"/>
  <c r="J128" i="1"/>
  <c r="J17" i="96" s="1"/>
  <c r="L17" i="96" s="1"/>
  <c r="V35" i="96" s="1"/>
  <c r="J133" i="1"/>
  <c r="J6" i="106" s="1"/>
  <c r="L6" i="106" s="1"/>
  <c r="J125" i="1"/>
  <c r="J14" i="50" s="1"/>
  <c r="J139" i="1"/>
  <c r="J8" i="97" s="1"/>
  <c r="L8" i="97" s="1"/>
  <c r="J132" i="1"/>
  <c r="J131" i="1"/>
  <c r="J148" i="1"/>
  <c r="J143" i="1"/>
  <c r="J124" i="1"/>
  <c r="J19" i="31" s="1"/>
  <c r="J142" i="1"/>
  <c r="J117" i="1"/>
  <c r="J147" i="1"/>
  <c r="J140" i="1"/>
  <c r="J14" i="98" s="1"/>
  <c r="L14" i="98" s="1"/>
  <c r="V35" i="98" s="1"/>
  <c r="AR11" i="95"/>
  <c r="AT11" i="95" s="1"/>
  <c r="AR10" i="43"/>
  <c r="AR7" i="95"/>
  <c r="AT7" i="95" s="1"/>
  <c r="AR15" i="79"/>
  <c r="AR12" i="79"/>
  <c r="AR11" i="43"/>
  <c r="AR8" i="107"/>
  <c r="AT8" i="107" s="1"/>
  <c r="J20" i="11"/>
  <c r="J14" i="109"/>
  <c r="L14" i="109" s="1"/>
  <c r="J11" i="106"/>
  <c r="L11" i="106" s="1"/>
  <c r="J13" i="47"/>
  <c r="J18" i="61"/>
  <c r="J8" i="107"/>
  <c r="L8" i="107" s="1"/>
  <c r="AR17" i="107" l="1"/>
  <c r="AT17" i="107" s="1"/>
  <c r="AR7" i="108"/>
  <c r="AT7" i="108" s="1"/>
  <c r="AR10" i="102"/>
  <c r="AT10" i="102" s="1"/>
  <c r="AR6" i="108"/>
  <c r="AT6" i="108" s="1"/>
  <c r="AR16" i="107"/>
  <c r="AT16" i="107" s="1"/>
  <c r="J6" i="100"/>
  <c r="L6" i="100" s="1"/>
  <c r="J7" i="111"/>
  <c r="L7" i="111" s="1"/>
  <c r="X35" i="111" s="1"/>
  <c r="J14" i="110"/>
  <c r="L14" i="110" s="1"/>
  <c r="J13" i="109"/>
  <c r="L13" i="109" s="1"/>
  <c r="J20" i="107"/>
  <c r="L20" i="107" s="1"/>
  <c r="J13" i="113"/>
  <c r="L13" i="113" s="1"/>
  <c r="J7" i="106"/>
  <c r="L7" i="106" s="1"/>
  <c r="J19" i="110"/>
  <c r="L19" i="110" s="1"/>
  <c r="J11" i="107"/>
  <c r="L11" i="107" s="1"/>
  <c r="J13" i="105"/>
  <c r="L13" i="105" s="1"/>
  <c r="J10" i="115"/>
  <c r="L10" i="115" s="1"/>
  <c r="J12" i="105"/>
  <c r="L12" i="105" s="1"/>
  <c r="J9" i="115"/>
  <c r="L9" i="115" s="1"/>
  <c r="J11" i="105"/>
  <c r="L11" i="105" s="1"/>
  <c r="J8" i="115"/>
  <c r="L8" i="115" s="1"/>
  <c r="J8" i="105"/>
  <c r="L8" i="105" s="1"/>
  <c r="J6" i="115"/>
  <c r="L6" i="115" s="1"/>
  <c r="J38" i="106"/>
  <c r="L38" i="106" s="1"/>
  <c r="W35" i="106" s="1"/>
  <c r="AE30" i="106" s="1"/>
  <c r="J22" i="107"/>
  <c r="L22" i="107" s="1"/>
  <c r="J6" i="113"/>
  <c r="L6" i="113" s="1"/>
  <c r="J15" i="104"/>
  <c r="L15" i="104" s="1"/>
  <c r="J18" i="107"/>
  <c r="L18" i="107" s="1"/>
  <c r="J9" i="111"/>
  <c r="L9" i="111" s="1"/>
  <c r="J15" i="110"/>
  <c r="L15" i="110" s="1"/>
  <c r="J38" i="49"/>
  <c r="J14" i="106"/>
  <c r="L14" i="106" s="1"/>
  <c r="J6" i="97"/>
  <c r="L6" i="97" s="1"/>
  <c r="J10" i="106"/>
  <c r="L10" i="106" s="1"/>
  <c r="J25" i="11"/>
  <c r="J26" i="107"/>
  <c r="L26" i="107" s="1"/>
  <c r="J14" i="113"/>
  <c r="L14" i="113" s="1"/>
  <c r="J15" i="106"/>
  <c r="L15" i="106" s="1"/>
  <c r="J25" i="107"/>
  <c r="L25" i="107" s="1"/>
  <c r="J6" i="104"/>
  <c r="L6" i="104" s="1"/>
  <c r="J6" i="105"/>
  <c r="L6" i="105" s="1"/>
  <c r="J38" i="97"/>
  <c r="L38" i="97" s="1"/>
  <c r="V35" i="97" s="1"/>
  <c r="AD30" i="97" s="1"/>
  <c r="J14" i="104"/>
  <c r="L14" i="104" s="1"/>
  <c r="J13" i="97"/>
  <c r="L13" i="97" s="1"/>
  <c r="J5" i="104"/>
  <c r="L5" i="104" s="1"/>
  <c r="J7" i="103"/>
  <c r="L7" i="103" s="1"/>
  <c r="S33" i="103" s="1"/>
  <c r="AC25" i="103" s="1"/>
  <c r="J7" i="96"/>
  <c r="L7" i="96" s="1"/>
  <c r="X35" i="96" s="1"/>
  <c r="J6" i="98"/>
  <c r="L6" i="98" s="1"/>
  <c r="J7" i="99"/>
  <c r="L7" i="99" s="1"/>
  <c r="X35" i="99" s="1"/>
  <c r="J8" i="96"/>
  <c r="L8" i="96" s="1"/>
  <c r="J10" i="99"/>
  <c r="L10" i="99" s="1"/>
  <c r="J9" i="97"/>
  <c r="L9" i="97" s="1"/>
  <c r="J9" i="99"/>
  <c r="L9" i="99" s="1"/>
  <c r="J23" i="11"/>
  <c r="J7" i="97"/>
  <c r="L7" i="97" s="1"/>
  <c r="J39" i="23"/>
  <c r="L39" i="23" s="1"/>
  <c r="AR19" i="79"/>
  <c r="AR7" i="43"/>
  <c r="J7" i="94"/>
  <c r="L7" i="94" s="1"/>
  <c r="X35" i="94" s="1"/>
  <c r="J14" i="37"/>
  <c r="J39" i="61"/>
  <c r="L39" i="61" s="1"/>
  <c r="J37" i="61"/>
  <c r="L37" i="61" s="1"/>
  <c r="W35" i="61" s="1"/>
  <c r="AR6" i="36"/>
  <c r="AR6" i="49"/>
  <c r="AR6" i="30"/>
  <c r="AT6" i="30" s="1"/>
  <c r="AR6" i="59"/>
  <c r="AR6" i="19"/>
  <c r="AR7" i="36"/>
  <c r="AR7" i="30"/>
  <c r="AT7" i="30" s="1"/>
  <c r="AR7" i="19"/>
  <c r="AR7" i="59"/>
  <c r="AR7" i="49"/>
  <c r="J8" i="92"/>
  <c r="J15" i="37"/>
  <c r="J38" i="26"/>
  <c r="J38" i="61"/>
  <c r="L38" i="61" s="1"/>
  <c r="AR7" i="8"/>
  <c r="AR7" i="21"/>
  <c r="AR7" i="17"/>
  <c r="AR7" i="79"/>
  <c r="AR7" i="70"/>
  <c r="AR7" i="61"/>
  <c r="AT7" i="61" s="1"/>
  <c r="AR7" i="15"/>
  <c r="AR17" i="18"/>
  <c r="AR7" i="3"/>
  <c r="AR7" i="69"/>
  <c r="AR7" i="6"/>
  <c r="AR7" i="41"/>
  <c r="AR8" i="43"/>
  <c r="AR7" i="37"/>
  <c r="AR7" i="26"/>
  <c r="AR17" i="57"/>
  <c r="AR7" i="56"/>
  <c r="AR17" i="28"/>
  <c r="AR7" i="53"/>
  <c r="AR7" i="25"/>
  <c r="AR7" i="47"/>
  <c r="AR6" i="41"/>
  <c r="AR6" i="70"/>
  <c r="AR6" i="3"/>
  <c r="AR6" i="69"/>
  <c r="AR6" i="61"/>
  <c r="AT6" i="61" s="1"/>
  <c r="AR16" i="57"/>
  <c r="AR6" i="17"/>
  <c r="AR6" i="56"/>
  <c r="AR6" i="53"/>
  <c r="AR16" i="28"/>
  <c r="AR6" i="25"/>
  <c r="AR6" i="79"/>
  <c r="AR6" i="26"/>
  <c r="AR6" i="8"/>
  <c r="AR6" i="21"/>
  <c r="AR6" i="47"/>
  <c r="AR16" i="18"/>
  <c r="AR6" i="37"/>
  <c r="AR6" i="15"/>
  <c r="AR6" i="6"/>
  <c r="AR8" i="57"/>
  <c r="AR17" i="79"/>
  <c r="AR14" i="47"/>
  <c r="AR8" i="28"/>
  <c r="AR8" i="18"/>
  <c r="AR15" i="47"/>
  <c r="AR9" i="43"/>
  <c r="AR13" i="17"/>
  <c r="J7" i="92"/>
  <c r="J15" i="11"/>
  <c r="J27" i="11"/>
  <c r="J39" i="26"/>
  <c r="J28" i="11"/>
  <c r="J37" i="79"/>
  <c r="J37" i="26"/>
  <c r="J38" i="70"/>
  <c r="J38" i="66"/>
  <c r="J38" i="60"/>
  <c r="J38" i="57"/>
  <c r="J38" i="48"/>
  <c r="J37" i="32"/>
  <c r="J38" i="28"/>
  <c r="J38" i="20"/>
  <c r="J38" i="8"/>
  <c r="J6" i="92"/>
  <c r="J6" i="11"/>
  <c r="J12" i="17"/>
  <c r="J19" i="15"/>
  <c r="J11" i="13"/>
  <c r="J11" i="24"/>
  <c r="J11" i="55"/>
  <c r="J11" i="40"/>
  <c r="J11" i="68"/>
  <c r="J7" i="68"/>
  <c r="J7" i="55"/>
  <c r="J7" i="24"/>
  <c r="J7" i="40"/>
  <c r="J8" i="52"/>
  <c r="J7" i="13"/>
  <c r="J9" i="3"/>
  <c r="J7" i="45"/>
  <c r="J12" i="18"/>
  <c r="J7" i="43"/>
  <c r="J7" i="69"/>
  <c r="J8" i="23"/>
  <c r="J6" i="26"/>
  <c r="J6" i="27"/>
  <c r="J13" i="17"/>
  <c r="J9" i="5"/>
  <c r="J9" i="70"/>
  <c r="J10" i="8"/>
  <c r="J19" i="85"/>
  <c r="J9" i="28"/>
  <c r="J6" i="6"/>
  <c r="J9" i="65"/>
  <c r="J8" i="20"/>
  <c r="J27" i="5"/>
  <c r="J7" i="61"/>
  <c r="J7" i="29"/>
  <c r="J8" i="7"/>
  <c r="J7" i="49"/>
  <c r="J8" i="60"/>
  <c r="J7" i="58"/>
  <c r="J6" i="67"/>
  <c r="J7" i="59"/>
  <c r="J7" i="31"/>
  <c r="J7" i="62"/>
  <c r="J11" i="57"/>
  <c r="J9" i="47"/>
  <c r="J10" i="56"/>
  <c r="J7" i="44"/>
  <c r="J13" i="51"/>
  <c r="J9" i="15"/>
  <c r="J17" i="32"/>
  <c r="J7" i="33"/>
  <c r="J6" i="86"/>
  <c r="J14" i="16"/>
  <c r="J7" i="48"/>
  <c r="J7" i="19"/>
  <c r="J6" i="46"/>
  <c r="J7" i="41"/>
  <c r="J7" i="50"/>
  <c r="J12" i="46"/>
  <c r="J8" i="43"/>
  <c r="J18" i="45"/>
  <c r="J18" i="44"/>
  <c r="J10" i="3"/>
  <c r="J15" i="59"/>
  <c r="J22" i="15"/>
  <c r="J10" i="28"/>
  <c r="J10" i="70"/>
  <c r="J15" i="51"/>
  <c r="J10" i="24"/>
  <c r="J7" i="5"/>
  <c r="J7" i="8"/>
  <c r="J10" i="68"/>
  <c r="J9" i="67"/>
  <c r="J22" i="31"/>
  <c r="J10" i="55"/>
  <c r="J10" i="40"/>
  <c r="J5" i="85"/>
  <c r="J9" i="87"/>
  <c r="J10" i="66"/>
  <c r="J23" i="15"/>
  <c r="J9" i="37"/>
  <c r="J10" i="13"/>
  <c r="J9" i="23"/>
  <c r="J13" i="86"/>
  <c r="J21" i="31"/>
  <c r="J9" i="40"/>
  <c r="J8" i="37"/>
  <c r="J6" i="85"/>
  <c r="J25" i="15"/>
  <c r="J9" i="55"/>
  <c r="J9" i="8"/>
  <c r="J8" i="87"/>
  <c r="J8" i="67"/>
  <c r="J9" i="68"/>
  <c r="J12" i="86"/>
  <c r="J9" i="13"/>
  <c r="J9" i="24"/>
  <c r="J8" i="68"/>
  <c r="J7" i="87"/>
  <c r="J7" i="37"/>
  <c r="J7" i="85"/>
  <c r="J7" i="67"/>
  <c r="J8" i="40"/>
  <c r="J24" i="15"/>
  <c r="J8" i="13"/>
  <c r="J11" i="86"/>
  <c r="J8" i="55"/>
  <c r="J8" i="8"/>
  <c r="J8" i="24"/>
  <c r="J20" i="31"/>
  <c r="J6" i="14"/>
  <c r="J6" i="38"/>
  <c r="J6" i="39"/>
  <c r="J23" i="31"/>
  <c r="J6" i="52"/>
  <c r="J6" i="89"/>
  <c r="J6" i="54"/>
  <c r="J6" i="12"/>
  <c r="J6" i="13"/>
  <c r="J6" i="24"/>
  <c r="J8" i="86"/>
  <c r="J7" i="52"/>
  <c r="J6" i="40"/>
  <c r="J7" i="79"/>
  <c r="J10" i="4"/>
  <c r="J6" i="68"/>
  <c r="J6" i="55"/>
  <c r="J13" i="46"/>
  <c r="J20" i="18"/>
  <c r="J7" i="3"/>
  <c r="J8" i="48"/>
  <c r="J8" i="31"/>
  <c r="J18" i="31"/>
  <c r="J7" i="20"/>
  <c r="J7" i="57"/>
  <c r="J8" i="50"/>
  <c r="J11" i="51"/>
  <c r="J7" i="23"/>
  <c r="J7" i="7"/>
  <c r="J7" i="70"/>
  <c r="J7" i="28"/>
  <c r="J6" i="65"/>
  <c r="J8" i="69"/>
  <c r="J5" i="87"/>
  <c r="J8" i="29"/>
  <c r="J7" i="60"/>
  <c r="J8" i="32"/>
  <c r="J7" i="47"/>
  <c r="J8" i="61"/>
  <c r="J8" i="59"/>
  <c r="J8" i="62"/>
  <c r="J6" i="43"/>
  <c r="J6" i="69"/>
  <c r="J10" i="17"/>
  <c r="J6" i="5"/>
  <c r="J7" i="15"/>
  <c r="J12" i="42"/>
  <c r="J6" i="59"/>
  <c r="J6" i="45"/>
  <c r="J6" i="37"/>
  <c r="J6" i="58"/>
  <c r="J8" i="16"/>
  <c r="J10" i="67"/>
  <c r="J6" i="28"/>
  <c r="J7" i="46"/>
  <c r="J18" i="85"/>
  <c r="J16" i="27"/>
  <c r="J6" i="87"/>
  <c r="J6" i="47"/>
  <c r="J11" i="18"/>
  <c r="J13" i="30"/>
  <c r="J6" i="31"/>
  <c r="J6" i="48"/>
  <c r="J6" i="23"/>
  <c r="J6" i="44"/>
  <c r="J6" i="19"/>
  <c r="J6" i="49"/>
  <c r="J6" i="62"/>
  <c r="J6" i="60"/>
  <c r="J6" i="20"/>
  <c r="J6" i="70"/>
  <c r="J6" i="50"/>
  <c r="J6" i="33"/>
  <c r="J7" i="65"/>
  <c r="J6" i="57"/>
  <c r="J6" i="3"/>
  <c r="J6" i="8"/>
  <c r="J6" i="7"/>
  <c r="J6" i="29"/>
  <c r="J6" i="32"/>
  <c r="J16" i="26"/>
  <c r="J20" i="69"/>
  <c r="J17" i="62"/>
  <c r="J20" i="62"/>
  <c r="J17" i="29"/>
  <c r="J17" i="61"/>
  <c r="J13" i="64"/>
  <c r="J17" i="65"/>
  <c r="J11" i="67"/>
  <c r="J6" i="30"/>
  <c r="J14" i="43"/>
  <c r="J5" i="42"/>
  <c r="J7" i="16"/>
  <c r="J6" i="64"/>
  <c r="J12" i="33"/>
  <c r="J18" i="69"/>
  <c r="J12" i="27"/>
  <c r="J12" i="26"/>
  <c r="J21" i="15"/>
  <c r="J13" i="58"/>
  <c r="J13" i="28"/>
  <c r="J8" i="15"/>
  <c r="J22" i="70"/>
  <c r="J14" i="23"/>
  <c r="J18" i="3"/>
  <c r="J7" i="30"/>
  <c r="J14" i="44"/>
  <c r="J14" i="45"/>
  <c r="J14" i="58"/>
  <c r="J12" i="19"/>
  <c r="J6" i="16"/>
  <c r="J15" i="43"/>
  <c r="J15" i="27"/>
  <c r="J17" i="69"/>
  <c r="J9" i="49"/>
  <c r="J15" i="57"/>
  <c r="J14" i="41"/>
  <c r="J15" i="26"/>
  <c r="J9" i="33"/>
  <c r="J7" i="64"/>
  <c r="J14" i="15"/>
  <c r="J23" i="28"/>
  <c r="J13" i="29"/>
  <c r="J14" i="47"/>
  <c r="J14" i="46"/>
  <c r="J18" i="59"/>
  <c r="J19" i="3"/>
  <c r="J6" i="42"/>
  <c r="J15" i="70"/>
  <c r="J8" i="6"/>
  <c r="J11" i="17"/>
  <c r="J16" i="19"/>
  <c r="J17" i="57"/>
  <c r="J12" i="16"/>
  <c r="J16" i="48"/>
  <c r="J10" i="33"/>
  <c r="J21" i="47"/>
  <c r="J19" i="62"/>
  <c r="J9" i="54"/>
  <c r="J9" i="14"/>
  <c r="J10" i="85"/>
  <c r="J6" i="15"/>
  <c r="J19" i="27"/>
  <c r="J12" i="87"/>
  <c r="J7" i="42"/>
  <c r="J8" i="30"/>
  <c r="J19" i="45"/>
  <c r="J6" i="41"/>
  <c r="J14" i="29"/>
  <c r="J17" i="18"/>
  <c r="J15" i="67"/>
  <c r="J19" i="26"/>
  <c r="J15" i="46"/>
  <c r="J20" i="70"/>
  <c r="J16" i="58"/>
  <c r="J15" i="69"/>
  <c r="J19" i="44"/>
  <c r="J12" i="61"/>
  <c r="J24" i="31"/>
  <c r="J9" i="38"/>
  <c r="J20" i="59"/>
  <c r="J16" i="60"/>
  <c r="J12" i="43"/>
  <c r="J16" i="20"/>
  <c r="J7" i="32"/>
  <c r="J22" i="8"/>
  <c r="J16" i="56"/>
  <c r="J19" i="5"/>
  <c r="J20" i="17"/>
  <c r="J17" i="7"/>
  <c r="J8" i="65"/>
  <c r="J22" i="28"/>
  <c r="J8" i="64"/>
  <c r="J17" i="3"/>
  <c r="J18" i="50"/>
  <c r="J13" i="49"/>
  <c r="AR9" i="107"/>
  <c r="AT9" i="107" s="1"/>
  <c r="AR14" i="43"/>
  <c r="AR6" i="106"/>
  <c r="AT6" i="106" s="1"/>
  <c r="AR7" i="106"/>
  <c r="AT7" i="106" s="1"/>
  <c r="AR15" i="107"/>
  <c r="AT15" i="107" s="1"/>
  <c r="AR14" i="107"/>
  <c r="AT14" i="107" s="1"/>
  <c r="AR11" i="58"/>
  <c r="AR9" i="106"/>
  <c r="AT9" i="106" s="1"/>
  <c r="J18" i="110"/>
  <c r="L18" i="110" s="1"/>
  <c r="J8" i="53"/>
  <c r="J9" i="12"/>
  <c r="J7" i="113"/>
  <c r="L7" i="113" s="1"/>
  <c r="J6" i="17"/>
  <c r="J19" i="109"/>
  <c r="L19" i="109" s="1"/>
  <c r="J20" i="110"/>
  <c r="L20" i="110" s="1"/>
  <c r="J21" i="110"/>
  <c r="L21" i="110" s="1"/>
  <c r="J8" i="106"/>
  <c r="L8" i="106" s="1"/>
  <c r="J6" i="107"/>
  <c r="L6" i="107" s="1"/>
  <c r="B95" i="42"/>
  <c r="C95" i="42"/>
  <c r="D95" i="42"/>
  <c r="B96" i="42"/>
  <c r="C96" i="42"/>
  <c r="D96" i="42"/>
  <c r="B97" i="42"/>
  <c r="C97" i="42"/>
  <c r="D97" i="42"/>
  <c r="B98" i="42"/>
  <c r="C98" i="42"/>
  <c r="D98" i="42"/>
  <c r="B99" i="42"/>
  <c r="C99" i="42"/>
  <c r="D99" i="42"/>
  <c r="B100" i="42"/>
  <c r="C100" i="42"/>
  <c r="D100" i="42"/>
  <c r="B101" i="42"/>
  <c r="C101" i="42"/>
  <c r="D101" i="42"/>
  <c r="C94" i="42"/>
  <c r="D94" i="42"/>
  <c r="F95" i="42"/>
  <c r="F96" i="42"/>
  <c r="F97" i="42"/>
  <c r="F98" i="42"/>
  <c r="F99" i="42"/>
  <c r="F100" i="42"/>
  <c r="F101" i="42"/>
  <c r="F94" i="42"/>
  <c r="B94" i="42"/>
  <c r="D65" i="92"/>
  <c r="F66" i="92"/>
  <c r="F67" i="92"/>
  <c r="F68" i="92"/>
  <c r="F69" i="92"/>
  <c r="F70" i="92"/>
  <c r="F71" i="92"/>
  <c r="F72" i="92"/>
  <c r="F73" i="92"/>
  <c r="F74" i="92"/>
  <c r="F75" i="92"/>
  <c r="F76" i="92"/>
  <c r="F77" i="92"/>
  <c r="F78" i="92"/>
  <c r="F79" i="92"/>
  <c r="F65" i="92"/>
  <c r="F133" i="7"/>
  <c r="F134" i="7"/>
  <c r="F135" i="7"/>
  <c r="F136" i="7"/>
  <c r="F137" i="7"/>
  <c r="F138" i="7"/>
  <c r="F139" i="7"/>
  <c r="F140" i="7"/>
  <c r="F141" i="7"/>
  <c r="F142" i="7"/>
  <c r="F143" i="7"/>
  <c r="F144" i="7"/>
  <c r="F145" i="7"/>
  <c r="F146" i="7"/>
  <c r="F132" i="7"/>
  <c r="B133" i="7"/>
  <c r="C133" i="7"/>
  <c r="D133" i="7"/>
  <c r="B134" i="7"/>
  <c r="C134" i="7"/>
  <c r="D134" i="7"/>
  <c r="B135" i="7"/>
  <c r="C135" i="7"/>
  <c r="D135" i="7"/>
  <c r="B136" i="7"/>
  <c r="C136" i="7"/>
  <c r="D136" i="7"/>
  <c r="B137" i="7"/>
  <c r="C137" i="7"/>
  <c r="D137" i="7"/>
  <c r="B138" i="7"/>
  <c r="C138" i="7"/>
  <c r="D138" i="7"/>
  <c r="B139" i="7"/>
  <c r="C139" i="7"/>
  <c r="D139" i="7"/>
  <c r="B140" i="7"/>
  <c r="C140" i="7"/>
  <c r="D140" i="7"/>
  <c r="B141" i="7"/>
  <c r="C141" i="7"/>
  <c r="D141" i="7"/>
  <c r="B142" i="7"/>
  <c r="C142" i="7"/>
  <c r="D142" i="7"/>
  <c r="B143" i="7"/>
  <c r="C143" i="7"/>
  <c r="D143" i="7"/>
  <c r="B144" i="7"/>
  <c r="C144" i="7"/>
  <c r="D144" i="7"/>
  <c r="B145" i="7"/>
  <c r="C145" i="7"/>
  <c r="D145" i="7"/>
  <c r="B146" i="7"/>
  <c r="C146" i="7"/>
  <c r="D146" i="7"/>
  <c r="C132" i="7"/>
  <c r="B132" i="7"/>
  <c r="D51" i="64"/>
  <c r="C51" i="64"/>
  <c r="AD30" i="96" l="1"/>
  <c r="U35" i="96"/>
  <c r="AR9" i="95"/>
  <c r="AT9" i="95" s="1"/>
  <c r="AR8" i="106"/>
  <c r="AT8" i="106" s="1"/>
  <c r="AR6" i="107"/>
  <c r="AT6" i="107" s="1"/>
  <c r="AR12" i="108"/>
  <c r="AT12" i="108" s="1"/>
  <c r="AR10" i="95"/>
  <c r="AT10" i="95" s="1"/>
  <c r="AR12" i="106"/>
  <c r="AT12" i="106" s="1"/>
  <c r="AR7" i="107"/>
  <c r="AT7" i="107" s="1"/>
  <c r="AR10" i="107"/>
  <c r="AT10" i="107" s="1"/>
  <c r="AR13" i="106"/>
  <c r="AT13" i="106" s="1"/>
  <c r="AR10" i="108"/>
  <c r="AT10" i="108" s="1"/>
  <c r="AR10" i="106"/>
  <c r="AT10" i="106" s="1"/>
  <c r="AR12" i="107"/>
  <c r="AT12" i="107" s="1"/>
  <c r="AR11" i="107"/>
  <c r="AT11" i="107" s="1"/>
  <c r="AR11" i="106"/>
  <c r="AT11" i="106" s="1"/>
  <c r="AR11" i="108"/>
  <c r="AT11" i="108" s="1"/>
  <c r="W35" i="100"/>
  <c r="AC30" i="100" s="1"/>
  <c r="W28" i="100"/>
  <c r="AD30" i="111"/>
  <c r="J17" i="92"/>
  <c r="J21" i="109"/>
  <c r="L21" i="109" s="1"/>
  <c r="J11" i="92"/>
  <c r="J10" i="109"/>
  <c r="L10" i="109" s="1"/>
  <c r="J9" i="4"/>
  <c r="J20" i="109"/>
  <c r="L20" i="109" s="1"/>
  <c r="J19" i="92"/>
  <c r="J17" i="109"/>
  <c r="L17" i="109" s="1"/>
  <c r="J11" i="109"/>
  <c r="L11" i="109" s="1"/>
  <c r="J8" i="108"/>
  <c r="L8" i="108" s="1"/>
  <c r="J15" i="107"/>
  <c r="L15" i="107" s="1"/>
  <c r="J14" i="115"/>
  <c r="L14" i="115" s="1"/>
  <c r="J7" i="4"/>
  <c r="J18" i="109"/>
  <c r="L18" i="109" s="1"/>
  <c r="J6" i="112"/>
  <c r="L6" i="112" s="1"/>
  <c r="J8" i="109"/>
  <c r="L8" i="109" s="1"/>
  <c r="J23" i="110"/>
  <c r="L23" i="110" s="1"/>
  <c r="J13" i="107"/>
  <c r="L13" i="107" s="1"/>
  <c r="J10" i="108"/>
  <c r="L10" i="108" s="1"/>
  <c r="J8" i="113"/>
  <c r="L8" i="113" s="1"/>
  <c r="S33" i="113" s="1"/>
  <c r="J22" i="110"/>
  <c r="L22" i="110" s="1"/>
  <c r="J9" i="109"/>
  <c r="L9" i="109" s="1"/>
  <c r="J8" i="112"/>
  <c r="L8" i="112" s="1"/>
  <c r="J14" i="107"/>
  <c r="L14" i="107" s="1"/>
  <c r="J13" i="115"/>
  <c r="L13" i="115" s="1"/>
  <c r="J8" i="114"/>
  <c r="L8" i="114" s="1"/>
  <c r="S33" i="114" s="1"/>
  <c r="AC25" i="114" s="1"/>
  <c r="J9" i="112"/>
  <c r="L9" i="112" s="1"/>
  <c r="J7" i="107"/>
  <c r="L7" i="107" s="1"/>
  <c r="J9" i="108"/>
  <c r="L9" i="108" s="1"/>
  <c r="J17" i="110"/>
  <c r="L17" i="110" s="1"/>
  <c r="J12" i="109"/>
  <c r="L12" i="109" s="1"/>
  <c r="J12" i="106"/>
  <c r="L12" i="106" s="1"/>
  <c r="J10" i="97"/>
  <c r="L10" i="97" s="1"/>
  <c r="J10" i="105"/>
  <c r="L10" i="105" s="1"/>
  <c r="AR9" i="102"/>
  <c r="AT9" i="102" s="1"/>
  <c r="AR11" i="102"/>
  <c r="AT11" i="102" s="1"/>
  <c r="J19" i="11"/>
  <c r="J11" i="104"/>
  <c r="L11" i="104" s="1"/>
  <c r="W35" i="98"/>
  <c r="W28" i="98"/>
  <c r="AD30" i="99"/>
  <c r="AR12" i="36"/>
  <c r="AR12" i="95"/>
  <c r="AT12" i="95" s="1"/>
  <c r="AR8" i="95"/>
  <c r="AT8" i="95" s="1"/>
  <c r="AD30" i="94"/>
  <c r="AR10" i="36"/>
  <c r="AR10" i="59"/>
  <c r="AR10" i="30"/>
  <c r="AT10" i="30" s="1"/>
  <c r="AR10" i="49"/>
  <c r="AR10" i="19"/>
  <c r="AR8" i="36"/>
  <c r="AR12" i="30"/>
  <c r="AT12" i="30" s="1"/>
  <c r="AR12" i="59"/>
  <c r="AR12" i="49"/>
  <c r="AR12" i="19"/>
  <c r="AR11" i="36"/>
  <c r="AR11" i="19"/>
  <c r="AR11" i="30"/>
  <c r="AT11" i="30" s="1"/>
  <c r="AR11" i="59"/>
  <c r="AR11" i="49"/>
  <c r="J16" i="4"/>
  <c r="J16" i="37"/>
  <c r="J18" i="92"/>
  <c r="J8" i="4"/>
  <c r="J10" i="92"/>
  <c r="J12" i="4"/>
  <c r="J6" i="4"/>
  <c r="AR15" i="25"/>
  <c r="AR12" i="47"/>
  <c r="AR9" i="57"/>
  <c r="AR9" i="18"/>
  <c r="AR9" i="28"/>
  <c r="AR6" i="60"/>
  <c r="AR6" i="58"/>
  <c r="AR6" i="29"/>
  <c r="AR11" i="28"/>
  <c r="AR11" i="57"/>
  <c r="AR7" i="58"/>
  <c r="AR7" i="29"/>
  <c r="AR7" i="60"/>
  <c r="AR13" i="3"/>
  <c r="AR15" i="17"/>
  <c r="AR14" i="17"/>
  <c r="AR8" i="29"/>
  <c r="AR12" i="3"/>
  <c r="AR12" i="9"/>
  <c r="AR6" i="18"/>
  <c r="AR6" i="28"/>
  <c r="AR12" i="25"/>
  <c r="AR8" i="79"/>
  <c r="AR8" i="60"/>
  <c r="AR13" i="37"/>
  <c r="AR14" i="58"/>
  <c r="AR6" i="57"/>
  <c r="AR8" i="47"/>
  <c r="AR12" i="6"/>
  <c r="AR12" i="29"/>
  <c r="AR11" i="9"/>
  <c r="AR9" i="79"/>
  <c r="AR12" i="58"/>
  <c r="AR7" i="18"/>
  <c r="AR7" i="28"/>
  <c r="AR13" i="25"/>
  <c r="AR7" i="57"/>
  <c r="AR12" i="60"/>
  <c r="AR9" i="47"/>
  <c r="AR15" i="18"/>
  <c r="AR15" i="28"/>
  <c r="AR14" i="25"/>
  <c r="AR15" i="57"/>
  <c r="AR14" i="28"/>
  <c r="AR14" i="57"/>
  <c r="AR14" i="18"/>
  <c r="AR16" i="79"/>
  <c r="AR11" i="25"/>
  <c r="AR12" i="21"/>
  <c r="AR10" i="9"/>
  <c r="AR12" i="61"/>
  <c r="AT12" i="61" s="1"/>
  <c r="AR12" i="37"/>
  <c r="AR13" i="58"/>
  <c r="AR10" i="18"/>
  <c r="AR13" i="29"/>
  <c r="AR10" i="28"/>
  <c r="AR13" i="60"/>
  <c r="AR10" i="57"/>
  <c r="AR12" i="28"/>
  <c r="AR12" i="57"/>
  <c r="AR15" i="43"/>
  <c r="AR10" i="41"/>
  <c r="AR10" i="25"/>
  <c r="AR10" i="58"/>
  <c r="AR10" i="56"/>
  <c r="AR10" i="37"/>
  <c r="AR10" i="47"/>
  <c r="AR10" i="53"/>
  <c r="AR10" i="21"/>
  <c r="AR10" i="29"/>
  <c r="AR10" i="79"/>
  <c r="AR10" i="70"/>
  <c r="AR10" i="3"/>
  <c r="AR10" i="26"/>
  <c r="AR10" i="60"/>
  <c r="AR10" i="8"/>
  <c r="AR10" i="61"/>
  <c r="AT10" i="61" s="1"/>
  <c r="AR12" i="18"/>
  <c r="AR10" i="15"/>
  <c r="AR10" i="69"/>
  <c r="AR13" i="9"/>
  <c r="AR10" i="6"/>
  <c r="AR10" i="17"/>
  <c r="AR16" i="43"/>
  <c r="AR11" i="79"/>
  <c r="AR11" i="37"/>
  <c r="AR11" i="21"/>
  <c r="AR17" i="43"/>
  <c r="AR11" i="41"/>
  <c r="AR11" i="61"/>
  <c r="AT11" i="61" s="1"/>
  <c r="AR11" i="60"/>
  <c r="AR11" i="8"/>
  <c r="AR11" i="15"/>
  <c r="AR11" i="29"/>
  <c r="AR11" i="70"/>
  <c r="AR14" i="9"/>
  <c r="AR11" i="53"/>
  <c r="AR11" i="6"/>
  <c r="AR11" i="26"/>
  <c r="AR11" i="56"/>
  <c r="AR11" i="47"/>
  <c r="AR11" i="17"/>
  <c r="AR11" i="69"/>
  <c r="AR11" i="3"/>
  <c r="AR9" i="58"/>
  <c r="AR9" i="60"/>
  <c r="AR9" i="29"/>
  <c r="J17" i="58"/>
  <c r="J24" i="11"/>
  <c r="J12" i="92"/>
  <c r="J16" i="11"/>
  <c r="J13" i="92"/>
  <c r="J17" i="11"/>
  <c r="J37" i="30"/>
  <c r="J38" i="5"/>
  <c r="J9" i="92"/>
  <c r="J18" i="11"/>
  <c r="J7" i="53"/>
  <c r="J9" i="21"/>
  <c r="J6" i="51"/>
  <c r="J14" i="4"/>
  <c r="J11" i="66"/>
  <c r="J14" i="70"/>
  <c r="J13" i="59"/>
  <c r="J19" i="57"/>
  <c r="J24" i="28"/>
  <c r="J29" i="15"/>
  <c r="J21" i="33"/>
  <c r="J12" i="23"/>
  <c r="J24" i="57"/>
  <c r="J24" i="5"/>
  <c r="J8" i="17"/>
  <c r="J8" i="66"/>
  <c r="J27" i="15"/>
  <c r="J12" i="59"/>
  <c r="J20" i="33"/>
  <c r="J22" i="57"/>
  <c r="J21" i="17"/>
  <c r="J22" i="5"/>
  <c r="J9" i="17"/>
  <c r="J12" i="31"/>
  <c r="J12" i="20"/>
  <c r="J15" i="65"/>
  <c r="J12" i="7"/>
  <c r="J18" i="58"/>
  <c r="J11" i="32"/>
  <c r="J13" i="62"/>
  <c r="J13" i="48"/>
  <c r="J12" i="60"/>
  <c r="J19" i="29"/>
  <c r="J23" i="5"/>
  <c r="J23" i="57"/>
  <c r="J26" i="15"/>
  <c r="J18" i="33"/>
  <c r="J23" i="70"/>
  <c r="J24" i="17"/>
  <c r="J20" i="15"/>
  <c r="J10" i="47"/>
  <c r="J16" i="59"/>
  <c r="J14" i="17"/>
  <c r="J16" i="18"/>
  <c r="J9" i="57"/>
  <c r="J13" i="15"/>
  <c r="J13" i="85"/>
  <c r="J12" i="70"/>
  <c r="J12" i="28"/>
  <c r="J18" i="47"/>
  <c r="J17" i="33"/>
  <c r="J20" i="57"/>
  <c r="J28" i="15"/>
  <c r="J20" i="5"/>
  <c r="J14" i="19"/>
  <c r="J13" i="67"/>
  <c r="J9" i="46"/>
  <c r="J10" i="39"/>
  <c r="J18" i="87"/>
  <c r="J10" i="62"/>
  <c r="J9" i="7"/>
  <c r="J14" i="31"/>
  <c r="J13" i="69"/>
  <c r="J9" i="20"/>
  <c r="J13" i="68"/>
  <c r="J10" i="86"/>
  <c r="J11" i="21"/>
  <c r="J9" i="89"/>
  <c r="J12" i="32"/>
  <c r="J14" i="55"/>
  <c r="J14" i="65"/>
  <c r="J12" i="45"/>
  <c r="J14" i="40"/>
  <c r="J9" i="60"/>
  <c r="J10" i="43"/>
  <c r="J13" i="24"/>
  <c r="J12" i="12"/>
  <c r="J14" i="13"/>
  <c r="J19" i="50"/>
  <c r="J11" i="49"/>
  <c r="J12" i="44"/>
  <c r="J14" i="33"/>
  <c r="J10" i="48"/>
  <c r="J15" i="5"/>
  <c r="J21" i="8"/>
  <c r="J18" i="29"/>
  <c r="J14" i="85"/>
  <c r="J10" i="16"/>
  <c r="J10" i="14"/>
  <c r="J11" i="64"/>
  <c r="J10" i="38"/>
  <c r="J10" i="54"/>
  <c r="J9" i="58"/>
  <c r="J10" i="42"/>
  <c r="J9" i="6"/>
  <c r="J11" i="30"/>
  <c r="J21" i="57"/>
  <c r="J21" i="5"/>
  <c r="J19" i="33"/>
  <c r="J11" i="59"/>
  <c r="J7" i="17"/>
  <c r="J11" i="3"/>
  <c r="J9" i="10"/>
  <c r="J9" i="32"/>
  <c r="J12" i="14"/>
  <c r="J12" i="15"/>
  <c r="J10" i="7"/>
  <c r="J10" i="20"/>
  <c r="J23" i="17"/>
  <c r="J10" i="21"/>
  <c r="J10" i="23"/>
  <c r="J9" i="35"/>
  <c r="J15" i="28"/>
  <c r="J11" i="29"/>
  <c r="J11" i="31"/>
  <c r="J6" i="34"/>
  <c r="J10" i="58"/>
  <c r="J12" i="38"/>
  <c r="J11" i="47"/>
  <c r="J11" i="48"/>
  <c r="J7" i="51"/>
  <c r="J12" i="54"/>
  <c r="J11" i="62"/>
  <c r="J14" i="67"/>
  <c r="J10" i="60"/>
  <c r="J13" i="65"/>
  <c r="J6" i="66"/>
  <c r="J11" i="85"/>
  <c r="J11" i="70"/>
  <c r="J10" i="32"/>
  <c r="J12" i="3"/>
  <c r="J12" i="29"/>
  <c r="J10" i="31"/>
  <c r="J12" i="65"/>
  <c r="J13" i="23"/>
  <c r="J22" i="17"/>
  <c r="J19" i="47"/>
  <c r="J16" i="28"/>
  <c r="J12" i="62"/>
  <c r="J12" i="48"/>
  <c r="J11" i="60"/>
  <c r="J8" i="34"/>
  <c r="J11" i="58"/>
  <c r="J9" i="51"/>
  <c r="J12" i="66"/>
  <c r="J11" i="20"/>
  <c r="J17" i="70"/>
  <c r="J11" i="7"/>
  <c r="J11" i="15"/>
  <c r="J13" i="3"/>
  <c r="J8" i="58"/>
  <c r="J14" i="87"/>
  <c r="J14" i="28"/>
  <c r="J10" i="59"/>
  <c r="J8" i="25"/>
  <c r="J12" i="85"/>
  <c r="J8" i="19"/>
  <c r="J13" i="87"/>
  <c r="J8" i="21"/>
  <c r="J7" i="39"/>
  <c r="J8" i="49"/>
  <c r="J7" i="89"/>
  <c r="J10" i="50"/>
  <c r="J16" i="29"/>
  <c r="J21" i="50"/>
  <c r="J17" i="26"/>
  <c r="J12" i="51"/>
  <c r="J9" i="52"/>
  <c r="J16" i="23"/>
  <c r="J11" i="54"/>
  <c r="J13" i="55"/>
  <c r="J12" i="56"/>
  <c r="J14" i="57"/>
  <c r="J12" i="21"/>
  <c r="J19" i="20"/>
  <c r="J13" i="20"/>
  <c r="J9" i="39"/>
  <c r="J16" i="17"/>
  <c r="J15" i="62"/>
  <c r="J16" i="61"/>
  <c r="J12" i="67"/>
  <c r="J18" i="18"/>
  <c r="J9" i="34"/>
  <c r="J13" i="19"/>
  <c r="J15" i="58"/>
  <c r="J17" i="16"/>
  <c r="J11" i="16"/>
  <c r="J10" i="6"/>
  <c r="J16" i="15"/>
  <c r="J11" i="14"/>
  <c r="J13" i="13"/>
  <c r="J11" i="12"/>
  <c r="J13" i="40"/>
  <c r="J12" i="69"/>
  <c r="J13" i="60"/>
  <c r="J12" i="64"/>
  <c r="J6" i="10"/>
  <c r="J18" i="65"/>
  <c r="J8" i="89"/>
  <c r="J16" i="45"/>
  <c r="J13" i="66"/>
  <c r="J8" i="83"/>
  <c r="J12" i="68"/>
  <c r="J11" i="46"/>
  <c r="J11" i="42"/>
  <c r="J12" i="30"/>
  <c r="J11" i="38"/>
  <c r="J12" i="24"/>
  <c r="J16" i="85"/>
  <c r="J8" i="82"/>
  <c r="J19" i="87"/>
  <c r="J20" i="8"/>
  <c r="J17" i="47"/>
  <c r="J19" i="70"/>
  <c r="J19" i="7"/>
  <c r="J13" i="7"/>
  <c r="J21" i="28"/>
  <c r="J25" i="33"/>
  <c r="J6" i="35"/>
  <c r="J15" i="48"/>
  <c r="J26" i="5"/>
  <c r="J11" i="43"/>
  <c r="J11" i="33"/>
  <c r="J10" i="49"/>
  <c r="J18" i="5"/>
  <c r="J17" i="27"/>
  <c r="J13" i="4"/>
  <c r="J16" i="44"/>
  <c r="J16" i="3"/>
  <c r="J14" i="32"/>
  <c r="J13" i="50"/>
  <c r="J9" i="43"/>
  <c r="J9" i="69"/>
  <c r="J10" i="12"/>
  <c r="J11" i="50"/>
  <c r="J15" i="85"/>
  <c r="J11" i="69"/>
  <c r="J17" i="15"/>
  <c r="J12" i="41"/>
  <c r="J8" i="39"/>
  <c r="J6" i="61"/>
  <c r="J13" i="61"/>
  <c r="J10" i="69"/>
  <c r="J12" i="50"/>
  <c r="J122" i="80"/>
  <c r="O134" i="1"/>
  <c r="K134" i="1"/>
  <c r="N134" i="1" s="1"/>
  <c r="V35" i="108" l="1"/>
  <c r="AA30" i="108" s="1"/>
  <c r="V35" i="106"/>
  <c r="AA30" i="106" s="1"/>
  <c r="V35" i="107"/>
  <c r="AA30" i="107" s="1"/>
  <c r="S35" i="115"/>
  <c r="AC25" i="115" s="1"/>
  <c r="AA30" i="113"/>
  <c r="AC30" i="113" s="1"/>
  <c r="AC25" i="113" s="1"/>
  <c r="T33" i="113"/>
  <c r="AB30" i="112"/>
  <c r="AC30" i="112" s="1"/>
  <c r="AC25" i="112" s="1"/>
  <c r="T35" i="108"/>
  <c r="AA30" i="96"/>
  <c r="AE30" i="96" s="1"/>
  <c r="AC25" i="96" s="1"/>
  <c r="T33" i="105"/>
  <c r="AC25" i="105" s="1"/>
  <c r="S33" i="105"/>
  <c r="V35" i="102"/>
  <c r="U35" i="102" s="1"/>
  <c r="AC30" i="98"/>
  <c r="V35" i="95"/>
  <c r="V35" i="61"/>
  <c r="J55" i="80"/>
  <c r="F113" i="50"/>
  <c r="F114" i="50"/>
  <c r="F115" i="50"/>
  <c r="F116" i="50"/>
  <c r="F117" i="50"/>
  <c r="F118" i="50"/>
  <c r="F119" i="50"/>
  <c r="F120" i="50"/>
  <c r="F121" i="50"/>
  <c r="F122" i="50"/>
  <c r="F123" i="50"/>
  <c r="F124" i="50"/>
  <c r="F125" i="50"/>
  <c r="F126" i="50"/>
  <c r="F127" i="50"/>
  <c r="F128" i="50"/>
  <c r="B113" i="50"/>
  <c r="C113" i="50"/>
  <c r="D113" i="50"/>
  <c r="B114" i="50"/>
  <c r="C114" i="50"/>
  <c r="D114" i="50"/>
  <c r="B115" i="50"/>
  <c r="C115" i="50"/>
  <c r="D115" i="50"/>
  <c r="B116" i="50"/>
  <c r="C116" i="50"/>
  <c r="D116" i="50"/>
  <c r="B117" i="50"/>
  <c r="C117" i="50"/>
  <c r="D117" i="50"/>
  <c r="B118" i="50"/>
  <c r="C118" i="50"/>
  <c r="D118" i="50"/>
  <c r="B119" i="50"/>
  <c r="C119" i="50"/>
  <c r="D119" i="50"/>
  <c r="B120" i="50"/>
  <c r="C120" i="50"/>
  <c r="D120" i="50"/>
  <c r="B121" i="50"/>
  <c r="C121" i="50"/>
  <c r="D121" i="50"/>
  <c r="B122" i="50"/>
  <c r="C122" i="50"/>
  <c r="D122" i="50"/>
  <c r="B123" i="50"/>
  <c r="C123" i="50"/>
  <c r="D123" i="50"/>
  <c r="B124" i="50"/>
  <c r="C124" i="50"/>
  <c r="D124" i="50"/>
  <c r="B125" i="50"/>
  <c r="C125" i="50"/>
  <c r="D125" i="50"/>
  <c r="B126" i="50"/>
  <c r="C126" i="50"/>
  <c r="D126" i="50"/>
  <c r="B127" i="50"/>
  <c r="C127" i="50"/>
  <c r="D127" i="50"/>
  <c r="B128" i="50"/>
  <c r="C128" i="50"/>
  <c r="D128" i="50"/>
  <c r="F112" i="50"/>
  <c r="C112" i="50"/>
  <c r="B112" i="50"/>
  <c r="D51" i="92"/>
  <c r="R44" i="92" s="1"/>
  <c r="U44" i="92" s="1"/>
  <c r="W44" i="92" s="1"/>
  <c r="C51" i="92"/>
  <c r="D79" i="92"/>
  <c r="C79" i="92"/>
  <c r="B79" i="92"/>
  <c r="D78" i="92"/>
  <c r="C78" i="92"/>
  <c r="B78" i="92"/>
  <c r="D77" i="92"/>
  <c r="C77" i="92"/>
  <c r="B77" i="92"/>
  <c r="D76" i="92"/>
  <c r="C76" i="92"/>
  <c r="B76" i="92"/>
  <c r="D75" i="92"/>
  <c r="C75" i="92"/>
  <c r="B75" i="92"/>
  <c r="D74" i="92"/>
  <c r="C74" i="92"/>
  <c r="B74" i="92"/>
  <c r="D73" i="92"/>
  <c r="C73" i="92"/>
  <c r="B73" i="92"/>
  <c r="D72" i="92"/>
  <c r="C72" i="92"/>
  <c r="B72" i="92"/>
  <c r="D71" i="92"/>
  <c r="C71" i="92"/>
  <c r="B71" i="92"/>
  <c r="D70" i="92"/>
  <c r="C70" i="92"/>
  <c r="B70" i="92"/>
  <c r="D69" i="92"/>
  <c r="C69" i="92"/>
  <c r="B69" i="92"/>
  <c r="D68" i="92"/>
  <c r="C68" i="92"/>
  <c r="B68" i="92"/>
  <c r="D67" i="92"/>
  <c r="C67" i="92"/>
  <c r="B67" i="92"/>
  <c r="D66" i="92"/>
  <c r="C66" i="92"/>
  <c r="B66" i="92"/>
  <c r="C65" i="92"/>
  <c r="B65" i="92"/>
  <c r="B66" i="89"/>
  <c r="C66" i="89"/>
  <c r="D66" i="89"/>
  <c r="F66" i="89"/>
  <c r="B67" i="89"/>
  <c r="C67" i="89"/>
  <c r="D67" i="89"/>
  <c r="F67" i="89"/>
  <c r="B68" i="89"/>
  <c r="C68" i="89"/>
  <c r="D68" i="89"/>
  <c r="F68" i="89"/>
  <c r="B69" i="89"/>
  <c r="C69" i="89"/>
  <c r="D69" i="89"/>
  <c r="F69" i="89"/>
  <c r="F65" i="89"/>
  <c r="C65" i="89"/>
  <c r="D65" i="89"/>
  <c r="B65" i="89"/>
  <c r="D51" i="89"/>
  <c r="C51" i="89"/>
  <c r="E37" i="3"/>
  <c r="L8" i="2"/>
  <c r="K8" i="2"/>
  <c r="L6" i="2"/>
  <c r="K6" i="2"/>
  <c r="L35" i="2"/>
  <c r="K35" i="2"/>
  <c r="J114" i="80"/>
  <c r="J115" i="80"/>
  <c r="J116" i="80"/>
  <c r="J117" i="80"/>
  <c r="J125" i="80"/>
  <c r="J121" i="80"/>
  <c r="O115" i="80" s="1"/>
  <c r="J113" i="80"/>
  <c r="J108" i="80"/>
  <c r="O93" i="80" s="1"/>
  <c r="J103" i="80"/>
  <c r="J104" i="80"/>
  <c r="J105" i="80"/>
  <c r="J106" i="80"/>
  <c r="J100" i="80"/>
  <c r="O95" i="80" s="1"/>
  <c r="J102" i="80"/>
  <c r="J93" i="80"/>
  <c r="J94" i="80"/>
  <c r="J92" i="80"/>
  <c r="J85" i="80"/>
  <c r="J86" i="80"/>
  <c r="J84" i="80"/>
  <c r="J71" i="80"/>
  <c r="J73" i="80"/>
  <c r="J74" i="80"/>
  <c r="J75" i="80"/>
  <c r="J70" i="80"/>
  <c r="J62" i="80"/>
  <c r="O45" i="80" s="1"/>
  <c r="J59" i="80"/>
  <c r="O47" i="80" s="1"/>
  <c r="J54" i="80"/>
  <c r="J53" i="80"/>
  <c r="J45" i="80"/>
  <c r="J47" i="80"/>
  <c r="J48" i="80"/>
  <c r="J49" i="80"/>
  <c r="J50" i="80"/>
  <c r="J39" i="80"/>
  <c r="O27" i="80" s="1"/>
  <c r="J36" i="80"/>
  <c r="O26" i="80" s="1"/>
  <c r="J32" i="80"/>
  <c r="J31" i="80"/>
  <c r="J25" i="80"/>
  <c r="J26" i="80"/>
  <c r="J27" i="80"/>
  <c r="J24" i="80"/>
  <c r="J16" i="80"/>
  <c r="O5" i="80" s="1"/>
  <c r="J12" i="80"/>
  <c r="J13" i="80"/>
  <c r="J11" i="80"/>
  <c r="J4" i="80"/>
  <c r="J5" i="80"/>
  <c r="J6" i="80"/>
  <c r="J7" i="80"/>
  <c r="G144" i="16"/>
  <c r="E144" i="16"/>
  <c r="K121" i="1"/>
  <c r="K116" i="1"/>
  <c r="G90" i="66"/>
  <c r="E90" i="66"/>
  <c r="G107" i="66"/>
  <c r="E107" i="66"/>
  <c r="E123" i="66"/>
  <c r="G123" i="66"/>
  <c r="G155" i="66"/>
  <c r="G139" i="66"/>
  <c r="E155" i="66"/>
  <c r="E139" i="66"/>
  <c r="D55" i="11"/>
  <c r="D54" i="11"/>
  <c r="D53" i="11"/>
  <c r="G75" i="66"/>
  <c r="E75" i="66"/>
  <c r="E119" i="51"/>
  <c r="E138" i="51"/>
  <c r="G138" i="51"/>
  <c r="G119" i="51"/>
  <c r="G98" i="51"/>
  <c r="E98" i="51"/>
  <c r="C98" i="51"/>
  <c r="G79" i="51"/>
  <c r="C79" i="51" s="1"/>
  <c r="E79" i="51"/>
  <c r="E37" i="79"/>
  <c r="D51" i="42"/>
  <c r="C51" i="42"/>
  <c r="D5" i="36"/>
  <c r="G95" i="35"/>
  <c r="C95" i="35" s="1"/>
  <c r="E95" i="35"/>
  <c r="G81" i="35"/>
  <c r="E81" i="35"/>
  <c r="C81" i="35"/>
  <c r="G71" i="35"/>
  <c r="E71" i="35"/>
  <c r="G98" i="34"/>
  <c r="E98" i="34"/>
  <c r="G84" i="34"/>
  <c r="E84" i="34"/>
  <c r="G72" i="34"/>
  <c r="E72" i="34"/>
  <c r="D51" i="31"/>
  <c r="C51" i="31"/>
  <c r="C144" i="16"/>
  <c r="B144" i="16"/>
  <c r="B101" i="10"/>
  <c r="C101" i="10"/>
  <c r="D101" i="10"/>
  <c r="B102" i="10"/>
  <c r="C102" i="10"/>
  <c r="D102" i="10"/>
  <c r="B103" i="10"/>
  <c r="C103" i="10"/>
  <c r="D103" i="10"/>
  <c r="B104" i="10"/>
  <c r="C104" i="10"/>
  <c r="D104" i="10"/>
  <c r="C100" i="10"/>
  <c r="F101" i="10"/>
  <c r="F102" i="10"/>
  <c r="F103" i="10"/>
  <c r="F104" i="10"/>
  <c r="F100" i="10"/>
  <c r="B100" i="10"/>
  <c r="O70" i="80" l="1"/>
  <c r="O44" i="80"/>
  <c r="O113" i="80"/>
  <c r="O3" i="80"/>
  <c r="U35" i="111"/>
  <c r="AA30" i="111"/>
  <c r="AE30" i="111" s="1"/>
  <c r="AC25" i="111" s="1"/>
  <c r="U35" i="108"/>
  <c r="AC30" i="108"/>
  <c r="AE30" i="108" s="1"/>
  <c r="AC25" i="108" s="1"/>
  <c r="O4" i="80"/>
  <c r="O92" i="80"/>
  <c r="O94" i="80"/>
  <c r="O71" i="80"/>
  <c r="AA30" i="102"/>
  <c r="AC25" i="102" s="1"/>
  <c r="O25" i="80"/>
  <c r="O24" i="80"/>
  <c r="AA30" i="100"/>
  <c r="AE30" i="100" s="1"/>
  <c r="AC25" i="100" s="1"/>
  <c r="U35" i="100"/>
  <c r="AA30" i="98"/>
  <c r="AE30" i="98" s="1"/>
  <c r="AC25" i="98" s="1"/>
  <c r="U35" i="98"/>
  <c r="U35" i="101"/>
  <c r="AA30" i="101"/>
  <c r="AE30" i="101" s="1"/>
  <c r="AC25" i="101" s="1"/>
  <c r="U35" i="99"/>
  <c r="AA30" i="99"/>
  <c r="AE30" i="99" s="1"/>
  <c r="AC25" i="99" s="1"/>
  <c r="AA30" i="95"/>
  <c r="AC25" i="95" s="1"/>
  <c r="U35" i="95"/>
  <c r="U35" i="94"/>
  <c r="AA30" i="94"/>
  <c r="AE30" i="94" s="1"/>
  <c r="AC25" i="94" s="1"/>
  <c r="O114" i="80"/>
  <c r="O46" i="80"/>
  <c r="J51" i="92"/>
  <c r="I51" i="92" s="1"/>
  <c r="H51" i="92" s="1"/>
  <c r="V44" i="92"/>
  <c r="J52" i="92"/>
  <c r="B81" i="92" s="1"/>
  <c r="T30" i="92"/>
  <c r="E1" i="89"/>
  <c r="T29" i="89"/>
  <c r="T28" i="89"/>
  <c r="N8" i="2"/>
  <c r="O8" i="2"/>
  <c r="N6" i="2"/>
  <c r="O6" i="2"/>
  <c r="N35" i="2"/>
  <c r="O35" i="2"/>
  <c r="N116" i="1"/>
  <c r="O121" i="1"/>
  <c r="N121" i="1"/>
  <c r="O116" i="1"/>
  <c r="C90" i="66"/>
  <c r="F37" i="79"/>
  <c r="C155" i="66"/>
  <c r="C139" i="66"/>
  <c r="C123" i="66"/>
  <c r="C107" i="66"/>
  <c r="C75" i="66"/>
  <c r="C138" i="51"/>
  <c r="C119" i="51"/>
  <c r="T28" i="39"/>
  <c r="T29" i="39"/>
  <c r="C71" i="35"/>
  <c r="C98" i="34"/>
  <c r="C84" i="34"/>
  <c r="C72" i="34"/>
  <c r="H144" i="16"/>
  <c r="AO1" i="53"/>
  <c r="G1" i="89" l="1"/>
  <c r="I1" i="89" s="1"/>
  <c r="D52" i="89"/>
  <c r="B71" i="89" s="1"/>
  <c r="J53" i="92"/>
  <c r="I52" i="92"/>
  <c r="H52" i="92" s="1"/>
  <c r="E65" i="92" s="1"/>
  <c r="U30" i="92"/>
  <c r="T30" i="89"/>
  <c r="H37" i="79"/>
  <c r="T30" i="39"/>
  <c r="D51" i="38"/>
  <c r="D51" i="39"/>
  <c r="C51" i="39"/>
  <c r="D51" i="40"/>
  <c r="D51" i="24"/>
  <c r="D51" i="14"/>
  <c r="D51" i="13"/>
  <c r="C51" i="13"/>
  <c r="D51" i="12"/>
  <c r="C51" i="12"/>
  <c r="D51" i="82"/>
  <c r="C51" i="82"/>
  <c r="B132" i="16"/>
  <c r="C132" i="16"/>
  <c r="D132" i="16"/>
  <c r="F132" i="16"/>
  <c r="G132" i="16"/>
  <c r="B133" i="16"/>
  <c r="C133" i="16"/>
  <c r="D133" i="16"/>
  <c r="F133" i="16"/>
  <c r="B134" i="16"/>
  <c r="C134" i="16"/>
  <c r="D134" i="16"/>
  <c r="F134" i="16"/>
  <c r="B135" i="16"/>
  <c r="C135" i="16"/>
  <c r="D135" i="16"/>
  <c r="F135" i="16"/>
  <c r="G135" i="16"/>
  <c r="B136" i="16"/>
  <c r="C136" i="16"/>
  <c r="D136" i="16"/>
  <c r="F136" i="16"/>
  <c r="B137" i="16"/>
  <c r="C137" i="16"/>
  <c r="D137" i="16"/>
  <c r="F137" i="16"/>
  <c r="G137" i="16"/>
  <c r="B138" i="16"/>
  <c r="C138" i="16"/>
  <c r="D138" i="16"/>
  <c r="F138" i="16"/>
  <c r="G138" i="16"/>
  <c r="B139" i="16"/>
  <c r="C139" i="16"/>
  <c r="D139" i="16"/>
  <c r="F139" i="16"/>
  <c r="B140" i="16"/>
  <c r="C140" i="16"/>
  <c r="D140" i="16"/>
  <c r="G140" i="16" s="1"/>
  <c r="F140" i="16"/>
  <c r="B141" i="16"/>
  <c r="C141" i="16"/>
  <c r="D141" i="16"/>
  <c r="F141" i="16"/>
  <c r="G141" i="16"/>
  <c r="B142" i="16"/>
  <c r="C142" i="16"/>
  <c r="D142" i="16"/>
  <c r="F142" i="16"/>
  <c r="B114" i="16"/>
  <c r="C114" i="16"/>
  <c r="D114" i="16"/>
  <c r="F114" i="16"/>
  <c r="B115" i="16"/>
  <c r="C115" i="16"/>
  <c r="D115" i="16"/>
  <c r="F115" i="16"/>
  <c r="B116" i="16"/>
  <c r="C116" i="16"/>
  <c r="D116" i="16"/>
  <c r="F116" i="16"/>
  <c r="B117" i="16"/>
  <c r="C117" i="16"/>
  <c r="D117" i="16"/>
  <c r="F117" i="16"/>
  <c r="B118" i="16"/>
  <c r="C118" i="16"/>
  <c r="D118" i="16"/>
  <c r="F118" i="16"/>
  <c r="B119" i="16"/>
  <c r="C119" i="16"/>
  <c r="D119" i="16"/>
  <c r="F119" i="16"/>
  <c r="B120" i="16"/>
  <c r="C120" i="16"/>
  <c r="D120" i="16"/>
  <c r="F120" i="16"/>
  <c r="B121" i="16"/>
  <c r="C121" i="16"/>
  <c r="D121" i="16"/>
  <c r="F121" i="16"/>
  <c r="B99" i="16"/>
  <c r="C99" i="16"/>
  <c r="D99" i="16"/>
  <c r="F99" i="16"/>
  <c r="B95" i="16"/>
  <c r="C95" i="16"/>
  <c r="D95" i="16"/>
  <c r="F95" i="16"/>
  <c r="B96" i="16"/>
  <c r="C96" i="16"/>
  <c r="D96" i="16"/>
  <c r="F96" i="16"/>
  <c r="B97" i="16"/>
  <c r="C97" i="16"/>
  <c r="D97" i="16"/>
  <c r="F97" i="16"/>
  <c r="B98" i="16"/>
  <c r="C98" i="16"/>
  <c r="D98" i="16"/>
  <c r="F98" i="16"/>
  <c r="B78" i="16"/>
  <c r="C78" i="16"/>
  <c r="D78" i="16"/>
  <c r="F78" i="16"/>
  <c r="B79" i="16"/>
  <c r="C79" i="16"/>
  <c r="D79" i="16"/>
  <c r="F79" i="16"/>
  <c r="B75" i="16"/>
  <c r="C75" i="16"/>
  <c r="D75" i="16"/>
  <c r="F75" i="16"/>
  <c r="B76" i="16"/>
  <c r="C76" i="16"/>
  <c r="D76" i="16"/>
  <c r="F76" i="16"/>
  <c r="B77" i="16"/>
  <c r="C77" i="16"/>
  <c r="D77" i="16"/>
  <c r="F77" i="16"/>
  <c r="E38" i="70"/>
  <c r="F38" i="70" s="1"/>
  <c r="E37" i="70"/>
  <c r="F37" i="70" s="1"/>
  <c r="H37" i="70" s="1"/>
  <c r="E37" i="69"/>
  <c r="F37" i="69" s="1"/>
  <c r="H37" i="69" s="1"/>
  <c r="E1" i="92" l="1"/>
  <c r="K37" i="70"/>
  <c r="L37" i="70" s="1"/>
  <c r="K37" i="69"/>
  <c r="L37" i="69" s="1"/>
  <c r="W35" i="69" s="1"/>
  <c r="W28" i="69"/>
  <c r="W32" i="69" s="1"/>
  <c r="K37" i="79"/>
  <c r="L37" i="79" s="1"/>
  <c r="W35" i="79" s="1"/>
  <c r="W28" i="79"/>
  <c r="W32" i="79" s="1"/>
  <c r="I53" i="92"/>
  <c r="H53" i="92"/>
  <c r="J54" i="92"/>
  <c r="E6" i="89"/>
  <c r="G6" i="89" s="1"/>
  <c r="H6" i="89" s="1"/>
  <c r="K6" i="89" s="1"/>
  <c r="L6" i="89" s="1"/>
  <c r="E7" i="89"/>
  <c r="G7" i="89" s="1"/>
  <c r="H7" i="89" s="1"/>
  <c r="K7" i="89" s="1"/>
  <c r="L7" i="89" s="1"/>
  <c r="E8" i="89"/>
  <c r="G8" i="89" s="1"/>
  <c r="H8" i="89" s="1"/>
  <c r="K8" i="89" s="1"/>
  <c r="L8" i="89" s="1"/>
  <c r="E9" i="89"/>
  <c r="G9" i="89" s="1"/>
  <c r="H9" i="89" s="1"/>
  <c r="K9" i="89" s="1"/>
  <c r="L9" i="89" s="1"/>
  <c r="E10" i="89"/>
  <c r="G10" i="89" s="1"/>
  <c r="H10" i="89" s="1"/>
  <c r="K10" i="89" s="1"/>
  <c r="L10" i="89" s="1"/>
  <c r="C52" i="89"/>
  <c r="C51" i="38"/>
  <c r="H132" i="16"/>
  <c r="H138" i="16"/>
  <c r="G133" i="16"/>
  <c r="H133" i="16" s="1"/>
  <c r="G139" i="16"/>
  <c r="H139" i="16" s="1"/>
  <c r="H141" i="16"/>
  <c r="G136" i="16"/>
  <c r="H136" i="16" s="1"/>
  <c r="H140" i="16"/>
  <c r="G134" i="16"/>
  <c r="H134" i="16" s="1"/>
  <c r="G142" i="16"/>
  <c r="H142" i="16" s="1"/>
  <c r="H135" i="16"/>
  <c r="H137" i="16"/>
  <c r="H38" i="70"/>
  <c r="K38" i="70" s="1"/>
  <c r="L38" i="70" s="1"/>
  <c r="D51" i="54"/>
  <c r="D51" i="55"/>
  <c r="C51" i="55"/>
  <c r="G1" i="92" l="1"/>
  <c r="D52" i="92"/>
  <c r="W28" i="70"/>
  <c r="W32" i="70" s="1"/>
  <c r="W35" i="70"/>
  <c r="E66" i="89"/>
  <c r="E67" i="89"/>
  <c r="E68" i="89"/>
  <c r="E69" i="89"/>
  <c r="E65" i="89"/>
  <c r="S33" i="89"/>
  <c r="T33" i="89" s="1"/>
  <c r="AC25" i="89" s="1"/>
  <c r="H54" i="92"/>
  <c r="G65" i="92"/>
  <c r="H65" i="92" s="1"/>
  <c r="I54" i="92"/>
  <c r="J55" i="92"/>
  <c r="I55" i="92" s="1"/>
  <c r="C53" i="89"/>
  <c r="E38" i="66"/>
  <c r="E37" i="66"/>
  <c r="E37" i="62"/>
  <c r="E38" i="60"/>
  <c r="E37" i="60"/>
  <c r="E37" i="59"/>
  <c r="E38" i="57"/>
  <c r="E37" i="57"/>
  <c r="E37" i="56"/>
  <c r="E38" i="49"/>
  <c r="E37" i="49"/>
  <c r="F37" i="49" s="1"/>
  <c r="H37" i="49" s="1"/>
  <c r="E38" i="48"/>
  <c r="E37" i="48"/>
  <c r="E37" i="47"/>
  <c r="E37" i="46"/>
  <c r="E37" i="44"/>
  <c r="E37" i="43"/>
  <c r="E37" i="41"/>
  <c r="F37" i="41" s="1"/>
  <c r="H37" i="41" s="1"/>
  <c r="D51" i="68"/>
  <c r="C51" i="83"/>
  <c r="D51" i="83"/>
  <c r="B79" i="42"/>
  <c r="C79" i="42"/>
  <c r="D79" i="42"/>
  <c r="F79" i="42"/>
  <c r="B80" i="42"/>
  <c r="C80" i="42"/>
  <c r="D80" i="42"/>
  <c r="F80" i="42"/>
  <c r="B81" i="42"/>
  <c r="C81" i="42"/>
  <c r="D81" i="42"/>
  <c r="F81" i="42"/>
  <c r="B82" i="42"/>
  <c r="C82" i="42"/>
  <c r="D82" i="42"/>
  <c r="F82" i="42"/>
  <c r="B83" i="42"/>
  <c r="C83" i="42"/>
  <c r="D83" i="42"/>
  <c r="F83" i="42"/>
  <c r="B84" i="42"/>
  <c r="C84" i="42"/>
  <c r="D84" i="42"/>
  <c r="F84" i="42"/>
  <c r="B85" i="42"/>
  <c r="C85" i="42"/>
  <c r="D85" i="42"/>
  <c r="F85" i="42"/>
  <c r="B86" i="42"/>
  <c r="C86" i="42"/>
  <c r="D86" i="42"/>
  <c r="F86" i="42"/>
  <c r="AN10" i="1"/>
  <c r="AN9" i="1"/>
  <c r="AN8" i="1"/>
  <c r="AN7" i="1"/>
  <c r="AN6" i="1"/>
  <c r="AN3" i="1"/>
  <c r="E37" i="35"/>
  <c r="E38" i="33"/>
  <c r="E37" i="33"/>
  <c r="E37" i="32"/>
  <c r="E38" i="30"/>
  <c r="E37" i="30"/>
  <c r="E37" i="29"/>
  <c r="E38" i="28"/>
  <c r="E37" i="28"/>
  <c r="E39" i="26"/>
  <c r="E38" i="26"/>
  <c r="E37" i="26"/>
  <c r="E37" i="25"/>
  <c r="E37" i="7"/>
  <c r="E38" i="5"/>
  <c r="E37" i="5"/>
  <c r="E37" i="6"/>
  <c r="E38" i="4"/>
  <c r="E37" i="4"/>
  <c r="E38" i="8"/>
  <c r="E37" i="8"/>
  <c r="E38" i="9"/>
  <c r="E37" i="9"/>
  <c r="E37" i="10"/>
  <c r="E37" i="15"/>
  <c r="E37" i="19"/>
  <c r="E37" i="18"/>
  <c r="E38" i="20"/>
  <c r="E37" i="20"/>
  <c r="E38" i="23"/>
  <c r="E37" i="23"/>
  <c r="G81" i="92" l="1"/>
  <c r="E81" i="92"/>
  <c r="E7" i="92"/>
  <c r="G7" i="92" s="1"/>
  <c r="H7" i="92" s="1"/>
  <c r="K7" i="92" s="1"/>
  <c r="L7" i="92" s="1"/>
  <c r="E13" i="92"/>
  <c r="G13" i="92" s="1"/>
  <c r="H13" i="92" s="1"/>
  <c r="K13" i="92" s="1"/>
  <c r="L13" i="92" s="1"/>
  <c r="I1" i="92"/>
  <c r="C52" i="92" s="1"/>
  <c r="E15" i="92"/>
  <c r="G15" i="92" s="1"/>
  <c r="H15" i="92" s="1"/>
  <c r="K15" i="92" s="1"/>
  <c r="E10" i="92"/>
  <c r="G10" i="92" s="1"/>
  <c r="H10" i="92" s="1"/>
  <c r="K10" i="92" s="1"/>
  <c r="L10" i="92" s="1"/>
  <c r="E12" i="92"/>
  <c r="G12" i="92" s="1"/>
  <c r="H12" i="92" s="1"/>
  <c r="K12" i="92" s="1"/>
  <c r="L12" i="92" s="1"/>
  <c r="E5" i="92"/>
  <c r="G5" i="92" s="1"/>
  <c r="H5" i="92" s="1"/>
  <c r="K5" i="92" s="1"/>
  <c r="L5" i="92" s="1"/>
  <c r="S33" i="92" s="1"/>
  <c r="AA21" i="92" s="1"/>
  <c r="E17" i="92"/>
  <c r="G17" i="92" s="1"/>
  <c r="H17" i="92" s="1"/>
  <c r="K17" i="92" s="1"/>
  <c r="L17" i="92" s="1"/>
  <c r="E11" i="92"/>
  <c r="G11" i="92" s="1"/>
  <c r="H11" i="92" s="1"/>
  <c r="K11" i="92" s="1"/>
  <c r="L11" i="92" s="1"/>
  <c r="E6" i="92"/>
  <c r="G6" i="92" s="1"/>
  <c r="H6" i="92" s="1"/>
  <c r="K6" i="92" s="1"/>
  <c r="L6" i="92" s="1"/>
  <c r="E9" i="92"/>
  <c r="G9" i="92" s="1"/>
  <c r="H9" i="92" s="1"/>
  <c r="K9" i="92" s="1"/>
  <c r="L9" i="92" s="1"/>
  <c r="E8" i="92"/>
  <c r="G8" i="92" s="1"/>
  <c r="H8" i="92" s="1"/>
  <c r="K8" i="92" s="1"/>
  <c r="L8" i="92" s="1"/>
  <c r="E19" i="92"/>
  <c r="G19" i="92" s="1"/>
  <c r="H19" i="92" s="1"/>
  <c r="K19" i="92" s="1"/>
  <c r="L19" i="92" s="1"/>
  <c r="E18" i="92"/>
  <c r="G18" i="92" s="1"/>
  <c r="H18" i="92" s="1"/>
  <c r="K18" i="92" s="1"/>
  <c r="L18" i="92" s="1"/>
  <c r="E16" i="92"/>
  <c r="G16" i="92" s="1"/>
  <c r="H16" i="92" s="1"/>
  <c r="K16" i="92" s="1"/>
  <c r="E14" i="92"/>
  <c r="G14" i="92" s="1"/>
  <c r="H14" i="92" s="1"/>
  <c r="K14" i="92" s="1"/>
  <c r="L14" i="92" s="1"/>
  <c r="K37" i="49"/>
  <c r="L37" i="49" s="1"/>
  <c r="K37" i="41"/>
  <c r="L37" i="41" s="1"/>
  <c r="W35" i="41" s="1"/>
  <c r="W28" i="41"/>
  <c r="W32" i="41" s="1"/>
  <c r="H55" i="92"/>
  <c r="G66" i="89"/>
  <c r="H66" i="89" s="1"/>
  <c r="G67" i="89"/>
  <c r="H67" i="89" s="1"/>
  <c r="G69" i="89"/>
  <c r="H69" i="89" s="1"/>
  <c r="D53" i="89"/>
  <c r="C54" i="89"/>
  <c r="F38" i="66"/>
  <c r="H38" i="66" s="1"/>
  <c r="K38" i="66" s="1"/>
  <c r="L38" i="66" s="1"/>
  <c r="F37" i="66"/>
  <c r="H37" i="66" s="1"/>
  <c r="F37" i="62"/>
  <c r="H37" i="62" s="1"/>
  <c r="F38" i="60"/>
  <c r="H38" i="60" s="1"/>
  <c r="K38" i="60" s="1"/>
  <c r="L38" i="60" s="1"/>
  <c r="F37" i="60"/>
  <c r="H37" i="60" s="1"/>
  <c r="F37" i="59"/>
  <c r="H37" i="59" s="1"/>
  <c r="W28" i="59" s="1"/>
  <c r="W32" i="59" s="1"/>
  <c r="F38" i="57"/>
  <c r="H38" i="57" s="1"/>
  <c r="K38" i="57" s="1"/>
  <c r="L38" i="57" s="1"/>
  <c r="F37" i="57"/>
  <c r="H37" i="57" s="1"/>
  <c r="F37" i="56"/>
  <c r="H37" i="56" s="1"/>
  <c r="F38" i="49"/>
  <c r="H38" i="49" s="1"/>
  <c r="V28" i="49" s="1"/>
  <c r="V32" i="49" s="1"/>
  <c r="F38" i="48"/>
  <c r="H38" i="48" s="1"/>
  <c r="K38" i="48" s="1"/>
  <c r="L38" i="48" s="1"/>
  <c r="F37" i="48"/>
  <c r="F37" i="47"/>
  <c r="H37" i="47" s="1"/>
  <c r="F37" i="46"/>
  <c r="H37" i="46" s="1"/>
  <c r="F37" i="44"/>
  <c r="H37" i="44" s="1"/>
  <c r="F37" i="43"/>
  <c r="F38" i="9"/>
  <c r="H38" i="9" s="1"/>
  <c r="K38" i="9" s="1"/>
  <c r="L38" i="9" s="1"/>
  <c r="F37" i="23"/>
  <c r="H37" i="23" s="1"/>
  <c r="F38" i="23"/>
  <c r="H38" i="23" s="1"/>
  <c r="K38" i="23" s="1"/>
  <c r="L38" i="23" s="1"/>
  <c r="F37" i="35"/>
  <c r="H37" i="35" s="1"/>
  <c r="K37" i="35" s="1"/>
  <c r="L37" i="35" s="1"/>
  <c r="F38" i="33"/>
  <c r="H38" i="33" s="1"/>
  <c r="K38" i="33" s="1"/>
  <c r="L38" i="33" s="1"/>
  <c r="F37" i="33"/>
  <c r="H37" i="33" s="1"/>
  <c r="F37" i="32"/>
  <c r="H37" i="32" s="1"/>
  <c r="F38" i="30"/>
  <c r="H38" i="30" s="1"/>
  <c r="K38" i="30" s="1"/>
  <c r="L38" i="30" s="1"/>
  <c r="F37" i="30"/>
  <c r="H37" i="30" s="1"/>
  <c r="F37" i="29"/>
  <c r="H37" i="29" s="1"/>
  <c r="F38" i="28"/>
  <c r="H38" i="28" s="1"/>
  <c r="K38" i="28" s="1"/>
  <c r="L38" i="28" s="1"/>
  <c r="F37" i="28"/>
  <c r="H37" i="28" s="1"/>
  <c r="F39" i="26"/>
  <c r="H39" i="26" s="1"/>
  <c r="K39" i="26" s="1"/>
  <c r="L39" i="26" s="1"/>
  <c r="F38" i="26"/>
  <c r="H38" i="26" s="1"/>
  <c r="K38" i="26" s="1"/>
  <c r="L38" i="26" s="1"/>
  <c r="F37" i="26"/>
  <c r="H37" i="26" s="1"/>
  <c r="F37" i="25"/>
  <c r="H37" i="25" s="1"/>
  <c r="F37" i="7"/>
  <c r="H37" i="7" s="1"/>
  <c r="F38" i="5"/>
  <c r="H38" i="5" s="1"/>
  <c r="K38" i="5" s="1"/>
  <c r="L38" i="5" s="1"/>
  <c r="F37" i="5"/>
  <c r="H37" i="5" s="1"/>
  <c r="K37" i="5" s="1"/>
  <c r="L37" i="5" s="1"/>
  <c r="V35" i="5" s="1"/>
  <c r="F37" i="6"/>
  <c r="H37" i="6" s="1"/>
  <c r="F38" i="4"/>
  <c r="H38" i="4" s="1"/>
  <c r="K38" i="4" s="1"/>
  <c r="F37" i="4"/>
  <c r="H37" i="4" s="1"/>
  <c r="K37" i="4" s="1"/>
  <c r="L37" i="4" s="1"/>
  <c r="F37" i="3"/>
  <c r="H37" i="3" s="1"/>
  <c r="F38" i="8"/>
  <c r="H38" i="8" s="1"/>
  <c r="K38" i="8" s="1"/>
  <c r="L38" i="8" s="1"/>
  <c r="F37" i="8"/>
  <c r="H37" i="8" s="1"/>
  <c r="F37" i="9"/>
  <c r="H37" i="9" s="1"/>
  <c r="F37" i="10"/>
  <c r="H37" i="10" s="1"/>
  <c r="K37" i="10" s="1"/>
  <c r="F37" i="15"/>
  <c r="H37" i="15" s="1"/>
  <c r="F37" i="19"/>
  <c r="H37" i="19" s="1"/>
  <c r="F37" i="18"/>
  <c r="H37" i="18" s="1"/>
  <c r="F38" i="20"/>
  <c r="H38" i="20" s="1"/>
  <c r="K38" i="20" s="1"/>
  <c r="L38" i="20" s="1"/>
  <c r="F37" i="20"/>
  <c r="H37" i="20" s="1"/>
  <c r="C53" i="92" l="1"/>
  <c r="E72" i="92"/>
  <c r="E66" i="92"/>
  <c r="G66" i="92" s="1"/>
  <c r="H66" i="92" s="1"/>
  <c r="E73" i="92"/>
  <c r="G73" i="92" s="1"/>
  <c r="H73" i="92" s="1"/>
  <c r="E74" i="92"/>
  <c r="G74" i="92" s="1"/>
  <c r="H74" i="92" s="1"/>
  <c r="E75" i="92"/>
  <c r="G75" i="92" s="1"/>
  <c r="H75" i="92" s="1"/>
  <c r="E76" i="92"/>
  <c r="G76" i="92" s="1"/>
  <c r="H76" i="92" s="1"/>
  <c r="E77" i="92"/>
  <c r="G77" i="92" s="1"/>
  <c r="H77" i="92" s="1"/>
  <c r="E78" i="92"/>
  <c r="G78" i="92" s="1"/>
  <c r="H78" i="92" s="1"/>
  <c r="E70" i="92"/>
  <c r="G70" i="92" s="1"/>
  <c r="H70" i="92" s="1"/>
  <c r="E69" i="92"/>
  <c r="G69" i="92" s="1"/>
  <c r="H69" i="92" s="1"/>
  <c r="E71" i="92"/>
  <c r="G71" i="92" s="1"/>
  <c r="H71" i="92" s="1"/>
  <c r="E79" i="92"/>
  <c r="G79" i="92" s="1"/>
  <c r="H79" i="92" s="1"/>
  <c r="E67" i="92"/>
  <c r="G67" i="92" s="1"/>
  <c r="H67" i="92" s="1"/>
  <c r="E68" i="92"/>
  <c r="G68" i="92" s="1"/>
  <c r="H68" i="92" s="1"/>
  <c r="C81" i="92"/>
  <c r="H81" i="92"/>
  <c r="G72" i="92"/>
  <c r="H72" i="92" s="1"/>
  <c r="C54" i="92"/>
  <c r="D53" i="92"/>
  <c r="K38" i="49"/>
  <c r="L38" i="49" s="1"/>
  <c r="V35" i="49" s="1"/>
  <c r="K37" i="66"/>
  <c r="U28" i="66"/>
  <c r="U30" i="66" s="1"/>
  <c r="K37" i="62"/>
  <c r="L37" i="62" s="1"/>
  <c r="V35" i="62" s="1"/>
  <c r="V28" i="62"/>
  <c r="V32" i="62" s="1"/>
  <c r="K37" i="59"/>
  <c r="L37" i="59" s="1"/>
  <c r="W35" i="59" s="1"/>
  <c r="K37" i="57"/>
  <c r="L37" i="57" s="1"/>
  <c r="W35" i="57" s="1"/>
  <c r="W28" i="57"/>
  <c r="W32" i="57" s="1"/>
  <c r="K37" i="56"/>
  <c r="L37" i="56" s="1"/>
  <c r="W35" i="56" s="1"/>
  <c r="W28" i="56"/>
  <c r="W32" i="56" s="1"/>
  <c r="H37" i="48"/>
  <c r="K37" i="48" s="1"/>
  <c r="L37" i="48" s="1"/>
  <c r="V35" i="48" s="1"/>
  <c r="V28" i="48"/>
  <c r="V32" i="48" s="1"/>
  <c r="K37" i="47"/>
  <c r="L37" i="47" s="1"/>
  <c r="W35" i="47" s="1"/>
  <c r="W28" i="47"/>
  <c r="W32" i="47" s="1"/>
  <c r="K37" i="46"/>
  <c r="L37" i="46" s="1"/>
  <c r="V35" i="46" s="1"/>
  <c r="AC30" i="46" s="1"/>
  <c r="V28" i="46"/>
  <c r="V32" i="46" s="1"/>
  <c r="K37" i="44"/>
  <c r="L37" i="44" s="1"/>
  <c r="V35" i="44" s="1"/>
  <c r="V28" i="44"/>
  <c r="V32" i="44" s="1"/>
  <c r="H37" i="43"/>
  <c r="X28" i="43"/>
  <c r="K37" i="33"/>
  <c r="L37" i="33" s="1"/>
  <c r="V35" i="33" s="1"/>
  <c r="V28" i="33"/>
  <c r="V32" i="33" s="1"/>
  <c r="K37" i="32"/>
  <c r="L37" i="32" s="1"/>
  <c r="V35" i="32" s="1"/>
  <c r="V28" i="32"/>
  <c r="V32" i="32" s="1"/>
  <c r="K37" i="26"/>
  <c r="L37" i="26" s="1"/>
  <c r="W35" i="26" s="1"/>
  <c r="W28" i="26"/>
  <c r="W32" i="26" s="1"/>
  <c r="K37" i="25"/>
  <c r="L37" i="25" s="1"/>
  <c r="W35" i="25" s="1"/>
  <c r="AD30" i="25" s="1"/>
  <c r="W28" i="25"/>
  <c r="W32" i="25" s="1"/>
  <c r="K37" i="23"/>
  <c r="L37" i="23" s="1"/>
  <c r="U33" i="23" s="1"/>
  <c r="U28" i="23"/>
  <c r="U30" i="23" s="1"/>
  <c r="K37" i="7"/>
  <c r="L37" i="7" s="1"/>
  <c r="V35" i="7" s="1"/>
  <c r="V28" i="7"/>
  <c r="V32" i="7" s="1"/>
  <c r="K37" i="60"/>
  <c r="L37" i="60" s="1"/>
  <c r="W35" i="60" s="1"/>
  <c r="AE30" i="60" s="1"/>
  <c r="W28" i="60"/>
  <c r="W32" i="60" s="1"/>
  <c r="K37" i="20"/>
  <c r="L37" i="20" s="1"/>
  <c r="V35" i="20" s="1"/>
  <c r="V28" i="20"/>
  <c r="V32" i="20" s="1"/>
  <c r="K37" i="18"/>
  <c r="L37" i="18" s="1"/>
  <c r="W35" i="18" s="1"/>
  <c r="W28" i="18"/>
  <c r="W32" i="18" s="1"/>
  <c r="K37" i="6"/>
  <c r="L37" i="6" s="1"/>
  <c r="W35" i="6" s="1"/>
  <c r="W28" i="6"/>
  <c r="W32" i="6" s="1"/>
  <c r="K37" i="19"/>
  <c r="L37" i="19" s="1"/>
  <c r="V35" i="19" s="1"/>
  <c r="V28" i="19"/>
  <c r="V32" i="19" s="1"/>
  <c r="K37" i="28"/>
  <c r="L37" i="28" s="1"/>
  <c r="W35" i="28" s="1" a="1"/>
  <c r="W28" i="28"/>
  <c r="W32" i="28" s="1"/>
  <c r="K37" i="9"/>
  <c r="L37" i="9" s="1"/>
  <c r="W35" i="9" s="1"/>
  <c r="AE30" i="9" s="1"/>
  <c r="W28" i="9"/>
  <c r="W32" i="9" s="1"/>
  <c r="K37" i="29"/>
  <c r="L37" i="29" s="1"/>
  <c r="W35" i="29" s="1"/>
  <c r="W28" i="29"/>
  <c r="W32" i="29" s="1"/>
  <c r="K37" i="8"/>
  <c r="L37" i="8" s="1"/>
  <c r="W35" i="8" s="1"/>
  <c r="AE30" i="8" s="1"/>
  <c r="W28" i="8"/>
  <c r="W32" i="8" s="1"/>
  <c r="K37" i="30"/>
  <c r="L37" i="30" s="1"/>
  <c r="W35" i="30" s="1"/>
  <c r="W28" i="30"/>
  <c r="W32" i="30" s="1"/>
  <c r="L37" i="10"/>
  <c r="U33" i="10" s="1"/>
  <c r="U28" i="10"/>
  <c r="U30" i="10" s="1"/>
  <c r="K37" i="15"/>
  <c r="L37" i="15" s="1"/>
  <c r="W35" i="15" s="1"/>
  <c r="W28" i="15"/>
  <c r="W32" i="15" s="1"/>
  <c r="K37" i="3"/>
  <c r="L37" i="3" s="1"/>
  <c r="W35" i="3" s="1"/>
  <c r="W28" i="3"/>
  <c r="W32" i="3" s="1"/>
  <c r="G68" i="89"/>
  <c r="H68" i="89" s="1"/>
  <c r="G65" i="89"/>
  <c r="H65" i="89" s="1"/>
  <c r="D54" i="89"/>
  <c r="C55" i="89"/>
  <c r="T30" i="33"/>
  <c r="S30" i="27"/>
  <c r="S30" i="16"/>
  <c r="U30" i="4"/>
  <c r="U28" i="4"/>
  <c r="B96" i="56"/>
  <c r="C96" i="56"/>
  <c r="D96" i="56"/>
  <c r="F96" i="56"/>
  <c r="B97" i="56"/>
  <c r="C97" i="56"/>
  <c r="D97" i="56"/>
  <c r="F97" i="56"/>
  <c r="B76" i="56"/>
  <c r="C76" i="56"/>
  <c r="D76" i="56"/>
  <c r="F76" i="56"/>
  <c r="B77" i="56"/>
  <c r="C77" i="56"/>
  <c r="D77" i="56"/>
  <c r="F77" i="56"/>
  <c r="D5" i="79"/>
  <c r="B125" i="51"/>
  <c r="C125" i="51"/>
  <c r="D125" i="51"/>
  <c r="B126" i="51"/>
  <c r="C126" i="51"/>
  <c r="D126" i="51"/>
  <c r="B127" i="51"/>
  <c r="C127" i="51"/>
  <c r="D127" i="51"/>
  <c r="B128" i="51"/>
  <c r="C128" i="51"/>
  <c r="D128" i="51"/>
  <c r="B129" i="51"/>
  <c r="C129" i="51"/>
  <c r="D129" i="51"/>
  <c r="B130" i="51"/>
  <c r="C130" i="51"/>
  <c r="D130" i="51"/>
  <c r="B131" i="51"/>
  <c r="C131" i="51"/>
  <c r="D131" i="51"/>
  <c r="B132" i="51"/>
  <c r="C132" i="51"/>
  <c r="D132" i="51"/>
  <c r="B133" i="51"/>
  <c r="C133" i="51"/>
  <c r="D133" i="51"/>
  <c r="B134" i="51"/>
  <c r="C134" i="51"/>
  <c r="D134" i="51"/>
  <c r="B135" i="51"/>
  <c r="C135" i="51"/>
  <c r="D135" i="51"/>
  <c r="B136" i="51"/>
  <c r="C136" i="51"/>
  <c r="D136" i="51"/>
  <c r="C124" i="51"/>
  <c r="F125" i="51"/>
  <c r="F126" i="51"/>
  <c r="F127" i="51"/>
  <c r="F128" i="51"/>
  <c r="F129" i="51"/>
  <c r="F130" i="51"/>
  <c r="F131" i="51"/>
  <c r="F132" i="51"/>
  <c r="F133" i="51"/>
  <c r="F134" i="51"/>
  <c r="F135" i="51"/>
  <c r="F136" i="51"/>
  <c r="F124" i="51"/>
  <c r="B124" i="51"/>
  <c r="F89" i="50"/>
  <c r="F90" i="50"/>
  <c r="F91" i="50"/>
  <c r="F92" i="50"/>
  <c r="F93" i="50"/>
  <c r="F94" i="50"/>
  <c r="F95" i="50"/>
  <c r="F96" i="50"/>
  <c r="F97" i="50"/>
  <c r="F98" i="50"/>
  <c r="F99" i="50"/>
  <c r="F100" i="50"/>
  <c r="F101" i="50"/>
  <c r="F102" i="50"/>
  <c r="F103" i="50"/>
  <c r="F104" i="50"/>
  <c r="F107" i="48"/>
  <c r="F108" i="48"/>
  <c r="F109" i="48"/>
  <c r="F110" i="48"/>
  <c r="F111" i="48"/>
  <c r="F112" i="48"/>
  <c r="F113" i="48"/>
  <c r="F114" i="48"/>
  <c r="F115" i="48"/>
  <c r="F116" i="48"/>
  <c r="F117" i="48"/>
  <c r="F118" i="48"/>
  <c r="F106" i="48"/>
  <c r="B107" i="48"/>
  <c r="C107" i="48"/>
  <c r="D107" i="48"/>
  <c r="B108" i="48"/>
  <c r="C108" i="48"/>
  <c r="D108" i="48"/>
  <c r="B109" i="48"/>
  <c r="C109" i="48"/>
  <c r="D109" i="48"/>
  <c r="B110" i="48"/>
  <c r="C110" i="48"/>
  <c r="D110" i="48"/>
  <c r="B111" i="48"/>
  <c r="C111" i="48"/>
  <c r="D111" i="48"/>
  <c r="B112" i="48"/>
  <c r="C112" i="48"/>
  <c r="D112" i="48"/>
  <c r="B113" i="48"/>
  <c r="C113" i="48"/>
  <c r="D113" i="48"/>
  <c r="B114" i="48"/>
  <c r="C114" i="48"/>
  <c r="D114" i="48"/>
  <c r="B115" i="48"/>
  <c r="C115" i="48"/>
  <c r="D115" i="48"/>
  <c r="B116" i="48"/>
  <c r="C116" i="48"/>
  <c r="D116" i="48"/>
  <c r="B117" i="48"/>
  <c r="C117" i="48"/>
  <c r="D117" i="48"/>
  <c r="B118" i="48"/>
  <c r="C118" i="48"/>
  <c r="D118" i="48"/>
  <c r="C106" i="48"/>
  <c r="B106" i="48"/>
  <c r="S31" i="42"/>
  <c r="T31" i="42" s="1"/>
  <c r="T30" i="42"/>
  <c r="T30" i="43"/>
  <c r="T30" i="48"/>
  <c r="U28" i="43"/>
  <c r="D94" i="33"/>
  <c r="D95" i="33"/>
  <c r="D96" i="33"/>
  <c r="D97" i="33"/>
  <c r="D98" i="33"/>
  <c r="D99" i="33"/>
  <c r="D100" i="33"/>
  <c r="D101" i="33"/>
  <c r="D102" i="33"/>
  <c r="D103" i="33"/>
  <c r="D104" i="33"/>
  <c r="D105" i="33"/>
  <c r="D106" i="33"/>
  <c r="D107" i="33"/>
  <c r="D108" i="33"/>
  <c r="D109" i="33"/>
  <c r="D110" i="33"/>
  <c r="D111" i="33"/>
  <c r="D112" i="33"/>
  <c r="V40" i="33"/>
  <c r="R12" i="32"/>
  <c r="R13" i="32" s="1"/>
  <c r="F101" i="32"/>
  <c r="F92" i="31"/>
  <c r="F93" i="31"/>
  <c r="F94" i="31"/>
  <c r="F95" i="31"/>
  <c r="F96" i="31"/>
  <c r="F97" i="31"/>
  <c r="F98" i="31"/>
  <c r="F99" i="31"/>
  <c r="F100" i="31"/>
  <c r="F101" i="31"/>
  <c r="F102" i="31"/>
  <c r="F103" i="31"/>
  <c r="F104" i="31"/>
  <c r="F105" i="31"/>
  <c r="F106" i="31"/>
  <c r="F107" i="31"/>
  <c r="F108" i="31"/>
  <c r="F109" i="31"/>
  <c r="F91" i="31"/>
  <c r="B92" i="31"/>
  <c r="C92" i="31"/>
  <c r="D92" i="31"/>
  <c r="B93" i="31"/>
  <c r="C93" i="31"/>
  <c r="D93" i="31"/>
  <c r="B94" i="31"/>
  <c r="C94" i="31"/>
  <c r="D94" i="31"/>
  <c r="B95" i="31"/>
  <c r="C95" i="31"/>
  <c r="D95" i="31"/>
  <c r="B96" i="31"/>
  <c r="C96" i="31"/>
  <c r="D96" i="31"/>
  <c r="B97" i="31"/>
  <c r="C97" i="31"/>
  <c r="D97" i="31"/>
  <c r="B98" i="31"/>
  <c r="C98" i="31"/>
  <c r="D98" i="31"/>
  <c r="B99" i="31"/>
  <c r="C99" i="31"/>
  <c r="D99" i="31"/>
  <c r="B100" i="31"/>
  <c r="C100" i="31"/>
  <c r="D100" i="31"/>
  <c r="B101" i="31"/>
  <c r="C101" i="31"/>
  <c r="D101" i="31"/>
  <c r="B102" i="31"/>
  <c r="C102" i="31"/>
  <c r="D102" i="31"/>
  <c r="B103" i="31"/>
  <c r="C103" i="31"/>
  <c r="D103" i="31"/>
  <c r="B104" i="31"/>
  <c r="C104" i="31"/>
  <c r="D104" i="31"/>
  <c r="B105" i="31"/>
  <c r="C105" i="31"/>
  <c r="D105" i="31"/>
  <c r="B106" i="31"/>
  <c r="C106" i="31"/>
  <c r="D106" i="31"/>
  <c r="B107" i="31"/>
  <c r="C107" i="31"/>
  <c r="D107" i="31"/>
  <c r="B108" i="31"/>
  <c r="C108" i="31"/>
  <c r="D108" i="31"/>
  <c r="B109" i="31"/>
  <c r="C109" i="31"/>
  <c r="D109" i="31"/>
  <c r="C91" i="31"/>
  <c r="D91" i="31"/>
  <c r="B91" i="31"/>
  <c r="C51" i="26"/>
  <c r="F148" i="23"/>
  <c r="F149" i="23"/>
  <c r="F150" i="23"/>
  <c r="F151" i="23"/>
  <c r="F152" i="23"/>
  <c r="F153" i="23"/>
  <c r="F154" i="23"/>
  <c r="F155" i="23"/>
  <c r="F156" i="23"/>
  <c r="F157" i="23"/>
  <c r="F158" i="23"/>
  <c r="F159" i="23"/>
  <c r="F160" i="23"/>
  <c r="F147" i="23"/>
  <c r="B160" i="23"/>
  <c r="C160" i="23"/>
  <c r="D160" i="23"/>
  <c r="B148" i="23"/>
  <c r="C148" i="23"/>
  <c r="D148" i="23"/>
  <c r="B149" i="23"/>
  <c r="C149" i="23"/>
  <c r="D149" i="23"/>
  <c r="B150" i="23"/>
  <c r="C150" i="23"/>
  <c r="D150" i="23"/>
  <c r="B151" i="23"/>
  <c r="C151" i="23"/>
  <c r="D151" i="23"/>
  <c r="B152" i="23"/>
  <c r="C152" i="23"/>
  <c r="D152" i="23"/>
  <c r="B153" i="23"/>
  <c r="C153" i="23"/>
  <c r="D153" i="23"/>
  <c r="B154" i="23"/>
  <c r="C154" i="23"/>
  <c r="D154" i="23"/>
  <c r="B155" i="23"/>
  <c r="C155" i="23"/>
  <c r="D155" i="23"/>
  <c r="B156" i="23"/>
  <c r="C156" i="23"/>
  <c r="D156" i="23"/>
  <c r="B157" i="23"/>
  <c r="C157" i="23"/>
  <c r="D157" i="23"/>
  <c r="B158" i="23"/>
  <c r="C158" i="23"/>
  <c r="D158" i="23"/>
  <c r="B159" i="23"/>
  <c r="C159" i="23"/>
  <c r="D159" i="23"/>
  <c r="C147" i="23"/>
  <c r="B147" i="23"/>
  <c r="C51" i="69"/>
  <c r="B128" i="23"/>
  <c r="C128" i="23"/>
  <c r="D128" i="23"/>
  <c r="B129" i="23"/>
  <c r="C129" i="23"/>
  <c r="D129" i="23"/>
  <c r="B130" i="23"/>
  <c r="C130" i="23"/>
  <c r="D130" i="23"/>
  <c r="B131" i="23"/>
  <c r="C131" i="23"/>
  <c r="D131" i="23"/>
  <c r="B132" i="23"/>
  <c r="C132" i="23"/>
  <c r="D132" i="23"/>
  <c r="B133" i="23"/>
  <c r="C133" i="23"/>
  <c r="D133" i="23"/>
  <c r="B134" i="23"/>
  <c r="C134" i="23"/>
  <c r="D134" i="23"/>
  <c r="B135" i="23"/>
  <c r="C135" i="23"/>
  <c r="D135" i="23"/>
  <c r="B136" i="23"/>
  <c r="C136" i="23"/>
  <c r="D136" i="23"/>
  <c r="B137" i="23"/>
  <c r="C137" i="23"/>
  <c r="D137" i="23"/>
  <c r="B138" i="23"/>
  <c r="C138" i="23"/>
  <c r="D138" i="23"/>
  <c r="B139" i="23"/>
  <c r="C139" i="23"/>
  <c r="D139" i="23"/>
  <c r="B140" i="23"/>
  <c r="C140" i="23"/>
  <c r="D140" i="23"/>
  <c r="C127" i="23"/>
  <c r="F128" i="23"/>
  <c r="F129" i="23"/>
  <c r="F130" i="23"/>
  <c r="F131" i="23"/>
  <c r="F132" i="23"/>
  <c r="F133" i="23"/>
  <c r="F134" i="23"/>
  <c r="F135" i="23"/>
  <c r="F136" i="23"/>
  <c r="F137" i="23"/>
  <c r="F138" i="23"/>
  <c r="F139" i="23"/>
  <c r="F140" i="23"/>
  <c r="F127" i="23"/>
  <c r="B127" i="23"/>
  <c r="B65" i="17"/>
  <c r="F68" i="83"/>
  <c r="D68" i="83"/>
  <c r="C68" i="83"/>
  <c r="B68" i="83"/>
  <c r="F67" i="83"/>
  <c r="D67" i="83"/>
  <c r="C67" i="83"/>
  <c r="B67" i="83"/>
  <c r="F66" i="83"/>
  <c r="D66" i="83"/>
  <c r="C66" i="83"/>
  <c r="B66" i="83"/>
  <c r="F65" i="83"/>
  <c r="D65" i="83"/>
  <c r="C65" i="83"/>
  <c r="B65" i="83"/>
  <c r="B79" i="6"/>
  <c r="C79" i="6"/>
  <c r="D79" i="6"/>
  <c r="B80" i="6"/>
  <c r="C80" i="6"/>
  <c r="D80" i="6"/>
  <c r="B81" i="6"/>
  <c r="C81" i="6"/>
  <c r="D81" i="6"/>
  <c r="B82" i="6"/>
  <c r="C82" i="6"/>
  <c r="D82" i="6"/>
  <c r="B83" i="6"/>
  <c r="C83" i="6"/>
  <c r="D83" i="6"/>
  <c r="B84" i="6"/>
  <c r="C84" i="6"/>
  <c r="D84" i="6"/>
  <c r="F79" i="6"/>
  <c r="F84" i="6"/>
  <c r="F78" i="6"/>
  <c r="C78" i="6"/>
  <c r="B78" i="6"/>
  <c r="B90" i="59"/>
  <c r="C90" i="59"/>
  <c r="D90" i="59"/>
  <c r="B91" i="59"/>
  <c r="C91" i="59"/>
  <c r="D91" i="59"/>
  <c r="B92" i="59"/>
  <c r="C92" i="59"/>
  <c r="D92" i="59"/>
  <c r="B93" i="59"/>
  <c r="C93" i="59"/>
  <c r="D93" i="59"/>
  <c r="B94" i="59"/>
  <c r="C94" i="59"/>
  <c r="D94" i="59"/>
  <c r="B95" i="59"/>
  <c r="C95" i="59"/>
  <c r="D95" i="59"/>
  <c r="B96" i="59"/>
  <c r="C96" i="59"/>
  <c r="D96" i="59"/>
  <c r="B97" i="59"/>
  <c r="C97" i="59"/>
  <c r="D97" i="59"/>
  <c r="B98" i="59"/>
  <c r="C98" i="59"/>
  <c r="D98" i="59"/>
  <c r="B99" i="59"/>
  <c r="C99" i="59"/>
  <c r="D99" i="59"/>
  <c r="B100" i="59"/>
  <c r="C100" i="59"/>
  <c r="D100" i="59"/>
  <c r="B101" i="59"/>
  <c r="C101" i="59"/>
  <c r="D101" i="59"/>
  <c r="B102" i="59"/>
  <c r="C102" i="59"/>
  <c r="D102" i="59"/>
  <c r="B103" i="59"/>
  <c r="C103" i="59"/>
  <c r="D103" i="59"/>
  <c r="C89" i="59"/>
  <c r="F90" i="59"/>
  <c r="F91" i="59"/>
  <c r="F92" i="59"/>
  <c r="F93" i="59"/>
  <c r="F94" i="59"/>
  <c r="F95" i="59"/>
  <c r="F96" i="59"/>
  <c r="F97" i="59"/>
  <c r="F98" i="59"/>
  <c r="F99" i="59"/>
  <c r="F100" i="59"/>
  <c r="F101" i="59"/>
  <c r="F102" i="59"/>
  <c r="F103" i="59"/>
  <c r="F89" i="59"/>
  <c r="B89" i="59"/>
  <c r="E1" i="86"/>
  <c r="O144" i="1"/>
  <c r="B104" i="50"/>
  <c r="C104" i="50"/>
  <c r="D104" i="50"/>
  <c r="B89" i="50"/>
  <c r="C89" i="50"/>
  <c r="D89" i="50"/>
  <c r="B90" i="50"/>
  <c r="C90" i="50"/>
  <c r="D90" i="50"/>
  <c r="B91" i="50"/>
  <c r="C91" i="50"/>
  <c r="D91" i="50"/>
  <c r="B92" i="50"/>
  <c r="C92" i="50"/>
  <c r="D92" i="50"/>
  <c r="B93" i="50"/>
  <c r="C93" i="50"/>
  <c r="D93" i="50"/>
  <c r="B94" i="50"/>
  <c r="C94" i="50"/>
  <c r="D94" i="50"/>
  <c r="B95" i="50"/>
  <c r="C95" i="50"/>
  <c r="D95" i="50"/>
  <c r="B96" i="50"/>
  <c r="C96" i="50"/>
  <c r="D96" i="50"/>
  <c r="B97" i="50"/>
  <c r="C97" i="50"/>
  <c r="D97" i="50"/>
  <c r="B98" i="50"/>
  <c r="C98" i="50"/>
  <c r="D98" i="50"/>
  <c r="B99" i="50"/>
  <c r="C99" i="50"/>
  <c r="D99" i="50"/>
  <c r="B100" i="50"/>
  <c r="C100" i="50"/>
  <c r="D100" i="50"/>
  <c r="B101" i="50"/>
  <c r="C101" i="50"/>
  <c r="D101" i="50"/>
  <c r="B102" i="50"/>
  <c r="C102" i="50"/>
  <c r="D102" i="50"/>
  <c r="B103" i="50"/>
  <c r="C103" i="50"/>
  <c r="D103" i="50"/>
  <c r="C88" i="50"/>
  <c r="F88" i="50"/>
  <c r="B88" i="50"/>
  <c r="B86" i="49"/>
  <c r="C86" i="49"/>
  <c r="D86" i="49"/>
  <c r="B87" i="49"/>
  <c r="C87" i="49"/>
  <c r="D87" i="49"/>
  <c r="B88" i="49"/>
  <c r="C88" i="49"/>
  <c r="D88" i="49"/>
  <c r="B89" i="49"/>
  <c r="C89" i="49"/>
  <c r="D89" i="49"/>
  <c r="B90" i="49"/>
  <c r="C90" i="49"/>
  <c r="D90" i="49"/>
  <c r="B91" i="49"/>
  <c r="C91" i="49"/>
  <c r="D91" i="49"/>
  <c r="B92" i="49"/>
  <c r="C92" i="49"/>
  <c r="D92" i="49"/>
  <c r="B93" i="49"/>
  <c r="C93" i="49"/>
  <c r="D93" i="49"/>
  <c r="B94" i="49"/>
  <c r="C94" i="49"/>
  <c r="D94" i="49"/>
  <c r="B95" i="49"/>
  <c r="C95" i="49"/>
  <c r="D95" i="49"/>
  <c r="B96" i="49"/>
  <c r="C96" i="49"/>
  <c r="D96" i="49"/>
  <c r="B97" i="49"/>
  <c r="C97" i="49"/>
  <c r="D97" i="49"/>
  <c r="C85" i="49"/>
  <c r="F86" i="49"/>
  <c r="F87" i="49"/>
  <c r="F88" i="49"/>
  <c r="F89" i="49"/>
  <c r="F90" i="49"/>
  <c r="F91" i="49"/>
  <c r="F92" i="49"/>
  <c r="F93" i="49"/>
  <c r="F94" i="49"/>
  <c r="F95" i="49"/>
  <c r="F96" i="49"/>
  <c r="F97" i="49"/>
  <c r="F85" i="49"/>
  <c r="B85" i="49"/>
  <c r="F113" i="45"/>
  <c r="F114" i="45"/>
  <c r="F115" i="45"/>
  <c r="F116" i="45"/>
  <c r="F117" i="45"/>
  <c r="F118" i="45"/>
  <c r="F119" i="45"/>
  <c r="F120" i="45"/>
  <c r="F121" i="45"/>
  <c r="F122" i="45"/>
  <c r="F123" i="45"/>
  <c r="F124" i="45"/>
  <c r="F125" i="45"/>
  <c r="F126" i="45"/>
  <c r="F127" i="45"/>
  <c r="F112" i="45"/>
  <c r="B113" i="45"/>
  <c r="C113" i="45"/>
  <c r="D113" i="45"/>
  <c r="B114" i="45"/>
  <c r="C114" i="45"/>
  <c r="D114" i="45"/>
  <c r="B115" i="45"/>
  <c r="C115" i="45"/>
  <c r="D115" i="45"/>
  <c r="B116" i="45"/>
  <c r="C116" i="45"/>
  <c r="D116" i="45"/>
  <c r="B117" i="45"/>
  <c r="C117" i="45"/>
  <c r="D117" i="45"/>
  <c r="B118" i="45"/>
  <c r="C118" i="45"/>
  <c r="D118" i="45"/>
  <c r="B119" i="45"/>
  <c r="C119" i="45"/>
  <c r="D119" i="45"/>
  <c r="B120" i="45"/>
  <c r="C120" i="45"/>
  <c r="D120" i="45"/>
  <c r="B121" i="45"/>
  <c r="C121" i="45"/>
  <c r="D121" i="45"/>
  <c r="B122" i="45"/>
  <c r="C122" i="45"/>
  <c r="D122" i="45"/>
  <c r="B123" i="45"/>
  <c r="C123" i="45"/>
  <c r="D123" i="45"/>
  <c r="B124" i="45"/>
  <c r="C124" i="45"/>
  <c r="D124" i="45"/>
  <c r="B125" i="45"/>
  <c r="C125" i="45"/>
  <c r="D125" i="45"/>
  <c r="B126" i="45"/>
  <c r="C126" i="45"/>
  <c r="D126" i="45"/>
  <c r="B127" i="45"/>
  <c r="C127" i="45"/>
  <c r="D127" i="45"/>
  <c r="C112" i="45"/>
  <c r="B112" i="45"/>
  <c r="S30" i="45"/>
  <c r="B90" i="45"/>
  <c r="C90" i="45"/>
  <c r="F90" i="45"/>
  <c r="S30" i="50"/>
  <c r="T30" i="50"/>
  <c r="F89" i="27"/>
  <c r="F90" i="27"/>
  <c r="F91" i="27"/>
  <c r="F92" i="27"/>
  <c r="F93" i="27"/>
  <c r="F94" i="27"/>
  <c r="F95" i="27"/>
  <c r="F96" i="27"/>
  <c r="F97" i="27"/>
  <c r="F98" i="27"/>
  <c r="F99" i="27"/>
  <c r="F100" i="27"/>
  <c r="F101" i="27"/>
  <c r="F102" i="27"/>
  <c r="B89" i="27"/>
  <c r="C89" i="27"/>
  <c r="D89" i="27"/>
  <c r="B90" i="27"/>
  <c r="C90" i="27"/>
  <c r="D90" i="27"/>
  <c r="B91" i="27"/>
  <c r="C91" i="27"/>
  <c r="D91" i="27"/>
  <c r="B92" i="27"/>
  <c r="C92" i="27"/>
  <c r="D92" i="27"/>
  <c r="B93" i="27"/>
  <c r="C93" i="27"/>
  <c r="D93" i="27"/>
  <c r="B94" i="27"/>
  <c r="C94" i="27"/>
  <c r="D94" i="27"/>
  <c r="B95" i="27"/>
  <c r="C95" i="27"/>
  <c r="D95" i="27"/>
  <c r="B96" i="27"/>
  <c r="C96" i="27"/>
  <c r="D96" i="27"/>
  <c r="B97" i="27"/>
  <c r="C97" i="27"/>
  <c r="D97" i="27"/>
  <c r="B98" i="27"/>
  <c r="C98" i="27"/>
  <c r="D98" i="27"/>
  <c r="B99" i="27"/>
  <c r="C99" i="27"/>
  <c r="D99" i="27"/>
  <c r="B100" i="27"/>
  <c r="C100" i="27"/>
  <c r="D100" i="27"/>
  <c r="B101" i="27"/>
  <c r="C101" i="27"/>
  <c r="D101" i="27"/>
  <c r="B102" i="27"/>
  <c r="C102" i="27"/>
  <c r="D102" i="27"/>
  <c r="C88" i="27"/>
  <c r="F88" i="27"/>
  <c r="B88" i="27"/>
  <c r="B88" i="32"/>
  <c r="C88" i="32"/>
  <c r="D88" i="32"/>
  <c r="B89" i="32"/>
  <c r="C89" i="32"/>
  <c r="D89" i="32"/>
  <c r="B90" i="32"/>
  <c r="C90" i="32"/>
  <c r="D90" i="32"/>
  <c r="B91" i="32"/>
  <c r="C91" i="32"/>
  <c r="D91" i="32"/>
  <c r="B92" i="32"/>
  <c r="C92" i="32"/>
  <c r="D92" i="32"/>
  <c r="B93" i="32"/>
  <c r="C93" i="32"/>
  <c r="D93" i="32"/>
  <c r="B94" i="32"/>
  <c r="C94" i="32"/>
  <c r="D94" i="32"/>
  <c r="B95" i="32"/>
  <c r="C95" i="32"/>
  <c r="D95" i="32"/>
  <c r="B96" i="32"/>
  <c r="C96" i="32"/>
  <c r="D96" i="32"/>
  <c r="B97" i="32"/>
  <c r="C97" i="32"/>
  <c r="D97" i="32"/>
  <c r="B98" i="32"/>
  <c r="C98" i="32"/>
  <c r="D98" i="32"/>
  <c r="B99" i="32"/>
  <c r="C99" i="32"/>
  <c r="D99" i="32"/>
  <c r="B100" i="32"/>
  <c r="C100" i="32"/>
  <c r="D100" i="32"/>
  <c r="B101" i="32"/>
  <c r="C101" i="32"/>
  <c r="D101" i="32"/>
  <c r="C87" i="32"/>
  <c r="F88" i="32"/>
  <c r="F89" i="32"/>
  <c r="F90" i="32"/>
  <c r="F91" i="32"/>
  <c r="F92" i="32"/>
  <c r="F93" i="32"/>
  <c r="F94" i="32"/>
  <c r="F95" i="32"/>
  <c r="F96" i="32"/>
  <c r="F97" i="32"/>
  <c r="F98" i="32"/>
  <c r="F99" i="32"/>
  <c r="F100" i="32"/>
  <c r="F87" i="32"/>
  <c r="B87" i="32"/>
  <c r="D8" i="25"/>
  <c r="D7" i="25"/>
  <c r="D6" i="25"/>
  <c r="O62" i="2"/>
  <c r="K62" i="2"/>
  <c r="N62" i="2" s="1"/>
  <c r="F68" i="82"/>
  <c r="D68" i="82"/>
  <c r="C68" i="82"/>
  <c r="B68" i="82"/>
  <c r="F67" i="82"/>
  <c r="D67" i="82"/>
  <c r="C67" i="82"/>
  <c r="B67" i="82"/>
  <c r="F66" i="82"/>
  <c r="D66" i="82"/>
  <c r="C66" i="82"/>
  <c r="B66" i="82"/>
  <c r="F65" i="82"/>
  <c r="D65" i="82"/>
  <c r="C65" i="82"/>
  <c r="B65" i="82"/>
  <c r="T28" i="50"/>
  <c r="S28" i="50"/>
  <c r="D51" i="50"/>
  <c r="R44" i="50" s="1"/>
  <c r="C51" i="50"/>
  <c r="V40" i="50"/>
  <c r="R44" i="27"/>
  <c r="D51" i="27"/>
  <c r="C51" i="27"/>
  <c r="V40" i="27"/>
  <c r="V40" i="16"/>
  <c r="D51" i="16"/>
  <c r="C51" i="16"/>
  <c r="D54" i="92" l="1"/>
  <c r="C55" i="92"/>
  <c r="G1" i="86"/>
  <c r="D52" i="86"/>
  <c r="B82" i="86" s="1"/>
  <c r="X32" i="43"/>
  <c r="K37" i="43"/>
  <c r="L37" i="43" s="1"/>
  <c r="X35" i="43" s="1"/>
  <c r="D7" i="79"/>
  <c r="D6" i="79"/>
  <c r="D8" i="79"/>
  <c r="D9" i="79"/>
  <c r="S32" i="50"/>
  <c r="T32" i="50"/>
  <c r="S28" i="33"/>
  <c r="T28" i="33"/>
  <c r="T32" i="33" s="1"/>
  <c r="D55" i="89"/>
  <c r="D7" i="52"/>
  <c r="D66" i="52" s="1"/>
  <c r="T30" i="3"/>
  <c r="T32" i="3" s="1"/>
  <c r="E1" i="3" s="1"/>
  <c r="G1" i="3" s="1"/>
  <c r="I1" i="3" s="1"/>
  <c r="S30" i="32"/>
  <c r="T30" i="32"/>
  <c r="S28" i="16"/>
  <c r="S32" i="16" s="1"/>
  <c r="J52" i="16" s="1"/>
  <c r="T29" i="42"/>
  <c r="S28" i="32"/>
  <c r="T28" i="32"/>
  <c r="T30" i="27"/>
  <c r="S28" i="27"/>
  <c r="S32" i="27" s="1"/>
  <c r="T28" i="27"/>
  <c r="R44" i="16"/>
  <c r="E1" i="83"/>
  <c r="V44" i="50"/>
  <c r="U44" i="50"/>
  <c r="W44" i="50" s="1"/>
  <c r="J51" i="50" s="1"/>
  <c r="I51" i="50" s="1"/>
  <c r="D5" i="50" s="1"/>
  <c r="V44" i="27"/>
  <c r="U44" i="27"/>
  <c r="W44" i="27" s="1"/>
  <c r="J51" i="27" s="1"/>
  <c r="I51" i="27" s="1"/>
  <c r="D5" i="27" s="1"/>
  <c r="D88" i="27" s="1"/>
  <c r="B110" i="7"/>
  <c r="C110" i="7"/>
  <c r="D110" i="7"/>
  <c r="F110" i="7"/>
  <c r="B111" i="7"/>
  <c r="C111" i="7"/>
  <c r="D111" i="7"/>
  <c r="F111" i="7"/>
  <c r="B112" i="7"/>
  <c r="C112" i="7"/>
  <c r="D112" i="7"/>
  <c r="F112" i="7"/>
  <c r="B113" i="7"/>
  <c r="C113" i="7"/>
  <c r="D113" i="7"/>
  <c r="F113" i="7"/>
  <c r="B114" i="7"/>
  <c r="C114" i="7"/>
  <c r="D114" i="7"/>
  <c r="F114" i="7"/>
  <c r="B115" i="7"/>
  <c r="C115" i="7"/>
  <c r="D115" i="7"/>
  <c r="F115" i="7"/>
  <c r="B116" i="7"/>
  <c r="C116" i="7"/>
  <c r="D116" i="7"/>
  <c r="F116" i="7"/>
  <c r="B117" i="7"/>
  <c r="C117" i="7"/>
  <c r="D117" i="7"/>
  <c r="F117" i="7"/>
  <c r="B118" i="7"/>
  <c r="C118" i="7"/>
  <c r="D118" i="7"/>
  <c r="F118" i="7"/>
  <c r="B119" i="7"/>
  <c r="C119" i="7"/>
  <c r="D119" i="7"/>
  <c r="F119" i="7"/>
  <c r="B120" i="7"/>
  <c r="C120" i="7"/>
  <c r="D120" i="7"/>
  <c r="F120" i="7"/>
  <c r="B121" i="7"/>
  <c r="C121" i="7"/>
  <c r="D121" i="7"/>
  <c r="F121" i="7"/>
  <c r="B122" i="7"/>
  <c r="C122" i="7"/>
  <c r="D122" i="7"/>
  <c r="F122" i="7"/>
  <c r="B123" i="7"/>
  <c r="C123" i="7"/>
  <c r="D123" i="7"/>
  <c r="F123" i="7"/>
  <c r="F109" i="7"/>
  <c r="C109" i="7"/>
  <c r="B109" i="7"/>
  <c r="E8" i="86" l="1"/>
  <c r="G8" i="86" s="1"/>
  <c r="H8" i="86" s="1"/>
  <c r="K8" i="86" s="1"/>
  <c r="L8" i="86" s="1"/>
  <c r="E78" i="86"/>
  <c r="G78" i="86" s="1"/>
  <c r="H78" i="86" s="1"/>
  <c r="E75" i="86"/>
  <c r="G75" i="86" s="1"/>
  <c r="H75" i="86" s="1"/>
  <c r="E68" i="86"/>
  <c r="G68" i="86" s="1"/>
  <c r="H68" i="86" s="1"/>
  <c r="E77" i="86"/>
  <c r="G77" i="86" s="1"/>
  <c r="H77" i="86" s="1"/>
  <c r="E74" i="86"/>
  <c r="G74" i="86" s="1"/>
  <c r="H74" i="86" s="1"/>
  <c r="E76" i="86"/>
  <c r="G76" i="86" s="1"/>
  <c r="H76" i="86" s="1"/>
  <c r="E73" i="86"/>
  <c r="G73" i="86" s="1"/>
  <c r="H73" i="86" s="1"/>
  <c r="E72" i="86"/>
  <c r="G72" i="86" s="1"/>
  <c r="H72" i="86" s="1"/>
  <c r="E79" i="86"/>
  <c r="G79" i="86" s="1"/>
  <c r="H79" i="86" s="1"/>
  <c r="E71" i="86"/>
  <c r="G71" i="86" s="1"/>
  <c r="H71" i="86" s="1"/>
  <c r="E70" i="86"/>
  <c r="G70" i="86" s="1"/>
  <c r="H70" i="86" s="1"/>
  <c r="E69" i="86"/>
  <c r="G69" i="86" s="1"/>
  <c r="H69" i="86" s="1"/>
  <c r="E67" i="86"/>
  <c r="G67" i="86" s="1"/>
  <c r="H67" i="86" s="1"/>
  <c r="E65" i="86"/>
  <c r="G65" i="86" s="1"/>
  <c r="H65" i="86" s="1"/>
  <c r="E66" i="86"/>
  <c r="G66" i="86" s="1"/>
  <c r="H66" i="86" s="1"/>
  <c r="D55" i="92"/>
  <c r="C52" i="86"/>
  <c r="C53" i="86" s="1"/>
  <c r="E19" i="86"/>
  <c r="G19" i="86" s="1"/>
  <c r="H19" i="86" s="1"/>
  <c r="K19" i="86" s="1"/>
  <c r="L19" i="86" s="1"/>
  <c r="E17" i="86"/>
  <c r="G17" i="86" s="1"/>
  <c r="H17" i="86" s="1"/>
  <c r="K17" i="86" s="1"/>
  <c r="L17" i="86" s="1"/>
  <c r="E15" i="86"/>
  <c r="G15" i="86" s="1"/>
  <c r="H15" i="86" s="1"/>
  <c r="K15" i="86" s="1"/>
  <c r="L15" i="86" s="1"/>
  <c r="E14" i="86"/>
  <c r="G14" i="86" s="1"/>
  <c r="H14" i="86" s="1"/>
  <c r="K14" i="86" s="1"/>
  <c r="L14" i="86" s="1"/>
  <c r="E13" i="86"/>
  <c r="G13" i="86" s="1"/>
  <c r="H13" i="86" s="1"/>
  <c r="K13" i="86" s="1"/>
  <c r="L13" i="86" s="1"/>
  <c r="E12" i="86"/>
  <c r="G12" i="86" s="1"/>
  <c r="H12" i="86" s="1"/>
  <c r="K12" i="86" s="1"/>
  <c r="L12" i="86" s="1"/>
  <c r="E11" i="86"/>
  <c r="G11" i="86" s="1"/>
  <c r="H11" i="86" s="1"/>
  <c r="K11" i="86" s="1"/>
  <c r="L11" i="86" s="1"/>
  <c r="E10" i="86"/>
  <c r="G10" i="86" s="1"/>
  <c r="H10" i="86" s="1"/>
  <c r="K10" i="86" s="1"/>
  <c r="L10" i="86" s="1"/>
  <c r="E9" i="86"/>
  <c r="G9" i="86" s="1"/>
  <c r="H9" i="86" s="1"/>
  <c r="K9" i="86" s="1"/>
  <c r="L9" i="86" s="1"/>
  <c r="E7" i="86"/>
  <c r="G7" i="86" s="1"/>
  <c r="H7" i="86" s="1"/>
  <c r="K7" i="86" s="1"/>
  <c r="L7" i="86" s="1"/>
  <c r="E6" i="86"/>
  <c r="G6" i="86" s="1"/>
  <c r="H6" i="86" s="1"/>
  <c r="K6" i="86" s="1"/>
  <c r="L6" i="86" s="1"/>
  <c r="E5" i="86"/>
  <c r="G5" i="86" s="1"/>
  <c r="H5" i="86" s="1"/>
  <c r="K5" i="86" s="1"/>
  <c r="L5" i="86" s="1"/>
  <c r="I1" i="86"/>
  <c r="E18" i="86"/>
  <c r="G18" i="86" s="1"/>
  <c r="H18" i="86" s="1"/>
  <c r="K18" i="86" s="1"/>
  <c r="L18" i="86" s="1"/>
  <c r="E16" i="86"/>
  <c r="G16" i="86" s="1"/>
  <c r="H16" i="86" s="1"/>
  <c r="K16" i="86" s="1"/>
  <c r="L16" i="86" s="1"/>
  <c r="E1" i="85"/>
  <c r="J52" i="56"/>
  <c r="T32" i="32"/>
  <c r="T32" i="27"/>
  <c r="D88" i="50"/>
  <c r="D112" i="50"/>
  <c r="S32" i="32"/>
  <c r="J52" i="32" s="1"/>
  <c r="U44" i="16"/>
  <c r="W44" i="16" s="1"/>
  <c r="J51" i="16" s="1"/>
  <c r="I51" i="16" s="1"/>
  <c r="D5" i="16" s="1"/>
  <c r="V44" i="16"/>
  <c r="E1" i="82"/>
  <c r="D52" i="83"/>
  <c r="B70" i="83" s="1"/>
  <c r="G1" i="83"/>
  <c r="C51" i="45"/>
  <c r="D51" i="45"/>
  <c r="R44" i="45" s="1"/>
  <c r="T28" i="45"/>
  <c r="T32" i="45" s="1"/>
  <c r="S28" i="45"/>
  <c r="S32" i="45" s="1"/>
  <c r="V40" i="45"/>
  <c r="O64" i="2"/>
  <c r="K65" i="2"/>
  <c r="N65" i="2" s="1"/>
  <c r="K53" i="2"/>
  <c r="N53" i="2" s="1"/>
  <c r="K59" i="2"/>
  <c r="N59" i="2" s="1"/>
  <c r="K60" i="2"/>
  <c r="N60" i="2" s="1"/>
  <c r="K57" i="2"/>
  <c r="N57" i="2" s="1"/>
  <c r="K58" i="2"/>
  <c r="N58" i="2" s="1"/>
  <c r="L102" i="1"/>
  <c r="O102" i="1" s="1"/>
  <c r="O117" i="1"/>
  <c r="K147" i="1"/>
  <c r="B104" i="58"/>
  <c r="C104" i="58"/>
  <c r="D104" i="58"/>
  <c r="F104" i="58"/>
  <c r="B81" i="58"/>
  <c r="C81" i="58"/>
  <c r="D81" i="58"/>
  <c r="F81" i="58"/>
  <c r="B78" i="61"/>
  <c r="C78" i="61"/>
  <c r="D78" i="61"/>
  <c r="F78" i="61"/>
  <c r="O54" i="2"/>
  <c r="B78" i="50"/>
  <c r="C78" i="50"/>
  <c r="D78" i="50"/>
  <c r="F78" i="50"/>
  <c r="B79" i="50"/>
  <c r="C79" i="50"/>
  <c r="D79" i="50"/>
  <c r="F79" i="50"/>
  <c r="B80" i="50"/>
  <c r="C80" i="50"/>
  <c r="D80" i="50"/>
  <c r="F80" i="50"/>
  <c r="B81" i="50"/>
  <c r="C81" i="50"/>
  <c r="D81" i="50"/>
  <c r="F81" i="50"/>
  <c r="W1" i="79"/>
  <c r="O140" i="1"/>
  <c r="O124" i="1"/>
  <c r="O142" i="1"/>
  <c r="B65" i="45"/>
  <c r="C65" i="45"/>
  <c r="F65" i="45"/>
  <c r="B65" i="50"/>
  <c r="C65" i="50"/>
  <c r="D65" i="50"/>
  <c r="F65" i="50"/>
  <c r="B80" i="32"/>
  <c r="C80" i="32"/>
  <c r="D80" i="32"/>
  <c r="F80" i="32"/>
  <c r="O126" i="1"/>
  <c r="K126" i="1"/>
  <c r="N126" i="1" s="1"/>
  <c r="S28" i="40"/>
  <c r="S30" i="40" s="1"/>
  <c r="D79" i="21"/>
  <c r="F79" i="21"/>
  <c r="D80" i="21"/>
  <c r="F80" i="21"/>
  <c r="F78" i="21"/>
  <c r="B79" i="21"/>
  <c r="C79" i="21"/>
  <c r="B80" i="21"/>
  <c r="C80" i="21"/>
  <c r="C78" i="21"/>
  <c r="D78" i="21"/>
  <c r="B78" i="21"/>
  <c r="B82" i="3"/>
  <c r="C82" i="3"/>
  <c r="D82" i="3"/>
  <c r="F82" i="3"/>
  <c r="B106" i="3"/>
  <c r="C106" i="3"/>
  <c r="D106" i="3"/>
  <c r="F106" i="3"/>
  <c r="B134" i="3"/>
  <c r="C134" i="3"/>
  <c r="D134" i="3"/>
  <c r="F134" i="3"/>
  <c r="S28" i="24"/>
  <c r="S30" i="24" s="1"/>
  <c r="AO1" i="9"/>
  <c r="U30" i="9"/>
  <c r="P15" i="79"/>
  <c r="U29" i="79"/>
  <c r="F136" i="70"/>
  <c r="D136" i="70"/>
  <c r="C136" i="70"/>
  <c r="B136" i="70"/>
  <c r="F135" i="70"/>
  <c r="D135" i="70"/>
  <c r="C135" i="70"/>
  <c r="B135" i="70"/>
  <c r="F134" i="70"/>
  <c r="D134" i="70"/>
  <c r="C134" i="70"/>
  <c r="B134" i="70"/>
  <c r="F133" i="70"/>
  <c r="D133" i="70"/>
  <c r="C133" i="70"/>
  <c r="B133" i="70"/>
  <c r="F132" i="70"/>
  <c r="D132" i="70"/>
  <c r="C132" i="70"/>
  <c r="B132" i="70"/>
  <c r="F131" i="70"/>
  <c r="D131" i="70"/>
  <c r="C131" i="70"/>
  <c r="B131" i="70"/>
  <c r="F130" i="70"/>
  <c r="D130" i="70"/>
  <c r="C130" i="70"/>
  <c r="B130" i="70"/>
  <c r="F129" i="70"/>
  <c r="D129" i="70"/>
  <c r="C129" i="70"/>
  <c r="B129" i="70"/>
  <c r="F128" i="70"/>
  <c r="D128" i="70"/>
  <c r="C128" i="70"/>
  <c r="B128" i="70"/>
  <c r="F127" i="70"/>
  <c r="D127" i="70"/>
  <c r="C127" i="70"/>
  <c r="B127" i="70"/>
  <c r="F126" i="70"/>
  <c r="D126" i="70"/>
  <c r="C126" i="70"/>
  <c r="B126" i="70"/>
  <c r="F125" i="70"/>
  <c r="D125" i="70"/>
  <c r="C125" i="70"/>
  <c r="B125" i="70"/>
  <c r="F124" i="70"/>
  <c r="D124" i="70"/>
  <c r="C124" i="70"/>
  <c r="B124" i="70"/>
  <c r="F123" i="70"/>
  <c r="D123" i="70"/>
  <c r="C123" i="70"/>
  <c r="B123" i="70"/>
  <c r="F122" i="70"/>
  <c r="D122" i="70"/>
  <c r="C122" i="70"/>
  <c r="B122" i="70"/>
  <c r="F121" i="70"/>
  <c r="D121" i="70"/>
  <c r="C121" i="70"/>
  <c r="B121" i="70"/>
  <c r="F120" i="70"/>
  <c r="D120" i="70"/>
  <c r="C120" i="70"/>
  <c r="B120" i="70"/>
  <c r="F119" i="70"/>
  <c r="D119" i="70"/>
  <c r="C119" i="70"/>
  <c r="B119" i="70"/>
  <c r="F118" i="70"/>
  <c r="C118" i="70"/>
  <c r="B118" i="70"/>
  <c r="F109" i="70"/>
  <c r="D109" i="70"/>
  <c r="C109" i="70"/>
  <c r="B109" i="70"/>
  <c r="F108" i="70"/>
  <c r="D108" i="70"/>
  <c r="C108" i="70"/>
  <c r="B108" i="70"/>
  <c r="F107" i="70"/>
  <c r="D107" i="70"/>
  <c r="C107" i="70"/>
  <c r="B107" i="70"/>
  <c r="F106" i="70"/>
  <c r="D106" i="70"/>
  <c r="C106" i="70"/>
  <c r="B106" i="70"/>
  <c r="F105" i="70"/>
  <c r="D105" i="70"/>
  <c r="C105" i="70"/>
  <c r="B105" i="70"/>
  <c r="F104" i="70"/>
  <c r="D104" i="70"/>
  <c r="C104" i="70"/>
  <c r="B104" i="70"/>
  <c r="F103" i="70"/>
  <c r="D103" i="70"/>
  <c r="C103" i="70"/>
  <c r="B103" i="70"/>
  <c r="F102" i="70"/>
  <c r="D102" i="70"/>
  <c r="C102" i="70"/>
  <c r="B102" i="70"/>
  <c r="F101" i="70"/>
  <c r="D101" i="70"/>
  <c r="C101" i="70"/>
  <c r="B101" i="70"/>
  <c r="F100" i="70"/>
  <c r="D100" i="70"/>
  <c r="C100" i="70"/>
  <c r="B100" i="70"/>
  <c r="F99" i="70"/>
  <c r="D99" i="70"/>
  <c r="C99" i="70"/>
  <c r="B99" i="70"/>
  <c r="F98" i="70"/>
  <c r="D98" i="70"/>
  <c r="C98" i="70"/>
  <c r="B98" i="70"/>
  <c r="F97" i="70"/>
  <c r="D97" i="70"/>
  <c r="C97" i="70"/>
  <c r="B97" i="70"/>
  <c r="F96" i="70"/>
  <c r="D96" i="70"/>
  <c r="C96" i="70"/>
  <c r="B96" i="70"/>
  <c r="F95" i="70"/>
  <c r="D95" i="70"/>
  <c r="C95" i="70"/>
  <c r="B95" i="70"/>
  <c r="F94" i="70"/>
  <c r="D94" i="70"/>
  <c r="C94" i="70"/>
  <c r="B94" i="70"/>
  <c r="F93" i="70"/>
  <c r="D93" i="70"/>
  <c r="C93" i="70"/>
  <c r="B93" i="70"/>
  <c r="F92" i="70"/>
  <c r="D92" i="70"/>
  <c r="C92" i="70"/>
  <c r="B92" i="70"/>
  <c r="F91" i="70"/>
  <c r="C91" i="70"/>
  <c r="B91" i="70"/>
  <c r="F83" i="70"/>
  <c r="D83" i="70"/>
  <c r="C83" i="70"/>
  <c r="B83" i="70"/>
  <c r="F82" i="70"/>
  <c r="D82" i="70"/>
  <c r="C82" i="70"/>
  <c r="B82" i="70"/>
  <c r="F81" i="70"/>
  <c r="D81" i="70"/>
  <c r="C81" i="70"/>
  <c r="B81" i="70"/>
  <c r="F80" i="70"/>
  <c r="D80" i="70"/>
  <c r="C80" i="70"/>
  <c r="B80" i="70"/>
  <c r="F79" i="70"/>
  <c r="D79" i="70"/>
  <c r="C79" i="70"/>
  <c r="B79" i="70"/>
  <c r="F78" i="70"/>
  <c r="D78" i="70"/>
  <c r="C78" i="70"/>
  <c r="B78" i="70"/>
  <c r="F77" i="70"/>
  <c r="D77" i="70"/>
  <c r="C77" i="70"/>
  <c r="B77" i="70"/>
  <c r="F76" i="70"/>
  <c r="D76" i="70"/>
  <c r="C76" i="70"/>
  <c r="B76" i="70"/>
  <c r="F75" i="70"/>
  <c r="D75" i="70"/>
  <c r="C75" i="70"/>
  <c r="B75" i="70"/>
  <c r="F74" i="70"/>
  <c r="D74" i="70"/>
  <c r="C74" i="70"/>
  <c r="B74" i="70"/>
  <c r="F73" i="70"/>
  <c r="D73" i="70"/>
  <c r="C73" i="70"/>
  <c r="B73" i="70"/>
  <c r="F72" i="70"/>
  <c r="D72" i="70"/>
  <c r="C72" i="70"/>
  <c r="B72" i="70"/>
  <c r="F71" i="70"/>
  <c r="D71" i="70"/>
  <c r="C71" i="70"/>
  <c r="B71" i="70"/>
  <c r="F70" i="70"/>
  <c r="D70" i="70"/>
  <c r="C70" i="70"/>
  <c r="B70" i="70"/>
  <c r="F69" i="70"/>
  <c r="D69" i="70"/>
  <c r="C69" i="70"/>
  <c r="B69" i="70"/>
  <c r="F68" i="70"/>
  <c r="D68" i="70"/>
  <c r="C68" i="70"/>
  <c r="B68" i="70"/>
  <c r="F67" i="70"/>
  <c r="D67" i="70"/>
  <c r="C67" i="70"/>
  <c r="B67" i="70"/>
  <c r="F66" i="70"/>
  <c r="D66" i="70"/>
  <c r="C66" i="70"/>
  <c r="B66" i="70"/>
  <c r="F65" i="70"/>
  <c r="C65" i="70"/>
  <c r="B65" i="70"/>
  <c r="D51" i="70"/>
  <c r="R44" i="70" s="1"/>
  <c r="C51" i="70"/>
  <c r="V40" i="70"/>
  <c r="S30" i="70"/>
  <c r="U29" i="70"/>
  <c r="T28" i="70"/>
  <c r="S28" i="70"/>
  <c r="F106" i="69"/>
  <c r="D106" i="69"/>
  <c r="C106" i="69"/>
  <c r="B106" i="69"/>
  <c r="F105" i="69"/>
  <c r="D105" i="69"/>
  <c r="C105" i="69"/>
  <c r="B105" i="69"/>
  <c r="F104" i="69"/>
  <c r="D104" i="69"/>
  <c r="C104" i="69"/>
  <c r="B104" i="69"/>
  <c r="F103" i="69"/>
  <c r="D103" i="69"/>
  <c r="C103" i="69"/>
  <c r="B103" i="69"/>
  <c r="F102" i="69"/>
  <c r="D102" i="69"/>
  <c r="C102" i="69"/>
  <c r="B102" i="69"/>
  <c r="F101" i="69"/>
  <c r="D101" i="69"/>
  <c r="C101" i="69"/>
  <c r="B101" i="69"/>
  <c r="F100" i="69"/>
  <c r="D100" i="69"/>
  <c r="C100" i="69"/>
  <c r="B100" i="69"/>
  <c r="F99" i="69"/>
  <c r="D99" i="69"/>
  <c r="C99" i="69"/>
  <c r="B99" i="69"/>
  <c r="F98" i="69"/>
  <c r="D98" i="69"/>
  <c r="C98" i="69"/>
  <c r="B98" i="69"/>
  <c r="F97" i="69"/>
  <c r="D97" i="69"/>
  <c r="C97" i="69"/>
  <c r="B97" i="69"/>
  <c r="F96" i="69"/>
  <c r="D96" i="69"/>
  <c r="C96" i="69"/>
  <c r="B96" i="69"/>
  <c r="F95" i="69"/>
  <c r="D95" i="69"/>
  <c r="C95" i="69"/>
  <c r="B95" i="69"/>
  <c r="F94" i="69"/>
  <c r="D94" i="69"/>
  <c r="C94" i="69"/>
  <c r="B94" i="69"/>
  <c r="F93" i="69"/>
  <c r="D93" i="69"/>
  <c r="C93" i="69"/>
  <c r="B93" i="69"/>
  <c r="F92" i="69"/>
  <c r="D92" i="69"/>
  <c r="C92" i="69"/>
  <c r="B92" i="69"/>
  <c r="F91" i="69"/>
  <c r="D91" i="69"/>
  <c r="C91" i="69"/>
  <c r="B91" i="69"/>
  <c r="F90" i="69"/>
  <c r="D90" i="69"/>
  <c r="C90" i="69"/>
  <c r="B90" i="69"/>
  <c r="F89" i="69"/>
  <c r="C89" i="69"/>
  <c r="B89" i="69"/>
  <c r="F82" i="69"/>
  <c r="D82" i="69"/>
  <c r="C82" i="69"/>
  <c r="B82" i="69"/>
  <c r="F81" i="69"/>
  <c r="D81" i="69"/>
  <c r="C81" i="69"/>
  <c r="B81" i="69"/>
  <c r="F80" i="69"/>
  <c r="D80" i="69"/>
  <c r="C80" i="69"/>
  <c r="B80" i="69"/>
  <c r="F79" i="69"/>
  <c r="D79" i="69"/>
  <c r="C79" i="69"/>
  <c r="B79" i="69"/>
  <c r="F78" i="69"/>
  <c r="D78" i="69"/>
  <c r="C78" i="69"/>
  <c r="B78" i="69"/>
  <c r="F77" i="69"/>
  <c r="D77" i="69"/>
  <c r="C77" i="69"/>
  <c r="B77" i="69"/>
  <c r="F76" i="69"/>
  <c r="D76" i="69"/>
  <c r="C76" i="69"/>
  <c r="B76" i="69"/>
  <c r="F75" i="69"/>
  <c r="D75" i="69"/>
  <c r="C75" i="69"/>
  <c r="B75" i="69"/>
  <c r="F74" i="69"/>
  <c r="D74" i="69"/>
  <c r="C74" i="69"/>
  <c r="B74" i="69"/>
  <c r="F73" i="69"/>
  <c r="D73" i="69"/>
  <c r="C73" i="69"/>
  <c r="B73" i="69"/>
  <c r="F72" i="69"/>
  <c r="D72" i="69"/>
  <c r="C72" i="69"/>
  <c r="B72" i="69"/>
  <c r="F71" i="69"/>
  <c r="D71" i="69"/>
  <c r="C71" i="69"/>
  <c r="B71" i="69"/>
  <c r="F70" i="69"/>
  <c r="D70" i="69"/>
  <c r="C70" i="69"/>
  <c r="B70" i="69"/>
  <c r="F69" i="69"/>
  <c r="D69" i="69"/>
  <c r="C69" i="69"/>
  <c r="B69" i="69"/>
  <c r="F68" i="69"/>
  <c r="D68" i="69"/>
  <c r="C68" i="69"/>
  <c r="B68" i="69"/>
  <c r="F67" i="69"/>
  <c r="D67" i="69"/>
  <c r="C67" i="69"/>
  <c r="B67" i="69"/>
  <c r="F66" i="69"/>
  <c r="D66" i="69"/>
  <c r="C66" i="69"/>
  <c r="B66" i="69"/>
  <c r="F65" i="69"/>
  <c r="C65" i="69"/>
  <c r="B65" i="69"/>
  <c r="D51" i="69"/>
  <c r="V40" i="69"/>
  <c r="S30" i="69"/>
  <c r="U29" i="69"/>
  <c r="T28" i="69"/>
  <c r="T32" i="69" s="1"/>
  <c r="S28" i="69"/>
  <c r="F72" i="68"/>
  <c r="D72" i="68"/>
  <c r="C72" i="68"/>
  <c r="B72" i="68"/>
  <c r="F71" i="68"/>
  <c r="D71" i="68"/>
  <c r="C71" i="68"/>
  <c r="B71" i="68"/>
  <c r="F70" i="68"/>
  <c r="D70" i="68"/>
  <c r="C70" i="68"/>
  <c r="B70" i="68"/>
  <c r="F69" i="68"/>
  <c r="D69" i="68"/>
  <c r="C69" i="68"/>
  <c r="B69" i="68"/>
  <c r="F68" i="68"/>
  <c r="D68" i="68"/>
  <c r="C68" i="68"/>
  <c r="B68" i="68"/>
  <c r="F67" i="68"/>
  <c r="D67" i="68"/>
  <c r="C67" i="68"/>
  <c r="B67" i="68"/>
  <c r="F66" i="68"/>
  <c r="D66" i="68"/>
  <c r="C66" i="68"/>
  <c r="B66" i="68"/>
  <c r="F65" i="68"/>
  <c r="D65" i="68"/>
  <c r="C65" i="68"/>
  <c r="B65" i="68"/>
  <c r="C51" i="68"/>
  <c r="D51" i="67"/>
  <c r="U31" i="67"/>
  <c r="T32" i="67"/>
  <c r="E78" i="67" s="1"/>
  <c r="S30" i="67"/>
  <c r="S32" i="67" s="1"/>
  <c r="U29" i="67"/>
  <c r="U32" i="67" s="1"/>
  <c r="K1" i="67"/>
  <c r="F153" i="66"/>
  <c r="C153" i="66"/>
  <c r="B153" i="66"/>
  <c r="F152" i="66"/>
  <c r="C152" i="66"/>
  <c r="B152" i="66"/>
  <c r="F151" i="66"/>
  <c r="C151" i="66"/>
  <c r="B151" i="66"/>
  <c r="F150" i="66"/>
  <c r="C150" i="66"/>
  <c r="B150" i="66"/>
  <c r="F149" i="66"/>
  <c r="C149" i="66"/>
  <c r="B149" i="66"/>
  <c r="F148" i="66"/>
  <c r="C148" i="66"/>
  <c r="B148" i="66"/>
  <c r="F147" i="66"/>
  <c r="C147" i="66"/>
  <c r="B147" i="66"/>
  <c r="F146" i="66"/>
  <c r="C146" i="66"/>
  <c r="B146" i="66"/>
  <c r="F145" i="66"/>
  <c r="C145" i="66"/>
  <c r="B145" i="66"/>
  <c r="F137" i="66"/>
  <c r="C137" i="66"/>
  <c r="B137" i="66"/>
  <c r="F136" i="66"/>
  <c r="C136" i="66"/>
  <c r="B136" i="66"/>
  <c r="F135" i="66"/>
  <c r="C135" i="66"/>
  <c r="B135" i="66"/>
  <c r="F134" i="66"/>
  <c r="C134" i="66"/>
  <c r="B134" i="66"/>
  <c r="F133" i="66"/>
  <c r="C133" i="66"/>
  <c r="B133" i="66"/>
  <c r="F132" i="66"/>
  <c r="C132" i="66"/>
  <c r="B132" i="66"/>
  <c r="F131" i="66"/>
  <c r="C131" i="66"/>
  <c r="B131" i="66"/>
  <c r="F130" i="66"/>
  <c r="C130" i="66"/>
  <c r="B130" i="66"/>
  <c r="F129" i="66"/>
  <c r="C129" i="66"/>
  <c r="B129" i="66"/>
  <c r="F121" i="66"/>
  <c r="C121" i="66"/>
  <c r="B121" i="66"/>
  <c r="F120" i="66"/>
  <c r="C120" i="66"/>
  <c r="B120" i="66"/>
  <c r="F119" i="66"/>
  <c r="C119" i="66"/>
  <c r="B119" i="66"/>
  <c r="F118" i="66"/>
  <c r="C118" i="66"/>
  <c r="B118" i="66"/>
  <c r="F117" i="66"/>
  <c r="C117" i="66"/>
  <c r="B117" i="66"/>
  <c r="F116" i="66"/>
  <c r="C116" i="66"/>
  <c r="B116" i="66"/>
  <c r="F115" i="66"/>
  <c r="C115" i="66"/>
  <c r="B115" i="66"/>
  <c r="F114" i="66"/>
  <c r="C114" i="66"/>
  <c r="B114" i="66"/>
  <c r="F113" i="66"/>
  <c r="C113" i="66"/>
  <c r="B113" i="66"/>
  <c r="F105" i="66"/>
  <c r="C105" i="66"/>
  <c r="B105" i="66"/>
  <c r="F104" i="66"/>
  <c r="C104" i="66"/>
  <c r="B104" i="66"/>
  <c r="F103" i="66"/>
  <c r="C103" i="66"/>
  <c r="B103" i="66"/>
  <c r="F102" i="66"/>
  <c r="C102" i="66"/>
  <c r="B102" i="66"/>
  <c r="F101" i="66"/>
  <c r="C101" i="66"/>
  <c r="B101" i="66"/>
  <c r="F100" i="66"/>
  <c r="C100" i="66"/>
  <c r="B100" i="66"/>
  <c r="F99" i="66"/>
  <c r="C99" i="66"/>
  <c r="B99" i="66"/>
  <c r="F98" i="66"/>
  <c r="C98" i="66"/>
  <c r="B98" i="66"/>
  <c r="F97" i="66"/>
  <c r="C97" i="66"/>
  <c r="B97" i="66"/>
  <c r="F88" i="66"/>
  <c r="C88" i="66"/>
  <c r="B88" i="66"/>
  <c r="F87" i="66"/>
  <c r="C87" i="66"/>
  <c r="B87" i="66"/>
  <c r="F86" i="66"/>
  <c r="C86" i="66"/>
  <c r="B86" i="66"/>
  <c r="F85" i="66"/>
  <c r="C85" i="66"/>
  <c r="B85" i="66"/>
  <c r="F84" i="66"/>
  <c r="C84" i="66"/>
  <c r="B84" i="66"/>
  <c r="F83" i="66"/>
  <c r="C83" i="66"/>
  <c r="B83" i="66"/>
  <c r="F82" i="66"/>
  <c r="C82" i="66"/>
  <c r="B82" i="66"/>
  <c r="F81" i="66"/>
  <c r="C81" i="66"/>
  <c r="B81" i="66"/>
  <c r="F80" i="66"/>
  <c r="C80" i="66"/>
  <c r="B80" i="66"/>
  <c r="F73" i="66"/>
  <c r="C73" i="66"/>
  <c r="B73" i="66"/>
  <c r="F72" i="66"/>
  <c r="C72" i="66"/>
  <c r="B72" i="66"/>
  <c r="F71" i="66"/>
  <c r="C71" i="66"/>
  <c r="B71" i="66"/>
  <c r="F70" i="66"/>
  <c r="C70" i="66"/>
  <c r="B70" i="66"/>
  <c r="F69" i="66"/>
  <c r="C69" i="66"/>
  <c r="B69" i="66"/>
  <c r="F68" i="66"/>
  <c r="C68" i="66"/>
  <c r="B68" i="66"/>
  <c r="F67" i="66"/>
  <c r="C67" i="66"/>
  <c r="B67" i="66"/>
  <c r="F66" i="66"/>
  <c r="C66" i="66"/>
  <c r="B66" i="66"/>
  <c r="F65" i="66"/>
  <c r="C65" i="66"/>
  <c r="B65" i="66"/>
  <c r="V44" i="66"/>
  <c r="U44" i="66"/>
  <c r="T29" i="66"/>
  <c r="AA28" i="66"/>
  <c r="T28" i="66"/>
  <c r="R25" i="66"/>
  <c r="D13" i="66"/>
  <c r="D12" i="66"/>
  <c r="D11" i="66"/>
  <c r="D10" i="66"/>
  <c r="D9" i="66"/>
  <c r="D8" i="66"/>
  <c r="D7" i="66"/>
  <c r="D6" i="66"/>
  <c r="V40" i="65"/>
  <c r="U33" i="65"/>
  <c r="U29" i="65"/>
  <c r="D51" i="65"/>
  <c r="C51" i="65"/>
  <c r="U33" i="64"/>
  <c r="U30" i="64"/>
  <c r="U29" i="64"/>
  <c r="F80" i="62"/>
  <c r="D80" i="62"/>
  <c r="C80" i="62"/>
  <c r="B80" i="62"/>
  <c r="F79" i="62"/>
  <c r="D79" i="62"/>
  <c r="C79" i="62"/>
  <c r="B79" i="62"/>
  <c r="F78" i="62"/>
  <c r="D78" i="62"/>
  <c r="C78" i="62"/>
  <c r="B78" i="62"/>
  <c r="F77" i="62"/>
  <c r="D77" i="62"/>
  <c r="C77" i="62"/>
  <c r="B77" i="62"/>
  <c r="F76" i="62"/>
  <c r="D76" i="62"/>
  <c r="C76" i="62"/>
  <c r="B76" i="62"/>
  <c r="F75" i="62"/>
  <c r="D75" i="62"/>
  <c r="C75" i="62"/>
  <c r="B75" i="62"/>
  <c r="F74" i="62"/>
  <c r="D74" i="62"/>
  <c r="C74" i="62"/>
  <c r="B74" i="62"/>
  <c r="F73" i="62"/>
  <c r="D73" i="62"/>
  <c r="C73" i="62"/>
  <c r="B73" i="62"/>
  <c r="F72" i="62"/>
  <c r="D72" i="62"/>
  <c r="C72" i="62"/>
  <c r="B72" i="62"/>
  <c r="F71" i="62"/>
  <c r="D71" i="62"/>
  <c r="C71" i="62"/>
  <c r="B71" i="62"/>
  <c r="F70" i="62"/>
  <c r="D70" i="62"/>
  <c r="C70" i="62"/>
  <c r="B70" i="62"/>
  <c r="F69" i="62"/>
  <c r="D69" i="62"/>
  <c r="C69" i="62"/>
  <c r="B69" i="62"/>
  <c r="F68" i="62"/>
  <c r="D68" i="62"/>
  <c r="C68" i="62"/>
  <c r="B68" i="62"/>
  <c r="F67" i="62"/>
  <c r="D67" i="62"/>
  <c r="C67" i="62"/>
  <c r="B67" i="62"/>
  <c r="F66" i="62"/>
  <c r="D66" i="62"/>
  <c r="C66" i="62"/>
  <c r="B66" i="62"/>
  <c r="F65" i="62"/>
  <c r="C65" i="62"/>
  <c r="B65" i="62"/>
  <c r="V40" i="62"/>
  <c r="U33" i="62"/>
  <c r="T30" i="62"/>
  <c r="S30" i="62"/>
  <c r="U29" i="62"/>
  <c r="U32" i="62" s="1"/>
  <c r="AC30" i="62" s="1"/>
  <c r="S28" i="62"/>
  <c r="D51" i="62"/>
  <c r="C51" i="62"/>
  <c r="F77" i="61"/>
  <c r="D77" i="61"/>
  <c r="C77" i="61"/>
  <c r="B77" i="61"/>
  <c r="F76" i="61"/>
  <c r="D76" i="61"/>
  <c r="C76" i="61"/>
  <c r="B76" i="61"/>
  <c r="F75" i="61"/>
  <c r="D75" i="61"/>
  <c r="C75" i="61"/>
  <c r="B75" i="61"/>
  <c r="F74" i="61"/>
  <c r="D74" i="61"/>
  <c r="C74" i="61"/>
  <c r="B74" i="61"/>
  <c r="F73" i="61"/>
  <c r="D73" i="61"/>
  <c r="C73" i="61"/>
  <c r="B73" i="61"/>
  <c r="F72" i="61"/>
  <c r="D72" i="61"/>
  <c r="C72" i="61"/>
  <c r="B72" i="61"/>
  <c r="F71" i="61"/>
  <c r="D71" i="61"/>
  <c r="C71" i="61"/>
  <c r="B71" i="61"/>
  <c r="F70" i="61"/>
  <c r="D70" i="61"/>
  <c r="C70" i="61"/>
  <c r="B70" i="61"/>
  <c r="F69" i="61"/>
  <c r="D69" i="61"/>
  <c r="C69" i="61"/>
  <c r="B69" i="61"/>
  <c r="F68" i="61"/>
  <c r="D68" i="61"/>
  <c r="C68" i="61"/>
  <c r="B68" i="61"/>
  <c r="F67" i="61"/>
  <c r="D67" i="61"/>
  <c r="C67" i="61"/>
  <c r="B67" i="61"/>
  <c r="F66" i="61"/>
  <c r="D66" i="61"/>
  <c r="C66" i="61"/>
  <c r="B66" i="61"/>
  <c r="F65" i="61"/>
  <c r="C65" i="61"/>
  <c r="B65" i="61"/>
  <c r="D51" i="61"/>
  <c r="R44" i="61" s="1"/>
  <c r="C51" i="61"/>
  <c r="V40" i="61"/>
  <c r="T30" i="61"/>
  <c r="S30" i="61"/>
  <c r="U29" i="61"/>
  <c r="U32" i="61" s="1"/>
  <c r="AD30" i="61" s="1"/>
  <c r="T28" i="61"/>
  <c r="S28" i="61"/>
  <c r="F96" i="60"/>
  <c r="D96" i="60"/>
  <c r="C96" i="60"/>
  <c r="B96" i="60"/>
  <c r="F95" i="60"/>
  <c r="D95" i="60"/>
  <c r="C95" i="60"/>
  <c r="B95" i="60"/>
  <c r="F94" i="60"/>
  <c r="D94" i="60"/>
  <c r="C94" i="60"/>
  <c r="B94" i="60"/>
  <c r="F93" i="60"/>
  <c r="D93" i="60"/>
  <c r="C93" i="60"/>
  <c r="B93" i="60"/>
  <c r="F92" i="60"/>
  <c r="D92" i="60"/>
  <c r="C92" i="60"/>
  <c r="B92" i="60"/>
  <c r="F91" i="60"/>
  <c r="D91" i="60"/>
  <c r="C91" i="60"/>
  <c r="B91" i="60"/>
  <c r="F90" i="60"/>
  <c r="D90" i="60"/>
  <c r="C90" i="60"/>
  <c r="B90" i="60"/>
  <c r="F89" i="60"/>
  <c r="D89" i="60"/>
  <c r="C89" i="60"/>
  <c r="B89" i="60"/>
  <c r="F88" i="60"/>
  <c r="D88" i="60"/>
  <c r="C88" i="60"/>
  <c r="B88" i="60"/>
  <c r="F87" i="60"/>
  <c r="D87" i="60"/>
  <c r="C87" i="60"/>
  <c r="B87" i="60"/>
  <c r="F86" i="60"/>
  <c r="D86" i="60"/>
  <c r="C86" i="60"/>
  <c r="B86" i="60"/>
  <c r="F85" i="60"/>
  <c r="D85" i="60"/>
  <c r="C85" i="60"/>
  <c r="B85" i="60"/>
  <c r="F84" i="60"/>
  <c r="C84" i="60"/>
  <c r="B84" i="60"/>
  <c r="F77" i="60"/>
  <c r="D77" i="60"/>
  <c r="C77" i="60"/>
  <c r="B77" i="60"/>
  <c r="F76" i="60"/>
  <c r="D76" i="60"/>
  <c r="C76" i="60"/>
  <c r="B76" i="60"/>
  <c r="F75" i="60"/>
  <c r="D75" i="60"/>
  <c r="C75" i="60"/>
  <c r="B75" i="60"/>
  <c r="F74" i="60"/>
  <c r="D74" i="60"/>
  <c r="C74" i="60"/>
  <c r="B74" i="60"/>
  <c r="F73" i="60"/>
  <c r="D73" i="60"/>
  <c r="C73" i="60"/>
  <c r="B73" i="60"/>
  <c r="F72" i="60"/>
  <c r="D72" i="60"/>
  <c r="C72" i="60"/>
  <c r="B72" i="60"/>
  <c r="F71" i="60"/>
  <c r="D71" i="60"/>
  <c r="C71" i="60"/>
  <c r="B71" i="60"/>
  <c r="F70" i="60"/>
  <c r="D70" i="60"/>
  <c r="C70" i="60"/>
  <c r="B70" i="60"/>
  <c r="F69" i="60"/>
  <c r="D69" i="60"/>
  <c r="C69" i="60"/>
  <c r="B69" i="60"/>
  <c r="F68" i="60"/>
  <c r="D68" i="60"/>
  <c r="C68" i="60"/>
  <c r="B68" i="60"/>
  <c r="F67" i="60"/>
  <c r="D67" i="60"/>
  <c r="C67" i="60"/>
  <c r="B67" i="60"/>
  <c r="F66" i="60"/>
  <c r="D66" i="60"/>
  <c r="C66" i="60"/>
  <c r="B66" i="60"/>
  <c r="F65" i="60"/>
  <c r="C65" i="60"/>
  <c r="B65" i="60"/>
  <c r="D51" i="60"/>
  <c r="R44" i="60" s="1"/>
  <c r="T33" i="60"/>
  <c r="K1" i="60"/>
  <c r="C51" i="60" s="1"/>
  <c r="F79" i="59"/>
  <c r="D79" i="59"/>
  <c r="C79" i="59"/>
  <c r="B79" i="59"/>
  <c r="F78" i="59"/>
  <c r="D78" i="59"/>
  <c r="C78" i="59"/>
  <c r="B78" i="59"/>
  <c r="F77" i="59"/>
  <c r="D77" i="59"/>
  <c r="C77" i="59"/>
  <c r="B77" i="59"/>
  <c r="F76" i="59"/>
  <c r="D76" i="59"/>
  <c r="C76" i="59"/>
  <c r="B76" i="59"/>
  <c r="F75" i="59"/>
  <c r="D75" i="59"/>
  <c r="C75" i="59"/>
  <c r="B75" i="59"/>
  <c r="F74" i="59"/>
  <c r="D74" i="59"/>
  <c r="C74" i="59"/>
  <c r="B74" i="59"/>
  <c r="F73" i="59"/>
  <c r="D73" i="59"/>
  <c r="C73" i="59"/>
  <c r="B73" i="59"/>
  <c r="F72" i="59"/>
  <c r="D72" i="59"/>
  <c r="C72" i="59"/>
  <c r="B72" i="59"/>
  <c r="F71" i="59"/>
  <c r="D71" i="59"/>
  <c r="C71" i="59"/>
  <c r="B71" i="59"/>
  <c r="F70" i="59"/>
  <c r="D70" i="59"/>
  <c r="C70" i="59"/>
  <c r="B70" i="59"/>
  <c r="F69" i="59"/>
  <c r="D69" i="59"/>
  <c r="C69" i="59"/>
  <c r="B69" i="59"/>
  <c r="F68" i="59"/>
  <c r="D68" i="59"/>
  <c r="C68" i="59"/>
  <c r="B68" i="59"/>
  <c r="F67" i="59"/>
  <c r="D67" i="59"/>
  <c r="C67" i="59"/>
  <c r="B67" i="59"/>
  <c r="F66" i="59"/>
  <c r="D66" i="59"/>
  <c r="C66" i="59"/>
  <c r="B66" i="59"/>
  <c r="F65" i="59"/>
  <c r="C65" i="59"/>
  <c r="B65" i="59"/>
  <c r="D51" i="59"/>
  <c r="K1" i="59"/>
  <c r="C51" i="59" s="1"/>
  <c r="F103" i="58"/>
  <c r="D103" i="58"/>
  <c r="C103" i="58"/>
  <c r="B103" i="58"/>
  <c r="F102" i="58"/>
  <c r="D102" i="58"/>
  <c r="C102" i="58"/>
  <c r="B102" i="58"/>
  <c r="F101" i="58"/>
  <c r="D101" i="58"/>
  <c r="C101" i="58"/>
  <c r="B101" i="58"/>
  <c r="F100" i="58"/>
  <c r="D100" i="58"/>
  <c r="C100" i="58"/>
  <c r="B100" i="58"/>
  <c r="F99" i="58"/>
  <c r="D99" i="58"/>
  <c r="C99" i="58"/>
  <c r="B99" i="58"/>
  <c r="F98" i="58"/>
  <c r="D98" i="58"/>
  <c r="C98" i="58"/>
  <c r="B98" i="58"/>
  <c r="F97" i="58"/>
  <c r="D97" i="58"/>
  <c r="C97" i="58"/>
  <c r="B97" i="58"/>
  <c r="F96" i="58"/>
  <c r="D96" i="58"/>
  <c r="C96" i="58"/>
  <c r="B96" i="58"/>
  <c r="F95" i="58"/>
  <c r="D95" i="58"/>
  <c r="C95" i="58"/>
  <c r="B95" i="58"/>
  <c r="F94" i="58"/>
  <c r="D94" i="58"/>
  <c r="C94" i="58"/>
  <c r="B94" i="58"/>
  <c r="F93" i="58"/>
  <c r="D93" i="58"/>
  <c r="C93" i="58"/>
  <c r="B93" i="58"/>
  <c r="F92" i="58"/>
  <c r="D92" i="58"/>
  <c r="C92" i="58"/>
  <c r="B92" i="58"/>
  <c r="F91" i="58"/>
  <c r="D91" i="58"/>
  <c r="C91" i="58"/>
  <c r="B91" i="58"/>
  <c r="F90" i="58"/>
  <c r="D90" i="58"/>
  <c r="C90" i="58"/>
  <c r="B90" i="58"/>
  <c r="F89" i="58"/>
  <c r="D89" i="58"/>
  <c r="C89" i="58"/>
  <c r="B89" i="58"/>
  <c r="F88" i="58"/>
  <c r="C88" i="58"/>
  <c r="B88" i="58"/>
  <c r="F80" i="58"/>
  <c r="D80" i="58"/>
  <c r="C80" i="58"/>
  <c r="B80" i="58"/>
  <c r="F79" i="58"/>
  <c r="D79" i="58"/>
  <c r="C79" i="58"/>
  <c r="B79" i="58"/>
  <c r="F78" i="58"/>
  <c r="D78" i="58"/>
  <c r="C78" i="58"/>
  <c r="B78" i="58"/>
  <c r="F77" i="58"/>
  <c r="D77" i="58"/>
  <c r="C77" i="58"/>
  <c r="B77" i="58"/>
  <c r="F76" i="58"/>
  <c r="D76" i="58"/>
  <c r="C76" i="58"/>
  <c r="B76" i="58"/>
  <c r="F75" i="58"/>
  <c r="D75" i="58"/>
  <c r="C75" i="58"/>
  <c r="B75" i="58"/>
  <c r="F74" i="58"/>
  <c r="D74" i="58"/>
  <c r="C74" i="58"/>
  <c r="B74" i="58"/>
  <c r="F73" i="58"/>
  <c r="D73" i="58"/>
  <c r="C73" i="58"/>
  <c r="B73" i="58"/>
  <c r="F72" i="58"/>
  <c r="D72" i="58"/>
  <c r="C72" i="58"/>
  <c r="B72" i="58"/>
  <c r="F71" i="58"/>
  <c r="D71" i="58"/>
  <c r="C71" i="58"/>
  <c r="B71" i="58"/>
  <c r="F70" i="58"/>
  <c r="D70" i="58"/>
  <c r="C70" i="58"/>
  <c r="B70" i="58"/>
  <c r="F69" i="58"/>
  <c r="D69" i="58"/>
  <c r="C69" i="58"/>
  <c r="B69" i="58"/>
  <c r="F68" i="58"/>
  <c r="D68" i="58"/>
  <c r="C68" i="58"/>
  <c r="B68" i="58"/>
  <c r="F67" i="58"/>
  <c r="D67" i="58"/>
  <c r="C67" i="58"/>
  <c r="B67" i="58"/>
  <c r="F66" i="58"/>
  <c r="D66" i="58"/>
  <c r="C66" i="58"/>
  <c r="B66" i="58"/>
  <c r="F65" i="58"/>
  <c r="C65" i="58"/>
  <c r="B65" i="58"/>
  <c r="D51" i="58"/>
  <c r="C51" i="58"/>
  <c r="V40" i="58"/>
  <c r="J52" i="58"/>
  <c r="T30" i="58"/>
  <c r="T29" i="58"/>
  <c r="U28" i="58"/>
  <c r="F140" i="57"/>
  <c r="D140" i="57"/>
  <c r="C140" i="57"/>
  <c r="B140" i="57"/>
  <c r="F139" i="57"/>
  <c r="D139" i="57"/>
  <c r="C139" i="57"/>
  <c r="B139" i="57"/>
  <c r="F138" i="57"/>
  <c r="D138" i="57"/>
  <c r="C138" i="57"/>
  <c r="B138" i="57"/>
  <c r="F137" i="57"/>
  <c r="D137" i="57"/>
  <c r="C137" i="57"/>
  <c r="B137" i="57"/>
  <c r="F136" i="57"/>
  <c r="D136" i="57"/>
  <c r="C136" i="57"/>
  <c r="B136" i="57"/>
  <c r="F135" i="57"/>
  <c r="D135" i="57"/>
  <c r="C135" i="57"/>
  <c r="B135" i="57"/>
  <c r="F134" i="57"/>
  <c r="D134" i="57"/>
  <c r="C134" i="57"/>
  <c r="B134" i="57"/>
  <c r="F133" i="57"/>
  <c r="D133" i="57"/>
  <c r="C133" i="57"/>
  <c r="B133" i="57"/>
  <c r="F132" i="57"/>
  <c r="D132" i="57"/>
  <c r="C132" i="57"/>
  <c r="B132" i="57"/>
  <c r="F131" i="57"/>
  <c r="D131" i="57"/>
  <c r="C131" i="57"/>
  <c r="B131" i="57"/>
  <c r="F130" i="57"/>
  <c r="D130" i="57"/>
  <c r="C130" i="57"/>
  <c r="B130" i="57"/>
  <c r="F129" i="57"/>
  <c r="D129" i="57"/>
  <c r="C129" i="57"/>
  <c r="B129" i="57"/>
  <c r="F128" i="57"/>
  <c r="D128" i="57"/>
  <c r="C128" i="57"/>
  <c r="B128" i="57"/>
  <c r="F127" i="57"/>
  <c r="D127" i="57"/>
  <c r="C127" i="57"/>
  <c r="B127" i="57"/>
  <c r="F126" i="57"/>
  <c r="D126" i="57"/>
  <c r="C126" i="57"/>
  <c r="B126" i="57"/>
  <c r="F125" i="57"/>
  <c r="D125" i="57"/>
  <c r="C125" i="57"/>
  <c r="B125" i="57"/>
  <c r="F124" i="57"/>
  <c r="D124" i="57"/>
  <c r="C124" i="57"/>
  <c r="B124" i="57"/>
  <c r="F123" i="57"/>
  <c r="D123" i="57"/>
  <c r="C123" i="57"/>
  <c r="B123" i="57"/>
  <c r="F122" i="57"/>
  <c r="D122" i="57"/>
  <c r="C122" i="57"/>
  <c r="B122" i="57"/>
  <c r="F121" i="57"/>
  <c r="D121" i="57"/>
  <c r="C121" i="57"/>
  <c r="B121" i="57"/>
  <c r="F120" i="57"/>
  <c r="C120" i="57"/>
  <c r="B120" i="57"/>
  <c r="F113" i="57"/>
  <c r="D113" i="57"/>
  <c r="C113" i="57"/>
  <c r="B113" i="57"/>
  <c r="F112" i="57"/>
  <c r="D112" i="57"/>
  <c r="C112" i="57"/>
  <c r="B112" i="57"/>
  <c r="F111" i="57"/>
  <c r="D111" i="57"/>
  <c r="C111" i="57"/>
  <c r="B111" i="57"/>
  <c r="F110" i="57"/>
  <c r="D110" i="57"/>
  <c r="C110" i="57"/>
  <c r="B110" i="57"/>
  <c r="F109" i="57"/>
  <c r="D109" i="57"/>
  <c r="C109" i="57"/>
  <c r="B109" i="57"/>
  <c r="F108" i="57"/>
  <c r="D108" i="57"/>
  <c r="C108" i="57"/>
  <c r="B108" i="57"/>
  <c r="F107" i="57"/>
  <c r="D107" i="57"/>
  <c r="C107" i="57"/>
  <c r="B107" i="57"/>
  <c r="F106" i="57"/>
  <c r="D106" i="57"/>
  <c r="C106" i="57"/>
  <c r="B106" i="57"/>
  <c r="F105" i="57"/>
  <c r="D105" i="57"/>
  <c r="C105" i="57"/>
  <c r="B105" i="57"/>
  <c r="F104" i="57"/>
  <c r="D104" i="57"/>
  <c r="C104" i="57"/>
  <c r="B104" i="57"/>
  <c r="F103" i="57"/>
  <c r="D103" i="57"/>
  <c r="C103" i="57"/>
  <c r="B103" i="57"/>
  <c r="F102" i="57"/>
  <c r="D102" i="57"/>
  <c r="C102" i="57"/>
  <c r="B102" i="57"/>
  <c r="F101" i="57"/>
  <c r="D101" i="57"/>
  <c r="C101" i="57"/>
  <c r="B101" i="57"/>
  <c r="F100" i="57"/>
  <c r="D100" i="57"/>
  <c r="C100" i="57"/>
  <c r="B100" i="57"/>
  <c r="F99" i="57"/>
  <c r="D99" i="57"/>
  <c r="C99" i="57"/>
  <c r="B99" i="57"/>
  <c r="F98" i="57"/>
  <c r="D98" i="57"/>
  <c r="C98" i="57"/>
  <c r="B98" i="57"/>
  <c r="F97" i="57"/>
  <c r="D97" i="57"/>
  <c r="C97" i="57"/>
  <c r="B97" i="57"/>
  <c r="F96" i="57"/>
  <c r="D96" i="57"/>
  <c r="C96" i="57"/>
  <c r="B96" i="57"/>
  <c r="F95" i="57"/>
  <c r="D95" i="57"/>
  <c r="C95" i="57"/>
  <c r="B95" i="57"/>
  <c r="F94" i="57"/>
  <c r="D94" i="57"/>
  <c r="C94" i="57"/>
  <c r="B94" i="57"/>
  <c r="F93" i="57"/>
  <c r="C93" i="57"/>
  <c r="B93" i="57"/>
  <c r="F85" i="57"/>
  <c r="D85" i="57"/>
  <c r="C85" i="57"/>
  <c r="B85" i="57"/>
  <c r="F84" i="57"/>
  <c r="D84" i="57"/>
  <c r="C84" i="57"/>
  <c r="B84" i="57"/>
  <c r="F83" i="57"/>
  <c r="D83" i="57"/>
  <c r="C83" i="57"/>
  <c r="B83" i="57"/>
  <c r="F82" i="57"/>
  <c r="D82" i="57"/>
  <c r="C82" i="57"/>
  <c r="B82" i="57"/>
  <c r="F81" i="57"/>
  <c r="D81" i="57"/>
  <c r="C81" i="57"/>
  <c r="B81" i="57"/>
  <c r="F80" i="57"/>
  <c r="D80" i="57"/>
  <c r="C80" i="57"/>
  <c r="B80" i="57"/>
  <c r="F79" i="57"/>
  <c r="D79" i="57"/>
  <c r="C79" i="57"/>
  <c r="B79" i="57"/>
  <c r="F78" i="57"/>
  <c r="D78" i="57"/>
  <c r="C78" i="57"/>
  <c r="B78" i="57"/>
  <c r="F77" i="57"/>
  <c r="D77" i="57"/>
  <c r="C77" i="57"/>
  <c r="B77" i="57"/>
  <c r="F76" i="57"/>
  <c r="D76" i="57"/>
  <c r="C76" i="57"/>
  <c r="B76" i="57"/>
  <c r="F75" i="57"/>
  <c r="D75" i="57"/>
  <c r="C75" i="57"/>
  <c r="B75" i="57"/>
  <c r="F74" i="57"/>
  <c r="D74" i="57"/>
  <c r="C74" i="57"/>
  <c r="B74" i="57"/>
  <c r="F73" i="57"/>
  <c r="D73" i="57"/>
  <c r="C73" i="57"/>
  <c r="B73" i="57"/>
  <c r="F72" i="57"/>
  <c r="D72" i="57"/>
  <c r="C72" i="57"/>
  <c r="B72" i="57"/>
  <c r="F71" i="57"/>
  <c r="D71" i="57"/>
  <c r="C71" i="57"/>
  <c r="B71" i="57"/>
  <c r="F70" i="57"/>
  <c r="D70" i="57"/>
  <c r="C70" i="57"/>
  <c r="B70" i="57"/>
  <c r="F69" i="57"/>
  <c r="D69" i="57"/>
  <c r="C69" i="57"/>
  <c r="B69" i="57"/>
  <c r="F68" i="57"/>
  <c r="D68" i="57"/>
  <c r="C68" i="57"/>
  <c r="B68" i="57"/>
  <c r="F67" i="57"/>
  <c r="D67" i="57"/>
  <c r="C67" i="57"/>
  <c r="B67" i="57"/>
  <c r="F66" i="57"/>
  <c r="D66" i="57"/>
  <c r="C66" i="57"/>
  <c r="B66" i="57"/>
  <c r="F65" i="57"/>
  <c r="C65" i="57"/>
  <c r="B65" i="57"/>
  <c r="D51" i="57"/>
  <c r="C51" i="57"/>
  <c r="V40" i="57"/>
  <c r="T33" i="57"/>
  <c r="S30" i="57"/>
  <c r="U29" i="57"/>
  <c r="T28" i="57"/>
  <c r="T32" i="57" s="1"/>
  <c r="S28" i="57"/>
  <c r="F95" i="56"/>
  <c r="D95" i="56"/>
  <c r="C95" i="56"/>
  <c r="B95" i="56"/>
  <c r="F94" i="56"/>
  <c r="D94" i="56"/>
  <c r="C94" i="56"/>
  <c r="B94" i="56"/>
  <c r="F93" i="56"/>
  <c r="D93" i="56"/>
  <c r="C93" i="56"/>
  <c r="B93" i="56"/>
  <c r="F92" i="56"/>
  <c r="D92" i="56"/>
  <c r="C92" i="56"/>
  <c r="B92" i="56"/>
  <c r="F91" i="56"/>
  <c r="D91" i="56"/>
  <c r="C91" i="56"/>
  <c r="B91" i="56"/>
  <c r="F90" i="56"/>
  <c r="D90" i="56"/>
  <c r="C90" i="56"/>
  <c r="B90" i="56"/>
  <c r="F89" i="56"/>
  <c r="D89" i="56"/>
  <c r="C89" i="56"/>
  <c r="B89" i="56"/>
  <c r="F88" i="56"/>
  <c r="D88" i="56"/>
  <c r="C88" i="56"/>
  <c r="B88" i="56"/>
  <c r="F87" i="56"/>
  <c r="D87" i="56"/>
  <c r="C87" i="56"/>
  <c r="B87" i="56"/>
  <c r="F86" i="56"/>
  <c r="D86" i="56"/>
  <c r="C86" i="56"/>
  <c r="B86" i="56"/>
  <c r="F85" i="56"/>
  <c r="C85" i="56"/>
  <c r="B85" i="56"/>
  <c r="F75" i="56"/>
  <c r="D75" i="56"/>
  <c r="C75" i="56"/>
  <c r="B75" i="56"/>
  <c r="F74" i="56"/>
  <c r="D74" i="56"/>
  <c r="C74" i="56"/>
  <c r="B74" i="56"/>
  <c r="F73" i="56"/>
  <c r="D73" i="56"/>
  <c r="C73" i="56"/>
  <c r="B73" i="56"/>
  <c r="F72" i="56"/>
  <c r="D72" i="56"/>
  <c r="C72" i="56"/>
  <c r="B72" i="56"/>
  <c r="F71" i="56"/>
  <c r="D71" i="56"/>
  <c r="C71" i="56"/>
  <c r="B71" i="56"/>
  <c r="F70" i="56"/>
  <c r="D70" i="56"/>
  <c r="C70" i="56"/>
  <c r="B70" i="56"/>
  <c r="F69" i="56"/>
  <c r="D69" i="56"/>
  <c r="C69" i="56"/>
  <c r="B69" i="56"/>
  <c r="F68" i="56"/>
  <c r="D68" i="56"/>
  <c r="C68" i="56"/>
  <c r="B68" i="56"/>
  <c r="F67" i="56"/>
  <c r="D67" i="56"/>
  <c r="C67" i="56"/>
  <c r="B67" i="56"/>
  <c r="F66" i="56"/>
  <c r="D66" i="56"/>
  <c r="C66" i="56"/>
  <c r="B66" i="56"/>
  <c r="F65" i="56"/>
  <c r="C65" i="56"/>
  <c r="B65" i="56"/>
  <c r="D51" i="56"/>
  <c r="C51" i="56"/>
  <c r="T33" i="56"/>
  <c r="T32" i="56"/>
  <c r="U32" i="56" s="1"/>
  <c r="AD30" i="56" s="1"/>
  <c r="U29" i="56"/>
  <c r="F74" i="55"/>
  <c r="D74" i="55"/>
  <c r="C74" i="55"/>
  <c r="B74" i="55"/>
  <c r="F73" i="55"/>
  <c r="D73" i="55"/>
  <c r="C73" i="55"/>
  <c r="B73" i="55"/>
  <c r="F72" i="55"/>
  <c r="D72" i="55"/>
  <c r="C72" i="55"/>
  <c r="B72" i="55"/>
  <c r="F71" i="55"/>
  <c r="D71" i="55"/>
  <c r="C71" i="55"/>
  <c r="B71" i="55"/>
  <c r="F70" i="55"/>
  <c r="D70" i="55"/>
  <c r="C70" i="55"/>
  <c r="B70" i="55"/>
  <c r="F69" i="55"/>
  <c r="D69" i="55"/>
  <c r="C69" i="55"/>
  <c r="B69" i="55"/>
  <c r="F68" i="55"/>
  <c r="D68" i="55"/>
  <c r="C68" i="55"/>
  <c r="B68" i="55"/>
  <c r="F67" i="55"/>
  <c r="D67" i="55"/>
  <c r="C67" i="55"/>
  <c r="B67" i="55"/>
  <c r="F66" i="55"/>
  <c r="D66" i="55"/>
  <c r="C66" i="55"/>
  <c r="B66" i="55"/>
  <c r="T29" i="55"/>
  <c r="S28" i="55"/>
  <c r="S30" i="55" s="1"/>
  <c r="F71" i="54"/>
  <c r="D71" i="54"/>
  <c r="C71" i="54"/>
  <c r="B71" i="54"/>
  <c r="F70" i="54"/>
  <c r="D70" i="54"/>
  <c r="C70" i="54"/>
  <c r="B70" i="54"/>
  <c r="F69" i="54"/>
  <c r="D69" i="54"/>
  <c r="C69" i="54"/>
  <c r="B69" i="54"/>
  <c r="F68" i="54"/>
  <c r="D68" i="54"/>
  <c r="C68" i="54"/>
  <c r="B68" i="54"/>
  <c r="F67" i="54"/>
  <c r="D67" i="54"/>
  <c r="C67" i="54"/>
  <c r="B67" i="54"/>
  <c r="F66" i="54"/>
  <c r="D66" i="54"/>
  <c r="C66" i="54"/>
  <c r="B66" i="54"/>
  <c r="F65" i="54"/>
  <c r="D65" i="54"/>
  <c r="C65" i="54"/>
  <c r="B65" i="54"/>
  <c r="T29" i="54"/>
  <c r="S28" i="54"/>
  <c r="S30" i="54" s="1"/>
  <c r="C51" i="54"/>
  <c r="F69" i="53"/>
  <c r="D69" i="53"/>
  <c r="C69" i="53"/>
  <c r="B69" i="53"/>
  <c r="F68" i="53"/>
  <c r="D68" i="53"/>
  <c r="C68" i="53"/>
  <c r="B68" i="53"/>
  <c r="F67" i="53"/>
  <c r="D67" i="53"/>
  <c r="C67" i="53"/>
  <c r="B67" i="53"/>
  <c r="F66" i="53"/>
  <c r="D66" i="53"/>
  <c r="C66" i="53"/>
  <c r="B66" i="53"/>
  <c r="F65" i="53"/>
  <c r="C65" i="53"/>
  <c r="B65" i="53"/>
  <c r="D51" i="53"/>
  <c r="C51" i="53"/>
  <c r="R44" i="53"/>
  <c r="V40" i="53"/>
  <c r="T30" i="53"/>
  <c r="S30" i="53"/>
  <c r="U29" i="53"/>
  <c r="U32" i="53" s="1"/>
  <c r="U31" i="52"/>
  <c r="U29" i="52"/>
  <c r="F117" i="51"/>
  <c r="D117" i="51"/>
  <c r="C117" i="51"/>
  <c r="B117" i="51"/>
  <c r="F116" i="51"/>
  <c r="D116" i="51"/>
  <c r="C116" i="51"/>
  <c r="B116" i="51"/>
  <c r="F115" i="51"/>
  <c r="D115" i="51"/>
  <c r="C115" i="51"/>
  <c r="B115" i="51"/>
  <c r="F114" i="51"/>
  <c r="D114" i="51"/>
  <c r="C114" i="51"/>
  <c r="B114" i="51"/>
  <c r="F113" i="51"/>
  <c r="D113" i="51"/>
  <c r="C113" i="51"/>
  <c r="B113" i="51"/>
  <c r="F112" i="51"/>
  <c r="D112" i="51"/>
  <c r="C112" i="51"/>
  <c r="B112" i="51"/>
  <c r="F111" i="51"/>
  <c r="D111" i="51"/>
  <c r="C111" i="51"/>
  <c r="B111" i="51"/>
  <c r="F110" i="51"/>
  <c r="D110" i="51"/>
  <c r="C110" i="51"/>
  <c r="B110" i="51"/>
  <c r="F109" i="51"/>
  <c r="D109" i="51"/>
  <c r="C109" i="51"/>
  <c r="B109" i="51"/>
  <c r="F108" i="51"/>
  <c r="D108" i="51"/>
  <c r="C108" i="51"/>
  <c r="B108" i="51"/>
  <c r="F107" i="51"/>
  <c r="D107" i="51"/>
  <c r="C107" i="51"/>
  <c r="B107" i="51"/>
  <c r="F106" i="51"/>
  <c r="D106" i="51"/>
  <c r="C106" i="51"/>
  <c r="B106" i="51"/>
  <c r="F105" i="51"/>
  <c r="C105" i="51"/>
  <c r="B105" i="51"/>
  <c r="F96" i="51"/>
  <c r="D96" i="51"/>
  <c r="C96" i="51"/>
  <c r="B96" i="51"/>
  <c r="F95" i="51"/>
  <c r="D95" i="51"/>
  <c r="C95" i="51"/>
  <c r="B95" i="51"/>
  <c r="F94" i="51"/>
  <c r="D94" i="51"/>
  <c r="C94" i="51"/>
  <c r="B94" i="51"/>
  <c r="F93" i="51"/>
  <c r="D93" i="51"/>
  <c r="C93" i="51"/>
  <c r="B93" i="51"/>
  <c r="F92" i="51"/>
  <c r="D92" i="51"/>
  <c r="C92" i="51"/>
  <c r="B92" i="51"/>
  <c r="F91" i="51"/>
  <c r="D91" i="51"/>
  <c r="C91" i="51"/>
  <c r="B91" i="51"/>
  <c r="F90" i="51"/>
  <c r="D90" i="51"/>
  <c r="C90" i="51"/>
  <c r="B90" i="51"/>
  <c r="F89" i="51"/>
  <c r="D89" i="51"/>
  <c r="C89" i="51"/>
  <c r="B89" i="51"/>
  <c r="F88" i="51"/>
  <c r="D88" i="51"/>
  <c r="C88" i="51"/>
  <c r="B88" i="51"/>
  <c r="F87" i="51"/>
  <c r="D87" i="51"/>
  <c r="C87" i="51"/>
  <c r="B87" i="51"/>
  <c r="F86" i="51"/>
  <c r="D86" i="51"/>
  <c r="C86" i="51"/>
  <c r="B86" i="51"/>
  <c r="F85" i="51"/>
  <c r="D85" i="51"/>
  <c r="C85" i="51"/>
  <c r="B85" i="51"/>
  <c r="F84" i="51"/>
  <c r="C84" i="51"/>
  <c r="B84" i="51"/>
  <c r="F77" i="51"/>
  <c r="D77" i="51"/>
  <c r="C77" i="51"/>
  <c r="B77" i="51"/>
  <c r="F76" i="51"/>
  <c r="D76" i="51"/>
  <c r="C76" i="51"/>
  <c r="B76" i="51"/>
  <c r="F75" i="51"/>
  <c r="D75" i="51"/>
  <c r="C75" i="51"/>
  <c r="B75" i="51"/>
  <c r="F74" i="51"/>
  <c r="D74" i="51"/>
  <c r="C74" i="51"/>
  <c r="B74" i="51"/>
  <c r="F73" i="51"/>
  <c r="D73" i="51"/>
  <c r="C73" i="51"/>
  <c r="B73" i="51"/>
  <c r="F72" i="51"/>
  <c r="D72" i="51"/>
  <c r="C72" i="51"/>
  <c r="B72" i="51"/>
  <c r="F71" i="51"/>
  <c r="D71" i="51"/>
  <c r="C71" i="51"/>
  <c r="B71" i="51"/>
  <c r="F70" i="51"/>
  <c r="D70" i="51"/>
  <c r="C70" i="51"/>
  <c r="B70" i="51"/>
  <c r="F69" i="51"/>
  <c r="D69" i="51"/>
  <c r="C69" i="51"/>
  <c r="B69" i="51"/>
  <c r="F68" i="51"/>
  <c r="D68" i="51"/>
  <c r="C68" i="51"/>
  <c r="B68" i="51"/>
  <c r="F67" i="51"/>
  <c r="D67" i="51"/>
  <c r="C67" i="51"/>
  <c r="B67" i="51"/>
  <c r="F66" i="51"/>
  <c r="D66" i="51"/>
  <c r="C66" i="51"/>
  <c r="B66" i="51"/>
  <c r="F65" i="51"/>
  <c r="C65" i="51"/>
  <c r="B65" i="51"/>
  <c r="V44" i="51"/>
  <c r="U44" i="51"/>
  <c r="W44" i="51"/>
  <c r="T29" i="51"/>
  <c r="T28" i="51"/>
  <c r="R25" i="51"/>
  <c r="F77" i="50"/>
  <c r="D77" i="50"/>
  <c r="C77" i="50"/>
  <c r="B77" i="50"/>
  <c r="F76" i="50"/>
  <c r="D76" i="50"/>
  <c r="C76" i="50"/>
  <c r="B76" i="50"/>
  <c r="F75" i="50"/>
  <c r="D75" i="50"/>
  <c r="C75" i="50"/>
  <c r="B75" i="50"/>
  <c r="F74" i="50"/>
  <c r="D74" i="50"/>
  <c r="C74" i="50"/>
  <c r="B74" i="50"/>
  <c r="F73" i="50"/>
  <c r="D73" i="50"/>
  <c r="C73" i="50"/>
  <c r="B73" i="50"/>
  <c r="F72" i="50"/>
  <c r="D72" i="50"/>
  <c r="C72" i="50"/>
  <c r="B72" i="50"/>
  <c r="F71" i="50"/>
  <c r="D71" i="50"/>
  <c r="C71" i="50"/>
  <c r="B71" i="50"/>
  <c r="F70" i="50"/>
  <c r="D70" i="50"/>
  <c r="C70" i="50"/>
  <c r="B70" i="50"/>
  <c r="F69" i="50"/>
  <c r="D69" i="50"/>
  <c r="C69" i="50"/>
  <c r="B69" i="50"/>
  <c r="F68" i="50"/>
  <c r="D68" i="50"/>
  <c r="C68" i="50"/>
  <c r="B68" i="50"/>
  <c r="F67" i="50"/>
  <c r="D67" i="50"/>
  <c r="C67" i="50"/>
  <c r="B67" i="50"/>
  <c r="F66" i="50"/>
  <c r="D66" i="50"/>
  <c r="C66" i="50"/>
  <c r="B66" i="50"/>
  <c r="U29" i="50"/>
  <c r="U32" i="50" s="1"/>
  <c r="F77" i="49"/>
  <c r="D77" i="49"/>
  <c r="C77" i="49"/>
  <c r="B77" i="49"/>
  <c r="F76" i="49"/>
  <c r="D76" i="49"/>
  <c r="C76" i="49"/>
  <c r="B76" i="49"/>
  <c r="F75" i="49"/>
  <c r="D75" i="49"/>
  <c r="C75" i="49"/>
  <c r="B75" i="49"/>
  <c r="F74" i="49"/>
  <c r="D74" i="49"/>
  <c r="C74" i="49"/>
  <c r="B74" i="49"/>
  <c r="F73" i="49"/>
  <c r="D73" i="49"/>
  <c r="C73" i="49"/>
  <c r="B73" i="49"/>
  <c r="F72" i="49"/>
  <c r="D72" i="49"/>
  <c r="C72" i="49"/>
  <c r="B72" i="49"/>
  <c r="F71" i="49"/>
  <c r="D71" i="49"/>
  <c r="C71" i="49"/>
  <c r="B71" i="49"/>
  <c r="F70" i="49"/>
  <c r="D70" i="49"/>
  <c r="C70" i="49"/>
  <c r="B70" i="49"/>
  <c r="F69" i="49"/>
  <c r="D69" i="49"/>
  <c r="C69" i="49"/>
  <c r="B69" i="49"/>
  <c r="F68" i="49"/>
  <c r="D68" i="49"/>
  <c r="C68" i="49"/>
  <c r="B68" i="49"/>
  <c r="F67" i="49"/>
  <c r="D67" i="49"/>
  <c r="C67" i="49"/>
  <c r="B67" i="49"/>
  <c r="F66" i="49"/>
  <c r="D66" i="49"/>
  <c r="C66" i="49"/>
  <c r="B66" i="49"/>
  <c r="F65" i="49"/>
  <c r="C65" i="49"/>
  <c r="B65" i="49"/>
  <c r="D51" i="49"/>
  <c r="C51" i="49"/>
  <c r="F99" i="48"/>
  <c r="D99" i="48"/>
  <c r="C99" i="48"/>
  <c r="B99" i="48"/>
  <c r="F98" i="48"/>
  <c r="D98" i="48"/>
  <c r="C98" i="48"/>
  <c r="B98" i="48"/>
  <c r="F97" i="48"/>
  <c r="D97" i="48"/>
  <c r="C97" i="48"/>
  <c r="B97" i="48"/>
  <c r="F96" i="48"/>
  <c r="D96" i="48"/>
  <c r="C96" i="48"/>
  <c r="B96" i="48"/>
  <c r="F95" i="48"/>
  <c r="D95" i="48"/>
  <c r="C95" i="48"/>
  <c r="B95" i="48"/>
  <c r="F94" i="48"/>
  <c r="D94" i="48"/>
  <c r="C94" i="48"/>
  <c r="B94" i="48"/>
  <c r="F93" i="48"/>
  <c r="D93" i="48"/>
  <c r="C93" i="48"/>
  <c r="B93" i="48"/>
  <c r="F92" i="48"/>
  <c r="D92" i="48"/>
  <c r="C92" i="48"/>
  <c r="B92" i="48"/>
  <c r="F91" i="48"/>
  <c r="D91" i="48"/>
  <c r="C91" i="48"/>
  <c r="B91" i="48"/>
  <c r="F90" i="48"/>
  <c r="D90" i="48"/>
  <c r="C90" i="48"/>
  <c r="B90" i="48"/>
  <c r="F89" i="48"/>
  <c r="D89" i="48"/>
  <c r="C89" i="48"/>
  <c r="B89" i="48"/>
  <c r="F88" i="48"/>
  <c r="D88" i="48"/>
  <c r="C88" i="48"/>
  <c r="B88" i="48"/>
  <c r="F87" i="48"/>
  <c r="C87" i="48"/>
  <c r="B87" i="48"/>
  <c r="F77" i="48"/>
  <c r="D77" i="48"/>
  <c r="C77" i="48"/>
  <c r="B77" i="48"/>
  <c r="F76" i="48"/>
  <c r="D76" i="48"/>
  <c r="C76" i="48"/>
  <c r="B76" i="48"/>
  <c r="F75" i="48"/>
  <c r="D75" i="48"/>
  <c r="C75" i="48"/>
  <c r="B75" i="48"/>
  <c r="F74" i="48"/>
  <c r="D74" i="48"/>
  <c r="C74" i="48"/>
  <c r="B74" i="48"/>
  <c r="F73" i="48"/>
  <c r="D73" i="48"/>
  <c r="C73" i="48"/>
  <c r="B73" i="48"/>
  <c r="F72" i="48"/>
  <c r="D72" i="48"/>
  <c r="C72" i="48"/>
  <c r="B72" i="48"/>
  <c r="F71" i="48"/>
  <c r="D71" i="48"/>
  <c r="C71" i="48"/>
  <c r="B71" i="48"/>
  <c r="F70" i="48"/>
  <c r="D70" i="48"/>
  <c r="C70" i="48"/>
  <c r="B70" i="48"/>
  <c r="F69" i="48"/>
  <c r="D69" i="48"/>
  <c r="C69" i="48"/>
  <c r="B69" i="48"/>
  <c r="F68" i="48"/>
  <c r="D68" i="48"/>
  <c r="C68" i="48"/>
  <c r="B68" i="48"/>
  <c r="F67" i="48"/>
  <c r="D67" i="48"/>
  <c r="C67" i="48"/>
  <c r="B67" i="48"/>
  <c r="F66" i="48"/>
  <c r="D66" i="48"/>
  <c r="C66" i="48"/>
  <c r="B66" i="48"/>
  <c r="F65" i="48"/>
  <c r="C65" i="48"/>
  <c r="B65" i="48"/>
  <c r="V40" i="48"/>
  <c r="S30" i="48"/>
  <c r="T29" i="48"/>
  <c r="T28" i="48"/>
  <c r="S28" i="48"/>
  <c r="D51" i="48"/>
  <c r="K1" i="48"/>
  <c r="F105" i="47"/>
  <c r="D105" i="47"/>
  <c r="C105" i="47"/>
  <c r="B105" i="47"/>
  <c r="F104" i="47"/>
  <c r="D104" i="47"/>
  <c r="C104" i="47"/>
  <c r="B104" i="47"/>
  <c r="F103" i="47"/>
  <c r="D103" i="47"/>
  <c r="C103" i="47"/>
  <c r="B103" i="47"/>
  <c r="F102" i="47"/>
  <c r="D102" i="47"/>
  <c r="C102" i="47"/>
  <c r="B102" i="47"/>
  <c r="F101" i="47"/>
  <c r="D101" i="47"/>
  <c r="C101" i="47"/>
  <c r="B101" i="47"/>
  <c r="F100" i="47"/>
  <c r="D100" i="47"/>
  <c r="C100" i="47"/>
  <c r="B100" i="47"/>
  <c r="F99" i="47"/>
  <c r="D99" i="47"/>
  <c r="C99" i="47"/>
  <c r="B99" i="47"/>
  <c r="F98" i="47"/>
  <c r="D98" i="47"/>
  <c r="C98" i="47"/>
  <c r="B98" i="47"/>
  <c r="F97" i="47"/>
  <c r="D97" i="47"/>
  <c r="C97" i="47"/>
  <c r="B97" i="47"/>
  <c r="F96" i="47"/>
  <c r="D96" i="47"/>
  <c r="C96" i="47"/>
  <c r="B96" i="47"/>
  <c r="F95" i="47"/>
  <c r="D95" i="47"/>
  <c r="C95" i="47"/>
  <c r="B95" i="47"/>
  <c r="F94" i="47"/>
  <c r="D94" i="47"/>
  <c r="C94" i="47"/>
  <c r="B94" i="47"/>
  <c r="F93" i="47"/>
  <c r="D93" i="47"/>
  <c r="C93" i="47"/>
  <c r="B93" i="47"/>
  <c r="F92" i="47"/>
  <c r="D92" i="47"/>
  <c r="C92" i="47"/>
  <c r="B92" i="47"/>
  <c r="F91" i="47"/>
  <c r="D91" i="47"/>
  <c r="C91" i="47"/>
  <c r="B91" i="47"/>
  <c r="F90" i="47"/>
  <c r="D90" i="47"/>
  <c r="C90" i="47"/>
  <c r="B90" i="47"/>
  <c r="F89" i="47"/>
  <c r="C89" i="47"/>
  <c r="B89" i="47"/>
  <c r="F81" i="47"/>
  <c r="D81" i="47"/>
  <c r="C81" i="47"/>
  <c r="B81" i="47"/>
  <c r="F80" i="47"/>
  <c r="D80" i="47"/>
  <c r="C80" i="47"/>
  <c r="B80" i="47"/>
  <c r="F79" i="47"/>
  <c r="D79" i="47"/>
  <c r="C79" i="47"/>
  <c r="B79" i="47"/>
  <c r="F78" i="47"/>
  <c r="D78" i="47"/>
  <c r="C78" i="47"/>
  <c r="B78" i="47"/>
  <c r="F77" i="47"/>
  <c r="D77" i="47"/>
  <c r="C77" i="47"/>
  <c r="B77" i="47"/>
  <c r="F76" i="47"/>
  <c r="D76" i="47"/>
  <c r="C76" i="47"/>
  <c r="B76" i="47"/>
  <c r="F75" i="47"/>
  <c r="D75" i="47"/>
  <c r="C75" i="47"/>
  <c r="B75" i="47"/>
  <c r="F74" i="47"/>
  <c r="D74" i="47"/>
  <c r="C74" i="47"/>
  <c r="B74" i="47"/>
  <c r="F73" i="47"/>
  <c r="D73" i="47"/>
  <c r="C73" i="47"/>
  <c r="B73" i="47"/>
  <c r="F72" i="47"/>
  <c r="D72" i="47"/>
  <c r="C72" i="47"/>
  <c r="B72" i="47"/>
  <c r="F71" i="47"/>
  <c r="D71" i="47"/>
  <c r="C71" i="47"/>
  <c r="B71" i="47"/>
  <c r="F70" i="47"/>
  <c r="D70" i="47"/>
  <c r="C70" i="47"/>
  <c r="B70" i="47"/>
  <c r="F69" i="47"/>
  <c r="D69" i="47"/>
  <c r="C69" i="47"/>
  <c r="B69" i="47"/>
  <c r="F68" i="47"/>
  <c r="D68" i="47"/>
  <c r="C68" i="47"/>
  <c r="B68" i="47"/>
  <c r="F67" i="47"/>
  <c r="D67" i="47"/>
  <c r="C67" i="47"/>
  <c r="B67" i="47"/>
  <c r="F66" i="47"/>
  <c r="D66" i="47"/>
  <c r="C66" i="47"/>
  <c r="B66" i="47"/>
  <c r="F65" i="47"/>
  <c r="C65" i="47"/>
  <c r="B65" i="47"/>
  <c r="V40" i="47"/>
  <c r="T30" i="47"/>
  <c r="S30" i="47"/>
  <c r="U29" i="47"/>
  <c r="U32" i="47" s="1"/>
  <c r="AC30" i="47" s="1"/>
  <c r="T28" i="47"/>
  <c r="S28" i="47"/>
  <c r="D51" i="47"/>
  <c r="C51" i="47"/>
  <c r="F75" i="46"/>
  <c r="D75" i="46"/>
  <c r="C75" i="46"/>
  <c r="B75" i="46"/>
  <c r="F74" i="46"/>
  <c r="D74" i="46"/>
  <c r="C74" i="46"/>
  <c r="B74" i="46"/>
  <c r="F73" i="46"/>
  <c r="D73" i="46"/>
  <c r="C73" i="46"/>
  <c r="B73" i="46"/>
  <c r="F72" i="46"/>
  <c r="D72" i="46"/>
  <c r="C72" i="46"/>
  <c r="B72" i="46"/>
  <c r="F71" i="46"/>
  <c r="D71" i="46"/>
  <c r="C71" i="46"/>
  <c r="B71" i="46"/>
  <c r="F70" i="46"/>
  <c r="D70" i="46"/>
  <c r="C70" i="46"/>
  <c r="B70" i="46"/>
  <c r="F69" i="46"/>
  <c r="D69" i="46"/>
  <c r="C69" i="46"/>
  <c r="B69" i="46"/>
  <c r="F68" i="46"/>
  <c r="D68" i="46"/>
  <c r="C68" i="46"/>
  <c r="B68" i="46"/>
  <c r="F67" i="46"/>
  <c r="D67" i="46"/>
  <c r="C67" i="46"/>
  <c r="B67" i="46"/>
  <c r="F66" i="46"/>
  <c r="D66" i="46"/>
  <c r="C66" i="46"/>
  <c r="B66" i="46"/>
  <c r="F65" i="46"/>
  <c r="C65" i="46"/>
  <c r="B65" i="46"/>
  <c r="V40" i="46"/>
  <c r="T30" i="46"/>
  <c r="S30" i="46"/>
  <c r="T28" i="46"/>
  <c r="S28" i="46"/>
  <c r="D51" i="46"/>
  <c r="R44" i="46"/>
  <c r="K1" i="46"/>
  <c r="C51" i="46"/>
  <c r="F105" i="45"/>
  <c r="D105" i="45"/>
  <c r="C105" i="45"/>
  <c r="B105" i="45"/>
  <c r="F104" i="45"/>
  <c r="C104" i="45"/>
  <c r="B104" i="45"/>
  <c r="F103" i="45"/>
  <c r="C103" i="45"/>
  <c r="B103" i="45"/>
  <c r="F102" i="45"/>
  <c r="C102" i="45"/>
  <c r="B102" i="45"/>
  <c r="F101" i="45"/>
  <c r="D101" i="45"/>
  <c r="C101" i="45"/>
  <c r="B101" i="45"/>
  <c r="F100" i="45"/>
  <c r="C100" i="45"/>
  <c r="B100" i="45"/>
  <c r="F99" i="45"/>
  <c r="D99" i="45"/>
  <c r="C99" i="45"/>
  <c r="B99" i="45"/>
  <c r="F98" i="45"/>
  <c r="D98" i="45"/>
  <c r="C98" i="45"/>
  <c r="B98" i="45"/>
  <c r="F97" i="45"/>
  <c r="C97" i="45"/>
  <c r="B97" i="45"/>
  <c r="F96" i="45"/>
  <c r="D96" i="45"/>
  <c r="C96" i="45"/>
  <c r="B96" i="45"/>
  <c r="F95" i="45"/>
  <c r="D95" i="45"/>
  <c r="C95" i="45"/>
  <c r="B95" i="45"/>
  <c r="F94" i="45"/>
  <c r="D94" i="45"/>
  <c r="C94" i="45"/>
  <c r="B94" i="45"/>
  <c r="F93" i="45"/>
  <c r="D93" i="45"/>
  <c r="C93" i="45"/>
  <c r="B93" i="45"/>
  <c r="F92" i="45"/>
  <c r="D92" i="45"/>
  <c r="C92" i="45"/>
  <c r="B92" i="45"/>
  <c r="F91" i="45"/>
  <c r="C91" i="45"/>
  <c r="B91" i="45"/>
  <c r="F80" i="45"/>
  <c r="D80" i="45"/>
  <c r="C80" i="45"/>
  <c r="B80" i="45"/>
  <c r="F79" i="45"/>
  <c r="C79" i="45"/>
  <c r="B79" i="45"/>
  <c r="F78" i="45"/>
  <c r="C78" i="45"/>
  <c r="B78" i="45"/>
  <c r="F77" i="45"/>
  <c r="C77" i="45"/>
  <c r="B77" i="45"/>
  <c r="F76" i="45"/>
  <c r="D76" i="45"/>
  <c r="C76" i="45"/>
  <c r="B76" i="45"/>
  <c r="F75" i="45"/>
  <c r="C75" i="45"/>
  <c r="B75" i="45"/>
  <c r="F74" i="45"/>
  <c r="D74" i="45"/>
  <c r="C74" i="45"/>
  <c r="B74" i="45"/>
  <c r="F73" i="45"/>
  <c r="D73" i="45"/>
  <c r="C73" i="45"/>
  <c r="B73" i="45"/>
  <c r="F72" i="45"/>
  <c r="C72" i="45"/>
  <c r="B72" i="45"/>
  <c r="F71" i="45"/>
  <c r="D71" i="45"/>
  <c r="C71" i="45"/>
  <c r="B71" i="45"/>
  <c r="F70" i="45"/>
  <c r="D70" i="45"/>
  <c r="C70" i="45"/>
  <c r="B70" i="45"/>
  <c r="F69" i="45"/>
  <c r="D69" i="45"/>
  <c r="C69" i="45"/>
  <c r="B69" i="45"/>
  <c r="F68" i="45"/>
  <c r="D68" i="45"/>
  <c r="C68" i="45"/>
  <c r="B68" i="45"/>
  <c r="F67" i="45"/>
  <c r="D67" i="45"/>
  <c r="C67" i="45"/>
  <c r="B67" i="45"/>
  <c r="F66" i="45"/>
  <c r="C66" i="45"/>
  <c r="B66" i="45"/>
  <c r="U29" i="45"/>
  <c r="F105" i="44"/>
  <c r="D105" i="44"/>
  <c r="C105" i="44"/>
  <c r="B105" i="44"/>
  <c r="F104" i="44"/>
  <c r="D104" i="44"/>
  <c r="C104" i="44"/>
  <c r="B104" i="44"/>
  <c r="F103" i="44"/>
  <c r="D103" i="44"/>
  <c r="C103" i="44"/>
  <c r="B103" i="44"/>
  <c r="F102" i="44"/>
  <c r="D102" i="44"/>
  <c r="C102" i="44"/>
  <c r="B102" i="44"/>
  <c r="F101" i="44"/>
  <c r="D101" i="44"/>
  <c r="C101" i="44"/>
  <c r="B101" i="44"/>
  <c r="F100" i="44"/>
  <c r="D100" i="44"/>
  <c r="C100" i="44"/>
  <c r="B100" i="44"/>
  <c r="F99" i="44"/>
  <c r="D99" i="44"/>
  <c r="C99" i="44"/>
  <c r="B99" i="44"/>
  <c r="F98" i="44"/>
  <c r="D98" i="44"/>
  <c r="C98" i="44"/>
  <c r="B98" i="44"/>
  <c r="F97" i="44"/>
  <c r="D97" i="44"/>
  <c r="C97" i="44"/>
  <c r="B97" i="44"/>
  <c r="F96" i="44"/>
  <c r="D96" i="44"/>
  <c r="C96" i="44"/>
  <c r="B96" i="44"/>
  <c r="F95" i="44"/>
  <c r="D95" i="44"/>
  <c r="C95" i="44"/>
  <c r="B95" i="44"/>
  <c r="F94" i="44"/>
  <c r="D94" i="44"/>
  <c r="C94" i="44"/>
  <c r="B94" i="44"/>
  <c r="F93" i="44"/>
  <c r="D93" i="44"/>
  <c r="C93" i="44"/>
  <c r="B93" i="44"/>
  <c r="F92" i="44"/>
  <c r="D92" i="44"/>
  <c r="C92" i="44"/>
  <c r="B92" i="44"/>
  <c r="F91" i="44"/>
  <c r="D91" i="44"/>
  <c r="C91" i="44"/>
  <c r="B91" i="44"/>
  <c r="F90" i="44"/>
  <c r="C90" i="44"/>
  <c r="B90" i="44"/>
  <c r="F80" i="44"/>
  <c r="D80" i="44"/>
  <c r="C80" i="44"/>
  <c r="B80" i="44"/>
  <c r="F79" i="44"/>
  <c r="D79" i="44"/>
  <c r="C79" i="44"/>
  <c r="B79" i="44"/>
  <c r="F78" i="44"/>
  <c r="D78" i="44"/>
  <c r="C78" i="44"/>
  <c r="B78" i="44"/>
  <c r="F77" i="44"/>
  <c r="D77" i="44"/>
  <c r="C77" i="44"/>
  <c r="B77" i="44"/>
  <c r="F76" i="44"/>
  <c r="D76" i="44"/>
  <c r="C76" i="44"/>
  <c r="B76" i="44"/>
  <c r="F75" i="44"/>
  <c r="D75" i="44"/>
  <c r="C75" i="44"/>
  <c r="B75" i="44"/>
  <c r="F74" i="44"/>
  <c r="D74" i="44"/>
  <c r="C74" i="44"/>
  <c r="B74" i="44"/>
  <c r="F73" i="44"/>
  <c r="D73" i="44"/>
  <c r="C73" i="44"/>
  <c r="B73" i="44"/>
  <c r="F72" i="44"/>
  <c r="D72" i="44"/>
  <c r="C72" i="44"/>
  <c r="B72" i="44"/>
  <c r="F71" i="44"/>
  <c r="D71" i="44"/>
  <c r="C71" i="44"/>
  <c r="B71" i="44"/>
  <c r="F70" i="44"/>
  <c r="D70" i="44"/>
  <c r="C70" i="44"/>
  <c r="B70" i="44"/>
  <c r="F69" i="44"/>
  <c r="D69" i="44"/>
  <c r="C69" i="44"/>
  <c r="B69" i="44"/>
  <c r="F68" i="44"/>
  <c r="D68" i="44"/>
  <c r="C68" i="44"/>
  <c r="B68" i="44"/>
  <c r="F67" i="44"/>
  <c r="D67" i="44"/>
  <c r="C67" i="44"/>
  <c r="B67" i="44"/>
  <c r="F66" i="44"/>
  <c r="D66" i="44"/>
  <c r="C66" i="44"/>
  <c r="B66" i="44"/>
  <c r="F65" i="44"/>
  <c r="C65" i="44"/>
  <c r="B65" i="44"/>
  <c r="V40" i="44"/>
  <c r="T30" i="44"/>
  <c r="S30" i="44"/>
  <c r="U29" i="44"/>
  <c r="U32" i="44" s="1"/>
  <c r="AC30" i="44" s="1"/>
  <c r="T28" i="44"/>
  <c r="S28" i="44"/>
  <c r="D51" i="44"/>
  <c r="R44" i="44"/>
  <c r="K1" i="44"/>
  <c r="C51" i="44" s="1"/>
  <c r="F96" i="43"/>
  <c r="D96" i="43"/>
  <c r="C96" i="43"/>
  <c r="B96" i="43"/>
  <c r="F95" i="43"/>
  <c r="D95" i="43"/>
  <c r="C95" i="43"/>
  <c r="B95" i="43"/>
  <c r="F94" i="43"/>
  <c r="D94" i="43"/>
  <c r="C94" i="43"/>
  <c r="B94" i="43"/>
  <c r="F93" i="43"/>
  <c r="D93" i="43"/>
  <c r="C93" i="43"/>
  <c r="B93" i="43"/>
  <c r="F92" i="43"/>
  <c r="D92" i="43"/>
  <c r="C92" i="43"/>
  <c r="B92" i="43"/>
  <c r="F91" i="43"/>
  <c r="D91" i="43"/>
  <c r="C91" i="43"/>
  <c r="B91" i="43"/>
  <c r="F90" i="43"/>
  <c r="D90" i="43"/>
  <c r="C90" i="43"/>
  <c r="B90" i="43"/>
  <c r="F89" i="43"/>
  <c r="D89" i="43"/>
  <c r="C89" i="43"/>
  <c r="B89" i="43"/>
  <c r="F88" i="43"/>
  <c r="D88" i="43"/>
  <c r="C88" i="43"/>
  <c r="B88" i="43"/>
  <c r="F87" i="43"/>
  <c r="D87" i="43"/>
  <c r="C87" i="43"/>
  <c r="B87" i="43"/>
  <c r="F86" i="43"/>
  <c r="D86" i="43"/>
  <c r="C86" i="43"/>
  <c r="B86" i="43"/>
  <c r="F85" i="43"/>
  <c r="D85" i="43"/>
  <c r="C85" i="43"/>
  <c r="B85" i="43"/>
  <c r="F84" i="43"/>
  <c r="C84" i="43"/>
  <c r="B84" i="43"/>
  <c r="F77" i="43"/>
  <c r="D77" i="43"/>
  <c r="C77" i="43"/>
  <c r="B77" i="43"/>
  <c r="F76" i="43"/>
  <c r="D76" i="43"/>
  <c r="C76" i="43"/>
  <c r="B76" i="43"/>
  <c r="F75" i="43"/>
  <c r="D75" i="43"/>
  <c r="C75" i="43"/>
  <c r="B75" i="43"/>
  <c r="F74" i="43"/>
  <c r="D74" i="43"/>
  <c r="C74" i="43"/>
  <c r="B74" i="43"/>
  <c r="F73" i="43"/>
  <c r="D73" i="43"/>
  <c r="C73" i="43"/>
  <c r="B73" i="43"/>
  <c r="F72" i="43"/>
  <c r="D72" i="43"/>
  <c r="C72" i="43"/>
  <c r="B72" i="43"/>
  <c r="F71" i="43"/>
  <c r="D71" i="43"/>
  <c r="C71" i="43"/>
  <c r="B71" i="43"/>
  <c r="F70" i="43"/>
  <c r="D70" i="43"/>
  <c r="C70" i="43"/>
  <c r="B70" i="43"/>
  <c r="F69" i="43"/>
  <c r="D69" i="43"/>
  <c r="C69" i="43"/>
  <c r="B69" i="43"/>
  <c r="F68" i="43"/>
  <c r="D68" i="43"/>
  <c r="C68" i="43"/>
  <c r="B68" i="43"/>
  <c r="F67" i="43"/>
  <c r="D67" i="43"/>
  <c r="C67" i="43"/>
  <c r="B67" i="43"/>
  <c r="F66" i="43"/>
  <c r="D66" i="43"/>
  <c r="C66" i="43"/>
  <c r="B66" i="43"/>
  <c r="F65" i="43"/>
  <c r="C65" i="43"/>
  <c r="B65" i="43"/>
  <c r="V40" i="43"/>
  <c r="U30" i="43"/>
  <c r="U32" i="43" s="1"/>
  <c r="S30" i="43"/>
  <c r="T32" i="43"/>
  <c r="S28" i="43"/>
  <c r="D51" i="43"/>
  <c r="R44" i="43" s="1"/>
  <c r="C51" i="43"/>
  <c r="F72" i="42"/>
  <c r="D72" i="42"/>
  <c r="C72" i="42"/>
  <c r="B72" i="42"/>
  <c r="F71" i="42"/>
  <c r="D71" i="42"/>
  <c r="C71" i="42"/>
  <c r="B71" i="42"/>
  <c r="F70" i="42"/>
  <c r="D70" i="42"/>
  <c r="C70" i="42"/>
  <c r="B70" i="42"/>
  <c r="F69" i="42"/>
  <c r="D69" i="42"/>
  <c r="C69" i="42"/>
  <c r="B69" i="42"/>
  <c r="F68" i="42"/>
  <c r="D68" i="42"/>
  <c r="C68" i="42"/>
  <c r="B68" i="42"/>
  <c r="F67" i="42"/>
  <c r="D67" i="42"/>
  <c r="C67" i="42"/>
  <c r="B67" i="42"/>
  <c r="F66" i="42"/>
  <c r="D66" i="42"/>
  <c r="C66" i="42"/>
  <c r="B66" i="42"/>
  <c r="F65" i="42"/>
  <c r="D65" i="42"/>
  <c r="C65" i="42"/>
  <c r="B65" i="42"/>
  <c r="F90" i="41"/>
  <c r="D90" i="41"/>
  <c r="C90" i="41"/>
  <c r="B90" i="41"/>
  <c r="F89" i="41"/>
  <c r="D89" i="41"/>
  <c r="C89" i="41"/>
  <c r="B89" i="41"/>
  <c r="F88" i="41"/>
  <c r="D88" i="41"/>
  <c r="C88" i="41"/>
  <c r="B88" i="41"/>
  <c r="F87" i="41"/>
  <c r="D87" i="41"/>
  <c r="C87" i="41"/>
  <c r="B87" i="41"/>
  <c r="F86" i="41"/>
  <c r="D86" i="41"/>
  <c r="C86" i="41"/>
  <c r="B86" i="41"/>
  <c r="F85" i="41"/>
  <c r="D85" i="41"/>
  <c r="C85" i="41"/>
  <c r="B85" i="41"/>
  <c r="F84" i="41"/>
  <c r="D84" i="41"/>
  <c r="C84" i="41"/>
  <c r="B84" i="41"/>
  <c r="F83" i="41"/>
  <c r="D83" i="41"/>
  <c r="C83" i="41"/>
  <c r="B83" i="41"/>
  <c r="F82" i="41"/>
  <c r="D82" i="41"/>
  <c r="C82" i="41"/>
  <c r="B82" i="41"/>
  <c r="F81" i="41"/>
  <c r="C81" i="41"/>
  <c r="B81" i="41"/>
  <c r="F74" i="41"/>
  <c r="D74" i="41"/>
  <c r="C74" i="41"/>
  <c r="B74" i="41"/>
  <c r="F73" i="41"/>
  <c r="D73" i="41"/>
  <c r="C73" i="41"/>
  <c r="B73" i="41"/>
  <c r="F72" i="41"/>
  <c r="D72" i="41"/>
  <c r="C72" i="41"/>
  <c r="B72" i="41"/>
  <c r="F71" i="41"/>
  <c r="D71" i="41"/>
  <c r="C71" i="41"/>
  <c r="B71" i="41"/>
  <c r="F70" i="41"/>
  <c r="D70" i="41"/>
  <c r="C70" i="41"/>
  <c r="B70" i="41"/>
  <c r="F69" i="41"/>
  <c r="D69" i="41"/>
  <c r="C69" i="41"/>
  <c r="B69" i="41"/>
  <c r="F68" i="41"/>
  <c r="D68" i="41"/>
  <c r="C68" i="41"/>
  <c r="B68" i="41"/>
  <c r="F67" i="41"/>
  <c r="D67" i="41"/>
  <c r="C67" i="41"/>
  <c r="B67" i="41"/>
  <c r="F66" i="41"/>
  <c r="D66" i="41"/>
  <c r="C66" i="41"/>
  <c r="B66" i="41"/>
  <c r="F65" i="41"/>
  <c r="C65" i="41"/>
  <c r="B65" i="41"/>
  <c r="V40" i="41"/>
  <c r="T30" i="41"/>
  <c r="S30" i="41"/>
  <c r="U29" i="41"/>
  <c r="U32" i="41" s="1"/>
  <c r="AD30" i="41" s="1"/>
  <c r="T28" i="41"/>
  <c r="S28" i="41"/>
  <c r="D51" i="41"/>
  <c r="R44" i="41" s="1"/>
  <c r="C51" i="41"/>
  <c r="F73" i="40"/>
  <c r="D73" i="40"/>
  <c r="C73" i="40"/>
  <c r="B73" i="40"/>
  <c r="F72" i="40"/>
  <c r="D72" i="40"/>
  <c r="C72" i="40"/>
  <c r="B72" i="40"/>
  <c r="F71" i="40"/>
  <c r="D71" i="40"/>
  <c r="C71" i="40"/>
  <c r="B71" i="40"/>
  <c r="F70" i="40"/>
  <c r="D70" i="40"/>
  <c r="C70" i="40"/>
  <c r="B70" i="40"/>
  <c r="F69" i="40"/>
  <c r="D69" i="40"/>
  <c r="C69" i="40"/>
  <c r="B69" i="40"/>
  <c r="F68" i="40"/>
  <c r="D68" i="40"/>
  <c r="C68" i="40"/>
  <c r="B68" i="40"/>
  <c r="F67" i="40"/>
  <c r="D67" i="40"/>
  <c r="C67" i="40"/>
  <c r="B67" i="40"/>
  <c r="F66" i="40"/>
  <c r="D66" i="40"/>
  <c r="C66" i="40"/>
  <c r="B66" i="40"/>
  <c r="F65" i="40"/>
  <c r="D65" i="40"/>
  <c r="C65" i="40"/>
  <c r="B65" i="40"/>
  <c r="T29" i="40"/>
  <c r="C51" i="40"/>
  <c r="F71" i="39"/>
  <c r="D71" i="39"/>
  <c r="C71" i="39"/>
  <c r="B71" i="39"/>
  <c r="F70" i="39"/>
  <c r="D70" i="39"/>
  <c r="C70" i="39"/>
  <c r="B70" i="39"/>
  <c r="F69" i="39"/>
  <c r="D69" i="39"/>
  <c r="C69" i="39"/>
  <c r="B69" i="39"/>
  <c r="F68" i="39"/>
  <c r="D68" i="39"/>
  <c r="C68" i="39"/>
  <c r="B68" i="39"/>
  <c r="F67" i="39"/>
  <c r="D67" i="39"/>
  <c r="C67" i="39"/>
  <c r="B67" i="39"/>
  <c r="F66" i="39"/>
  <c r="D66" i="39"/>
  <c r="C66" i="39"/>
  <c r="B66" i="39"/>
  <c r="F71" i="38"/>
  <c r="D71" i="38"/>
  <c r="C71" i="38"/>
  <c r="B71" i="38"/>
  <c r="F70" i="38"/>
  <c r="D70" i="38"/>
  <c r="C70" i="38"/>
  <c r="B70" i="38"/>
  <c r="F69" i="38"/>
  <c r="D69" i="38"/>
  <c r="C69" i="38"/>
  <c r="B69" i="38"/>
  <c r="F68" i="38"/>
  <c r="D68" i="38"/>
  <c r="C68" i="38"/>
  <c r="B68" i="38"/>
  <c r="F67" i="38"/>
  <c r="D67" i="38"/>
  <c r="C67" i="38"/>
  <c r="B67" i="38"/>
  <c r="F66" i="38"/>
  <c r="D66" i="38"/>
  <c r="C66" i="38"/>
  <c r="B66" i="38"/>
  <c r="F65" i="38"/>
  <c r="D65" i="38"/>
  <c r="C65" i="38"/>
  <c r="B65" i="38"/>
  <c r="S28" i="38"/>
  <c r="S30" i="38" s="1"/>
  <c r="F70" i="37"/>
  <c r="D70" i="37"/>
  <c r="C70" i="37"/>
  <c r="B70" i="37"/>
  <c r="F69" i="37"/>
  <c r="D69" i="37"/>
  <c r="C69" i="37"/>
  <c r="B69" i="37"/>
  <c r="F68" i="37"/>
  <c r="D68" i="37"/>
  <c r="C68" i="37"/>
  <c r="B68" i="37"/>
  <c r="F67" i="37"/>
  <c r="D67" i="37"/>
  <c r="C67" i="37"/>
  <c r="B67" i="37"/>
  <c r="F66" i="37"/>
  <c r="D66" i="37"/>
  <c r="C66" i="37"/>
  <c r="B66" i="37"/>
  <c r="F65" i="37"/>
  <c r="C65" i="37"/>
  <c r="B65" i="37"/>
  <c r="D51" i="37"/>
  <c r="R44" i="37" s="1"/>
  <c r="C51" i="37"/>
  <c r="V40" i="37"/>
  <c r="T32" i="37"/>
  <c r="U29" i="37"/>
  <c r="U32" i="37" s="1"/>
  <c r="T35" i="36"/>
  <c r="T34" i="36"/>
  <c r="T32" i="36"/>
  <c r="AO1" i="36"/>
  <c r="T31" i="36"/>
  <c r="U31" i="36"/>
  <c r="U30" i="36"/>
  <c r="U29" i="36"/>
  <c r="U28" i="36"/>
  <c r="F93" i="35"/>
  <c r="D93" i="35"/>
  <c r="C93" i="35"/>
  <c r="B93" i="35"/>
  <c r="F92" i="35"/>
  <c r="D92" i="35"/>
  <c r="C92" i="35"/>
  <c r="B92" i="35"/>
  <c r="F91" i="35"/>
  <c r="D91" i="35"/>
  <c r="C91" i="35"/>
  <c r="B91" i="35"/>
  <c r="F90" i="35"/>
  <c r="D90" i="35"/>
  <c r="C90" i="35"/>
  <c r="B90" i="35"/>
  <c r="F89" i="35"/>
  <c r="C89" i="35"/>
  <c r="B89" i="35"/>
  <c r="F79" i="35"/>
  <c r="D79" i="35"/>
  <c r="C79" i="35"/>
  <c r="B79" i="35"/>
  <c r="F78" i="35"/>
  <c r="D78" i="35"/>
  <c r="C78" i="35"/>
  <c r="B78" i="35"/>
  <c r="F77" i="35"/>
  <c r="D77" i="35"/>
  <c r="C77" i="35"/>
  <c r="B77" i="35"/>
  <c r="F76" i="35"/>
  <c r="C76" i="35"/>
  <c r="B76" i="35"/>
  <c r="F69" i="35"/>
  <c r="D69" i="35"/>
  <c r="C69" i="35"/>
  <c r="B69" i="35"/>
  <c r="F68" i="35"/>
  <c r="D68" i="35"/>
  <c r="C68" i="35"/>
  <c r="B68" i="35"/>
  <c r="F67" i="35"/>
  <c r="D67" i="35"/>
  <c r="C67" i="35"/>
  <c r="B67" i="35"/>
  <c r="F66" i="35"/>
  <c r="D66" i="35"/>
  <c r="C66" i="35"/>
  <c r="B66" i="35"/>
  <c r="F65" i="35"/>
  <c r="C65" i="35"/>
  <c r="B65" i="35"/>
  <c r="V44" i="35"/>
  <c r="U44" i="35"/>
  <c r="W44" i="35" s="1"/>
  <c r="J51" i="35" s="1"/>
  <c r="I51" i="35" s="1"/>
  <c r="D5" i="35" s="1"/>
  <c r="T29" i="35"/>
  <c r="AA28" i="35"/>
  <c r="AB28" i="35" s="1"/>
  <c r="T28" i="35"/>
  <c r="R25" i="35"/>
  <c r="F96" i="34"/>
  <c r="D96" i="34"/>
  <c r="C96" i="34"/>
  <c r="B96" i="34"/>
  <c r="F95" i="34"/>
  <c r="D95" i="34"/>
  <c r="C95" i="34"/>
  <c r="B95" i="34"/>
  <c r="F94" i="34"/>
  <c r="D94" i="34"/>
  <c r="C94" i="34"/>
  <c r="B94" i="34"/>
  <c r="F93" i="34"/>
  <c r="D93" i="34"/>
  <c r="C93" i="34"/>
  <c r="B93" i="34"/>
  <c r="F92" i="34"/>
  <c r="D92" i="34"/>
  <c r="C92" i="34"/>
  <c r="B92" i="34"/>
  <c r="F91" i="34"/>
  <c r="C91" i="34"/>
  <c r="B91" i="34"/>
  <c r="F82" i="34"/>
  <c r="D82" i="34"/>
  <c r="C82" i="34"/>
  <c r="B82" i="34"/>
  <c r="F81" i="34"/>
  <c r="D81" i="34"/>
  <c r="C81" i="34"/>
  <c r="B81" i="34"/>
  <c r="F80" i="34"/>
  <c r="D80" i="34"/>
  <c r="C80" i="34"/>
  <c r="B80" i="34"/>
  <c r="F79" i="34"/>
  <c r="D79" i="34"/>
  <c r="C79" i="34"/>
  <c r="B79" i="34"/>
  <c r="F78" i="34"/>
  <c r="D78" i="34"/>
  <c r="C78" i="34"/>
  <c r="B78" i="34"/>
  <c r="F77" i="34"/>
  <c r="C77" i="34"/>
  <c r="B77" i="34"/>
  <c r="F70" i="34"/>
  <c r="D70" i="34"/>
  <c r="C70" i="34"/>
  <c r="B70" i="34"/>
  <c r="F69" i="34"/>
  <c r="D69" i="34"/>
  <c r="C69" i="34"/>
  <c r="B69" i="34"/>
  <c r="F68" i="34"/>
  <c r="D68" i="34"/>
  <c r="C68" i="34"/>
  <c r="B68" i="34"/>
  <c r="F67" i="34"/>
  <c r="D67" i="34"/>
  <c r="C67" i="34"/>
  <c r="B67" i="34"/>
  <c r="F66" i="34"/>
  <c r="D66" i="34"/>
  <c r="C66" i="34"/>
  <c r="B66" i="34"/>
  <c r="F65" i="34"/>
  <c r="C65" i="34"/>
  <c r="B65" i="34"/>
  <c r="V44" i="34"/>
  <c r="U44" i="34"/>
  <c r="W44" i="34" s="1"/>
  <c r="J51" i="34" s="1"/>
  <c r="I51" i="34" s="1"/>
  <c r="D5" i="34" s="1"/>
  <c r="D1" i="34"/>
  <c r="H5" i="34" s="1"/>
  <c r="T29" i="34"/>
  <c r="AA28" i="34"/>
  <c r="T28" i="34"/>
  <c r="R25" i="34"/>
  <c r="F112" i="33"/>
  <c r="C112" i="33"/>
  <c r="B112" i="33"/>
  <c r="F111" i="33"/>
  <c r="C111" i="33"/>
  <c r="B111" i="33"/>
  <c r="F110" i="33"/>
  <c r="C110" i="33"/>
  <c r="B110" i="33"/>
  <c r="F109" i="33"/>
  <c r="C109" i="33"/>
  <c r="B109" i="33"/>
  <c r="F108" i="33"/>
  <c r="C108" i="33"/>
  <c r="B108" i="33"/>
  <c r="F107" i="33"/>
  <c r="C107" i="33"/>
  <c r="B107" i="33"/>
  <c r="F106" i="33"/>
  <c r="C106" i="33"/>
  <c r="B106" i="33"/>
  <c r="F105" i="33"/>
  <c r="C105" i="33"/>
  <c r="B105" i="33"/>
  <c r="F104" i="33"/>
  <c r="C104" i="33"/>
  <c r="B104" i="33"/>
  <c r="F103" i="33"/>
  <c r="C103" i="33"/>
  <c r="B103" i="33"/>
  <c r="F102" i="33"/>
  <c r="C102" i="33"/>
  <c r="B102" i="33"/>
  <c r="F101" i="33"/>
  <c r="C101" i="33"/>
  <c r="B101" i="33"/>
  <c r="F100" i="33"/>
  <c r="C100" i="33"/>
  <c r="B100" i="33"/>
  <c r="F99" i="33"/>
  <c r="C99" i="33"/>
  <c r="B99" i="33"/>
  <c r="F98" i="33"/>
  <c r="C98" i="33"/>
  <c r="B98" i="33"/>
  <c r="F97" i="33"/>
  <c r="C97" i="33"/>
  <c r="B97" i="33"/>
  <c r="F96" i="33"/>
  <c r="C96" i="33"/>
  <c r="B96" i="33"/>
  <c r="F95" i="33"/>
  <c r="C95" i="33"/>
  <c r="B95" i="33"/>
  <c r="F94" i="33"/>
  <c r="C94" i="33"/>
  <c r="B94" i="33"/>
  <c r="F93" i="33"/>
  <c r="C93" i="33"/>
  <c r="B93" i="33"/>
  <c r="F84" i="33"/>
  <c r="D84" i="33"/>
  <c r="C84" i="33"/>
  <c r="B84" i="33"/>
  <c r="F83" i="33"/>
  <c r="D83" i="33"/>
  <c r="C83" i="33"/>
  <c r="B83" i="33"/>
  <c r="F82" i="33"/>
  <c r="D82" i="33"/>
  <c r="C82" i="33"/>
  <c r="B82" i="33"/>
  <c r="F81" i="33"/>
  <c r="D81" i="33"/>
  <c r="C81" i="33"/>
  <c r="B81" i="33"/>
  <c r="F80" i="33"/>
  <c r="D80" i="33"/>
  <c r="C80" i="33"/>
  <c r="B80" i="33"/>
  <c r="F79" i="33"/>
  <c r="D79" i="33"/>
  <c r="C79" i="33"/>
  <c r="B79" i="33"/>
  <c r="F78" i="33"/>
  <c r="D78" i="33"/>
  <c r="C78" i="33"/>
  <c r="B78" i="33"/>
  <c r="F77" i="33"/>
  <c r="D77" i="33"/>
  <c r="C77" i="33"/>
  <c r="B77" i="33"/>
  <c r="F76" i="33"/>
  <c r="D76" i="33"/>
  <c r="C76" i="33"/>
  <c r="B76" i="33"/>
  <c r="F75" i="33"/>
  <c r="D75" i="33"/>
  <c r="C75" i="33"/>
  <c r="B75" i="33"/>
  <c r="F74" i="33"/>
  <c r="D74" i="33"/>
  <c r="C74" i="33"/>
  <c r="B74" i="33"/>
  <c r="F73" i="33"/>
  <c r="D73" i="33"/>
  <c r="C73" i="33"/>
  <c r="B73" i="33"/>
  <c r="F72" i="33"/>
  <c r="D72" i="33"/>
  <c r="C72" i="33"/>
  <c r="B72" i="33"/>
  <c r="F71" i="33"/>
  <c r="D71" i="33"/>
  <c r="C71" i="33"/>
  <c r="B71" i="33"/>
  <c r="F70" i="33"/>
  <c r="D70" i="33"/>
  <c r="C70" i="33"/>
  <c r="B70" i="33"/>
  <c r="F69" i="33"/>
  <c r="D69" i="33"/>
  <c r="C69" i="33"/>
  <c r="B69" i="33"/>
  <c r="F68" i="33"/>
  <c r="D68" i="33"/>
  <c r="C68" i="33"/>
  <c r="B68" i="33"/>
  <c r="F67" i="33"/>
  <c r="D67" i="33"/>
  <c r="C67" i="33"/>
  <c r="B67" i="33"/>
  <c r="F66" i="33"/>
  <c r="D66" i="33"/>
  <c r="C66" i="33"/>
  <c r="B66" i="33"/>
  <c r="F65" i="33"/>
  <c r="C65" i="33"/>
  <c r="B65" i="33"/>
  <c r="S30" i="33"/>
  <c r="S32" i="33" s="1"/>
  <c r="U29" i="33"/>
  <c r="U32" i="33" s="1"/>
  <c r="AC30" i="33" s="1"/>
  <c r="D51" i="33"/>
  <c r="C51" i="33"/>
  <c r="F79" i="32"/>
  <c r="D79" i="32"/>
  <c r="C79" i="32"/>
  <c r="B79" i="32"/>
  <c r="F78" i="32"/>
  <c r="D78" i="32"/>
  <c r="C78" i="32"/>
  <c r="B78" i="32"/>
  <c r="F77" i="32"/>
  <c r="D77" i="32"/>
  <c r="C77" i="32"/>
  <c r="B77" i="32"/>
  <c r="F76" i="32"/>
  <c r="D76" i="32"/>
  <c r="C76" i="32"/>
  <c r="B76" i="32"/>
  <c r="F75" i="32"/>
  <c r="D75" i="32"/>
  <c r="C75" i="32"/>
  <c r="B75" i="32"/>
  <c r="F74" i="32"/>
  <c r="D74" i="32"/>
  <c r="C74" i="32"/>
  <c r="B74" i="32"/>
  <c r="F73" i="32"/>
  <c r="D73" i="32"/>
  <c r="C73" i="32"/>
  <c r="B73" i="32"/>
  <c r="F72" i="32"/>
  <c r="D72" i="32"/>
  <c r="C72" i="32"/>
  <c r="B72" i="32"/>
  <c r="F71" i="32"/>
  <c r="D71" i="32"/>
  <c r="C71" i="32"/>
  <c r="B71" i="32"/>
  <c r="F70" i="32"/>
  <c r="D70" i="32"/>
  <c r="C70" i="32"/>
  <c r="B70" i="32"/>
  <c r="F69" i="32"/>
  <c r="D69" i="32"/>
  <c r="C69" i="32"/>
  <c r="B69" i="32"/>
  <c r="F68" i="32"/>
  <c r="D68" i="32"/>
  <c r="C68" i="32"/>
  <c r="B68" i="32"/>
  <c r="F67" i="32"/>
  <c r="D67" i="32"/>
  <c r="C67" i="32"/>
  <c r="B67" i="32"/>
  <c r="F66" i="32"/>
  <c r="C66" i="32"/>
  <c r="B66" i="32"/>
  <c r="V40" i="32"/>
  <c r="U33" i="32"/>
  <c r="U29" i="32"/>
  <c r="U32" i="32" s="1"/>
  <c r="AC30" i="32" s="1"/>
  <c r="D51" i="32"/>
  <c r="R44" i="32" s="1"/>
  <c r="C51" i="32"/>
  <c r="R14" i="32"/>
  <c r="F84" i="31"/>
  <c r="D84" i="31"/>
  <c r="C84" i="31"/>
  <c r="B84" i="31"/>
  <c r="F83" i="31"/>
  <c r="D83" i="31"/>
  <c r="C83" i="31"/>
  <c r="B83" i="31"/>
  <c r="F82" i="31"/>
  <c r="D82" i="31"/>
  <c r="C82" i="31"/>
  <c r="B82" i="31"/>
  <c r="F81" i="31"/>
  <c r="D81" i="31"/>
  <c r="C81" i="31"/>
  <c r="B81" i="31"/>
  <c r="F80" i="31"/>
  <c r="D80" i="31"/>
  <c r="C80" i="31"/>
  <c r="B80" i="31"/>
  <c r="F79" i="31"/>
  <c r="D79" i="31"/>
  <c r="C79" i="31"/>
  <c r="B79" i="31"/>
  <c r="F78" i="31"/>
  <c r="D78" i="31"/>
  <c r="C78" i="31"/>
  <c r="B78" i="31"/>
  <c r="F77" i="31"/>
  <c r="D77" i="31"/>
  <c r="C77" i="31"/>
  <c r="B77" i="31"/>
  <c r="F76" i="31"/>
  <c r="D76" i="31"/>
  <c r="C76" i="31"/>
  <c r="B76" i="31"/>
  <c r="F75" i="31"/>
  <c r="D75" i="31"/>
  <c r="C75" i="31"/>
  <c r="B75" i="31"/>
  <c r="F74" i="31"/>
  <c r="D74" i="31"/>
  <c r="C74" i="31"/>
  <c r="B74" i="31"/>
  <c r="F73" i="31"/>
  <c r="D73" i="31"/>
  <c r="C73" i="31"/>
  <c r="B73" i="31"/>
  <c r="F72" i="31"/>
  <c r="D72" i="31"/>
  <c r="C72" i="31"/>
  <c r="B72" i="31"/>
  <c r="F71" i="31"/>
  <c r="D71" i="31"/>
  <c r="C71" i="31"/>
  <c r="B71" i="31"/>
  <c r="F70" i="31"/>
  <c r="D70" i="31"/>
  <c r="C70" i="31"/>
  <c r="B70" i="31"/>
  <c r="F69" i="31"/>
  <c r="D69" i="31"/>
  <c r="C69" i="31"/>
  <c r="B69" i="31"/>
  <c r="F68" i="31"/>
  <c r="D68" i="31"/>
  <c r="C68" i="31"/>
  <c r="B68" i="31"/>
  <c r="F67" i="31"/>
  <c r="D67" i="31"/>
  <c r="C67" i="31"/>
  <c r="B67" i="31"/>
  <c r="F66" i="31"/>
  <c r="D66" i="31"/>
  <c r="C66" i="31"/>
  <c r="B66" i="31"/>
  <c r="F88" i="30"/>
  <c r="D88" i="30"/>
  <c r="C88" i="30"/>
  <c r="B88" i="30"/>
  <c r="F87" i="30"/>
  <c r="D87" i="30"/>
  <c r="C87" i="30"/>
  <c r="B87" i="30"/>
  <c r="F86" i="30"/>
  <c r="D86" i="30"/>
  <c r="C86" i="30"/>
  <c r="B86" i="30"/>
  <c r="F85" i="30"/>
  <c r="D85" i="30"/>
  <c r="C85" i="30"/>
  <c r="B85" i="30"/>
  <c r="F84" i="30"/>
  <c r="D84" i="30"/>
  <c r="C84" i="30"/>
  <c r="B84" i="30"/>
  <c r="F83" i="30"/>
  <c r="D83" i="30"/>
  <c r="C83" i="30"/>
  <c r="B83" i="30"/>
  <c r="F82" i="30"/>
  <c r="D82" i="30"/>
  <c r="C82" i="30"/>
  <c r="B82" i="30"/>
  <c r="F81" i="30"/>
  <c r="D81" i="30"/>
  <c r="C81" i="30"/>
  <c r="B81" i="30"/>
  <c r="F80" i="30"/>
  <c r="C80" i="30"/>
  <c r="B80" i="30"/>
  <c r="F73" i="30"/>
  <c r="D73" i="30"/>
  <c r="C73" i="30"/>
  <c r="B73" i="30"/>
  <c r="F72" i="30"/>
  <c r="D72" i="30"/>
  <c r="C72" i="30"/>
  <c r="B72" i="30"/>
  <c r="F71" i="30"/>
  <c r="D71" i="30"/>
  <c r="C71" i="30"/>
  <c r="B71" i="30"/>
  <c r="F70" i="30"/>
  <c r="D70" i="30"/>
  <c r="C70" i="30"/>
  <c r="B70" i="30"/>
  <c r="F69" i="30"/>
  <c r="D69" i="30"/>
  <c r="C69" i="30"/>
  <c r="B69" i="30"/>
  <c r="F68" i="30"/>
  <c r="D68" i="30"/>
  <c r="C68" i="30"/>
  <c r="B68" i="30"/>
  <c r="F67" i="30"/>
  <c r="D67" i="30"/>
  <c r="C67" i="30"/>
  <c r="B67" i="30"/>
  <c r="F66" i="30"/>
  <c r="D66" i="30"/>
  <c r="C66" i="30"/>
  <c r="B66" i="30"/>
  <c r="F65" i="30"/>
  <c r="C65" i="30"/>
  <c r="B65" i="30"/>
  <c r="V40" i="30"/>
  <c r="D51" i="30"/>
  <c r="C51" i="30"/>
  <c r="AC28" i="30"/>
  <c r="F124" i="29"/>
  <c r="D124" i="29"/>
  <c r="C124" i="29"/>
  <c r="B124" i="29"/>
  <c r="F123" i="29"/>
  <c r="D123" i="29"/>
  <c r="C123" i="29"/>
  <c r="B123" i="29"/>
  <c r="F122" i="29"/>
  <c r="D122" i="29"/>
  <c r="C122" i="29"/>
  <c r="B122" i="29"/>
  <c r="F121" i="29"/>
  <c r="D121" i="29"/>
  <c r="C121" i="29"/>
  <c r="B121" i="29"/>
  <c r="F120" i="29"/>
  <c r="D120" i="29"/>
  <c r="C120" i="29"/>
  <c r="B120" i="29"/>
  <c r="F119" i="29"/>
  <c r="D119" i="29"/>
  <c r="C119" i="29"/>
  <c r="B119" i="29"/>
  <c r="F118" i="29"/>
  <c r="D118" i="29"/>
  <c r="C118" i="29"/>
  <c r="B118" i="29"/>
  <c r="F117" i="29"/>
  <c r="D117" i="29"/>
  <c r="C117" i="29"/>
  <c r="B117" i="29"/>
  <c r="F116" i="29"/>
  <c r="D116" i="29"/>
  <c r="C116" i="29"/>
  <c r="B116" i="29"/>
  <c r="F115" i="29"/>
  <c r="D115" i="29"/>
  <c r="C115" i="29"/>
  <c r="B115" i="29"/>
  <c r="F114" i="29"/>
  <c r="D114" i="29"/>
  <c r="C114" i="29"/>
  <c r="B114" i="29"/>
  <c r="F113" i="29"/>
  <c r="D113" i="29"/>
  <c r="C113" i="29"/>
  <c r="B113" i="29"/>
  <c r="F112" i="29"/>
  <c r="D112" i="29"/>
  <c r="C112" i="29"/>
  <c r="B112" i="29"/>
  <c r="F111" i="29"/>
  <c r="D111" i="29"/>
  <c r="C111" i="29"/>
  <c r="B111" i="29"/>
  <c r="F110" i="29"/>
  <c r="C110" i="29"/>
  <c r="B110" i="29"/>
  <c r="F101" i="29"/>
  <c r="D101" i="29"/>
  <c r="C101" i="29"/>
  <c r="B101" i="29"/>
  <c r="F100" i="29"/>
  <c r="D100" i="29"/>
  <c r="C100" i="29"/>
  <c r="B100" i="29"/>
  <c r="F99" i="29"/>
  <c r="D99" i="29"/>
  <c r="C99" i="29"/>
  <c r="B99" i="29"/>
  <c r="F98" i="29"/>
  <c r="D98" i="29"/>
  <c r="C98" i="29"/>
  <c r="B98" i="29"/>
  <c r="F97" i="29"/>
  <c r="D97" i="29"/>
  <c r="C97" i="29"/>
  <c r="B97" i="29"/>
  <c r="F96" i="29"/>
  <c r="D96" i="29"/>
  <c r="C96" i="29"/>
  <c r="B96" i="29"/>
  <c r="F95" i="29"/>
  <c r="D95" i="29"/>
  <c r="C95" i="29"/>
  <c r="B95" i="29"/>
  <c r="F94" i="29"/>
  <c r="D94" i="29"/>
  <c r="C94" i="29"/>
  <c r="B94" i="29"/>
  <c r="F93" i="29"/>
  <c r="D93" i="29"/>
  <c r="C93" i="29"/>
  <c r="B93" i="29"/>
  <c r="F92" i="29"/>
  <c r="D92" i="29"/>
  <c r="C92" i="29"/>
  <c r="B92" i="29"/>
  <c r="F91" i="29"/>
  <c r="D91" i="29"/>
  <c r="C91" i="29"/>
  <c r="B91" i="29"/>
  <c r="F90" i="29"/>
  <c r="D90" i="29"/>
  <c r="C90" i="29"/>
  <c r="B90" i="29"/>
  <c r="F89" i="29"/>
  <c r="D89" i="29"/>
  <c r="C89" i="29"/>
  <c r="B89" i="29"/>
  <c r="F88" i="29"/>
  <c r="D88" i="29"/>
  <c r="C88" i="29"/>
  <c r="B88" i="29"/>
  <c r="F87" i="29"/>
  <c r="C87" i="29"/>
  <c r="B87" i="29"/>
  <c r="F79" i="29"/>
  <c r="D79" i="29"/>
  <c r="C79" i="29"/>
  <c r="B79" i="29"/>
  <c r="F78" i="29"/>
  <c r="D78" i="29"/>
  <c r="C78" i="29"/>
  <c r="B78" i="29"/>
  <c r="F77" i="29"/>
  <c r="D77" i="29"/>
  <c r="C77" i="29"/>
  <c r="B77" i="29"/>
  <c r="F76" i="29"/>
  <c r="D76" i="29"/>
  <c r="C76" i="29"/>
  <c r="B76" i="29"/>
  <c r="F75" i="29"/>
  <c r="D75" i="29"/>
  <c r="C75" i="29"/>
  <c r="B75" i="29"/>
  <c r="F74" i="29"/>
  <c r="D74" i="29"/>
  <c r="C74" i="29"/>
  <c r="B74" i="29"/>
  <c r="F73" i="29"/>
  <c r="D73" i="29"/>
  <c r="C73" i="29"/>
  <c r="B73" i="29"/>
  <c r="F72" i="29"/>
  <c r="D72" i="29"/>
  <c r="C72" i="29"/>
  <c r="B72" i="29"/>
  <c r="F71" i="29"/>
  <c r="D71" i="29"/>
  <c r="C71" i="29"/>
  <c r="B71" i="29"/>
  <c r="F70" i="29"/>
  <c r="D70" i="29"/>
  <c r="C70" i="29"/>
  <c r="B70" i="29"/>
  <c r="F69" i="29"/>
  <c r="D69" i="29"/>
  <c r="C69" i="29"/>
  <c r="B69" i="29"/>
  <c r="F68" i="29"/>
  <c r="D68" i="29"/>
  <c r="C68" i="29"/>
  <c r="B68" i="29"/>
  <c r="F67" i="29"/>
  <c r="D67" i="29"/>
  <c r="C67" i="29"/>
  <c r="B67" i="29"/>
  <c r="F66" i="29"/>
  <c r="D66" i="29"/>
  <c r="C66" i="29"/>
  <c r="B66" i="29"/>
  <c r="F65" i="29"/>
  <c r="C65" i="29"/>
  <c r="B65" i="29"/>
  <c r="D51" i="29"/>
  <c r="V40" i="29"/>
  <c r="S32" i="29"/>
  <c r="J52" i="29" s="1"/>
  <c r="I52" i="29" s="1"/>
  <c r="U29" i="29"/>
  <c r="C51" i="29"/>
  <c r="F110" i="28"/>
  <c r="D110" i="28"/>
  <c r="C110" i="28"/>
  <c r="B110" i="28"/>
  <c r="F109" i="28"/>
  <c r="D109" i="28"/>
  <c r="C109" i="28"/>
  <c r="B109" i="28"/>
  <c r="F108" i="28"/>
  <c r="D108" i="28"/>
  <c r="C108" i="28"/>
  <c r="B108" i="28"/>
  <c r="F107" i="28"/>
  <c r="D107" i="28"/>
  <c r="C107" i="28"/>
  <c r="B107" i="28"/>
  <c r="F106" i="28"/>
  <c r="D106" i="28"/>
  <c r="C106" i="28"/>
  <c r="B106" i="28"/>
  <c r="F105" i="28"/>
  <c r="D105" i="28"/>
  <c r="C105" i="28"/>
  <c r="B105" i="28"/>
  <c r="F104" i="28"/>
  <c r="D104" i="28"/>
  <c r="C104" i="28"/>
  <c r="B104" i="28"/>
  <c r="F103" i="28"/>
  <c r="D103" i="28"/>
  <c r="C103" i="28"/>
  <c r="B103" i="28"/>
  <c r="F102" i="28"/>
  <c r="D102" i="28"/>
  <c r="C102" i="28"/>
  <c r="B102" i="28"/>
  <c r="F101" i="28"/>
  <c r="D101" i="28"/>
  <c r="C101" i="28"/>
  <c r="B101" i="28"/>
  <c r="F100" i="28"/>
  <c r="D100" i="28"/>
  <c r="C100" i="28"/>
  <c r="B100" i="28"/>
  <c r="F99" i="28"/>
  <c r="D99" i="28"/>
  <c r="C99" i="28"/>
  <c r="B99" i="28"/>
  <c r="F98" i="28"/>
  <c r="D98" i="28"/>
  <c r="C98" i="28"/>
  <c r="B98" i="28"/>
  <c r="F97" i="28"/>
  <c r="D97" i="28"/>
  <c r="C97" i="28"/>
  <c r="B97" i="28"/>
  <c r="F96" i="28"/>
  <c r="D96" i="28"/>
  <c r="C96" i="28"/>
  <c r="B96" i="28"/>
  <c r="F95" i="28"/>
  <c r="D95" i="28"/>
  <c r="C95" i="28"/>
  <c r="B95" i="28"/>
  <c r="F94" i="28"/>
  <c r="D94" i="28"/>
  <c r="C94" i="28"/>
  <c r="B94" i="28"/>
  <c r="F93" i="28"/>
  <c r="D93" i="28"/>
  <c r="C93" i="28"/>
  <c r="B93" i="28"/>
  <c r="F92" i="28"/>
  <c r="C92" i="28"/>
  <c r="B92" i="28"/>
  <c r="F83" i="28"/>
  <c r="D83" i="28"/>
  <c r="C83" i="28"/>
  <c r="B83" i="28"/>
  <c r="F82" i="28"/>
  <c r="D82" i="28"/>
  <c r="C82" i="28"/>
  <c r="B82" i="28"/>
  <c r="F81" i="28"/>
  <c r="D81" i="28"/>
  <c r="C81" i="28"/>
  <c r="B81" i="28"/>
  <c r="F80" i="28"/>
  <c r="D80" i="28"/>
  <c r="C80" i="28"/>
  <c r="B80" i="28"/>
  <c r="F79" i="28"/>
  <c r="D79" i="28"/>
  <c r="C79" i="28"/>
  <c r="B79" i="28"/>
  <c r="F78" i="28"/>
  <c r="D78" i="28"/>
  <c r="C78" i="28"/>
  <c r="B78" i="28"/>
  <c r="F77" i="28"/>
  <c r="D77" i="28"/>
  <c r="C77" i="28"/>
  <c r="B77" i="28"/>
  <c r="F76" i="28"/>
  <c r="D76" i="28"/>
  <c r="C76" i="28"/>
  <c r="B76" i="28"/>
  <c r="F75" i="28"/>
  <c r="D75" i="28"/>
  <c r="C75" i="28"/>
  <c r="B75" i="28"/>
  <c r="F74" i="28"/>
  <c r="D74" i="28"/>
  <c r="C74" i="28"/>
  <c r="B74" i="28"/>
  <c r="F73" i="28"/>
  <c r="D73" i="28"/>
  <c r="C73" i="28"/>
  <c r="B73" i="28"/>
  <c r="F72" i="28"/>
  <c r="D72" i="28"/>
  <c r="C72" i="28"/>
  <c r="B72" i="28"/>
  <c r="F71" i="28"/>
  <c r="D71" i="28"/>
  <c r="C71" i="28"/>
  <c r="B71" i="28"/>
  <c r="F70" i="28"/>
  <c r="D70" i="28"/>
  <c r="C70" i="28"/>
  <c r="B70" i="28"/>
  <c r="F69" i="28"/>
  <c r="D69" i="28"/>
  <c r="C69" i="28"/>
  <c r="B69" i="28"/>
  <c r="F68" i="28"/>
  <c r="D68" i="28"/>
  <c r="C68" i="28"/>
  <c r="B68" i="28"/>
  <c r="F67" i="28"/>
  <c r="D67" i="28"/>
  <c r="C67" i="28"/>
  <c r="B67" i="28"/>
  <c r="F66" i="28"/>
  <c r="D66" i="28"/>
  <c r="C66" i="28"/>
  <c r="B66" i="28"/>
  <c r="F65" i="28"/>
  <c r="C65" i="28"/>
  <c r="B65" i="28"/>
  <c r="D51" i="28"/>
  <c r="R44" i="28" s="1"/>
  <c r="C51" i="28"/>
  <c r="V40" i="28"/>
  <c r="S30" i="28"/>
  <c r="U29" i="28"/>
  <c r="T28" i="28"/>
  <c r="T32" i="28" s="1"/>
  <c r="S28" i="28"/>
  <c r="F79" i="27"/>
  <c r="D79" i="27"/>
  <c r="C79" i="27"/>
  <c r="B79" i="27"/>
  <c r="F78" i="27"/>
  <c r="D78" i="27"/>
  <c r="C78" i="27"/>
  <c r="B78" i="27"/>
  <c r="F77" i="27"/>
  <c r="D77" i="27"/>
  <c r="C77" i="27"/>
  <c r="B77" i="27"/>
  <c r="F76" i="27"/>
  <c r="D76" i="27"/>
  <c r="C76" i="27"/>
  <c r="B76" i="27"/>
  <c r="F75" i="27"/>
  <c r="D75" i="27"/>
  <c r="C75" i="27"/>
  <c r="B75" i="27"/>
  <c r="F74" i="27"/>
  <c r="D74" i="27"/>
  <c r="C74" i="27"/>
  <c r="B74" i="27"/>
  <c r="F73" i="27"/>
  <c r="D73" i="27"/>
  <c r="C73" i="27"/>
  <c r="B73" i="27"/>
  <c r="F72" i="27"/>
  <c r="D72" i="27"/>
  <c r="C72" i="27"/>
  <c r="B72" i="27"/>
  <c r="F71" i="27"/>
  <c r="D71" i="27"/>
  <c r="C71" i="27"/>
  <c r="B71" i="27"/>
  <c r="F70" i="27"/>
  <c r="D70" i="27"/>
  <c r="C70" i="27"/>
  <c r="B70" i="27"/>
  <c r="F69" i="27"/>
  <c r="D69" i="27"/>
  <c r="C69" i="27"/>
  <c r="B69" i="27"/>
  <c r="F68" i="27"/>
  <c r="D68" i="27"/>
  <c r="C68" i="27"/>
  <c r="B68" i="27"/>
  <c r="F67" i="27"/>
  <c r="D67" i="27"/>
  <c r="C67" i="27"/>
  <c r="B67" i="27"/>
  <c r="F66" i="27"/>
  <c r="D66" i="27"/>
  <c r="C66" i="27"/>
  <c r="B66" i="27"/>
  <c r="F65" i="27"/>
  <c r="C65" i="27"/>
  <c r="B65" i="27"/>
  <c r="U29" i="27"/>
  <c r="U32" i="27" s="1"/>
  <c r="F78" i="26"/>
  <c r="D78" i="26"/>
  <c r="C78" i="26"/>
  <c r="B78" i="26"/>
  <c r="F77" i="26"/>
  <c r="D77" i="26"/>
  <c r="C77" i="26"/>
  <c r="B77" i="26"/>
  <c r="F76" i="26"/>
  <c r="D76" i="26"/>
  <c r="C76" i="26"/>
  <c r="B76" i="26"/>
  <c r="F75" i="26"/>
  <c r="D75" i="26"/>
  <c r="C75" i="26"/>
  <c r="B75" i="26"/>
  <c r="F74" i="26"/>
  <c r="D74" i="26"/>
  <c r="C74" i="26"/>
  <c r="B74" i="26"/>
  <c r="F73" i="26"/>
  <c r="D73" i="26"/>
  <c r="C73" i="26"/>
  <c r="B73" i="26"/>
  <c r="F72" i="26"/>
  <c r="D72" i="26"/>
  <c r="C72" i="26"/>
  <c r="B72" i="26"/>
  <c r="F71" i="26"/>
  <c r="D71" i="26"/>
  <c r="C71" i="26"/>
  <c r="B71" i="26"/>
  <c r="F70" i="26"/>
  <c r="D70" i="26"/>
  <c r="C70" i="26"/>
  <c r="B70" i="26"/>
  <c r="F69" i="26"/>
  <c r="D69" i="26"/>
  <c r="C69" i="26"/>
  <c r="B69" i="26"/>
  <c r="F68" i="26"/>
  <c r="D68" i="26"/>
  <c r="C68" i="26"/>
  <c r="B68" i="26"/>
  <c r="F67" i="26"/>
  <c r="D67" i="26"/>
  <c r="C67" i="26"/>
  <c r="B67" i="26"/>
  <c r="F66" i="26"/>
  <c r="D66" i="26"/>
  <c r="C66" i="26"/>
  <c r="B66" i="26"/>
  <c r="F65" i="26"/>
  <c r="C65" i="26"/>
  <c r="B65" i="26"/>
  <c r="D51" i="26"/>
  <c r="V40" i="26"/>
  <c r="T30" i="26"/>
  <c r="S30" i="26"/>
  <c r="U29" i="26"/>
  <c r="U32" i="26" s="1"/>
  <c r="AD30" i="26" s="1"/>
  <c r="T28" i="26"/>
  <c r="S28" i="26"/>
  <c r="V40" i="25"/>
  <c r="D51" i="25"/>
  <c r="C51" i="25"/>
  <c r="T30" i="25"/>
  <c r="S30" i="25"/>
  <c r="U29" i="25"/>
  <c r="AE28" i="25"/>
  <c r="AC29" i="25" s="1"/>
  <c r="T28" i="25"/>
  <c r="S28" i="25"/>
  <c r="R14" i="25"/>
  <c r="F72" i="24"/>
  <c r="D72" i="24"/>
  <c r="C72" i="24"/>
  <c r="B72" i="24"/>
  <c r="F71" i="24"/>
  <c r="D71" i="24"/>
  <c r="C71" i="24"/>
  <c r="B71" i="24"/>
  <c r="F70" i="24"/>
  <c r="D70" i="24"/>
  <c r="C70" i="24"/>
  <c r="B70" i="24"/>
  <c r="F69" i="24"/>
  <c r="D69" i="24"/>
  <c r="C69" i="24"/>
  <c r="B69" i="24"/>
  <c r="F68" i="24"/>
  <c r="D68" i="24"/>
  <c r="C68" i="24"/>
  <c r="B68" i="24"/>
  <c r="F67" i="24"/>
  <c r="D67" i="24"/>
  <c r="C67" i="24"/>
  <c r="B67" i="24"/>
  <c r="F66" i="24"/>
  <c r="D66" i="24"/>
  <c r="C66" i="24"/>
  <c r="B66" i="24"/>
  <c r="F65" i="24"/>
  <c r="D65" i="24"/>
  <c r="C65" i="24"/>
  <c r="B65" i="24"/>
  <c r="T29" i="24"/>
  <c r="C51" i="24"/>
  <c r="F120" i="23"/>
  <c r="D120" i="23"/>
  <c r="C120" i="23"/>
  <c r="B120" i="23"/>
  <c r="F119" i="23"/>
  <c r="D119" i="23"/>
  <c r="C119" i="23"/>
  <c r="B119" i="23"/>
  <c r="F118" i="23"/>
  <c r="D118" i="23"/>
  <c r="C118" i="23"/>
  <c r="B118" i="23"/>
  <c r="F117" i="23"/>
  <c r="D117" i="23"/>
  <c r="C117" i="23"/>
  <c r="B117" i="23"/>
  <c r="F116" i="23"/>
  <c r="D116" i="23"/>
  <c r="C116" i="23"/>
  <c r="B116" i="23"/>
  <c r="F115" i="23"/>
  <c r="D115" i="23"/>
  <c r="C115" i="23"/>
  <c r="B115" i="23"/>
  <c r="F114" i="23"/>
  <c r="D114" i="23"/>
  <c r="C114" i="23"/>
  <c r="B114" i="23"/>
  <c r="F113" i="23"/>
  <c r="D113" i="23"/>
  <c r="C113" i="23"/>
  <c r="B113" i="23"/>
  <c r="F112" i="23"/>
  <c r="D112" i="23"/>
  <c r="C112" i="23"/>
  <c r="B112" i="23"/>
  <c r="F111" i="23"/>
  <c r="D111" i="23"/>
  <c r="C111" i="23"/>
  <c r="B111" i="23"/>
  <c r="F110" i="23"/>
  <c r="D110" i="23"/>
  <c r="C110" i="23"/>
  <c r="B110" i="23"/>
  <c r="F109" i="23"/>
  <c r="D109" i="23"/>
  <c r="C109" i="23"/>
  <c r="B109" i="23"/>
  <c r="F108" i="23"/>
  <c r="D108" i="23"/>
  <c r="C108" i="23"/>
  <c r="B108" i="23"/>
  <c r="F107" i="23"/>
  <c r="C107" i="23"/>
  <c r="B107" i="23"/>
  <c r="F98" i="23"/>
  <c r="D98" i="23"/>
  <c r="C98" i="23"/>
  <c r="B98" i="23"/>
  <c r="F97" i="23"/>
  <c r="D97" i="23"/>
  <c r="C97" i="23"/>
  <c r="B97" i="23"/>
  <c r="F96" i="23"/>
  <c r="D96" i="23"/>
  <c r="C96" i="23"/>
  <c r="B96" i="23"/>
  <c r="F95" i="23"/>
  <c r="D95" i="23"/>
  <c r="C95" i="23"/>
  <c r="B95" i="23"/>
  <c r="F94" i="23"/>
  <c r="D94" i="23"/>
  <c r="C94" i="23"/>
  <c r="B94" i="23"/>
  <c r="F93" i="23"/>
  <c r="D93" i="23"/>
  <c r="C93" i="23"/>
  <c r="B93" i="23"/>
  <c r="F92" i="23"/>
  <c r="D92" i="23"/>
  <c r="C92" i="23"/>
  <c r="B92" i="23"/>
  <c r="F91" i="23"/>
  <c r="D91" i="23"/>
  <c r="C91" i="23"/>
  <c r="B91" i="23"/>
  <c r="F90" i="23"/>
  <c r="D90" i="23"/>
  <c r="C90" i="23"/>
  <c r="B90" i="23"/>
  <c r="F89" i="23"/>
  <c r="D89" i="23"/>
  <c r="C89" i="23"/>
  <c r="B89" i="23"/>
  <c r="F88" i="23"/>
  <c r="D88" i="23"/>
  <c r="C88" i="23"/>
  <c r="B88" i="23"/>
  <c r="F87" i="23"/>
  <c r="D87" i="23"/>
  <c r="C87" i="23"/>
  <c r="B87" i="23"/>
  <c r="F86" i="23"/>
  <c r="D86" i="23"/>
  <c r="C86" i="23"/>
  <c r="B86" i="23"/>
  <c r="F85" i="23"/>
  <c r="C85" i="23"/>
  <c r="B85" i="23"/>
  <c r="F78" i="23"/>
  <c r="D78" i="23"/>
  <c r="C78" i="23"/>
  <c r="B78" i="23"/>
  <c r="F77" i="23"/>
  <c r="D77" i="23"/>
  <c r="C77" i="23"/>
  <c r="B77" i="23"/>
  <c r="F76" i="23"/>
  <c r="D76" i="23"/>
  <c r="C76" i="23"/>
  <c r="B76" i="23"/>
  <c r="F75" i="23"/>
  <c r="D75" i="23"/>
  <c r="C75" i="23"/>
  <c r="B75" i="23"/>
  <c r="F74" i="23"/>
  <c r="D74" i="23"/>
  <c r="C74" i="23"/>
  <c r="B74" i="23"/>
  <c r="F73" i="23"/>
  <c r="D73" i="23"/>
  <c r="C73" i="23"/>
  <c r="B73" i="23"/>
  <c r="F72" i="23"/>
  <c r="D72" i="23"/>
  <c r="C72" i="23"/>
  <c r="B72" i="23"/>
  <c r="F71" i="23"/>
  <c r="D71" i="23"/>
  <c r="C71" i="23"/>
  <c r="B71" i="23"/>
  <c r="F70" i="23"/>
  <c r="D70" i="23"/>
  <c r="C70" i="23"/>
  <c r="B70" i="23"/>
  <c r="F69" i="23"/>
  <c r="D69" i="23"/>
  <c r="C69" i="23"/>
  <c r="B69" i="23"/>
  <c r="F68" i="23"/>
  <c r="D68" i="23"/>
  <c r="C68" i="23"/>
  <c r="B68" i="23"/>
  <c r="F67" i="23"/>
  <c r="D67" i="23"/>
  <c r="C67" i="23"/>
  <c r="B67" i="23"/>
  <c r="F66" i="23"/>
  <c r="D66" i="23"/>
  <c r="C66" i="23"/>
  <c r="B66" i="23"/>
  <c r="F65" i="23"/>
  <c r="C65" i="23"/>
  <c r="B65" i="23"/>
  <c r="V44" i="23"/>
  <c r="U44" i="23"/>
  <c r="D1" i="23"/>
  <c r="H5" i="23" s="1"/>
  <c r="T29" i="23"/>
  <c r="AA28" i="23"/>
  <c r="T28" i="23"/>
  <c r="R25" i="23"/>
  <c r="F77" i="21"/>
  <c r="D77" i="21"/>
  <c r="C77" i="21"/>
  <c r="B77" i="21"/>
  <c r="F76" i="21"/>
  <c r="D76" i="21"/>
  <c r="C76" i="21"/>
  <c r="B76" i="21"/>
  <c r="F75" i="21"/>
  <c r="D75" i="21"/>
  <c r="C75" i="21"/>
  <c r="B75" i="21"/>
  <c r="F74" i="21"/>
  <c r="D74" i="21"/>
  <c r="C74" i="21"/>
  <c r="B74" i="21"/>
  <c r="F73" i="21"/>
  <c r="D73" i="21"/>
  <c r="C73" i="21"/>
  <c r="B73" i="21"/>
  <c r="F72" i="21"/>
  <c r="D72" i="21"/>
  <c r="C72" i="21"/>
  <c r="B72" i="21"/>
  <c r="F71" i="21"/>
  <c r="D71" i="21"/>
  <c r="C71" i="21"/>
  <c r="B71" i="21"/>
  <c r="F70" i="21"/>
  <c r="D70" i="21"/>
  <c r="C70" i="21"/>
  <c r="B70" i="21"/>
  <c r="F69" i="21"/>
  <c r="D69" i="21"/>
  <c r="C69" i="21"/>
  <c r="B69" i="21"/>
  <c r="F68" i="21"/>
  <c r="D68" i="21"/>
  <c r="C68" i="21"/>
  <c r="B68" i="21"/>
  <c r="F67" i="21"/>
  <c r="D67" i="21"/>
  <c r="C67" i="21"/>
  <c r="B67" i="21"/>
  <c r="F66" i="21"/>
  <c r="D66" i="21"/>
  <c r="C66" i="21"/>
  <c r="B66" i="21"/>
  <c r="F65" i="21"/>
  <c r="C65" i="21"/>
  <c r="B65" i="21"/>
  <c r="D51" i="21"/>
  <c r="R44" i="21" s="1"/>
  <c r="C51" i="21"/>
  <c r="V40" i="21"/>
  <c r="T30" i="21"/>
  <c r="S30" i="21"/>
  <c r="U29" i="21"/>
  <c r="U32" i="21" s="1"/>
  <c r="AD30" i="21" s="1"/>
  <c r="T28" i="21"/>
  <c r="S28" i="21"/>
  <c r="F122" i="20"/>
  <c r="D122" i="20"/>
  <c r="C122" i="20"/>
  <c r="B122" i="20"/>
  <c r="F121" i="20"/>
  <c r="D121" i="20"/>
  <c r="C121" i="20"/>
  <c r="B121" i="20"/>
  <c r="F120" i="20"/>
  <c r="D120" i="20"/>
  <c r="C120" i="20"/>
  <c r="B120" i="20"/>
  <c r="F119" i="20"/>
  <c r="D119" i="20"/>
  <c r="C119" i="20"/>
  <c r="B119" i="20"/>
  <c r="F118" i="20"/>
  <c r="D118" i="20"/>
  <c r="C118" i="20"/>
  <c r="B118" i="20"/>
  <c r="F117" i="20"/>
  <c r="D117" i="20"/>
  <c r="C117" i="20"/>
  <c r="B117" i="20"/>
  <c r="F116" i="20"/>
  <c r="D116" i="20"/>
  <c r="C116" i="20"/>
  <c r="B116" i="20"/>
  <c r="F115" i="20"/>
  <c r="D115" i="20"/>
  <c r="C115" i="20"/>
  <c r="B115" i="20"/>
  <c r="F114" i="20"/>
  <c r="D114" i="20"/>
  <c r="C114" i="20"/>
  <c r="B114" i="20"/>
  <c r="F113" i="20"/>
  <c r="D113" i="20"/>
  <c r="C113" i="20"/>
  <c r="B113" i="20"/>
  <c r="F112" i="20"/>
  <c r="D112" i="20"/>
  <c r="C112" i="20"/>
  <c r="B112" i="20"/>
  <c r="F111" i="20"/>
  <c r="D111" i="20"/>
  <c r="C111" i="20"/>
  <c r="B111" i="20"/>
  <c r="F110" i="20"/>
  <c r="D110" i="20"/>
  <c r="C110" i="20"/>
  <c r="B110" i="20"/>
  <c r="F109" i="20"/>
  <c r="D109" i="20"/>
  <c r="C109" i="20"/>
  <c r="B109" i="20"/>
  <c r="F108" i="20"/>
  <c r="C108" i="20"/>
  <c r="B108" i="20"/>
  <c r="F101" i="20"/>
  <c r="D101" i="20"/>
  <c r="C101" i="20"/>
  <c r="B101" i="20"/>
  <c r="F100" i="20"/>
  <c r="D100" i="20"/>
  <c r="C100" i="20"/>
  <c r="B100" i="20"/>
  <c r="F99" i="20"/>
  <c r="D99" i="20"/>
  <c r="C99" i="20"/>
  <c r="B99" i="20"/>
  <c r="F98" i="20"/>
  <c r="D98" i="20"/>
  <c r="C98" i="20"/>
  <c r="B98" i="20"/>
  <c r="F97" i="20"/>
  <c r="D97" i="20"/>
  <c r="C97" i="20"/>
  <c r="B97" i="20"/>
  <c r="F96" i="20"/>
  <c r="D96" i="20"/>
  <c r="C96" i="20"/>
  <c r="B96" i="20"/>
  <c r="F95" i="20"/>
  <c r="D95" i="20"/>
  <c r="C95" i="20"/>
  <c r="B95" i="20"/>
  <c r="F94" i="20"/>
  <c r="D94" i="20"/>
  <c r="C94" i="20"/>
  <c r="B94" i="20"/>
  <c r="F93" i="20"/>
  <c r="D93" i="20"/>
  <c r="C93" i="20"/>
  <c r="B93" i="20"/>
  <c r="F92" i="20"/>
  <c r="D92" i="20"/>
  <c r="C92" i="20"/>
  <c r="B92" i="20"/>
  <c r="F91" i="20"/>
  <c r="D91" i="20"/>
  <c r="C91" i="20"/>
  <c r="B91" i="20"/>
  <c r="F90" i="20"/>
  <c r="D90" i="20"/>
  <c r="C90" i="20"/>
  <c r="B90" i="20"/>
  <c r="F89" i="20"/>
  <c r="D89" i="20"/>
  <c r="C89" i="20"/>
  <c r="B89" i="20"/>
  <c r="F88" i="20"/>
  <c r="D88" i="20"/>
  <c r="C88" i="20"/>
  <c r="B88" i="20"/>
  <c r="F87" i="20"/>
  <c r="C87" i="20"/>
  <c r="B87" i="20"/>
  <c r="F79" i="20"/>
  <c r="D79" i="20"/>
  <c r="C79" i="20"/>
  <c r="B79" i="20"/>
  <c r="F78" i="20"/>
  <c r="D78" i="20"/>
  <c r="C78" i="20"/>
  <c r="B78" i="20"/>
  <c r="F77" i="20"/>
  <c r="D77" i="20"/>
  <c r="C77" i="20"/>
  <c r="B77" i="20"/>
  <c r="F76" i="20"/>
  <c r="D76" i="20"/>
  <c r="C76" i="20"/>
  <c r="B76" i="20"/>
  <c r="F75" i="20"/>
  <c r="D75" i="20"/>
  <c r="C75" i="20"/>
  <c r="B75" i="20"/>
  <c r="F74" i="20"/>
  <c r="D74" i="20"/>
  <c r="C74" i="20"/>
  <c r="B74" i="20"/>
  <c r="F73" i="20"/>
  <c r="D73" i="20"/>
  <c r="C73" i="20"/>
  <c r="B73" i="20"/>
  <c r="F72" i="20"/>
  <c r="D72" i="20"/>
  <c r="C72" i="20"/>
  <c r="B72" i="20"/>
  <c r="F71" i="20"/>
  <c r="D71" i="20"/>
  <c r="C71" i="20"/>
  <c r="B71" i="20"/>
  <c r="F70" i="20"/>
  <c r="D70" i="20"/>
  <c r="C70" i="20"/>
  <c r="B70" i="20"/>
  <c r="F69" i="20"/>
  <c r="D69" i="20"/>
  <c r="C69" i="20"/>
  <c r="B69" i="20"/>
  <c r="F68" i="20"/>
  <c r="D68" i="20"/>
  <c r="C68" i="20"/>
  <c r="B68" i="20"/>
  <c r="F67" i="20"/>
  <c r="D67" i="20"/>
  <c r="C67" i="20"/>
  <c r="B67" i="20"/>
  <c r="F66" i="20"/>
  <c r="D66" i="20"/>
  <c r="C66" i="20"/>
  <c r="B66" i="20"/>
  <c r="F65" i="20"/>
  <c r="C65" i="20"/>
  <c r="B65" i="20"/>
  <c r="V40" i="20"/>
  <c r="T33" i="20"/>
  <c r="T28" i="20"/>
  <c r="T32" i="20" s="1"/>
  <c r="S28" i="20"/>
  <c r="I51" i="20"/>
  <c r="D5" i="20" s="1"/>
  <c r="D51" i="20"/>
  <c r="R44" i="20"/>
  <c r="K1" i="20"/>
  <c r="C51" i="20"/>
  <c r="F99" i="19"/>
  <c r="D99" i="19"/>
  <c r="C99" i="19"/>
  <c r="B99" i="19"/>
  <c r="F98" i="19"/>
  <c r="D98" i="19"/>
  <c r="C98" i="19"/>
  <c r="B98" i="19"/>
  <c r="F97" i="19"/>
  <c r="D97" i="19"/>
  <c r="C97" i="19"/>
  <c r="B97" i="19"/>
  <c r="F96" i="19"/>
  <c r="D96" i="19"/>
  <c r="C96" i="19"/>
  <c r="B96" i="19"/>
  <c r="F95" i="19"/>
  <c r="D95" i="19"/>
  <c r="C95" i="19"/>
  <c r="B95" i="19"/>
  <c r="F94" i="19"/>
  <c r="D94" i="19"/>
  <c r="C94" i="19"/>
  <c r="B94" i="19"/>
  <c r="F93" i="19"/>
  <c r="D93" i="19"/>
  <c r="C93" i="19"/>
  <c r="B93" i="19"/>
  <c r="F92" i="19"/>
  <c r="D92" i="19"/>
  <c r="C92" i="19"/>
  <c r="B92" i="19"/>
  <c r="F91" i="19"/>
  <c r="D91" i="19"/>
  <c r="C91" i="19"/>
  <c r="B91" i="19"/>
  <c r="F90" i="19"/>
  <c r="D90" i="19"/>
  <c r="C90" i="19"/>
  <c r="B90" i="19"/>
  <c r="F89" i="19"/>
  <c r="D89" i="19"/>
  <c r="C89" i="19"/>
  <c r="B89" i="19"/>
  <c r="F88" i="19"/>
  <c r="D88" i="19"/>
  <c r="C88" i="19"/>
  <c r="B88" i="19"/>
  <c r="F87" i="19"/>
  <c r="C87" i="19"/>
  <c r="B87" i="19"/>
  <c r="F77" i="19"/>
  <c r="D77" i="19"/>
  <c r="C77" i="19"/>
  <c r="B77" i="19"/>
  <c r="F76" i="19"/>
  <c r="D76" i="19"/>
  <c r="C76" i="19"/>
  <c r="B76" i="19"/>
  <c r="F75" i="19"/>
  <c r="D75" i="19"/>
  <c r="C75" i="19"/>
  <c r="B75" i="19"/>
  <c r="F74" i="19"/>
  <c r="D74" i="19"/>
  <c r="C74" i="19"/>
  <c r="B74" i="19"/>
  <c r="F73" i="19"/>
  <c r="D73" i="19"/>
  <c r="C73" i="19"/>
  <c r="B73" i="19"/>
  <c r="F72" i="19"/>
  <c r="D72" i="19"/>
  <c r="C72" i="19"/>
  <c r="B72" i="19"/>
  <c r="F71" i="19"/>
  <c r="D71" i="19"/>
  <c r="C71" i="19"/>
  <c r="B71" i="19"/>
  <c r="F70" i="19"/>
  <c r="D70" i="19"/>
  <c r="C70" i="19"/>
  <c r="B70" i="19"/>
  <c r="F69" i="19"/>
  <c r="D69" i="19"/>
  <c r="C69" i="19"/>
  <c r="B69" i="19"/>
  <c r="F68" i="19"/>
  <c r="D68" i="19"/>
  <c r="C68" i="19"/>
  <c r="B68" i="19"/>
  <c r="F67" i="19"/>
  <c r="D67" i="19"/>
  <c r="C67" i="19"/>
  <c r="B67" i="19"/>
  <c r="F66" i="19"/>
  <c r="D66" i="19"/>
  <c r="C66" i="19"/>
  <c r="B66" i="19"/>
  <c r="F65" i="19"/>
  <c r="C65" i="19"/>
  <c r="B65" i="19"/>
  <c r="AC30" i="19"/>
  <c r="D51" i="19"/>
  <c r="C51" i="19"/>
  <c r="F105" i="18"/>
  <c r="D105" i="18"/>
  <c r="C105" i="18"/>
  <c r="B105" i="18"/>
  <c r="F104" i="18"/>
  <c r="D104" i="18"/>
  <c r="C104" i="18"/>
  <c r="B104" i="18"/>
  <c r="F103" i="18"/>
  <c r="D103" i="18"/>
  <c r="C103" i="18"/>
  <c r="B103" i="18"/>
  <c r="F102" i="18"/>
  <c r="D102" i="18"/>
  <c r="C102" i="18"/>
  <c r="B102" i="18"/>
  <c r="F101" i="18"/>
  <c r="D101" i="18"/>
  <c r="C101" i="18"/>
  <c r="B101" i="18"/>
  <c r="F100" i="18"/>
  <c r="D100" i="18"/>
  <c r="C100" i="18"/>
  <c r="B100" i="18"/>
  <c r="F99" i="18"/>
  <c r="D99" i="18"/>
  <c r="C99" i="18"/>
  <c r="B99" i="18"/>
  <c r="F98" i="18"/>
  <c r="D98" i="18"/>
  <c r="C98" i="18"/>
  <c r="B98" i="18"/>
  <c r="F97" i="18"/>
  <c r="D97" i="18"/>
  <c r="C97" i="18"/>
  <c r="B97" i="18"/>
  <c r="F96" i="18"/>
  <c r="D96" i="18"/>
  <c r="C96" i="18"/>
  <c r="B96" i="18"/>
  <c r="F95" i="18"/>
  <c r="D95" i="18"/>
  <c r="C95" i="18"/>
  <c r="B95" i="18"/>
  <c r="F94" i="18"/>
  <c r="D94" i="18"/>
  <c r="C94" i="18"/>
  <c r="B94" i="18"/>
  <c r="F93" i="18"/>
  <c r="D93" i="18"/>
  <c r="C93" i="18"/>
  <c r="B93" i="18"/>
  <c r="F92" i="18"/>
  <c r="D92" i="18"/>
  <c r="C92" i="18"/>
  <c r="B92" i="18"/>
  <c r="F91" i="18"/>
  <c r="D91" i="18"/>
  <c r="C91" i="18"/>
  <c r="B91" i="18"/>
  <c r="F90" i="18"/>
  <c r="C90" i="18"/>
  <c r="B90" i="18"/>
  <c r="F80" i="18"/>
  <c r="D80" i="18"/>
  <c r="C80" i="18"/>
  <c r="B80" i="18"/>
  <c r="F79" i="18"/>
  <c r="D79" i="18"/>
  <c r="C79" i="18"/>
  <c r="B79" i="18"/>
  <c r="F78" i="18"/>
  <c r="D78" i="18"/>
  <c r="C78" i="18"/>
  <c r="B78" i="18"/>
  <c r="F77" i="18"/>
  <c r="D77" i="18"/>
  <c r="C77" i="18"/>
  <c r="B77" i="18"/>
  <c r="F76" i="18"/>
  <c r="D76" i="18"/>
  <c r="C76" i="18"/>
  <c r="B76" i="18"/>
  <c r="F75" i="18"/>
  <c r="D75" i="18"/>
  <c r="C75" i="18"/>
  <c r="B75" i="18"/>
  <c r="F74" i="18"/>
  <c r="D74" i="18"/>
  <c r="C74" i="18"/>
  <c r="B74" i="18"/>
  <c r="F73" i="18"/>
  <c r="D73" i="18"/>
  <c r="C73" i="18"/>
  <c r="B73" i="18"/>
  <c r="F72" i="18"/>
  <c r="D72" i="18"/>
  <c r="C72" i="18"/>
  <c r="B72" i="18"/>
  <c r="F71" i="18"/>
  <c r="D71" i="18"/>
  <c r="C71" i="18"/>
  <c r="B71" i="18"/>
  <c r="F70" i="18"/>
  <c r="D70" i="18"/>
  <c r="C70" i="18"/>
  <c r="B70" i="18"/>
  <c r="F69" i="18"/>
  <c r="D69" i="18"/>
  <c r="C69" i="18"/>
  <c r="B69" i="18"/>
  <c r="F68" i="18"/>
  <c r="D68" i="18"/>
  <c r="C68" i="18"/>
  <c r="B68" i="18"/>
  <c r="F67" i="18"/>
  <c r="D67" i="18"/>
  <c r="C67" i="18"/>
  <c r="B67" i="18"/>
  <c r="F66" i="18"/>
  <c r="D66" i="18"/>
  <c r="C66" i="18"/>
  <c r="B66" i="18"/>
  <c r="F65" i="18"/>
  <c r="C65" i="18"/>
  <c r="B65" i="18"/>
  <c r="D51" i="18"/>
  <c r="R44" i="18" s="1"/>
  <c r="C51" i="18"/>
  <c r="V40" i="18"/>
  <c r="T30" i="18"/>
  <c r="S30" i="18"/>
  <c r="U29" i="18"/>
  <c r="U32" i="18" s="1"/>
  <c r="AD30" i="18" s="1"/>
  <c r="T28" i="18"/>
  <c r="S28" i="18"/>
  <c r="F119" i="17"/>
  <c r="D119" i="17"/>
  <c r="C119" i="17"/>
  <c r="B119" i="17"/>
  <c r="F118" i="17"/>
  <c r="D118" i="17"/>
  <c r="C118" i="17"/>
  <c r="B118" i="17"/>
  <c r="F117" i="17"/>
  <c r="D117" i="17"/>
  <c r="C117" i="17"/>
  <c r="B117" i="17"/>
  <c r="F116" i="17"/>
  <c r="D116" i="17"/>
  <c r="C116" i="17"/>
  <c r="B116" i="17"/>
  <c r="F115" i="17"/>
  <c r="D115" i="17"/>
  <c r="C115" i="17"/>
  <c r="B115" i="17"/>
  <c r="F114" i="17"/>
  <c r="D114" i="17"/>
  <c r="C114" i="17"/>
  <c r="B114" i="17"/>
  <c r="F113" i="17"/>
  <c r="D113" i="17"/>
  <c r="C113" i="17"/>
  <c r="B113" i="17"/>
  <c r="F112" i="17"/>
  <c r="D112" i="17"/>
  <c r="C112" i="17"/>
  <c r="B112" i="17"/>
  <c r="F111" i="17"/>
  <c r="D111" i="17"/>
  <c r="C111" i="17"/>
  <c r="B111" i="17"/>
  <c r="F110" i="17"/>
  <c r="D110" i="17"/>
  <c r="C110" i="17"/>
  <c r="B110" i="17"/>
  <c r="F109" i="17"/>
  <c r="D109" i="17"/>
  <c r="C109" i="17"/>
  <c r="B109" i="17"/>
  <c r="F108" i="17"/>
  <c r="D108" i="17"/>
  <c r="C108" i="17"/>
  <c r="B108" i="17"/>
  <c r="F107" i="17"/>
  <c r="D107" i="17"/>
  <c r="C107" i="17"/>
  <c r="B107" i="17"/>
  <c r="F106" i="17"/>
  <c r="D106" i="17"/>
  <c r="C106" i="17"/>
  <c r="B106" i="17"/>
  <c r="F105" i="17"/>
  <c r="D105" i="17"/>
  <c r="C105" i="17"/>
  <c r="B105" i="17"/>
  <c r="F104" i="17"/>
  <c r="D104" i="17"/>
  <c r="C104" i="17"/>
  <c r="B104" i="17"/>
  <c r="F103" i="17"/>
  <c r="D103" i="17"/>
  <c r="C103" i="17"/>
  <c r="B103" i="17"/>
  <c r="F102" i="17"/>
  <c r="D102" i="17"/>
  <c r="C102" i="17"/>
  <c r="B102" i="17"/>
  <c r="F101" i="17"/>
  <c r="D101" i="17"/>
  <c r="C101" i="17"/>
  <c r="B101" i="17"/>
  <c r="F100" i="17"/>
  <c r="D100" i="17"/>
  <c r="C100" i="17"/>
  <c r="B100" i="17"/>
  <c r="F99" i="17"/>
  <c r="D99" i="17"/>
  <c r="C99" i="17"/>
  <c r="B99" i="17"/>
  <c r="F98" i="17"/>
  <c r="D98" i="17"/>
  <c r="C98" i="17"/>
  <c r="B98" i="17"/>
  <c r="F97" i="17"/>
  <c r="D97" i="17"/>
  <c r="C97" i="17"/>
  <c r="B97" i="17"/>
  <c r="F96" i="17"/>
  <c r="C96" i="17"/>
  <c r="B96" i="17"/>
  <c r="F88" i="17"/>
  <c r="D88" i="17"/>
  <c r="C88" i="17"/>
  <c r="B88" i="17"/>
  <c r="F87" i="17"/>
  <c r="D87" i="17"/>
  <c r="C87" i="17"/>
  <c r="B87" i="17"/>
  <c r="F86" i="17"/>
  <c r="D86" i="17"/>
  <c r="C86" i="17"/>
  <c r="B86" i="17"/>
  <c r="F85" i="17"/>
  <c r="D85" i="17"/>
  <c r="C85" i="17"/>
  <c r="B85" i="17"/>
  <c r="F84" i="17"/>
  <c r="D84" i="17"/>
  <c r="C84" i="17"/>
  <c r="B84" i="17"/>
  <c r="F83" i="17"/>
  <c r="D83" i="17"/>
  <c r="C83" i="17"/>
  <c r="B83" i="17"/>
  <c r="F82" i="17"/>
  <c r="D82" i="17"/>
  <c r="C82" i="17"/>
  <c r="B82" i="17"/>
  <c r="F81" i="17"/>
  <c r="D81" i="17"/>
  <c r="C81" i="17"/>
  <c r="B81" i="17"/>
  <c r="F80" i="17"/>
  <c r="D80" i="17"/>
  <c r="C80" i="17"/>
  <c r="B80" i="17"/>
  <c r="F79" i="17"/>
  <c r="D79" i="17"/>
  <c r="C79" i="17"/>
  <c r="B79" i="17"/>
  <c r="F78" i="17"/>
  <c r="D78" i="17"/>
  <c r="C78" i="17"/>
  <c r="B78" i="17"/>
  <c r="F77" i="17"/>
  <c r="D77" i="17"/>
  <c r="C77" i="17"/>
  <c r="B77" i="17"/>
  <c r="F76" i="17"/>
  <c r="D76" i="17"/>
  <c r="C76" i="17"/>
  <c r="B76" i="17"/>
  <c r="F75" i="17"/>
  <c r="D75" i="17"/>
  <c r="C75" i="17"/>
  <c r="B75" i="17"/>
  <c r="F74" i="17"/>
  <c r="D74" i="17"/>
  <c r="C74" i="17"/>
  <c r="B74" i="17"/>
  <c r="F73" i="17"/>
  <c r="D73" i="17"/>
  <c r="C73" i="17"/>
  <c r="B73" i="17"/>
  <c r="F72" i="17"/>
  <c r="D72" i="17"/>
  <c r="C72" i="17"/>
  <c r="B72" i="17"/>
  <c r="F71" i="17"/>
  <c r="D71" i="17"/>
  <c r="C71" i="17"/>
  <c r="B71" i="17"/>
  <c r="F70" i="17"/>
  <c r="D70" i="17"/>
  <c r="C70" i="17"/>
  <c r="B70" i="17"/>
  <c r="F69" i="17"/>
  <c r="D69" i="17"/>
  <c r="C69" i="17"/>
  <c r="B69" i="17"/>
  <c r="F68" i="17"/>
  <c r="D68" i="17"/>
  <c r="C68" i="17"/>
  <c r="B68" i="17"/>
  <c r="F67" i="17"/>
  <c r="D67" i="17"/>
  <c r="C67" i="17"/>
  <c r="B67" i="17"/>
  <c r="F66" i="17"/>
  <c r="D66" i="17"/>
  <c r="C66" i="17"/>
  <c r="B66" i="17"/>
  <c r="F65" i="17"/>
  <c r="C65" i="17"/>
  <c r="D51" i="17"/>
  <c r="C51" i="17"/>
  <c r="V40" i="17"/>
  <c r="S30" i="17"/>
  <c r="U29" i="17"/>
  <c r="T28" i="17"/>
  <c r="S28" i="17"/>
  <c r="F131" i="16"/>
  <c r="D131" i="16"/>
  <c r="C131" i="16"/>
  <c r="B131" i="16"/>
  <c r="F130" i="16"/>
  <c r="D130" i="16"/>
  <c r="C130" i="16"/>
  <c r="B130" i="16"/>
  <c r="F129" i="16"/>
  <c r="C129" i="16"/>
  <c r="B129" i="16"/>
  <c r="F113" i="16"/>
  <c r="D113" i="16"/>
  <c r="C113" i="16"/>
  <c r="B113" i="16"/>
  <c r="F112" i="16"/>
  <c r="D112" i="16"/>
  <c r="C112" i="16"/>
  <c r="B112" i="16"/>
  <c r="F111" i="16"/>
  <c r="D111" i="16"/>
  <c r="C111" i="16"/>
  <c r="B111" i="16"/>
  <c r="F110" i="16"/>
  <c r="D110" i="16"/>
  <c r="C110" i="16"/>
  <c r="B110" i="16"/>
  <c r="F109" i="16"/>
  <c r="D109" i="16"/>
  <c r="C109" i="16"/>
  <c r="B109" i="16"/>
  <c r="F108" i="16"/>
  <c r="C108" i="16"/>
  <c r="B108" i="16"/>
  <c r="F94" i="16"/>
  <c r="D94" i="16"/>
  <c r="C94" i="16"/>
  <c r="B94" i="16"/>
  <c r="F93" i="16"/>
  <c r="D93" i="16"/>
  <c r="C93" i="16"/>
  <c r="B93" i="16"/>
  <c r="F92" i="16"/>
  <c r="D92" i="16"/>
  <c r="C92" i="16"/>
  <c r="B92" i="16"/>
  <c r="F91" i="16"/>
  <c r="D91" i="16"/>
  <c r="C91" i="16"/>
  <c r="B91" i="16"/>
  <c r="F90" i="16"/>
  <c r="D90" i="16"/>
  <c r="C90" i="16"/>
  <c r="B90" i="16"/>
  <c r="F89" i="16"/>
  <c r="D89" i="16"/>
  <c r="C89" i="16"/>
  <c r="B89" i="16"/>
  <c r="F88" i="16"/>
  <c r="D88" i="16"/>
  <c r="C88" i="16"/>
  <c r="B88" i="16"/>
  <c r="F87" i="16"/>
  <c r="D87" i="16"/>
  <c r="C87" i="16"/>
  <c r="B87" i="16"/>
  <c r="F86" i="16"/>
  <c r="C86" i="16"/>
  <c r="B86" i="16"/>
  <c r="F74" i="16"/>
  <c r="D74" i="16"/>
  <c r="C74" i="16"/>
  <c r="B74" i="16"/>
  <c r="F73" i="16"/>
  <c r="D73" i="16"/>
  <c r="C73" i="16"/>
  <c r="B73" i="16"/>
  <c r="F72" i="16"/>
  <c r="D72" i="16"/>
  <c r="C72" i="16"/>
  <c r="B72" i="16"/>
  <c r="F71" i="16"/>
  <c r="D71" i="16"/>
  <c r="C71" i="16"/>
  <c r="B71" i="16"/>
  <c r="F70" i="16"/>
  <c r="D70" i="16"/>
  <c r="C70" i="16"/>
  <c r="B70" i="16"/>
  <c r="F69" i="16"/>
  <c r="D69" i="16"/>
  <c r="C69" i="16"/>
  <c r="B69" i="16"/>
  <c r="F68" i="16"/>
  <c r="D68" i="16"/>
  <c r="C68" i="16"/>
  <c r="B68" i="16"/>
  <c r="F67" i="16"/>
  <c r="D67" i="16"/>
  <c r="C67" i="16"/>
  <c r="B67" i="16"/>
  <c r="F66" i="16"/>
  <c r="C66" i="16"/>
  <c r="B66" i="16"/>
  <c r="U29" i="16"/>
  <c r="U32" i="16" s="1"/>
  <c r="F121" i="15"/>
  <c r="D121" i="15"/>
  <c r="C121" i="15"/>
  <c r="B121" i="15"/>
  <c r="F120" i="15"/>
  <c r="D120" i="15"/>
  <c r="C120" i="15"/>
  <c r="B120" i="15"/>
  <c r="F119" i="15"/>
  <c r="D119" i="15"/>
  <c r="C119" i="15"/>
  <c r="B119" i="15"/>
  <c r="F118" i="15"/>
  <c r="D118" i="15"/>
  <c r="C118" i="15"/>
  <c r="B118" i="15"/>
  <c r="F117" i="15"/>
  <c r="D117" i="15"/>
  <c r="C117" i="15"/>
  <c r="B117" i="15"/>
  <c r="F116" i="15"/>
  <c r="D116" i="15"/>
  <c r="C116" i="15"/>
  <c r="B116" i="15"/>
  <c r="F115" i="15"/>
  <c r="D115" i="15"/>
  <c r="C115" i="15"/>
  <c r="B115" i="15"/>
  <c r="F114" i="15"/>
  <c r="D114" i="15"/>
  <c r="C114" i="15"/>
  <c r="B114" i="15"/>
  <c r="F113" i="15"/>
  <c r="D113" i="15"/>
  <c r="C113" i="15"/>
  <c r="B113" i="15"/>
  <c r="F112" i="15"/>
  <c r="D112" i="15"/>
  <c r="C112" i="15"/>
  <c r="B112" i="15"/>
  <c r="F111" i="15"/>
  <c r="D111" i="15"/>
  <c r="C111" i="15"/>
  <c r="B111" i="15"/>
  <c r="F110" i="15"/>
  <c r="D110" i="15"/>
  <c r="C110" i="15"/>
  <c r="B110" i="15"/>
  <c r="F109" i="15"/>
  <c r="D109" i="15"/>
  <c r="C109" i="15"/>
  <c r="B109" i="15"/>
  <c r="F108" i="15"/>
  <c r="D108" i="15"/>
  <c r="C108" i="15"/>
  <c r="B108" i="15"/>
  <c r="F107" i="15"/>
  <c r="D107" i="15"/>
  <c r="C107" i="15"/>
  <c r="B107" i="15"/>
  <c r="F106" i="15"/>
  <c r="D106" i="15"/>
  <c r="C106" i="15"/>
  <c r="B106" i="15"/>
  <c r="F105" i="15"/>
  <c r="D105" i="15"/>
  <c r="C105" i="15"/>
  <c r="B105" i="15"/>
  <c r="F104" i="15"/>
  <c r="D104" i="15"/>
  <c r="C104" i="15"/>
  <c r="B104" i="15"/>
  <c r="F103" i="15"/>
  <c r="D103" i="15"/>
  <c r="C103" i="15"/>
  <c r="B103" i="15"/>
  <c r="F102" i="15"/>
  <c r="D102" i="15"/>
  <c r="C102" i="15"/>
  <c r="B102" i="15"/>
  <c r="F101" i="15"/>
  <c r="D101" i="15"/>
  <c r="C101" i="15"/>
  <c r="B101" i="15"/>
  <c r="F100" i="15"/>
  <c r="D100" i="15"/>
  <c r="C100" i="15"/>
  <c r="B100" i="15"/>
  <c r="F99" i="15"/>
  <c r="D99" i="15"/>
  <c r="C99" i="15"/>
  <c r="B99" i="15"/>
  <c r="F98" i="15"/>
  <c r="D98" i="15"/>
  <c r="C98" i="15"/>
  <c r="B98" i="15"/>
  <c r="F97" i="15"/>
  <c r="C97" i="15"/>
  <c r="B97" i="15"/>
  <c r="F89" i="15"/>
  <c r="D89" i="15"/>
  <c r="C89" i="15"/>
  <c r="B89" i="15"/>
  <c r="F88" i="15"/>
  <c r="D88" i="15"/>
  <c r="C88" i="15"/>
  <c r="B88" i="15"/>
  <c r="F87" i="15"/>
  <c r="D87" i="15"/>
  <c r="C87" i="15"/>
  <c r="B87" i="15"/>
  <c r="F86" i="15"/>
  <c r="D86" i="15"/>
  <c r="C86" i="15"/>
  <c r="B86" i="15"/>
  <c r="F85" i="15"/>
  <c r="D85" i="15"/>
  <c r="C85" i="15"/>
  <c r="B85" i="15"/>
  <c r="F84" i="15"/>
  <c r="D84" i="15"/>
  <c r="C84" i="15"/>
  <c r="B84" i="15"/>
  <c r="F83" i="15"/>
  <c r="D83" i="15"/>
  <c r="C83" i="15"/>
  <c r="B83" i="15"/>
  <c r="F82" i="15"/>
  <c r="D82" i="15"/>
  <c r="C82" i="15"/>
  <c r="B82" i="15"/>
  <c r="F81" i="15"/>
  <c r="D81" i="15"/>
  <c r="C81" i="15"/>
  <c r="B81" i="15"/>
  <c r="F80" i="15"/>
  <c r="D80" i="15"/>
  <c r="C80" i="15"/>
  <c r="B80" i="15"/>
  <c r="F79" i="15"/>
  <c r="D79" i="15"/>
  <c r="C79" i="15"/>
  <c r="B79" i="15"/>
  <c r="F78" i="15"/>
  <c r="D78" i="15"/>
  <c r="C78" i="15"/>
  <c r="B78" i="15"/>
  <c r="F77" i="15"/>
  <c r="D77" i="15"/>
  <c r="C77" i="15"/>
  <c r="B77" i="15"/>
  <c r="F76" i="15"/>
  <c r="D76" i="15"/>
  <c r="C76" i="15"/>
  <c r="B76" i="15"/>
  <c r="F75" i="15"/>
  <c r="D75" i="15"/>
  <c r="C75" i="15"/>
  <c r="B75" i="15"/>
  <c r="F74" i="15"/>
  <c r="D74" i="15"/>
  <c r="C74" i="15"/>
  <c r="B74" i="15"/>
  <c r="F73" i="15"/>
  <c r="D73" i="15"/>
  <c r="C73" i="15"/>
  <c r="B73" i="15"/>
  <c r="F72" i="15"/>
  <c r="D72" i="15"/>
  <c r="C72" i="15"/>
  <c r="B72" i="15"/>
  <c r="F71" i="15"/>
  <c r="D71" i="15"/>
  <c r="C71" i="15"/>
  <c r="B71" i="15"/>
  <c r="F70" i="15"/>
  <c r="D70" i="15"/>
  <c r="C70" i="15"/>
  <c r="B70" i="15"/>
  <c r="F69" i="15"/>
  <c r="D69" i="15"/>
  <c r="C69" i="15"/>
  <c r="B69" i="15"/>
  <c r="F68" i="15"/>
  <c r="D68" i="15"/>
  <c r="C68" i="15"/>
  <c r="B68" i="15"/>
  <c r="F67" i="15"/>
  <c r="D67" i="15"/>
  <c r="C67" i="15"/>
  <c r="B67" i="15"/>
  <c r="F66" i="15"/>
  <c r="D66" i="15"/>
  <c r="C66" i="15"/>
  <c r="B66" i="15"/>
  <c r="F65" i="15"/>
  <c r="C65" i="15"/>
  <c r="B65" i="15"/>
  <c r="V40" i="15"/>
  <c r="D51" i="15"/>
  <c r="R44" i="15" s="1"/>
  <c r="U44" i="15" s="1"/>
  <c r="W44" i="15" s="1"/>
  <c r="J51" i="15" s="1"/>
  <c r="C51" i="15"/>
  <c r="T30" i="15"/>
  <c r="S30" i="15"/>
  <c r="U29" i="15"/>
  <c r="U32" i="15" s="1"/>
  <c r="AE30" i="15" s="1"/>
  <c r="S28" i="15"/>
  <c r="F126" i="14"/>
  <c r="D126" i="14"/>
  <c r="C126" i="14"/>
  <c r="B126" i="14"/>
  <c r="F125" i="14"/>
  <c r="D125" i="14"/>
  <c r="C125" i="14"/>
  <c r="B125" i="14"/>
  <c r="F124" i="14"/>
  <c r="D124" i="14"/>
  <c r="C124" i="14"/>
  <c r="B124" i="14"/>
  <c r="F123" i="14"/>
  <c r="D123" i="14"/>
  <c r="C123" i="14"/>
  <c r="B123" i="14"/>
  <c r="F122" i="14"/>
  <c r="D122" i="14"/>
  <c r="C122" i="14"/>
  <c r="B122" i="14"/>
  <c r="F121" i="14"/>
  <c r="D121" i="14"/>
  <c r="C121" i="14"/>
  <c r="B121" i="14"/>
  <c r="F120" i="14"/>
  <c r="D120" i="14"/>
  <c r="C120" i="14"/>
  <c r="B120" i="14"/>
  <c r="F113" i="14"/>
  <c r="D113" i="14"/>
  <c r="C113" i="14"/>
  <c r="B113" i="14"/>
  <c r="F112" i="14"/>
  <c r="D112" i="14"/>
  <c r="C112" i="14"/>
  <c r="B112" i="14"/>
  <c r="F111" i="14"/>
  <c r="D111" i="14"/>
  <c r="C111" i="14"/>
  <c r="B111" i="14"/>
  <c r="F110" i="14"/>
  <c r="D110" i="14"/>
  <c r="C110" i="14"/>
  <c r="B110" i="14"/>
  <c r="F109" i="14"/>
  <c r="D109" i="14"/>
  <c r="C109" i="14"/>
  <c r="B109" i="14"/>
  <c r="F108" i="14"/>
  <c r="D108" i="14"/>
  <c r="C108" i="14"/>
  <c r="B108" i="14"/>
  <c r="F107" i="14"/>
  <c r="D107" i="14"/>
  <c r="C107" i="14"/>
  <c r="B107" i="14"/>
  <c r="F71" i="14"/>
  <c r="D71" i="14"/>
  <c r="C71" i="14"/>
  <c r="B71" i="14"/>
  <c r="F70" i="14"/>
  <c r="D70" i="14"/>
  <c r="C70" i="14"/>
  <c r="B70" i="14"/>
  <c r="F69" i="14"/>
  <c r="D69" i="14"/>
  <c r="C69" i="14"/>
  <c r="B69" i="14"/>
  <c r="F68" i="14"/>
  <c r="D68" i="14"/>
  <c r="C68" i="14"/>
  <c r="B68" i="14"/>
  <c r="F67" i="14"/>
  <c r="D67" i="14"/>
  <c r="C67" i="14"/>
  <c r="B67" i="14"/>
  <c r="F66" i="14"/>
  <c r="D66" i="14"/>
  <c r="C66" i="14"/>
  <c r="B66" i="14"/>
  <c r="F65" i="14"/>
  <c r="D65" i="14"/>
  <c r="C65" i="14"/>
  <c r="B65" i="14"/>
  <c r="T29" i="14"/>
  <c r="S28" i="14"/>
  <c r="S30" i="14" s="1"/>
  <c r="C51" i="14"/>
  <c r="F73" i="13"/>
  <c r="D73" i="13"/>
  <c r="C73" i="13"/>
  <c r="B73" i="13"/>
  <c r="F72" i="13"/>
  <c r="D72" i="13"/>
  <c r="C72" i="13"/>
  <c r="B72" i="13"/>
  <c r="F71" i="13"/>
  <c r="D71" i="13"/>
  <c r="C71" i="13"/>
  <c r="B71" i="13"/>
  <c r="F70" i="13"/>
  <c r="D70" i="13"/>
  <c r="C70" i="13"/>
  <c r="B70" i="13"/>
  <c r="F69" i="13"/>
  <c r="D69" i="13"/>
  <c r="C69" i="13"/>
  <c r="B69" i="13"/>
  <c r="F68" i="13"/>
  <c r="D68" i="13"/>
  <c r="C68" i="13"/>
  <c r="B68" i="13"/>
  <c r="F67" i="13"/>
  <c r="D67" i="13"/>
  <c r="C67" i="13"/>
  <c r="B67" i="13"/>
  <c r="F66" i="13"/>
  <c r="D66" i="13"/>
  <c r="C66" i="13"/>
  <c r="B66" i="13"/>
  <c r="F65" i="13"/>
  <c r="D65" i="13"/>
  <c r="C65" i="13"/>
  <c r="B65" i="13"/>
  <c r="T29" i="13"/>
  <c r="S28" i="13"/>
  <c r="S30" i="13" s="1"/>
  <c r="T30" i="13" s="1"/>
  <c r="F72" i="12"/>
  <c r="D72" i="12"/>
  <c r="C72" i="12"/>
  <c r="B72" i="12"/>
  <c r="F71" i="12"/>
  <c r="D71" i="12"/>
  <c r="C71" i="12"/>
  <c r="B71" i="12"/>
  <c r="F70" i="12"/>
  <c r="D70" i="12"/>
  <c r="C70" i="12"/>
  <c r="B70" i="12"/>
  <c r="F69" i="12"/>
  <c r="D69" i="12"/>
  <c r="C69" i="12"/>
  <c r="B69" i="12"/>
  <c r="F68" i="12"/>
  <c r="D68" i="12"/>
  <c r="C68" i="12"/>
  <c r="B68" i="12"/>
  <c r="F67" i="12"/>
  <c r="D67" i="12"/>
  <c r="C67" i="12"/>
  <c r="B67" i="12"/>
  <c r="F66" i="12"/>
  <c r="D66" i="12"/>
  <c r="C66" i="12"/>
  <c r="B66" i="12"/>
  <c r="F65" i="12"/>
  <c r="D65" i="12"/>
  <c r="C65" i="12"/>
  <c r="B65" i="12"/>
  <c r="T29" i="12"/>
  <c r="T28" i="12"/>
  <c r="R44" i="11"/>
  <c r="V40" i="11"/>
  <c r="T35" i="11"/>
  <c r="AC30" i="11" s="1"/>
  <c r="T33" i="11"/>
  <c r="T32" i="11"/>
  <c r="U32" i="11" s="1"/>
  <c r="J52" i="11" s="1"/>
  <c r="T31" i="11"/>
  <c r="U29" i="11"/>
  <c r="F93" i="10"/>
  <c r="D93" i="10"/>
  <c r="C93" i="10"/>
  <c r="B93" i="10"/>
  <c r="F92" i="10"/>
  <c r="D92" i="10"/>
  <c r="C92" i="10"/>
  <c r="B92" i="10"/>
  <c r="F91" i="10"/>
  <c r="D91" i="10"/>
  <c r="C91" i="10"/>
  <c r="B91" i="10"/>
  <c r="F90" i="10"/>
  <c r="D90" i="10"/>
  <c r="C90" i="10"/>
  <c r="B90" i="10"/>
  <c r="F89" i="10"/>
  <c r="C89" i="10"/>
  <c r="B89" i="10"/>
  <c r="F80" i="10"/>
  <c r="D80" i="10"/>
  <c r="C80" i="10"/>
  <c r="B80" i="10"/>
  <c r="F79" i="10"/>
  <c r="D79" i="10"/>
  <c r="C79" i="10"/>
  <c r="B79" i="10"/>
  <c r="F78" i="10"/>
  <c r="D78" i="10"/>
  <c r="C78" i="10"/>
  <c r="B78" i="10"/>
  <c r="F77" i="10"/>
  <c r="D77" i="10"/>
  <c r="C77" i="10"/>
  <c r="B77" i="10"/>
  <c r="F76" i="10"/>
  <c r="C76" i="10"/>
  <c r="B76" i="10"/>
  <c r="F69" i="10"/>
  <c r="D69" i="10"/>
  <c r="C69" i="10"/>
  <c r="B69" i="10"/>
  <c r="F68" i="10"/>
  <c r="D68" i="10"/>
  <c r="C68" i="10"/>
  <c r="B68" i="10"/>
  <c r="F67" i="10"/>
  <c r="D67" i="10"/>
  <c r="C67" i="10"/>
  <c r="B67" i="10"/>
  <c r="F66" i="10"/>
  <c r="D66" i="10"/>
  <c r="C66" i="10"/>
  <c r="B66" i="10"/>
  <c r="F65" i="10"/>
  <c r="C65" i="10"/>
  <c r="B65" i="10"/>
  <c r="V44" i="10"/>
  <c r="U44" i="10"/>
  <c r="T29" i="10"/>
  <c r="T28" i="10"/>
  <c r="R25" i="10"/>
  <c r="F65" i="9"/>
  <c r="C65" i="9"/>
  <c r="B65" i="9"/>
  <c r="V40" i="9"/>
  <c r="U29" i="9"/>
  <c r="U28" i="9"/>
  <c r="D51" i="9"/>
  <c r="R44" i="9"/>
  <c r="C51" i="9"/>
  <c r="F108" i="8"/>
  <c r="D108" i="8"/>
  <c r="C108" i="8"/>
  <c r="B108" i="8"/>
  <c r="F107" i="8"/>
  <c r="D107" i="8"/>
  <c r="C107" i="8"/>
  <c r="B107" i="8"/>
  <c r="F106" i="8"/>
  <c r="D106" i="8"/>
  <c r="C106" i="8"/>
  <c r="B106" i="8"/>
  <c r="F105" i="8"/>
  <c r="D105" i="8"/>
  <c r="C105" i="8"/>
  <c r="B105" i="8"/>
  <c r="F104" i="8"/>
  <c r="D104" i="8"/>
  <c r="C104" i="8"/>
  <c r="B104" i="8"/>
  <c r="F103" i="8"/>
  <c r="D103" i="8"/>
  <c r="C103" i="8"/>
  <c r="B103" i="8"/>
  <c r="F102" i="8"/>
  <c r="D102" i="8"/>
  <c r="C102" i="8"/>
  <c r="B102" i="8"/>
  <c r="F101" i="8"/>
  <c r="D101" i="8"/>
  <c r="C101" i="8"/>
  <c r="B101" i="8"/>
  <c r="F100" i="8"/>
  <c r="D100" i="8"/>
  <c r="C100" i="8"/>
  <c r="B100" i="8"/>
  <c r="F99" i="8"/>
  <c r="D99" i="8"/>
  <c r="C99" i="8"/>
  <c r="B99" i="8"/>
  <c r="F98" i="8"/>
  <c r="D98" i="8"/>
  <c r="C98" i="8"/>
  <c r="B98" i="8"/>
  <c r="F97" i="8"/>
  <c r="D97" i="8"/>
  <c r="C97" i="8"/>
  <c r="B97" i="8"/>
  <c r="F96" i="8"/>
  <c r="D96" i="8"/>
  <c r="C96" i="8"/>
  <c r="B96" i="8"/>
  <c r="F95" i="8"/>
  <c r="D95" i="8"/>
  <c r="C95" i="8"/>
  <c r="B95" i="8"/>
  <c r="F94" i="8"/>
  <c r="D94" i="8"/>
  <c r="C94" i="8"/>
  <c r="B94" i="8"/>
  <c r="F93" i="8"/>
  <c r="D93" i="8"/>
  <c r="C93" i="8"/>
  <c r="B93" i="8"/>
  <c r="F92" i="8"/>
  <c r="D92" i="8"/>
  <c r="C92" i="8"/>
  <c r="B92" i="8"/>
  <c r="F91" i="8"/>
  <c r="D91" i="8"/>
  <c r="C91" i="8"/>
  <c r="B91" i="8"/>
  <c r="F90" i="8"/>
  <c r="C90" i="8"/>
  <c r="B90" i="8"/>
  <c r="F83" i="8"/>
  <c r="D83" i="8"/>
  <c r="C83" i="8"/>
  <c r="B83" i="8"/>
  <c r="F82" i="8"/>
  <c r="D82" i="8"/>
  <c r="C82" i="8"/>
  <c r="B82" i="8"/>
  <c r="F81" i="8"/>
  <c r="D81" i="8"/>
  <c r="C81" i="8"/>
  <c r="B81" i="8"/>
  <c r="F80" i="8"/>
  <c r="D80" i="8"/>
  <c r="C80" i="8"/>
  <c r="B80" i="8"/>
  <c r="F79" i="8"/>
  <c r="D79" i="8"/>
  <c r="C79" i="8"/>
  <c r="B79" i="8"/>
  <c r="F78" i="8"/>
  <c r="D78" i="8"/>
  <c r="C78" i="8"/>
  <c r="B78" i="8"/>
  <c r="F77" i="8"/>
  <c r="D77" i="8"/>
  <c r="C77" i="8"/>
  <c r="B77" i="8"/>
  <c r="F76" i="8"/>
  <c r="D76" i="8"/>
  <c r="C76" i="8"/>
  <c r="B76" i="8"/>
  <c r="F75" i="8"/>
  <c r="D75" i="8"/>
  <c r="C75" i="8"/>
  <c r="B75" i="8"/>
  <c r="F74" i="8"/>
  <c r="D74" i="8"/>
  <c r="C74" i="8"/>
  <c r="B74" i="8"/>
  <c r="F73" i="8"/>
  <c r="D73" i="8"/>
  <c r="C73" i="8"/>
  <c r="B73" i="8"/>
  <c r="F72" i="8"/>
  <c r="D72" i="8"/>
  <c r="C72" i="8"/>
  <c r="B72" i="8"/>
  <c r="F71" i="8"/>
  <c r="D71" i="8"/>
  <c r="C71" i="8"/>
  <c r="B71" i="8"/>
  <c r="F70" i="8"/>
  <c r="D70" i="8"/>
  <c r="C70" i="8"/>
  <c r="B70" i="8"/>
  <c r="F69" i="8"/>
  <c r="D69" i="8"/>
  <c r="C69" i="8"/>
  <c r="B69" i="8"/>
  <c r="F68" i="8"/>
  <c r="D68" i="8"/>
  <c r="C68" i="8"/>
  <c r="B68" i="8"/>
  <c r="F67" i="8"/>
  <c r="D67" i="8"/>
  <c r="C67" i="8"/>
  <c r="B67" i="8"/>
  <c r="F66" i="8"/>
  <c r="D66" i="8"/>
  <c r="C66" i="8"/>
  <c r="B66" i="8"/>
  <c r="F65" i="8"/>
  <c r="C65" i="8"/>
  <c r="B65" i="8"/>
  <c r="D51" i="8"/>
  <c r="C51" i="8"/>
  <c r="V40" i="8"/>
  <c r="S30" i="8"/>
  <c r="S32" i="8" s="1"/>
  <c r="J52" i="8" s="1"/>
  <c r="I52" i="8" s="1"/>
  <c r="F102" i="7"/>
  <c r="D102" i="7"/>
  <c r="C102" i="7"/>
  <c r="B102" i="7"/>
  <c r="F101" i="7"/>
  <c r="D101" i="7"/>
  <c r="C101" i="7"/>
  <c r="B101" i="7"/>
  <c r="F100" i="7"/>
  <c r="D100" i="7"/>
  <c r="C100" i="7"/>
  <c r="B100" i="7"/>
  <c r="F99" i="7"/>
  <c r="D99" i="7"/>
  <c r="C99" i="7"/>
  <c r="B99" i="7"/>
  <c r="F98" i="7"/>
  <c r="D98" i="7"/>
  <c r="C98" i="7"/>
  <c r="B98" i="7"/>
  <c r="F97" i="7"/>
  <c r="D97" i="7"/>
  <c r="C97" i="7"/>
  <c r="B97" i="7"/>
  <c r="F96" i="7"/>
  <c r="D96" i="7"/>
  <c r="C96" i="7"/>
  <c r="B96" i="7"/>
  <c r="F95" i="7"/>
  <c r="D95" i="7"/>
  <c r="C95" i="7"/>
  <c r="B95" i="7"/>
  <c r="F94" i="7"/>
  <c r="D94" i="7"/>
  <c r="C94" i="7"/>
  <c r="B94" i="7"/>
  <c r="F93" i="7"/>
  <c r="D93" i="7"/>
  <c r="C93" i="7"/>
  <c r="B93" i="7"/>
  <c r="F92" i="7"/>
  <c r="D92" i="7"/>
  <c r="C92" i="7"/>
  <c r="B92" i="7"/>
  <c r="F91" i="7"/>
  <c r="D91" i="7"/>
  <c r="C91" i="7"/>
  <c r="B91" i="7"/>
  <c r="F90" i="7"/>
  <c r="D90" i="7"/>
  <c r="C90" i="7"/>
  <c r="B90" i="7"/>
  <c r="F89" i="7"/>
  <c r="D89" i="7"/>
  <c r="C89" i="7"/>
  <c r="B89" i="7"/>
  <c r="F88" i="7"/>
  <c r="C88" i="7"/>
  <c r="B88" i="7"/>
  <c r="F79" i="7"/>
  <c r="D79" i="7"/>
  <c r="C79" i="7"/>
  <c r="B79" i="7"/>
  <c r="F78" i="7"/>
  <c r="D78" i="7"/>
  <c r="C78" i="7"/>
  <c r="B78" i="7"/>
  <c r="F77" i="7"/>
  <c r="D77" i="7"/>
  <c r="C77" i="7"/>
  <c r="B77" i="7"/>
  <c r="F76" i="7"/>
  <c r="D76" i="7"/>
  <c r="C76" i="7"/>
  <c r="B76" i="7"/>
  <c r="F75" i="7"/>
  <c r="D75" i="7"/>
  <c r="C75" i="7"/>
  <c r="B75" i="7"/>
  <c r="F74" i="7"/>
  <c r="D74" i="7"/>
  <c r="C74" i="7"/>
  <c r="B74" i="7"/>
  <c r="F73" i="7"/>
  <c r="D73" i="7"/>
  <c r="C73" i="7"/>
  <c r="B73" i="7"/>
  <c r="F72" i="7"/>
  <c r="D72" i="7"/>
  <c r="C72" i="7"/>
  <c r="B72" i="7"/>
  <c r="F71" i="7"/>
  <c r="D71" i="7"/>
  <c r="C71" i="7"/>
  <c r="B71" i="7"/>
  <c r="F70" i="7"/>
  <c r="D70" i="7"/>
  <c r="C70" i="7"/>
  <c r="B70" i="7"/>
  <c r="F69" i="7"/>
  <c r="D69" i="7"/>
  <c r="C69" i="7"/>
  <c r="B69" i="7"/>
  <c r="F68" i="7"/>
  <c r="D68" i="7"/>
  <c r="C68" i="7"/>
  <c r="B68" i="7"/>
  <c r="F67" i="7"/>
  <c r="D67" i="7"/>
  <c r="C67" i="7"/>
  <c r="B67" i="7"/>
  <c r="F66" i="7"/>
  <c r="D66" i="7"/>
  <c r="C66" i="7"/>
  <c r="B66" i="7"/>
  <c r="F65" i="7"/>
  <c r="C65" i="7"/>
  <c r="B65" i="7"/>
  <c r="V40" i="7"/>
  <c r="T30" i="7"/>
  <c r="S30" i="7"/>
  <c r="T29" i="7"/>
  <c r="T28" i="7"/>
  <c r="S28" i="7"/>
  <c r="D51" i="7"/>
  <c r="K1" i="7"/>
  <c r="F71" i="6"/>
  <c r="D71" i="6"/>
  <c r="C71" i="6"/>
  <c r="B71" i="6"/>
  <c r="D70" i="6"/>
  <c r="C70" i="6"/>
  <c r="B70" i="6"/>
  <c r="D69" i="6"/>
  <c r="C69" i="6"/>
  <c r="B69" i="6"/>
  <c r="D68" i="6"/>
  <c r="C68" i="6"/>
  <c r="B68" i="6"/>
  <c r="D67" i="6"/>
  <c r="C67" i="6"/>
  <c r="B67" i="6"/>
  <c r="F66" i="6"/>
  <c r="D66" i="6"/>
  <c r="C66" i="6"/>
  <c r="B66" i="6"/>
  <c r="F65" i="6"/>
  <c r="C65" i="6"/>
  <c r="B65" i="6"/>
  <c r="D51" i="6"/>
  <c r="R44" i="6" s="1"/>
  <c r="C51" i="6"/>
  <c r="V40" i="6"/>
  <c r="AO1" i="6"/>
  <c r="T32" i="6"/>
  <c r="F7" i="6"/>
  <c r="F80" i="6" s="1"/>
  <c r="F87" i="5"/>
  <c r="D87" i="5"/>
  <c r="C87" i="5"/>
  <c r="B87" i="5"/>
  <c r="F86" i="5"/>
  <c r="D86" i="5"/>
  <c r="C86" i="5"/>
  <c r="B86" i="5"/>
  <c r="F85" i="5"/>
  <c r="D85" i="5"/>
  <c r="C85" i="5"/>
  <c r="B85" i="5"/>
  <c r="F84" i="5"/>
  <c r="D84" i="5"/>
  <c r="C84" i="5"/>
  <c r="B84" i="5"/>
  <c r="F83" i="5"/>
  <c r="D83" i="5"/>
  <c r="C83" i="5"/>
  <c r="B83" i="5"/>
  <c r="F82" i="5"/>
  <c r="D82" i="5"/>
  <c r="C82" i="5"/>
  <c r="B82" i="5"/>
  <c r="F81" i="5"/>
  <c r="D81" i="5"/>
  <c r="C81" i="5"/>
  <c r="B81" i="5"/>
  <c r="F80" i="5"/>
  <c r="D80" i="5"/>
  <c r="C80" i="5"/>
  <c r="B80" i="5"/>
  <c r="F79" i="5"/>
  <c r="D79" i="5"/>
  <c r="C79" i="5"/>
  <c r="B79" i="5"/>
  <c r="F78" i="5"/>
  <c r="D78" i="5"/>
  <c r="C78" i="5"/>
  <c r="B78" i="5"/>
  <c r="F77" i="5"/>
  <c r="D77" i="5"/>
  <c r="C77" i="5"/>
  <c r="B77" i="5"/>
  <c r="F76" i="5"/>
  <c r="D76" i="5"/>
  <c r="C76" i="5"/>
  <c r="B76" i="5"/>
  <c r="F75" i="5"/>
  <c r="D75" i="5"/>
  <c r="C75" i="5"/>
  <c r="B75" i="5"/>
  <c r="F74" i="5"/>
  <c r="D74" i="5"/>
  <c r="C74" i="5"/>
  <c r="B74" i="5"/>
  <c r="F73" i="5"/>
  <c r="D73" i="5"/>
  <c r="C73" i="5"/>
  <c r="B73" i="5"/>
  <c r="F72" i="5"/>
  <c r="D72" i="5"/>
  <c r="C72" i="5"/>
  <c r="B72" i="5"/>
  <c r="F71" i="5"/>
  <c r="D71" i="5"/>
  <c r="C71" i="5"/>
  <c r="B71" i="5"/>
  <c r="F70" i="5"/>
  <c r="D70" i="5"/>
  <c r="C70" i="5"/>
  <c r="B70" i="5"/>
  <c r="F69" i="5"/>
  <c r="D69" i="5"/>
  <c r="C69" i="5"/>
  <c r="B69" i="5"/>
  <c r="F68" i="5"/>
  <c r="D68" i="5"/>
  <c r="C68" i="5"/>
  <c r="B68" i="5"/>
  <c r="F67" i="5"/>
  <c r="D67" i="5"/>
  <c r="C67" i="5"/>
  <c r="B67" i="5"/>
  <c r="F66" i="5"/>
  <c r="D66" i="5"/>
  <c r="C66" i="5"/>
  <c r="B66" i="5"/>
  <c r="F65" i="5"/>
  <c r="C65" i="5"/>
  <c r="B65" i="5"/>
  <c r="V40" i="5"/>
  <c r="T30" i="5"/>
  <c r="S30" i="5"/>
  <c r="D51" i="5"/>
  <c r="R44" i="5" s="1"/>
  <c r="C51" i="5"/>
  <c r="U29" i="5"/>
  <c r="U32" i="5" s="1"/>
  <c r="AD30" i="5" s="1"/>
  <c r="T28" i="5"/>
  <c r="S28" i="5"/>
  <c r="F122" i="4"/>
  <c r="C122" i="4"/>
  <c r="B122" i="4"/>
  <c r="F103" i="4"/>
  <c r="C103" i="4"/>
  <c r="B103" i="4"/>
  <c r="F83" i="4"/>
  <c r="C83" i="4"/>
  <c r="B83" i="4"/>
  <c r="F65" i="4"/>
  <c r="C65" i="4"/>
  <c r="B65" i="4"/>
  <c r="V44" i="4"/>
  <c r="U44" i="4"/>
  <c r="V40" i="4"/>
  <c r="J52" i="4"/>
  <c r="T31" i="4"/>
  <c r="U29" i="4"/>
  <c r="D51" i="4"/>
  <c r="AA28" i="4"/>
  <c r="F133" i="3"/>
  <c r="D133" i="3"/>
  <c r="C133" i="3"/>
  <c r="B133" i="3"/>
  <c r="F132" i="3"/>
  <c r="D132" i="3"/>
  <c r="C132" i="3"/>
  <c r="B132" i="3"/>
  <c r="F131" i="3"/>
  <c r="D131" i="3"/>
  <c r="C131" i="3"/>
  <c r="B131" i="3"/>
  <c r="F130" i="3"/>
  <c r="D130" i="3"/>
  <c r="C130" i="3"/>
  <c r="B130" i="3"/>
  <c r="F129" i="3"/>
  <c r="D129" i="3"/>
  <c r="C129" i="3"/>
  <c r="B129" i="3"/>
  <c r="F128" i="3"/>
  <c r="D128" i="3"/>
  <c r="C128" i="3"/>
  <c r="B128" i="3"/>
  <c r="F127" i="3"/>
  <c r="D127" i="3"/>
  <c r="C127" i="3"/>
  <c r="B127" i="3"/>
  <c r="F126" i="3"/>
  <c r="D126" i="3"/>
  <c r="C126" i="3"/>
  <c r="B126" i="3"/>
  <c r="F125" i="3"/>
  <c r="D125" i="3"/>
  <c r="C125" i="3"/>
  <c r="B125" i="3"/>
  <c r="F124" i="3"/>
  <c r="D124" i="3"/>
  <c r="C124" i="3"/>
  <c r="B124" i="3"/>
  <c r="F123" i="3"/>
  <c r="D123" i="3"/>
  <c r="C123" i="3"/>
  <c r="B123" i="3"/>
  <c r="F122" i="3"/>
  <c r="D122" i="3"/>
  <c r="C122" i="3"/>
  <c r="B122" i="3"/>
  <c r="F121" i="3"/>
  <c r="D121" i="3"/>
  <c r="C121" i="3"/>
  <c r="B121" i="3"/>
  <c r="F120" i="3"/>
  <c r="D120" i="3"/>
  <c r="C120" i="3"/>
  <c r="B120" i="3"/>
  <c r="F119" i="3"/>
  <c r="D119" i="3"/>
  <c r="C119" i="3"/>
  <c r="B119" i="3"/>
  <c r="F118" i="3"/>
  <c r="D118" i="3"/>
  <c r="C118" i="3"/>
  <c r="B118" i="3"/>
  <c r="F117" i="3"/>
  <c r="C117" i="3"/>
  <c r="B117" i="3"/>
  <c r="F105" i="3"/>
  <c r="D105" i="3"/>
  <c r="C105" i="3"/>
  <c r="B105" i="3"/>
  <c r="F104" i="3"/>
  <c r="D104" i="3"/>
  <c r="C104" i="3"/>
  <c r="B104" i="3"/>
  <c r="F103" i="3"/>
  <c r="D103" i="3"/>
  <c r="C103" i="3"/>
  <c r="B103" i="3"/>
  <c r="F102" i="3"/>
  <c r="D102" i="3"/>
  <c r="C102" i="3"/>
  <c r="B102" i="3"/>
  <c r="F101" i="3"/>
  <c r="D101" i="3"/>
  <c r="C101" i="3"/>
  <c r="B101" i="3"/>
  <c r="F100" i="3"/>
  <c r="D100" i="3"/>
  <c r="C100" i="3"/>
  <c r="B100" i="3"/>
  <c r="F99" i="3"/>
  <c r="D99" i="3"/>
  <c r="C99" i="3"/>
  <c r="B99" i="3"/>
  <c r="F98" i="3"/>
  <c r="D98" i="3"/>
  <c r="C98" i="3"/>
  <c r="B98" i="3"/>
  <c r="F97" i="3"/>
  <c r="D97" i="3"/>
  <c r="C97" i="3"/>
  <c r="B97" i="3"/>
  <c r="F96" i="3"/>
  <c r="D96" i="3"/>
  <c r="C96" i="3"/>
  <c r="B96" i="3"/>
  <c r="F95" i="3"/>
  <c r="D95" i="3"/>
  <c r="C95" i="3"/>
  <c r="B95" i="3"/>
  <c r="F94" i="3"/>
  <c r="D94" i="3"/>
  <c r="C94" i="3"/>
  <c r="B94" i="3"/>
  <c r="F93" i="3"/>
  <c r="D93" i="3"/>
  <c r="C93" i="3"/>
  <c r="B93" i="3"/>
  <c r="F92" i="3"/>
  <c r="D92" i="3"/>
  <c r="C92" i="3"/>
  <c r="B92" i="3"/>
  <c r="F91" i="3"/>
  <c r="D91" i="3"/>
  <c r="C91" i="3"/>
  <c r="B91" i="3"/>
  <c r="F89" i="3"/>
  <c r="C89" i="3"/>
  <c r="B89" i="3"/>
  <c r="F81" i="3"/>
  <c r="D81" i="3"/>
  <c r="C81" i="3"/>
  <c r="B81" i="3"/>
  <c r="F80" i="3"/>
  <c r="D80" i="3"/>
  <c r="C80" i="3"/>
  <c r="B80" i="3"/>
  <c r="F79" i="3"/>
  <c r="D79" i="3"/>
  <c r="C79" i="3"/>
  <c r="B79" i="3"/>
  <c r="F78" i="3"/>
  <c r="D78" i="3"/>
  <c r="C78" i="3"/>
  <c r="B78" i="3"/>
  <c r="F77" i="3"/>
  <c r="D77" i="3"/>
  <c r="C77" i="3"/>
  <c r="B77" i="3"/>
  <c r="F76" i="3"/>
  <c r="D76" i="3"/>
  <c r="C76" i="3"/>
  <c r="B76" i="3"/>
  <c r="F75" i="3"/>
  <c r="D75" i="3"/>
  <c r="C75" i="3"/>
  <c r="B75" i="3"/>
  <c r="F74" i="3"/>
  <c r="D74" i="3"/>
  <c r="C74" i="3"/>
  <c r="B74" i="3"/>
  <c r="F73" i="3"/>
  <c r="D73" i="3"/>
  <c r="C73" i="3"/>
  <c r="B73" i="3"/>
  <c r="F72" i="3"/>
  <c r="D72" i="3"/>
  <c r="C72" i="3"/>
  <c r="B72" i="3"/>
  <c r="F71" i="3"/>
  <c r="D71" i="3"/>
  <c r="C71" i="3"/>
  <c r="B71" i="3"/>
  <c r="F70" i="3"/>
  <c r="D70" i="3"/>
  <c r="C70" i="3"/>
  <c r="B70" i="3"/>
  <c r="F69" i="3"/>
  <c r="D69" i="3"/>
  <c r="C69" i="3"/>
  <c r="B69" i="3"/>
  <c r="F68" i="3"/>
  <c r="D68" i="3"/>
  <c r="C68" i="3"/>
  <c r="B68" i="3"/>
  <c r="F67" i="3"/>
  <c r="D67" i="3"/>
  <c r="C67" i="3"/>
  <c r="B67" i="3"/>
  <c r="F66" i="3"/>
  <c r="D66" i="3"/>
  <c r="C66" i="3"/>
  <c r="B66" i="3"/>
  <c r="F65" i="3"/>
  <c r="C65" i="3"/>
  <c r="B65" i="3"/>
  <c r="D51" i="3"/>
  <c r="U44" i="3" s="1"/>
  <c r="C51" i="3"/>
  <c r="V40" i="3"/>
  <c r="S30" i="3"/>
  <c r="U32" i="3"/>
  <c r="AE30" i="3" s="1"/>
  <c r="O56" i="2"/>
  <c r="K56" i="2"/>
  <c r="N56" i="2" s="1"/>
  <c r="K54" i="2"/>
  <c r="N54" i="2" s="1"/>
  <c r="O61" i="2"/>
  <c r="K61" i="2"/>
  <c r="N61" i="2" s="1"/>
  <c r="O63" i="2"/>
  <c r="K63" i="2"/>
  <c r="N63" i="2" s="1"/>
  <c r="L9" i="2"/>
  <c r="O9" i="2" s="1"/>
  <c r="K9" i="2"/>
  <c r="N9" i="2" s="1"/>
  <c r="L3" i="2"/>
  <c r="O3" i="2" s="1"/>
  <c r="K3" i="2"/>
  <c r="N3" i="2" s="1"/>
  <c r="L5" i="2"/>
  <c r="O5" i="2" s="1"/>
  <c r="K5" i="2"/>
  <c r="N5" i="2" s="1"/>
  <c r="L7" i="2"/>
  <c r="O7" i="2" s="1"/>
  <c r="K7" i="2"/>
  <c r="N7" i="2" s="1"/>
  <c r="L4" i="2"/>
  <c r="O4" i="2" s="1"/>
  <c r="K4" i="2"/>
  <c r="N4" i="2" s="1"/>
  <c r="L14" i="2"/>
  <c r="O14" i="2" s="1"/>
  <c r="K14" i="2"/>
  <c r="N14" i="2" s="1"/>
  <c r="L11" i="2"/>
  <c r="O11" i="2" s="1"/>
  <c r="K11" i="2"/>
  <c r="N11" i="2" s="1"/>
  <c r="L15" i="2"/>
  <c r="O15" i="2" s="1"/>
  <c r="K15" i="2"/>
  <c r="N15" i="2" s="1"/>
  <c r="L43" i="2"/>
  <c r="O43" i="2" s="1"/>
  <c r="K43" i="2"/>
  <c r="N43" i="2" s="1"/>
  <c r="L44" i="2"/>
  <c r="O44" i="2" s="1"/>
  <c r="K44" i="2"/>
  <c r="N44" i="2" s="1"/>
  <c r="L48" i="2"/>
  <c r="O48" i="2" s="1"/>
  <c r="K48" i="2"/>
  <c r="N48" i="2" s="1"/>
  <c r="L50" i="2"/>
  <c r="O50" i="2" s="1"/>
  <c r="K50" i="2"/>
  <c r="N50" i="2" s="1"/>
  <c r="L13" i="2"/>
  <c r="O13" i="2" s="1"/>
  <c r="K13" i="2"/>
  <c r="N13" i="2" s="1"/>
  <c r="L38" i="2"/>
  <c r="O38" i="2" s="1"/>
  <c r="K38" i="2"/>
  <c r="N38" i="2" s="1"/>
  <c r="L36" i="2"/>
  <c r="O36" i="2" s="1"/>
  <c r="K36" i="2"/>
  <c r="N36" i="2" s="1"/>
  <c r="L34" i="2"/>
  <c r="O34" i="2" s="1"/>
  <c r="K34" i="2"/>
  <c r="N34" i="2" s="1"/>
  <c r="L33" i="2"/>
  <c r="O33" i="2" s="1"/>
  <c r="K33" i="2"/>
  <c r="N33" i="2" s="1"/>
  <c r="L32" i="2"/>
  <c r="O32" i="2" s="1"/>
  <c r="K32" i="2"/>
  <c r="N32" i="2" s="1"/>
  <c r="L31" i="2"/>
  <c r="O31" i="2" s="1"/>
  <c r="K31" i="2"/>
  <c r="N31" i="2" s="1"/>
  <c r="L30" i="2"/>
  <c r="O30" i="2" s="1"/>
  <c r="K30" i="2"/>
  <c r="N30" i="2" s="1"/>
  <c r="L29" i="2"/>
  <c r="O29" i="2" s="1"/>
  <c r="K29" i="2"/>
  <c r="N29" i="2" s="1"/>
  <c r="L28" i="2"/>
  <c r="O28" i="2" s="1"/>
  <c r="K28" i="2"/>
  <c r="N28" i="2" s="1"/>
  <c r="L27" i="2"/>
  <c r="O27" i="2" s="1"/>
  <c r="K27" i="2"/>
  <c r="N27" i="2" s="1"/>
  <c r="L26" i="2"/>
  <c r="O26" i="2" s="1"/>
  <c r="K26" i="2"/>
  <c r="N26" i="2" s="1"/>
  <c r="L37" i="2"/>
  <c r="O37" i="2" s="1"/>
  <c r="K37" i="2"/>
  <c r="N37" i="2" s="1"/>
  <c r="L40" i="2"/>
  <c r="O40" i="2" s="1"/>
  <c r="K40" i="2"/>
  <c r="N40" i="2" s="1"/>
  <c r="L39" i="2"/>
  <c r="O39" i="2" s="1"/>
  <c r="K39" i="2"/>
  <c r="N39" i="2" s="1"/>
  <c r="L41" i="2"/>
  <c r="O41" i="2" s="1"/>
  <c r="K41" i="2"/>
  <c r="N41" i="2" s="1"/>
  <c r="L25" i="2"/>
  <c r="O25" i="2" s="1"/>
  <c r="K25" i="2"/>
  <c r="N25" i="2" s="1"/>
  <c r="L24" i="2"/>
  <c r="O24" i="2" s="1"/>
  <c r="K24" i="2"/>
  <c r="N24" i="2" s="1"/>
  <c r="L23" i="2"/>
  <c r="O23" i="2" s="1"/>
  <c r="K23" i="2"/>
  <c r="N23" i="2" s="1"/>
  <c r="L159" i="1"/>
  <c r="O159" i="1" s="1"/>
  <c r="K159" i="1"/>
  <c r="N159" i="1" s="1"/>
  <c r="L155" i="1"/>
  <c r="O155" i="1" s="1"/>
  <c r="N155" i="1"/>
  <c r="L156" i="1"/>
  <c r="O156" i="1" s="1"/>
  <c r="L158" i="1"/>
  <c r="O158" i="1" s="1"/>
  <c r="K158" i="1"/>
  <c r="N158" i="1" s="1"/>
  <c r="K153" i="1"/>
  <c r="N153" i="1" s="1"/>
  <c r="L153" i="1"/>
  <c r="O153" i="1" s="1"/>
  <c r="L69" i="1"/>
  <c r="O69" i="1" s="1"/>
  <c r="K69" i="1"/>
  <c r="N69" i="1" s="1"/>
  <c r="J20" i="28"/>
  <c r="L71" i="1"/>
  <c r="O71" i="1" s="1"/>
  <c r="K71" i="1"/>
  <c r="N71" i="1" s="1"/>
  <c r="L68" i="1"/>
  <c r="O68" i="1" s="1"/>
  <c r="K68" i="1"/>
  <c r="N68" i="1" s="1"/>
  <c r="J16" i="33"/>
  <c r="L70" i="1"/>
  <c r="O70" i="1" s="1"/>
  <c r="K70" i="1"/>
  <c r="N70" i="1" s="1"/>
  <c r="L19" i="1"/>
  <c r="O19" i="1" s="1"/>
  <c r="K19" i="1"/>
  <c r="N19" i="1" s="1"/>
  <c r="L16" i="1"/>
  <c r="O16" i="1" s="1"/>
  <c r="K16" i="1"/>
  <c r="N16" i="1" s="1"/>
  <c r="J7" i="6"/>
  <c r="L32" i="1"/>
  <c r="O32" i="1" s="1"/>
  <c r="K32" i="1"/>
  <c r="N32" i="1" s="1"/>
  <c r="L31" i="1"/>
  <c r="O31" i="1" s="1"/>
  <c r="K31" i="1"/>
  <c r="N31" i="1" s="1"/>
  <c r="L21" i="1"/>
  <c r="O21" i="1" s="1"/>
  <c r="K21" i="1"/>
  <c r="N21" i="1" s="1"/>
  <c r="L18" i="1"/>
  <c r="O18" i="1" s="1"/>
  <c r="K18" i="1"/>
  <c r="N18" i="1" s="1"/>
  <c r="L26" i="1"/>
  <c r="O26" i="1" s="1"/>
  <c r="K26" i="1"/>
  <c r="N26" i="1" s="1"/>
  <c r="L25" i="1"/>
  <c r="O25" i="1" s="1"/>
  <c r="K25" i="1"/>
  <c r="N25" i="1" s="1"/>
  <c r="L22" i="1"/>
  <c r="O22" i="1" s="1"/>
  <c r="K22" i="1"/>
  <c r="N22" i="1" s="1"/>
  <c r="L24" i="1"/>
  <c r="O24" i="1" s="1"/>
  <c r="K24" i="1"/>
  <c r="N24" i="1" s="1"/>
  <c r="L20" i="1"/>
  <c r="O20" i="1" s="1"/>
  <c r="K20" i="1"/>
  <c r="N20" i="1" s="1"/>
  <c r="L23" i="1"/>
  <c r="O23" i="1" s="1"/>
  <c r="K23" i="1"/>
  <c r="N23" i="1" s="1"/>
  <c r="L17" i="1"/>
  <c r="O17" i="1" s="1"/>
  <c r="K17" i="1"/>
  <c r="N17" i="1" s="1"/>
  <c r="O95" i="1"/>
  <c r="K95" i="1"/>
  <c r="N95" i="1" s="1"/>
  <c r="L96" i="1"/>
  <c r="O96" i="1" s="1"/>
  <c r="K96" i="1"/>
  <c r="N96" i="1" s="1"/>
  <c r="L91" i="1"/>
  <c r="O91" i="1" s="1"/>
  <c r="K91" i="1"/>
  <c r="N91" i="1" s="1"/>
  <c r="L90" i="1"/>
  <c r="O90" i="1" s="1"/>
  <c r="K90" i="1"/>
  <c r="N90" i="1" s="1"/>
  <c r="J17" i="107"/>
  <c r="L17" i="107" s="1"/>
  <c r="L92" i="1"/>
  <c r="O92" i="1" s="1"/>
  <c r="K92" i="1"/>
  <c r="N92" i="1" s="1"/>
  <c r="L84" i="1"/>
  <c r="O84" i="1" s="1"/>
  <c r="K84" i="1"/>
  <c r="N84" i="1" s="1"/>
  <c r="L83" i="1"/>
  <c r="O83" i="1" s="1"/>
  <c r="K83" i="1"/>
  <c r="N83" i="1" s="1"/>
  <c r="L4" i="1"/>
  <c r="O4" i="1" s="1"/>
  <c r="K4" i="1"/>
  <c r="N4" i="1" s="1"/>
  <c r="L11" i="1"/>
  <c r="O11" i="1" s="1"/>
  <c r="K11" i="1"/>
  <c r="N11" i="1" s="1"/>
  <c r="L10" i="1"/>
  <c r="O10" i="1" s="1"/>
  <c r="K10" i="1"/>
  <c r="N10" i="1" s="1"/>
  <c r="L7" i="1"/>
  <c r="O7" i="1" s="1"/>
  <c r="K7" i="1"/>
  <c r="N7" i="1" s="1"/>
  <c r="L5" i="1"/>
  <c r="O5" i="1" s="1"/>
  <c r="N5" i="1"/>
  <c r="L14" i="1"/>
  <c r="O14" i="1" s="1"/>
  <c r="K14" i="1"/>
  <c r="N14" i="1" s="1"/>
  <c r="L9" i="1"/>
  <c r="O9" i="1" s="1"/>
  <c r="K9" i="1"/>
  <c r="N9" i="1" s="1"/>
  <c r="L6" i="1"/>
  <c r="O6" i="1" s="1"/>
  <c r="N6" i="1"/>
  <c r="O3" i="1"/>
  <c r="K3" i="1"/>
  <c r="N3" i="1" s="1"/>
  <c r="L52" i="1"/>
  <c r="O52" i="1" s="1"/>
  <c r="K52" i="1"/>
  <c r="N52" i="1" s="1"/>
  <c r="L38" i="1"/>
  <c r="O38" i="1" s="1"/>
  <c r="K38" i="1"/>
  <c r="N38" i="1" s="1"/>
  <c r="L58" i="1"/>
  <c r="O58" i="1" s="1"/>
  <c r="K58" i="1"/>
  <c r="N58" i="1" s="1"/>
  <c r="L53" i="1"/>
  <c r="O53" i="1" s="1"/>
  <c r="K53" i="1"/>
  <c r="N53" i="1" s="1"/>
  <c r="L57" i="1"/>
  <c r="O57" i="1" s="1"/>
  <c r="K57" i="1"/>
  <c r="N57" i="1" s="1"/>
  <c r="L54" i="1"/>
  <c r="O54" i="1" s="1"/>
  <c r="K54" i="1"/>
  <c r="N54" i="1" s="1"/>
  <c r="L39" i="1"/>
  <c r="O39" i="1" s="1"/>
  <c r="K39" i="1"/>
  <c r="N39" i="1" s="1"/>
  <c r="J12" i="47"/>
  <c r="L56" i="1"/>
  <c r="O56" i="1" s="1"/>
  <c r="K56" i="1"/>
  <c r="N56" i="1" s="1"/>
  <c r="L51" i="1"/>
  <c r="O51" i="1" s="1"/>
  <c r="K51" i="1"/>
  <c r="N51" i="1" s="1"/>
  <c r="L63" i="1"/>
  <c r="O63" i="1" s="1"/>
  <c r="K63" i="1"/>
  <c r="N63" i="1" s="1"/>
  <c r="L42" i="1"/>
  <c r="O42" i="1" s="1"/>
  <c r="K42" i="1"/>
  <c r="N42" i="1" s="1"/>
  <c r="L43" i="1"/>
  <c r="O43" i="1" s="1"/>
  <c r="K43" i="1"/>
  <c r="N43" i="1" s="1"/>
  <c r="L46" i="1"/>
  <c r="O46" i="1" s="1"/>
  <c r="K46" i="1"/>
  <c r="N46" i="1" s="1"/>
  <c r="L44" i="1"/>
  <c r="O44" i="1" s="1"/>
  <c r="K44" i="1"/>
  <c r="N44" i="1" s="1"/>
  <c r="L45" i="1"/>
  <c r="O45" i="1" s="1"/>
  <c r="K45" i="1"/>
  <c r="N45" i="1" s="1"/>
  <c r="L64" i="1"/>
  <c r="O64" i="1" s="1"/>
  <c r="K64" i="1"/>
  <c r="N64" i="1" s="1"/>
  <c r="L55" i="1"/>
  <c r="O55" i="1" s="1"/>
  <c r="K55" i="1"/>
  <c r="N55" i="1" s="1"/>
  <c r="L60" i="1"/>
  <c r="O60" i="1" s="1"/>
  <c r="K60" i="1"/>
  <c r="N60" i="1" s="1"/>
  <c r="L59" i="1"/>
  <c r="O59" i="1" s="1"/>
  <c r="K59" i="1"/>
  <c r="N59" i="1" s="1"/>
  <c r="L50" i="1"/>
  <c r="O50" i="1" s="1"/>
  <c r="K50" i="1"/>
  <c r="N50" i="1" s="1"/>
  <c r="L47" i="1"/>
  <c r="O47" i="1" s="1"/>
  <c r="K47" i="1"/>
  <c r="N47" i="1" s="1"/>
  <c r="L48" i="1"/>
  <c r="O48" i="1" s="1"/>
  <c r="K48" i="1"/>
  <c r="N48" i="1" s="1"/>
  <c r="L49" i="1"/>
  <c r="O49" i="1" s="1"/>
  <c r="K49" i="1"/>
  <c r="N49" i="1" s="1"/>
  <c r="L66" i="1"/>
  <c r="O66" i="1" s="1"/>
  <c r="K66" i="1"/>
  <c r="N66" i="1" s="1"/>
  <c r="L40" i="1"/>
  <c r="O40" i="1" s="1"/>
  <c r="K40" i="1"/>
  <c r="N40" i="1" s="1"/>
  <c r="L41" i="1"/>
  <c r="O41" i="1" s="1"/>
  <c r="K41" i="1"/>
  <c r="N41" i="1" s="1"/>
  <c r="L61" i="1"/>
  <c r="O61" i="1" s="1"/>
  <c r="K61" i="1"/>
  <c r="N61" i="1" s="1"/>
  <c r="L98" i="1"/>
  <c r="O98" i="1" s="1"/>
  <c r="K98" i="1"/>
  <c r="N98" i="1" s="1"/>
  <c r="L99" i="1"/>
  <c r="O99" i="1" s="1"/>
  <c r="K99" i="1"/>
  <c r="N99" i="1" s="1"/>
  <c r="L100" i="1"/>
  <c r="O100" i="1" s="1"/>
  <c r="K100" i="1"/>
  <c r="N100" i="1" s="1"/>
  <c r="L101" i="1"/>
  <c r="O101" i="1" s="1"/>
  <c r="K101" i="1"/>
  <c r="N101" i="1" s="1"/>
  <c r="K102" i="1"/>
  <c r="N102" i="1" s="1"/>
  <c r="O146" i="1"/>
  <c r="K146" i="1"/>
  <c r="N146" i="1" s="1"/>
  <c r="J146" i="1"/>
  <c r="O122" i="1"/>
  <c r="K122" i="1"/>
  <c r="N122" i="1" s="1"/>
  <c r="O127" i="1"/>
  <c r="K127" i="1"/>
  <c r="N127" i="1" s="1"/>
  <c r="O123" i="1"/>
  <c r="K123" i="1"/>
  <c r="N123" i="1" s="1"/>
  <c r="O138" i="1"/>
  <c r="K138" i="1"/>
  <c r="N138" i="1" s="1"/>
  <c r="O119" i="1"/>
  <c r="K119" i="1"/>
  <c r="N119" i="1" s="1"/>
  <c r="O135" i="1"/>
  <c r="K135" i="1"/>
  <c r="N135" i="1" s="1"/>
  <c r="J135" i="1"/>
  <c r="J10" i="107" s="1"/>
  <c r="L10" i="107" s="1"/>
  <c r="O137" i="1"/>
  <c r="K137" i="1"/>
  <c r="N137" i="1" s="1"/>
  <c r="J137" i="1"/>
  <c r="J9" i="107" s="1"/>
  <c r="L9" i="107" s="1"/>
  <c r="O129" i="1"/>
  <c r="K129" i="1"/>
  <c r="N129" i="1" s="1"/>
  <c r="O118" i="1"/>
  <c r="K118" i="1"/>
  <c r="N118" i="1" s="1"/>
  <c r="O141" i="1"/>
  <c r="K141" i="1"/>
  <c r="N141" i="1" s="1"/>
  <c r="O151" i="1"/>
  <c r="K151" i="1"/>
  <c r="N151" i="1" s="1"/>
  <c r="O128" i="1"/>
  <c r="K128" i="1"/>
  <c r="N128" i="1" s="1"/>
  <c r="O133" i="1"/>
  <c r="K133" i="1"/>
  <c r="N133" i="1" s="1"/>
  <c r="O125" i="1"/>
  <c r="K125" i="1"/>
  <c r="N125" i="1" s="1"/>
  <c r="O139" i="1"/>
  <c r="K139" i="1"/>
  <c r="N139" i="1" s="1"/>
  <c r="O132" i="1"/>
  <c r="K132" i="1"/>
  <c r="N132" i="1" s="1"/>
  <c r="O131" i="1"/>
  <c r="K131" i="1"/>
  <c r="N131" i="1" s="1"/>
  <c r="O148" i="1"/>
  <c r="K148" i="1"/>
  <c r="N148" i="1" s="1"/>
  <c r="O143" i="1"/>
  <c r="K143" i="1"/>
  <c r="N143" i="1" s="1"/>
  <c r="K124" i="1"/>
  <c r="N124" i="1" s="1"/>
  <c r="K142" i="1"/>
  <c r="N142" i="1" s="1"/>
  <c r="K117" i="1"/>
  <c r="N117" i="1" s="1"/>
  <c r="K140" i="1"/>
  <c r="N140" i="1" s="1"/>
  <c r="E1" i="68"/>
  <c r="N1" i="52"/>
  <c r="J52" i="50"/>
  <c r="AD28" i="46"/>
  <c r="AA29" i="46" s="1"/>
  <c r="V44" i="46"/>
  <c r="U44" i="46"/>
  <c r="AD28" i="32"/>
  <c r="AD29" i="32" s="1"/>
  <c r="U44" i="30"/>
  <c r="V44" i="30"/>
  <c r="U44" i="29"/>
  <c r="V44" i="29"/>
  <c r="V44" i="28"/>
  <c r="U44" i="28"/>
  <c r="J52" i="27"/>
  <c r="J53" i="27" s="1"/>
  <c r="B81" i="27" s="1"/>
  <c r="U44" i="21"/>
  <c r="W44" i="21" s="1"/>
  <c r="J51" i="21" s="1"/>
  <c r="I51" i="21" s="1"/>
  <c r="V44" i="21"/>
  <c r="AE28" i="21"/>
  <c r="AE28" i="20"/>
  <c r="U44" i="20"/>
  <c r="W44" i="20" s="1"/>
  <c r="V44" i="20"/>
  <c r="AC28" i="18"/>
  <c r="AE28" i="18" s="1"/>
  <c r="AB29" i="18" s="1"/>
  <c r="I52" i="16"/>
  <c r="AC28" i="15"/>
  <c r="AF28" i="15" s="1"/>
  <c r="AB29" i="15" s="1"/>
  <c r="AF28" i="9"/>
  <c r="AF29" i="9" s="1"/>
  <c r="U31" i="9"/>
  <c r="U44" i="9"/>
  <c r="V44" i="9"/>
  <c r="AC28" i="6"/>
  <c r="AF28" i="6"/>
  <c r="F67" i="6"/>
  <c r="AM12" i="53"/>
  <c r="AO12" i="53" s="1"/>
  <c r="AP12" i="53" s="1"/>
  <c r="AS12" i="53" s="1"/>
  <c r="AT12" i="53" s="1"/>
  <c r="AM11" i="53"/>
  <c r="AO11" i="53" s="1"/>
  <c r="AP11" i="53" s="1"/>
  <c r="AS11" i="53" s="1"/>
  <c r="AT11" i="53" s="1"/>
  <c r="AM10" i="53"/>
  <c r="AM9" i="53"/>
  <c r="AO9" i="53" s="1"/>
  <c r="AP9" i="53" s="1"/>
  <c r="AS9" i="53" s="1"/>
  <c r="AT9" i="53" s="1"/>
  <c r="AM5" i="53"/>
  <c r="AO5" i="53" s="1"/>
  <c r="AP5" i="53" s="1"/>
  <c r="AM8" i="53"/>
  <c r="AO8" i="53" s="1"/>
  <c r="AP8" i="53" s="1"/>
  <c r="AS8" i="53" s="1"/>
  <c r="AT8" i="53" s="1"/>
  <c r="AM6" i="53"/>
  <c r="AM7" i="53"/>
  <c r="AO7" i="53" s="1"/>
  <c r="AP7" i="53" s="1"/>
  <c r="AS7" i="53" s="1"/>
  <c r="AT7" i="53" s="1"/>
  <c r="E1" i="50"/>
  <c r="E20" i="86" l="1"/>
  <c r="G20" i="86" s="1"/>
  <c r="H20" i="86" s="1"/>
  <c r="K20" i="86" s="1"/>
  <c r="L20" i="86" s="1"/>
  <c r="E80" i="86"/>
  <c r="G80" i="86" s="1"/>
  <c r="H80" i="86" s="1"/>
  <c r="B69" i="11"/>
  <c r="I52" i="11"/>
  <c r="H52" i="11" s="1"/>
  <c r="T35" i="107"/>
  <c r="J15" i="109"/>
  <c r="L15" i="109" s="1"/>
  <c r="J24" i="110"/>
  <c r="L24" i="110" s="1"/>
  <c r="U33" i="110" s="1"/>
  <c r="J11" i="97"/>
  <c r="L11" i="97" s="1"/>
  <c r="T35" i="97" s="1"/>
  <c r="J9" i="106"/>
  <c r="L9" i="106" s="1"/>
  <c r="T35" i="106" s="1"/>
  <c r="J16" i="109"/>
  <c r="L16" i="109" s="1"/>
  <c r="J10" i="104"/>
  <c r="L10" i="104" s="1"/>
  <c r="S34" i="104" s="1"/>
  <c r="U44" i="53"/>
  <c r="W44" i="53" s="1"/>
  <c r="J51" i="53" s="1"/>
  <c r="I51" i="53" s="1"/>
  <c r="V44" i="53"/>
  <c r="T32" i="48"/>
  <c r="S32" i="28"/>
  <c r="T33" i="86"/>
  <c r="AC25" i="86" s="1"/>
  <c r="S33" i="86"/>
  <c r="C54" i="86"/>
  <c r="D53" i="86"/>
  <c r="G1" i="85"/>
  <c r="C52" i="85" s="1"/>
  <c r="D52" i="85"/>
  <c r="B83" i="85" s="1"/>
  <c r="J15" i="92"/>
  <c r="L15" i="92" s="1"/>
  <c r="J15" i="4"/>
  <c r="T32" i="47"/>
  <c r="T32" i="46"/>
  <c r="E1" i="46" s="1"/>
  <c r="T32" i="5"/>
  <c r="E1" i="5" s="1"/>
  <c r="S32" i="69"/>
  <c r="S32" i="43"/>
  <c r="T32" i="41"/>
  <c r="E1" i="41" s="1"/>
  <c r="T32" i="25"/>
  <c r="E1" i="25" s="1"/>
  <c r="T32" i="21"/>
  <c r="E1" i="21" s="1"/>
  <c r="S32" i="21"/>
  <c r="AO1" i="21" s="1"/>
  <c r="AM8" i="21" s="1"/>
  <c r="AO8" i="21" s="1"/>
  <c r="AP8" i="21" s="1"/>
  <c r="AS8" i="21" s="1"/>
  <c r="AT8" i="21" s="1"/>
  <c r="S32" i="17"/>
  <c r="T32" i="61"/>
  <c r="E1" i="61" s="1"/>
  <c r="S32" i="3"/>
  <c r="AM1" i="3" s="1"/>
  <c r="AO1" i="3" s="1"/>
  <c r="S32" i="25"/>
  <c r="AE29" i="20"/>
  <c r="AC29" i="20"/>
  <c r="U44" i="8"/>
  <c r="W44" i="8" s="1"/>
  <c r="J51" i="8" s="1"/>
  <c r="I51" i="8" s="1"/>
  <c r="V44" i="8"/>
  <c r="V44" i="57"/>
  <c r="U44" i="57"/>
  <c r="W44" i="57" s="1"/>
  <c r="J51" i="57" s="1"/>
  <c r="I51" i="57" s="1"/>
  <c r="V44" i="43"/>
  <c r="U44" i="43"/>
  <c r="U44" i="6"/>
  <c r="V44" i="6"/>
  <c r="U44" i="18"/>
  <c r="W44" i="18" s="1"/>
  <c r="J51" i="18" s="1"/>
  <c r="I51" i="18" s="1"/>
  <c r="V44" i="18"/>
  <c r="H51" i="20"/>
  <c r="D65" i="20"/>
  <c r="D108" i="20"/>
  <c r="D87" i="20"/>
  <c r="V44" i="32"/>
  <c r="U44" i="32"/>
  <c r="W44" i="32" s="1"/>
  <c r="J51" i="32" s="1"/>
  <c r="I51" i="32" s="1"/>
  <c r="D5" i="32" s="1"/>
  <c r="T32" i="62"/>
  <c r="E1" i="62" s="1"/>
  <c r="S32" i="70"/>
  <c r="F8" i="6"/>
  <c r="T30" i="38"/>
  <c r="T32" i="70"/>
  <c r="T32" i="26"/>
  <c r="E1" i="26" s="1"/>
  <c r="D6" i="52"/>
  <c r="D65" i="52" s="1"/>
  <c r="T30" i="40"/>
  <c r="E1" i="59"/>
  <c r="T32" i="44"/>
  <c r="E1" i="44" s="1"/>
  <c r="T30" i="55"/>
  <c r="S32" i="5"/>
  <c r="J52" i="5" s="1"/>
  <c r="I52" i="5" s="1"/>
  <c r="S32" i="57"/>
  <c r="U32" i="57" s="1"/>
  <c r="AE30" i="57" s="1"/>
  <c r="S32" i="20"/>
  <c r="U44" i="60"/>
  <c r="W44" i="60" s="1"/>
  <c r="V44" i="60"/>
  <c r="T30" i="24"/>
  <c r="S32" i="48"/>
  <c r="E1" i="49"/>
  <c r="S32" i="41"/>
  <c r="S32" i="62"/>
  <c r="J52" i="62" s="1"/>
  <c r="AB29" i="6"/>
  <c r="AD29" i="6"/>
  <c r="U44" i="37"/>
  <c r="W44" i="37" s="1"/>
  <c r="J51" i="37" s="1"/>
  <c r="I51" i="37" s="1"/>
  <c r="V44" i="37"/>
  <c r="T32" i="7"/>
  <c r="E1" i="7" s="1"/>
  <c r="G1" i="7" s="1"/>
  <c r="I1" i="7" s="1"/>
  <c r="V44" i="15"/>
  <c r="V44" i="3"/>
  <c r="AC28" i="35"/>
  <c r="AC28" i="34"/>
  <c r="J37" i="66"/>
  <c r="L37" i="66" s="1"/>
  <c r="U33" i="66" s="1"/>
  <c r="J38" i="4"/>
  <c r="L38" i="4" s="1"/>
  <c r="V35" i="4" s="1"/>
  <c r="AD30" i="4" s="1"/>
  <c r="J24" i="33"/>
  <c r="J16" i="92"/>
  <c r="L16" i="92" s="1"/>
  <c r="T32" i="29"/>
  <c r="S32" i="7"/>
  <c r="T30" i="51"/>
  <c r="AB30" i="51" s="1"/>
  <c r="S32" i="47"/>
  <c r="S32" i="46"/>
  <c r="J52" i="46" s="1"/>
  <c r="S32" i="18"/>
  <c r="AB29" i="32"/>
  <c r="AA29" i="32"/>
  <c r="AE29" i="21"/>
  <c r="AB29" i="21"/>
  <c r="AC29" i="21"/>
  <c r="AB29" i="20"/>
  <c r="AA29" i="20"/>
  <c r="AC29" i="18"/>
  <c r="AE29" i="18"/>
  <c r="T32" i="17"/>
  <c r="E1" i="17" s="1"/>
  <c r="AC29" i="15"/>
  <c r="AF29" i="15"/>
  <c r="AB29" i="9"/>
  <c r="AC29" i="6"/>
  <c r="AF29" i="6"/>
  <c r="S32" i="61"/>
  <c r="AA30" i="61" s="1"/>
  <c r="T32" i="58"/>
  <c r="S32" i="44"/>
  <c r="J52" i="44" s="1"/>
  <c r="S32" i="26"/>
  <c r="AM1" i="26" s="1"/>
  <c r="T32" i="15"/>
  <c r="E1" i="15" s="1"/>
  <c r="D52" i="15" s="1"/>
  <c r="S32" i="15"/>
  <c r="AO1" i="15" s="1"/>
  <c r="T30" i="10"/>
  <c r="AB30" i="10" s="1"/>
  <c r="AF28" i="30"/>
  <c r="AC29" i="30" s="1"/>
  <c r="AC28" i="28"/>
  <c r="AF28" i="60"/>
  <c r="AB29" i="60" s="1"/>
  <c r="V44" i="5"/>
  <c r="U44" i="5"/>
  <c r="W44" i="5" s="1"/>
  <c r="J51" i="5" s="1"/>
  <c r="I51" i="5" s="1"/>
  <c r="AE28" i="5"/>
  <c r="AA29" i="5" s="1"/>
  <c r="J11" i="4"/>
  <c r="J18" i="15"/>
  <c r="J15" i="3"/>
  <c r="J17" i="87"/>
  <c r="J10" i="19"/>
  <c r="J18" i="7"/>
  <c r="J9" i="16"/>
  <c r="J11" i="27"/>
  <c r="J17" i="20"/>
  <c r="J11" i="23"/>
  <c r="J11" i="26"/>
  <c r="J10" i="29"/>
  <c r="J10" i="30"/>
  <c r="J15" i="31"/>
  <c r="J15" i="32"/>
  <c r="J15" i="33"/>
  <c r="J15" i="44"/>
  <c r="J9" i="42"/>
  <c r="J17" i="43"/>
  <c r="J15" i="45"/>
  <c r="J10" i="46"/>
  <c r="J14" i="48"/>
  <c r="J15" i="49"/>
  <c r="J8" i="51"/>
  <c r="J14" i="62"/>
  <c r="J14" i="59"/>
  <c r="J17" i="60"/>
  <c r="J10" i="64"/>
  <c r="J21" i="69"/>
  <c r="J13" i="70"/>
  <c r="J25" i="5"/>
  <c r="J22" i="33"/>
  <c r="J26" i="17"/>
  <c r="J15" i="29"/>
  <c r="J20" i="58"/>
  <c r="J16" i="87"/>
  <c r="J23" i="33"/>
  <c r="J8" i="12"/>
  <c r="S32" i="37"/>
  <c r="T30" i="66"/>
  <c r="T30" i="34"/>
  <c r="AB30" i="34" s="1"/>
  <c r="T30" i="23"/>
  <c r="AB30" i="23" s="1"/>
  <c r="T32" i="18"/>
  <c r="E1" i="18" s="1"/>
  <c r="W44" i="66"/>
  <c r="J51" i="66" s="1"/>
  <c r="I51" i="66" s="1"/>
  <c r="D5" i="66" s="1"/>
  <c r="C51" i="67"/>
  <c r="R44" i="62"/>
  <c r="D8" i="52"/>
  <c r="D67" i="52" s="1"/>
  <c r="L1" i="52"/>
  <c r="J1" i="52"/>
  <c r="W44" i="46"/>
  <c r="J51" i="46" s="1"/>
  <c r="W44" i="43"/>
  <c r="J51" i="43" s="1"/>
  <c r="I51" i="43" s="1"/>
  <c r="W44" i="30"/>
  <c r="J51" i="30" s="1"/>
  <c r="I51" i="30" s="1"/>
  <c r="D5" i="30" s="1"/>
  <c r="W44" i="29"/>
  <c r="J51" i="29" s="1"/>
  <c r="I51" i="29" s="1"/>
  <c r="W44" i="28"/>
  <c r="J51" i="28" s="1"/>
  <c r="R44" i="26"/>
  <c r="U44" i="26" s="1"/>
  <c r="W44" i="26" s="1"/>
  <c r="J51" i="26" s="1"/>
  <c r="AE28" i="26"/>
  <c r="AE29" i="26" s="1"/>
  <c r="D5" i="21"/>
  <c r="D65" i="21" s="1"/>
  <c r="V44" i="17"/>
  <c r="U44" i="17"/>
  <c r="W44" i="17" s="1"/>
  <c r="J51" i="17" s="1"/>
  <c r="I51" i="17" s="1"/>
  <c r="W44" i="4"/>
  <c r="J51" i="4" s="1"/>
  <c r="I51" i="4" s="1"/>
  <c r="I51" i="15"/>
  <c r="D5" i="15" s="1"/>
  <c r="U31" i="11"/>
  <c r="U44" i="11"/>
  <c r="V44" i="11"/>
  <c r="AC28" i="11"/>
  <c r="W44" i="9"/>
  <c r="J51" i="9" s="1"/>
  <c r="I51" i="9" s="1"/>
  <c r="D5" i="9" s="1"/>
  <c r="W44" i="6"/>
  <c r="J51" i="6" s="1"/>
  <c r="I51" i="6" s="1"/>
  <c r="D5" i="6" s="1"/>
  <c r="W44" i="3"/>
  <c r="U31" i="4"/>
  <c r="AB28" i="4"/>
  <c r="AE28" i="4" s="1"/>
  <c r="AA29" i="4" s="1"/>
  <c r="R44" i="25"/>
  <c r="Q16" i="25"/>
  <c r="P16" i="25"/>
  <c r="T14" i="25"/>
  <c r="AE29" i="25"/>
  <c r="AB29" i="25"/>
  <c r="D66" i="16"/>
  <c r="D86" i="16"/>
  <c r="D129" i="16"/>
  <c r="G129" i="16" s="1"/>
  <c r="H129" i="16" s="1"/>
  <c r="D108" i="16"/>
  <c r="H52" i="16"/>
  <c r="O147" i="1"/>
  <c r="N147" i="1"/>
  <c r="I1" i="83"/>
  <c r="E8" i="83" s="1"/>
  <c r="G8" i="83" s="1"/>
  <c r="H8" i="83" s="1"/>
  <c r="K8" i="83" s="1"/>
  <c r="L8" i="83" s="1"/>
  <c r="T34" i="20"/>
  <c r="E1" i="4"/>
  <c r="G1" i="4" s="1"/>
  <c r="C52" i="83"/>
  <c r="E1" i="57"/>
  <c r="G1" i="82"/>
  <c r="D52" i="82"/>
  <c r="B70" i="82" s="1"/>
  <c r="E1" i="28"/>
  <c r="D52" i="28" s="1"/>
  <c r="J52" i="34"/>
  <c r="J53" i="34" s="1"/>
  <c r="B72" i="34" s="1"/>
  <c r="H72" i="34" s="1"/>
  <c r="AO1" i="29"/>
  <c r="AM6" i="29" s="1"/>
  <c r="AO6" i="29" s="1"/>
  <c r="AP6" i="29" s="1"/>
  <c r="AS6" i="29" s="1"/>
  <c r="AT6" i="29" s="1"/>
  <c r="J52" i="33"/>
  <c r="I52" i="33" s="1"/>
  <c r="E1" i="20"/>
  <c r="G1" i="20" s="1"/>
  <c r="I1" i="20" s="1"/>
  <c r="U34" i="62"/>
  <c r="U30" i="58"/>
  <c r="R44" i="65"/>
  <c r="T34" i="56"/>
  <c r="V44" i="70"/>
  <c r="U44" i="70"/>
  <c r="W44" i="70" s="1"/>
  <c r="J51" i="70" s="1"/>
  <c r="I51" i="70" s="1"/>
  <c r="AF28" i="70"/>
  <c r="AB29" i="70" s="1"/>
  <c r="AB28" i="67"/>
  <c r="AE28" i="67" s="1"/>
  <c r="AE29" i="67" s="1"/>
  <c r="AC28" i="66"/>
  <c r="AC29" i="66" s="1"/>
  <c r="S40" i="66"/>
  <c r="D73" i="66"/>
  <c r="D105" i="66"/>
  <c r="D153" i="66"/>
  <c r="D88" i="66"/>
  <c r="D137" i="66"/>
  <c r="D121" i="66"/>
  <c r="D152" i="66"/>
  <c r="D120" i="66"/>
  <c r="D104" i="66"/>
  <c r="D72" i="66"/>
  <c r="D87" i="66"/>
  <c r="D136" i="66"/>
  <c r="D103" i="66"/>
  <c r="D86" i="66"/>
  <c r="D71" i="66"/>
  <c r="D119" i="66"/>
  <c r="D151" i="66"/>
  <c r="D135" i="66"/>
  <c r="D118" i="66"/>
  <c r="D102" i="66"/>
  <c r="D134" i="66"/>
  <c r="D70" i="66"/>
  <c r="D150" i="66"/>
  <c r="D85" i="66"/>
  <c r="D149" i="66"/>
  <c r="D101" i="66"/>
  <c r="D133" i="66"/>
  <c r="D117" i="66"/>
  <c r="D84" i="66"/>
  <c r="D69" i="66"/>
  <c r="D68" i="66"/>
  <c r="D148" i="66"/>
  <c r="D132" i="66"/>
  <c r="D116" i="66"/>
  <c r="D83" i="66"/>
  <c r="D100" i="66"/>
  <c r="D147" i="66"/>
  <c r="D131" i="66"/>
  <c r="D99" i="66"/>
  <c r="D115" i="66"/>
  <c r="D82" i="66"/>
  <c r="D67" i="66"/>
  <c r="D66" i="66"/>
  <c r="D98" i="66"/>
  <c r="D146" i="66"/>
  <c r="D130" i="66"/>
  <c r="D114" i="66"/>
  <c r="D81" i="66"/>
  <c r="V44" i="61"/>
  <c r="U44" i="61"/>
  <c r="W44" i="61" s="1"/>
  <c r="J51" i="61" s="1"/>
  <c r="I51" i="61" s="1"/>
  <c r="AC28" i="61"/>
  <c r="AE28" i="61"/>
  <c r="AE29" i="61" s="1"/>
  <c r="AD28" i="59"/>
  <c r="J51" i="59"/>
  <c r="U29" i="58"/>
  <c r="AD28" i="58"/>
  <c r="AA29" i="58" s="1"/>
  <c r="AF28" i="57"/>
  <c r="E1" i="56"/>
  <c r="R44" i="48"/>
  <c r="J51" i="51"/>
  <c r="I51" i="51" s="1"/>
  <c r="D5" i="51" s="1"/>
  <c r="D124" i="51" s="1"/>
  <c r="E1" i="43"/>
  <c r="AM1" i="79"/>
  <c r="R44" i="47"/>
  <c r="AC28" i="51"/>
  <c r="AC29" i="51" s="1"/>
  <c r="AD28" i="49"/>
  <c r="J51" i="49"/>
  <c r="I51" i="49" s="1"/>
  <c r="AA29" i="48"/>
  <c r="AB28" i="47"/>
  <c r="AD28" i="47" s="1"/>
  <c r="AD29" i="44"/>
  <c r="U44" i="44"/>
  <c r="W44" i="44" s="1"/>
  <c r="J51" i="44" s="1"/>
  <c r="I51" i="44" s="1"/>
  <c r="V44" i="44"/>
  <c r="AE28" i="41"/>
  <c r="AB29" i="41" s="1"/>
  <c r="U44" i="41"/>
  <c r="J51" i="41" s="1"/>
  <c r="I51" i="41" s="1"/>
  <c r="V44" i="41"/>
  <c r="T28" i="53"/>
  <c r="T32" i="53" s="1"/>
  <c r="S28" i="53"/>
  <c r="S32" i="53" s="1"/>
  <c r="AD28" i="79"/>
  <c r="AA29" i="79" s="1"/>
  <c r="AD29" i="46"/>
  <c r="AB29" i="46"/>
  <c r="I51" i="46"/>
  <c r="E1" i="67"/>
  <c r="D52" i="67" s="1"/>
  <c r="G78" i="67" s="1"/>
  <c r="C78" i="67" s="1"/>
  <c r="T34" i="57"/>
  <c r="C51" i="48"/>
  <c r="AO10" i="53"/>
  <c r="AP10" i="53" s="1"/>
  <c r="AS10" i="53" s="1"/>
  <c r="AT10" i="53" s="1"/>
  <c r="AO6" i="53"/>
  <c r="AP6" i="53" s="1"/>
  <c r="AS6" i="53" s="1"/>
  <c r="AT6" i="53" s="1"/>
  <c r="G5" i="34"/>
  <c r="I53" i="27"/>
  <c r="R44" i="33"/>
  <c r="AD28" i="33"/>
  <c r="E1" i="33"/>
  <c r="U29" i="20"/>
  <c r="U32" i="20" s="1"/>
  <c r="AD30" i="20" s="1"/>
  <c r="E1" i="8"/>
  <c r="W44" i="23"/>
  <c r="J51" i="23" s="1"/>
  <c r="I51" i="23" s="1"/>
  <c r="AC28" i="23"/>
  <c r="AC29" i="23" s="1"/>
  <c r="AB28" i="19"/>
  <c r="AD28" i="19" s="1"/>
  <c r="E1" i="16"/>
  <c r="W44" i="10"/>
  <c r="J51" i="10" s="1"/>
  <c r="I51" i="10" s="1"/>
  <c r="D5" i="10" s="1"/>
  <c r="D1" i="10"/>
  <c r="H5" i="10" s="1"/>
  <c r="T34" i="11"/>
  <c r="R44" i="7"/>
  <c r="AB28" i="7"/>
  <c r="C51" i="7"/>
  <c r="J52" i="10"/>
  <c r="J53" i="10" s="1"/>
  <c r="B71" i="10" s="1"/>
  <c r="E9" i="11"/>
  <c r="U29" i="7"/>
  <c r="U32" i="7" s="1"/>
  <c r="AD30" i="7" s="1"/>
  <c r="I52" i="56"/>
  <c r="I52" i="58"/>
  <c r="J52" i="51"/>
  <c r="D1" i="51"/>
  <c r="H5" i="51" s="1"/>
  <c r="K5" i="51" s="1"/>
  <c r="AM1" i="58"/>
  <c r="AO1" i="58"/>
  <c r="AO1" i="56"/>
  <c r="AM1" i="56"/>
  <c r="G1" i="50"/>
  <c r="I1" i="50" s="1"/>
  <c r="E15" i="50" s="1"/>
  <c r="G15" i="50" s="1"/>
  <c r="H15" i="50" s="1"/>
  <c r="K15" i="50" s="1"/>
  <c r="L15" i="50" s="1"/>
  <c r="D52" i="50"/>
  <c r="D89" i="35"/>
  <c r="D65" i="35"/>
  <c r="D76" i="35"/>
  <c r="D65" i="34"/>
  <c r="D91" i="34"/>
  <c r="D77" i="34"/>
  <c r="T30" i="35"/>
  <c r="D1" i="35"/>
  <c r="H5" i="35" s="1"/>
  <c r="K5" i="35" s="1"/>
  <c r="L5" i="35" s="1"/>
  <c r="S33" i="35" s="1"/>
  <c r="E1" i="79"/>
  <c r="AO1" i="79"/>
  <c r="U32" i="36"/>
  <c r="K5" i="34"/>
  <c r="L5" i="34" s="1"/>
  <c r="I52" i="32"/>
  <c r="D52" i="68"/>
  <c r="B74" i="68" s="1"/>
  <c r="G1" i="68"/>
  <c r="U30" i="79"/>
  <c r="J53" i="50"/>
  <c r="B83" i="50" s="1"/>
  <c r="I52" i="50"/>
  <c r="H52" i="50" s="1"/>
  <c r="E1" i="39"/>
  <c r="I52" i="27"/>
  <c r="E1" i="27"/>
  <c r="J53" i="16"/>
  <c r="B81" i="16" s="1"/>
  <c r="E1" i="12"/>
  <c r="AM8" i="36"/>
  <c r="AO8" i="36" s="1"/>
  <c r="AP8" i="36" s="1"/>
  <c r="AS8" i="36" s="1"/>
  <c r="AT8" i="36" s="1"/>
  <c r="AM13" i="36"/>
  <c r="AO13" i="36" s="1"/>
  <c r="AP13" i="36" s="1"/>
  <c r="AS13" i="36" s="1"/>
  <c r="AT13" i="36" s="1"/>
  <c r="AM7" i="36"/>
  <c r="AO7" i="36" s="1"/>
  <c r="AP7" i="36" s="1"/>
  <c r="AS7" i="36" s="1"/>
  <c r="AT7" i="36" s="1"/>
  <c r="AM12" i="36"/>
  <c r="AO12" i="36" s="1"/>
  <c r="AP12" i="36" s="1"/>
  <c r="AS12" i="36" s="1"/>
  <c r="AT12" i="36" s="1"/>
  <c r="AM9" i="36"/>
  <c r="AO9" i="36" s="1"/>
  <c r="AP9" i="36" s="1"/>
  <c r="AS9" i="36" s="1"/>
  <c r="AT9" i="36" s="1"/>
  <c r="AM6" i="36"/>
  <c r="AO6" i="36" s="1"/>
  <c r="AP6" i="36" s="1"/>
  <c r="AS6" i="36" s="1"/>
  <c r="AT6" i="36" s="1"/>
  <c r="AM5" i="36"/>
  <c r="AO5" i="36" s="1"/>
  <c r="AP5" i="36" s="1"/>
  <c r="AM11" i="36"/>
  <c r="AO11" i="36" s="1"/>
  <c r="AP11" i="36" s="1"/>
  <c r="AS11" i="36" s="1"/>
  <c r="AT11" i="36" s="1"/>
  <c r="AM10" i="36"/>
  <c r="AO10" i="36" s="1"/>
  <c r="AP10" i="36" s="1"/>
  <c r="AS10" i="36" s="1"/>
  <c r="AT10" i="36" s="1"/>
  <c r="AM1" i="36"/>
  <c r="J52" i="30"/>
  <c r="K5" i="23"/>
  <c r="J52" i="23"/>
  <c r="E1" i="19"/>
  <c r="G9" i="11"/>
  <c r="E1" i="11"/>
  <c r="AM13" i="9"/>
  <c r="AO13" i="9" s="1"/>
  <c r="AP13" i="9" s="1"/>
  <c r="AS13" i="9" s="1"/>
  <c r="AT13" i="9" s="1"/>
  <c r="AM5" i="9"/>
  <c r="AO5" i="9" s="1"/>
  <c r="AP5" i="9" s="1"/>
  <c r="AM6" i="9"/>
  <c r="AO6" i="9" s="1"/>
  <c r="AP6" i="9" s="1"/>
  <c r="AS6" i="9" s="1"/>
  <c r="AT6" i="9" s="1"/>
  <c r="AM14" i="9"/>
  <c r="AO14" i="9" s="1"/>
  <c r="AP14" i="9" s="1"/>
  <c r="AS14" i="9" s="1"/>
  <c r="AT14" i="9" s="1"/>
  <c r="AM10" i="9"/>
  <c r="AO10" i="9" s="1"/>
  <c r="AP10" i="9" s="1"/>
  <c r="AS10" i="9" s="1"/>
  <c r="AT10" i="9" s="1"/>
  <c r="AM11" i="9"/>
  <c r="AO11" i="9" s="1"/>
  <c r="AP11" i="9" s="1"/>
  <c r="AS11" i="9" s="1"/>
  <c r="AT11" i="9" s="1"/>
  <c r="AM7" i="9"/>
  <c r="AO7" i="9" s="1"/>
  <c r="AP7" i="9" s="1"/>
  <c r="AS7" i="9" s="1"/>
  <c r="AT7" i="9" s="1"/>
  <c r="AM15" i="9"/>
  <c r="AO15" i="9" s="1"/>
  <c r="AP15" i="9" s="1"/>
  <c r="AS15" i="9" s="1"/>
  <c r="AT15" i="9" s="1"/>
  <c r="AM8" i="9"/>
  <c r="AO8" i="9" s="1"/>
  <c r="AP8" i="9" s="1"/>
  <c r="AS8" i="9" s="1"/>
  <c r="AT8" i="9" s="1"/>
  <c r="AM16" i="9"/>
  <c r="AO16" i="9" s="1"/>
  <c r="AP16" i="9" s="1"/>
  <c r="AS16" i="9" s="1"/>
  <c r="AT16" i="9" s="1"/>
  <c r="AM9" i="9"/>
  <c r="AO9" i="9" s="1"/>
  <c r="AP9" i="9" s="1"/>
  <c r="AS9" i="9" s="1"/>
  <c r="AT9" i="9" s="1"/>
  <c r="AM17" i="9"/>
  <c r="AO17" i="9" s="1"/>
  <c r="AP17" i="9" s="1"/>
  <c r="AS17" i="9" s="1"/>
  <c r="AT17" i="9" s="1"/>
  <c r="AM12" i="9"/>
  <c r="AO12" i="9" s="1"/>
  <c r="AP12" i="9" s="1"/>
  <c r="AS12" i="9" s="1"/>
  <c r="AT12" i="9" s="1"/>
  <c r="AM20" i="9"/>
  <c r="AO20" i="9" s="1"/>
  <c r="AP20" i="9" s="1"/>
  <c r="AS20" i="9" s="1"/>
  <c r="AT20" i="9" s="1"/>
  <c r="AM18" i="9"/>
  <c r="AO18" i="9" s="1"/>
  <c r="AP18" i="9" s="1"/>
  <c r="AS18" i="9" s="1"/>
  <c r="AT18" i="9" s="1"/>
  <c r="AM19" i="9"/>
  <c r="AO19" i="9" s="1"/>
  <c r="AP19" i="9" s="1"/>
  <c r="AS19" i="9" s="1"/>
  <c r="AT19" i="9" s="1"/>
  <c r="AM1" i="9"/>
  <c r="AM11" i="6"/>
  <c r="AO11" i="6" s="1"/>
  <c r="AP11" i="6" s="1"/>
  <c r="AS11" i="6" s="1"/>
  <c r="AT11" i="6" s="1"/>
  <c r="AM12" i="6"/>
  <c r="AO12" i="6" s="1"/>
  <c r="AP12" i="6" s="1"/>
  <c r="AS12" i="6" s="1"/>
  <c r="AT12" i="6" s="1"/>
  <c r="AM13" i="6"/>
  <c r="AO13" i="6" s="1"/>
  <c r="AP13" i="6" s="1"/>
  <c r="AS13" i="6" s="1"/>
  <c r="AT13" i="6" s="1"/>
  <c r="AM9" i="6"/>
  <c r="AO9" i="6" s="1"/>
  <c r="AP9" i="6" s="1"/>
  <c r="AS9" i="6" s="1"/>
  <c r="AT9" i="6" s="1"/>
  <c r="AM6" i="6"/>
  <c r="AO6" i="6" s="1"/>
  <c r="AP6" i="6" s="1"/>
  <c r="AS6" i="6" s="1"/>
  <c r="AT6" i="6" s="1"/>
  <c r="AM5" i="6"/>
  <c r="AO5" i="6" s="1"/>
  <c r="AP5" i="6" s="1"/>
  <c r="AM7" i="6"/>
  <c r="AO7" i="6" s="1"/>
  <c r="AP7" i="6" s="1"/>
  <c r="AS7" i="6" s="1"/>
  <c r="AT7" i="6" s="1"/>
  <c r="AM8" i="6"/>
  <c r="AO8" i="6" s="1"/>
  <c r="AP8" i="6" s="1"/>
  <c r="AS8" i="6" s="1"/>
  <c r="AT8" i="6" s="1"/>
  <c r="AM10" i="6"/>
  <c r="AO10" i="6" s="1"/>
  <c r="AP10" i="6" s="1"/>
  <c r="AS10" i="6" s="1"/>
  <c r="AT10" i="6" s="1"/>
  <c r="AM1" i="6"/>
  <c r="I52" i="4"/>
  <c r="D79" i="45"/>
  <c r="D104" i="45"/>
  <c r="D103" i="45"/>
  <c r="D78" i="45"/>
  <c r="D77" i="45"/>
  <c r="D102" i="45"/>
  <c r="D100" i="45"/>
  <c r="D75" i="45"/>
  <c r="D97" i="45"/>
  <c r="D72" i="45"/>
  <c r="D91" i="45"/>
  <c r="D66" i="45"/>
  <c r="E1" i="45"/>
  <c r="G1" i="45" s="1"/>
  <c r="I1" i="45" s="1"/>
  <c r="J52" i="6"/>
  <c r="E1" i="6"/>
  <c r="U29" i="6"/>
  <c r="U32" i="6" s="1"/>
  <c r="AE30" i="6" s="1"/>
  <c r="J52" i="9"/>
  <c r="B67" i="9" s="1"/>
  <c r="E1" i="9"/>
  <c r="J52" i="66"/>
  <c r="D1" i="66"/>
  <c r="G5" i="66" s="1"/>
  <c r="E1" i="69"/>
  <c r="E28" i="11" l="1"/>
  <c r="G28" i="11" s="1"/>
  <c r="H28" i="11" s="1"/>
  <c r="K28" i="11" s="1"/>
  <c r="L28" i="11" s="1"/>
  <c r="E81" i="11"/>
  <c r="G81" i="11" s="1"/>
  <c r="H81" i="11" s="1"/>
  <c r="E75" i="11"/>
  <c r="G75" i="11" s="1"/>
  <c r="H75" i="11" s="1"/>
  <c r="E80" i="11"/>
  <c r="G80" i="11" s="1"/>
  <c r="H80" i="11" s="1"/>
  <c r="E78" i="11"/>
  <c r="G78" i="11" s="1"/>
  <c r="H78" i="11" s="1"/>
  <c r="E85" i="11"/>
  <c r="G85" i="11" s="1"/>
  <c r="H85" i="11" s="1"/>
  <c r="E79" i="11"/>
  <c r="G79" i="11" s="1"/>
  <c r="H79" i="11" s="1"/>
  <c r="E77" i="11"/>
  <c r="G77" i="11" s="1"/>
  <c r="H77" i="11" s="1"/>
  <c r="E88" i="11"/>
  <c r="G88" i="11" s="1"/>
  <c r="H88" i="11" s="1"/>
  <c r="E87" i="11"/>
  <c r="G87" i="11" s="1"/>
  <c r="H87" i="11" s="1"/>
  <c r="E76" i="11"/>
  <c r="G76" i="11" s="1"/>
  <c r="H76" i="11" s="1"/>
  <c r="E82" i="11"/>
  <c r="G82" i="11" s="1"/>
  <c r="H82" i="11" s="1"/>
  <c r="E74" i="11"/>
  <c r="G74" i="11" s="1"/>
  <c r="H74" i="11" s="1"/>
  <c r="E86" i="11"/>
  <c r="G86" i="11" s="1"/>
  <c r="H86" i="11" s="1"/>
  <c r="E84" i="11"/>
  <c r="G84" i="11" s="1"/>
  <c r="H84" i="11" s="1"/>
  <c r="E83" i="11"/>
  <c r="G83" i="11" s="1"/>
  <c r="H83" i="11" s="1"/>
  <c r="AM1" i="18"/>
  <c r="J52" i="18"/>
  <c r="AC30" i="107"/>
  <c r="AD30" i="107"/>
  <c r="U35" i="107"/>
  <c r="AC30" i="97"/>
  <c r="AB30" i="97"/>
  <c r="U35" i="97"/>
  <c r="AA30" i="110"/>
  <c r="AE30" i="110" s="1"/>
  <c r="AC25" i="110" s="1"/>
  <c r="T33" i="110"/>
  <c r="AD30" i="106"/>
  <c r="AC30" i="106"/>
  <c r="U35" i="106"/>
  <c r="T35" i="109"/>
  <c r="U32" i="69"/>
  <c r="AE30" i="69" s="1"/>
  <c r="AC25" i="104"/>
  <c r="T34" i="104"/>
  <c r="I51" i="59"/>
  <c r="D5" i="59" s="1"/>
  <c r="H51" i="59" s="1"/>
  <c r="J53" i="59"/>
  <c r="I53" i="59" s="1"/>
  <c r="AO1" i="59"/>
  <c r="AM1" i="59"/>
  <c r="J52" i="49"/>
  <c r="AO1" i="49"/>
  <c r="AM1" i="49"/>
  <c r="J52" i="19"/>
  <c r="AO1" i="19"/>
  <c r="AM1" i="19"/>
  <c r="U32" i="28"/>
  <c r="AO1" i="28"/>
  <c r="I1" i="85"/>
  <c r="D54" i="86"/>
  <c r="C55" i="86"/>
  <c r="D55" i="86" s="1"/>
  <c r="C53" i="85"/>
  <c r="D53" i="85" s="1"/>
  <c r="T33" i="92"/>
  <c r="I51" i="28"/>
  <c r="E15" i="4"/>
  <c r="G15" i="4" s="1"/>
  <c r="H15" i="4" s="1"/>
  <c r="K15" i="4" s="1"/>
  <c r="L15" i="4" s="1"/>
  <c r="E16" i="4"/>
  <c r="G16" i="4" s="1"/>
  <c r="H16" i="4" s="1"/>
  <c r="K16" i="4" s="1"/>
  <c r="L16" i="4" s="1"/>
  <c r="V32" i="43"/>
  <c r="AE30" i="43" s="1"/>
  <c r="AO1" i="43"/>
  <c r="AB30" i="66"/>
  <c r="V35" i="53"/>
  <c r="AA30" i="53" s="1"/>
  <c r="U32" i="70"/>
  <c r="AE30" i="70" s="1"/>
  <c r="J52" i="48"/>
  <c r="U32" i="48"/>
  <c r="AD30" i="48" s="1"/>
  <c r="V28" i="36"/>
  <c r="V32" i="36" s="1"/>
  <c r="V35" i="36"/>
  <c r="AB30" i="36" s="1"/>
  <c r="E1" i="29"/>
  <c r="G1" i="29" s="1"/>
  <c r="I1" i="29" s="1"/>
  <c r="E6" i="29" s="1"/>
  <c r="U32" i="29"/>
  <c r="AE30" i="29" s="1"/>
  <c r="AD29" i="33"/>
  <c r="AB29" i="33"/>
  <c r="V28" i="9"/>
  <c r="U32" i="58"/>
  <c r="AC30" i="58" s="1"/>
  <c r="J53" i="32"/>
  <c r="J54" i="32" s="1"/>
  <c r="B103" i="32" s="1"/>
  <c r="V35" i="30"/>
  <c r="AA30" i="30" s="1"/>
  <c r="V44" i="26"/>
  <c r="U32" i="17"/>
  <c r="AE30" i="17" s="1"/>
  <c r="V28" i="53"/>
  <c r="D5" i="57"/>
  <c r="H51" i="57" s="1"/>
  <c r="H52" i="32"/>
  <c r="F81" i="6"/>
  <c r="F9" i="6"/>
  <c r="F68" i="6"/>
  <c r="E66" i="83"/>
  <c r="E65" i="83"/>
  <c r="E67" i="83"/>
  <c r="E68" i="83"/>
  <c r="V35" i="9"/>
  <c r="AA30" i="9" s="1"/>
  <c r="D5" i="8"/>
  <c r="H51" i="8"/>
  <c r="V35" i="6"/>
  <c r="AA30" i="6" s="1"/>
  <c r="V28" i="6"/>
  <c r="AF28" i="3"/>
  <c r="E5" i="87"/>
  <c r="AC29" i="35"/>
  <c r="AB29" i="35"/>
  <c r="AC29" i="34"/>
  <c r="AB29" i="61"/>
  <c r="AD29" i="59"/>
  <c r="AA29" i="59"/>
  <c r="AD29" i="49"/>
  <c r="AA29" i="49"/>
  <c r="AD29" i="47"/>
  <c r="AA29" i="47"/>
  <c r="AA29" i="44"/>
  <c r="AD29" i="19"/>
  <c r="AA29" i="19"/>
  <c r="V28" i="30"/>
  <c r="AD29" i="30"/>
  <c r="AB29" i="30"/>
  <c r="AF29" i="30"/>
  <c r="AF28" i="29"/>
  <c r="AC29" i="29" s="1"/>
  <c r="AF28" i="28"/>
  <c r="AC29" i="28" s="1"/>
  <c r="AF28" i="17"/>
  <c r="AD29" i="60"/>
  <c r="AF29" i="60"/>
  <c r="AC29" i="60"/>
  <c r="AB29" i="5"/>
  <c r="AE29" i="5"/>
  <c r="U28" i="79"/>
  <c r="U32" i="79" s="1"/>
  <c r="AC30" i="79" s="1"/>
  <c r="J51" i="60"/>
  <c r="I51" i="60" s="1"/>
  <c r="AF28" i="69"/>
  <c r="AA29" i="67"/>
  <c r="AD28" i="62"/>
  <c r="AB29" i="62" s="1"/>
  <c r="V44" i="62"/>
  <c r="U44" i="62"/>
  <c r="W44" i="62" s="1"/>
  <c r="J51" i="62" s="1"/>
  <c r="I51" i="62" s="1"/>
  <c r="D5" i="53"/>
  <c r="X56" i="52"/>
  <c r="D5" i="37"/>
  <c r="D65" i="37" s="1"/>
  <c r="AM1" i="37"/>
  <c r="AO1" i="37"/>
  <c r="D66" i="32"/>
  <c r="D87" i="32"/>
  <c r="H51" i="32"/>
  <c r="D80" i="30"/>
  <c r="D65" i="30"/>
  <c r="H51" i="30"/>
  <c r="D5" i="29"/>
  <c r="I51" i="26"/>
  <c r="D5" i="26" s="1"/>
  <c r="D65" i="26" s="1"/>
  <c r="AC29" i="26"/>
  <c r="AB29" i="26"/>
  <c r="D65" i="10"/>
  <c r="D100" i="10"/>
  <c r="D5" i="23"/>
  <c r="H51" i="21"/>
  <c r="D5" i="18"/>
  <c r="D5" i="17"/>
  <c r="J51" i="19"/>
  <c r="I51" i="19" s="1"/>
  <c r="D5" i="19" s="1"/>
  <c r="J53" i="4"/>
  <c r="B78" i="4" s="1"/>
  <c r="W44" i="11"/>
  <c r="J51" i="11" s="1"/>
  <c r="AF28" i="11"/>
  <c r="D65" i="9"/>
  <c r="D5" i="5"/>
  <c r="J51" i="3"/>
  <c r="I51" i="3" s="1"/>
  <c r="D5" i="3" s="1"/>
  <c r="D5" i="4"/>
  <c r="AE29" i="4"/>
  <c r="AC29" i="4"/>
  <c r="AB29" i="4"/>
  <c r="V44" i="25"/>
  <c r="U44" i="25"/>
  <c r="W44" i="25" s="1"/>
  <c r="J51" i="25" s="1"/>
  <c r="I51" i="25" s="1"/>
  <c r="H53" i="16"/>
  <c r="D52" i="16"/>
  <c r="G1" i="16"/>
  <c r="I1" i="16" s="1"/>
  <c r="J52" i="70"/>
  <c r="AO1" i="70"/>
  <c r="AM1" i="70"/>
  <c r="E1" i="48"/>
  <c r="E1" i="47"/>
  <c r="G1" i="41"/>
  <c r="I1" i="41" s="1"/>
  <c r="D52" i="41"/>
  <c r="E7" i="83"/>
  <c r="G7" i="83" s="1"/>
  <c r="H7" i="83" s="1"/>
  <c r="K7" i="83" s="1"/>
  <c r="L7" i="83" s="1"/>
  <c r="E9" i="83"/>
  <c r="G9" i="83" s="1"/>
  <c r="H9" i="83" s="1"/>
  <c r="K9" i="83" s="1"/>
  <c r="L9" i="83" s="1"/>
  <c r="E6" i="83"/>
  <c r="G6" i="83" s="1"/>
  <c r="H6" i="83" s="1"/>
  <c r="K6" i="83" s="1"/>
  <c r="L6" i="83" s="1"/>
  <c r="C53" i="83"/>
  <c r="D53" i="83" s="1"/>
  <c r="E7" i="50"/>
  <c r="G7" i="50" s="1"/>
  <c r="H7" i="50" s="1"/>
  <c r="K7" i="50" s="1"/>
  <c r="L7" i="50" s="1"/>
  <c r="E11" i="50"/>
  <c r="G11" i="50" s="1"/>
  <c r="H11" i="50" s="1"/>
  <c r="K11" i="50" s="1"/>
  <c r="L11" i="50" s="1"/>
  <c r="E6" i="50"/>
  <c r="G6" i="50" s="1"/>
  <c r="H6" i="50" s="1"/>
  <c r="K6" i="50" s="1"/>
  <c r="L6" i="50" s="1"/>
  <c r="E14" i="50"/>
  <c r="G14" i="50" s="1"/>
  <c r="H14" i="50" s="1"/>
  <c r="K14" i="50" s="1"/>
  <c r="L14" i="50" s="1"/>
  <c r="AO1" i="69"/>
  <c r="AM12" i="69" s="1"/>
  <c r="AO12" i="69" s="1"/>
  <c r="AP12" i="69" s="1"/>
  <c r="AS12" i="69" s="1"/>
  <c r="AT12" i="69" s="1"/>
  <c r="AM1" i="69"/>
  <c r="J52" i="69"/>
  <c r="E10" i="50"/>
  <c r="G10" i="50" s="1"/>
  <c r="H10" i="50" s="1"/>
  <c r="K10" i="50" s="1"/>
  <c r="L10" i="50" s="1"/>
  <c r="E8" i="50"/>
  <c r="G8" i="50" s="1"/>
  <c r="H8" i="50" s="1"/>
  <c r="K8" i="50" s="1"/>
  <c r="L8" i="50" s="1"/>
  <c r="AM1" i="57"/>
  <c r="J52" i="57"/>
  <c r="AO1" i="57"/>
  <c r="E9" i="50"/>
  <c r="G9" i="50" s="1"/>
  <c r="H9" i="50" s="1"/>
  <c r="K9" i="50" s="1"/>
  <c r="L9" i="50" s="1"/>
  <c r="I1" i="82"/>
  <c r="E8" i="82" s="1"/>
  <c r="G8" i="82" s="1"/>
  <c r="H8" i="82" s="1"/>
  <c r="K8" i="82" s="1"/>
  <c r="L8" i="82" s="1"/>
  <c r="C52" i="82"/>
  <c r="D52" i="4"/>
  <c r="AO1" i="61"/>
  <c r="AM1" i="61"/>
  <c r="J52" i="61"/>
  <c r="I52" i="61" s="1"/>
  <c r="E9" i="4"/>
  <c r="G9" i="4" s="1"/>
  <c r="H9" i="4" s="1"/>
  <c r="K9" i="4" s="1"/>
  <c r="L9" i="4" s="1"/>
  <c r="E11" i="4"/>
  <c r="G11" i="4" s="1"/>
  <c r="H11" i="4" s="1"/>
  <c r="K11" i="4" s="1"/>
  <c r="L11" i="4" s="1"/>
  <c r="E7" i="4"/>
  <c r="G7" i="4" s="1"/>
  <c r="H7" i="4" s="1"/>
  <c r="K7" i="4" s="1"/>
  <c r="L7" i="4" s="1"/>
  <c r="I1" i="4"/>
  <c r="C52" i="4" s="1"/>
  <c r="E10" i="4"/>
  <c r="G10" i="4" s="1"/>
  <c r="H10" i="4" s="1"/>
  <c r="K10" i="4" s="1"/>
  <c r="L10" i="4" s="1"/>
  <c r="E14" i="4"/>
  <c r="G14" i="4" s="1"/>
  <c r="H14" i="4" s="1"/>
  <c r="K14" i="4" s="1"/>
  <c r="L14" i="4" s="1"/>
  <c r="E13" i="4"/>
  <c r="G13" i="4" s="1"/>
  <c r="H13" i="4" s="1"/>
  <c r="K13" i="4" s="1"/>
  <c r="L13" i="4" s="1"/>
  <c r="E6" i="4"/>
  <c r="G6" i="4" s="1"/>
  <c r="H6" i="4" s="1"/>
  <c r="K6" i="4" s="1"/>
  <c r="L6" i="4" s="1"/>
  <c r="E8" i="4"/>
  <c r="G8" i="4" s="1"/>
  <c r="H8" i="4" s="1"/>
  <c r="K8" i="4" s="1"/>
  <c r="L8" i="4" s="1"/>
  <c r="E12" i="4"/>
  <c r="G12" i="4" s="1"/>
  <c r="H12" i="4" s="1"/>
  <c r="K12" i="4" s="1"/>
  <c r="L12" i="4" s="1"/>
  <c r="E1" i="53"/>
  <c r="AM1" i="47"/>
  <c r="J52" i="47"/>
  <c r="AO1" i="47"/>
  <c r="D52" i="46"/>
  <c r="G1" i="46"/>
  <c r="I1" i="46" s="1"/>
  <c r="J53" i="46"/>
  <c r="B77" i="46" s="1"/>
  <c r="G1" i="59"/>
  <c r="I1" i="59" s="1"/>
  <c r="E21" i="59" s="1"/>
  <c r="G21" i="59" s="1"/>
  <c r="H21" i="59" s="1"/>
  <c r="K21" i="59" s="1"/>
  <c r="L21" i="59" s="1"/>
  <c r="D52" i="57"/>
  <c r="G1" i="57"/>
  <c r="I1" i="57" s="1"/>
  <c r="E17" i="50"/>
  <c r="G17" i="50" s="1"/>
  <c r="H17" i="50" s="1"/>
  <c r="K17" i="50" s="1"/>
  <c r="L17" i="50" s="1"/>
  <c r="E12" i="50"/>
  <c r="G12" i="50" s="1"/>
  <c r="H12" i="50" s="1"/>
  <c r="K12" i="50" s="1"/>
  <c r="L12" i="50" s="1"/>
  <c r="E16" i="50"/>
  <c r="G16" i="50" s="1"/>
  <c r="H16" i="50" s="1"/>
  <c r="K16" i="50" s="1"/>
  <c r="L16" i="50" s="1"/>
  <c r="E13" i="50"/>
  <c r="G13" i="50" s="1"/>
  <c r="H13" i="50" s="1"/>
  <c r="K13" i="50" s="1"/>
  <c r="L13" i="50" s="1"/>
  <c r="E1" i="40"/>
  <c r="J52" i="37"/>
  <c r="I52" i="34"/>
  <c r="E5" i="34" s="1"/>
  <c r="H52" i="34" s="1"/>
  <c r="G1" i="28"/>
  <c r="I1" i="28" s="1"/>
  <c r="E25" i="28" s="1"/>
  <c r="G25" i="28" s="1"/>
  <c r="H25" i="28" s="1"/>
  <c r="K25" i="28" s="1"/>
  <c r="L25" i="28" s="1"/>
  <c r="E1" i="24"/>
  <c r="J52" i="20"/>
  <c r="G1" i="18"/>
  <c r="I1" i="18" s="1"/>
  <c r="E6" i="18" s="1"/>
  <c r="D52" i="18"/>
  <c r="D52" i="17"/>
  <c r="G1" i="17"/>
  <c r="I1" i="17" s="1"/>
  <c r="AM1" i="8"/>
  <c r="AO1" i="8"/>
  <c r="AM5" i="3"/>
  <c r="AO5" i="3" s="1"/>
  <c r="J52" i="3"/>
  <c r="J52" i="26"/>
  <c r="AO1" i="26"/>
  <c r="G1" i="15"/>
  <c r="I1" i="15" s="1"/>
  <c r="D52" i="7"/>
  <c r="AO1" i="18"/>
  <c r="AM8" i="18" s="1"/>
  <c r="AO8" i="18" s="1"/>
  <c r="AP8" i="18" s="1"/>
  <c r="AS8" i="18" s="1"/>
  <c r="AT8" i="18" s="1"/>
  <c r="I53" i="34"/>
  <c r="AM1" i="29"/>
  <c r="AM8" i="29"/>
  <c r="AO8" i="29" s="1"/>
  <c r="AP8" i="29" s="1"/>
  <c r="AS8" i="29" s="1"/>
  <c r="AT8" i="29" s="1"/>
  <c r="AM7" i="29"/>
  <c r="AO7" i="29" s="1"/>
  <c r="AP7" i="29" s="1"/>
  <c r="AS7" i="29" s="1"/>
  <c r="AT7" i="29" s="1"/>
  <c r="AM13" i="29"/>
  <c r="AO13" i="29" s="1"/>
  <c r="AP13" i="29" s="1"/>
  <c r="AS13" i="29" s="1"/>
  <c r="AT13" i="29" s="1"/>
  <c r="AM10" i="29"/>
  <c r="AO10" i="29" s="1"/>
  <c r="AP10" i="29" s="1"/>
  <c r="AS10" i="29" s="1"/>
  <c r="AT10" i="29" s="1"/>
  <c r="AM12" i="29"/>
  <c r="AO12" i="29" s="1"/>
  <c r="AP12" i="29" s="1"/>
  <c r="AS12" i="29" s="1"/>
  <c r="AT12" i="29" s="1"/>
  <c r="AM11" i="29"/>
  <c r="AO11" i="29" s="1"/>
  <c r="AP11" i="29" s="1"/>
  <c r="AS11" i="29" s="1"/>
  <c r="AT11" i="29" s="1"/>
  <c r="AM5" i="29"/>
  <c r="AO5" i="29" s="1"/>
  <c r="AP5" i="29" s="1"/>
  <c r="AM9" i="29"/>
  <c r="AO9" i="29" s="1"/>
  <c r="AP9" i="29" s="1"/>
  <c r="AS9" i="29" s="1"/>
  <c r="AT9" i="29" s="1"/>
  <c r="AM1" i="28"/>
  <c r="J52" i="28"/>
  <c r="J54" i="34"/>
  <c r="B84" i="34" s="1"/>
  <c r="H84" i="34" s="1"/>
  <c r="AM1" i="21"/>
  <c r="AM7" i="21"/>
  <c r="AO7" i="21" s="1"/>
  <c r="AP7" i="21" s="1"/>
  <c r="AS7" i="21" s="1"/>
  <c r="AT7" i="21" s="1"/>
  <c r="AM5" i="21"/>
  <c r="AO5" i="21" s="1"/>
  <c r="AP5" i="21" s="1"/>
  <c r="AM10" i="21"/>
  <c r="AO10" i="21" s="1"/>
  <c r="AP10" i="21" s="1"/>
  <c r="AS10" i="21" s="1"/>
  <c r="AT10" i="21" s="1"/>
  <c r="AM9" i="21"/>
  <c r="AO9" i="21" s="1"/>
  <c r="AP9" i="21" s="1"/>
  <c r="AS9" i="21" s="1"/>
  <c r="AT9" i="21" s="1"/>
  <c r="J52" i="21"/>
  <c r="I52" i="21" s="1"/>
  <c r="H52" i="21" s="1"/>
  <c r="E5" i="21" s="1"/>
  <c r="J53" i="5"/>
  <c r="B90" i="5" s="1"/>
  <c r="E1" i="36"/>
  <c r="G1" i="36" s="1"/>
  <c r="E5" i="36" s="1"/>
  <c r="D52" i="20"/>
  <c r="D52" i="21"/>
  <c r="G1" i="21"/>
  <c r="I1" i="21" s="1"/>
  <c r="E6" i="21" s="1"/>
  <c r="AM6" i="21"/>
  <c r="AO6" i="21" s="1"/>
  <c r="AP6" i="21" s="1"/>
  <c r="AS6" i="21" s="1"/>
  <c r="AT6" i="21" s="1"/>
  <c r="AM13" i="21"/>
  <c r="AO13" i="21" s="1"/>
  <c r="AP13" i="21" s="1"/>
  <c r="AS13" i="21" s="1"/>
  <c r="AT13" i="21" s="1"/>
  <c r="AM12" i="21"/>
  <c r="AO12" i="21" s="1"/>
  <c r="AP12" i="21" s="1"/>
  <c r="AS12" i="21" s="1"/>
  <c r="AT12" i="21" s="1"/>
  <c r="AM11" i="21"/>
  <c r="AO11" i="21" s="1"/>
  <c r="AP11" i="21" s="1"/>
  <c r="AS11" i="21" s="1"/>
  <c r="AT11" i="21" s="1"/>
  <c r="AM1" i="17"/>
  <c r="AO1" i="17"/>
  <c r="AM6" i="17" s="1"/>
  <c r="AO6" i="17" s="1"/>
  <c r="AP6" i="17" s="1"/>
  <c r="AS6" i="17" s="1"/>
  <c r="AT6" i="17" s="1"/>
  <c r="J52" i="17"/>
  <c r="J52" i="15"/>
  <c r="I52" i="15" s="1"/>
  <c r="AM12" i="15"/>
  <c r="AO12" i="15" s="1"/>
  <c r="AP12" i="15" s="1"/>
  <c r="AS12" i="15" s="1"/>
  <c r="AT12" i="15" s="1"/>
  <c r="AM9" i="15"/>
  <c r="AO9" i="15" s="1"/>
  <c r="AP9" i="15" s="1"/>
  <c r="AS9" i="15" s="1"/>
  <c r="AT9" i="15" s="1"/>
  <c r="AM6" i="15"/>
  <c r="AO6" i="15" s="1"/>
  <c r="AP6" i="15" s="1"/>
  <c r="AS6" i="15" s="1"/>
  <c r="AT6" i="15" s="1"/>
  <c r="AM11" i="15"/>
  <c r="AO11" i="15" s="1"/>
  <c r="AP11" i="15" s="1"/>
  <c r="AS11" i="15" s="1"/>
  <c r="AT11" i="15" s="1"/>
  <c r="AM5" i="15"/>
  <c r="AO5" i="15" s="1"/>
  <c r="AP5" i="15" s="1"/>
  <c r="AM10" i="15"/>
  <c r="AO10" i="15" s="1"/>
  <c r="AP10" i="15" s="1"/>
  <c r="AS10" i="15" s="1"/>
  <c r="AT10" i="15" s="1"/>
  <c r="AM8" i="15"/>
  <c r="AO8" i="15" s="1"/>
  <c r="AP8" i="15" s="1"/>
  <c r="AS8" i="15" s="1"/>
  <c r="AT8" i="15" s="1"/>
  <c r="AM1" i="15"/>
  <c r="AM7" i="15"/>
  <c r="AO7" i="15" s="1"/>
  <c r="AP7" i="15" s="1"/>
  <c r="AS7" i="15" s="1"/>
  <c r="AT7" i="15" s="1"/>
  <c r="D52" i="56"/>
  <c r="G1" i="56"/>
  <c r="I1" i="56" s="1"/>
  <c r="E17" i="56" s="1"/>
  <c r="G17" i="56" s="1"/>
  <c r="H17" i="56" s="1"/>
  <c r="K17" i="56" s="1"/>
  <c r="L17" i="56" s="1"/>
  <c r="J52" i="7"/>
  <c r="G1" i="5"/>
  <c r="I1" i="5" s="1"/>
  <c r="D52" i="5"/>
  <c r="D52" i="59"/>
  <c r="G1" i="67"/>
  <c r="I1" i="67" s="1"/>
  <c r="G1" i="62"/>
  <c r="E20" i="62" s="1"/>
  <c r="G20" i="62" s="1"/>
  <c r="H20" i="62" s="1"/>
  <c r="K20" i="62" s="1"/>
  <c r="L20" i="62" s="1"/>
  <c r="D52" i="62"/>
  <c r="D52" i="61"/>
  <c r="G1" i="61"/>
  <c r="I1" i="61" s="1"/>
  <c r="E1" i="58"/>
  <c r="AM1" i="53"/>
  <c r="J52" i="53"/>
  <c r="J51" i="56"/>
  <c r="J53" i="56" s="1"/>
  <c r="B79" i="56" s="1"/>
  <c r="V44" i="65"/>
  <c r="U44" i="65"/>
  <c r="W44" i="65" s="1"/>
  <c r="J51" i="65" s="1"/>
  <c r="J51" i="67"/>
  <c r="I51" i="67" s="1"/>
  <c r="V44" i="58"/>
  <c r="U44" i="58"/>
  <c r="W44" i="58" s="1"/>
  <c r="J51" i="58" s="1"/>
  <c r="D5" i="70"/>
  <c r="AF29" i="70"/>
  <c r="AD29" i="70"/>
  <c r="D5" i="62"/>
  <c r="D65" i="62" s="1"/>
  <c r="D5" i="61"/>
  <c r="D65" i="61" s="1"/>
  <c r="H51" i="61"/>
  <c r="AD29" i="58"/>
  <c r="AB29" i="58"/>
  <c r="AB29" i="57"/>
  <c r="AF29" i="57"/>
  <c r="AC29" i="57"/>
  <c r="AD29" i="57"/>
  <c r="AC29" i="70"/>
  <c r="AB29" i="67"/>
  <c r="AC29" i="61"/>
  <c r="AB29" i="59"/>
  <c r="J53" i="62"/>
  <c r="B82" i="62" s="1"/>
  <c r="I52" i="62"/>
  <c r="V44" i="48"/>
  <c r="U44" i="48"/>
  <c r="W44" i="48" s="1"/>
  <c r="J51" i="48" s="1"/>
  <c r="I51" i="48" s="1"/>
  <c r="D105" i="51"/>
  <c r="D84" i="51"/>
  <c r="D65" i="51"/>
  <c r="V44" i="47"/>
  <c r="U44" i="47"/>
  <c r="W44" i="47" s="1"/>
  <c r="D5" i="49"/>
  <c r="AE29" i="48"/>
  <c r="AC29" i="48"/>
  <c r="D5" i="44"/>
  <c r="H51" i="44" s="1"/>
  <c r="AE29" i="41"/>
  <c r="D5" i="41"/>
  <c r="AD29" i="79"/>
  <c r="D5" i="46"/>
  <c r="D65" i="46" s="1"/>
  <c r="D5" i="43"/>
  <c r="AB29" i="79"/>
  <c r="AB29" i="49"/>
  <c r="AB29" i="48"/>
  <c r="AB29" i="47"/>
  <c r="AC29" i="41"/>
  <c r="G1" i="49"/>
  <c r="I1" i="49" s="1"/>
  <c r="D52" i="49"/>
  <c r="J53" i="44"/>
  <c r="B82" i="44" s="1"/>
  <c r="E1" i="42"/>
  <c r="D52" i="42" s="1"/>
  <c r="J52" i="67"/>
  <c r="B78" i="67" s="1"/>
  <c r="H78" i="67" s="1"/>
  <c r="AM1" i="43"/>
  <c r="J52" i="43"/>
  <c r="J53" i="43" s="1"/>
  <c r="B79" i="43" s="1"/>
  <c r="I52" i="44"/>
  <c r="H52" i="44" s="1"/>
  <c r="G1" i="44"/>
  <c r="I1" i="44" s="1"/>
  <c r="D52" i="44"/>
  <c r="G1" i="43"/>
  <c r="I1" i="43" s="1"/>
  <c r="D52" i="43"/>
  <c r="AO1" i="41"/>
  <c r="AM1" i="41"/>
  <c r="J52" i="41"/>
  <c r="L5" i="51"/>
  <c r="I52" i="46"/>
  <c r="V44" i="33"/>
  <c r="U44" i="33"/>
  <c r="W44" i="33" s="1"/>
  <c r="J51" i="33" s="1"/>
  <c r="AA29" i="33"/>
  <c r="E1" i="32"/>
  <c r="D52" i="8"/>
  <c r="G1" i="8"/>
  <c r="I1" i="8" s="1"/>
  <c r="D52" i="33"/>
  <c r="G1" i="33"/>
  <c r="I1" i="33" s="1"/>
  <c r="E26" i="33" s="1"/>
  <c r="G26" i="33" s="1"/>
  <c r="H26" i="33" s="1"/>
  <c r="K26" i="33" s="1"/>
  <c r="L26" i="33" s="1"/>
  <c r="G1" i="26"/>
  <c r="I1" i="26" s="1"/>
  <c r="E20" i="26" s="1"/>
  <c r="G20" i="26" s="1"/>
  <c r="H20" i="26" s="1"/>
  <c r="K20" i="26" s="1"/>
  <c r="L20" i="26" s="1"/>
  <c r="D52" i="26"/>
  <c r="AB29" i="19"/>
  <c r="D76" i="10"/>
  <c r="D89" i="10"/>
  <c r="K5" i="10"/>
  <c r="V44" i="7"/>
  <c r="U44" i="7"/>
  <c r="W44" i="7" s="1"/>
  <c r="J51" i="7" s="1"/>
  <c r="V44" i="69"/>
  <c r="U44" i="69"/>
  <c r="W44" i="69" s="1"/>
  <c r="J51" i="69" s="1"/>
  <c r="I51" i="69" s="1"/>
  <c r="J54" i="10"/>
  <c r="B82" i="10" s="1"/>
  <c r="I52" i="10"/>
  <c r="E5" i="10" s="1"/>
  <c r="I53" i="10"/>
  <c r="I52" i="51"/>
  <c r="E5" i="51" s="1"/>
  <c r="J53" i="51"/>
  <c r="B79" i="51" s="1"/>
  <c r="H79" i="51" s="1"/>
  <c r="J52" i="60"/>
  <c r="AO1" i="60"/>
  <c r="AM1" i="60"/>
  <c r="E1" i="60"/>
  <c r="AM11" i="58"/>
  <c r="AO11" i="58" s="1"/>
  <c r="AP11" i="58" s="1"/>
  <c r="AS11" i="58" s="1"/>
  <c r="AT11" i="58" s="1"/>
  <c r="AM6" i="58"/>
  <c r="AO6" i="58" s="1"/>
  <c r="AP6" i="58" s="1"/>
  <c r="AS6" i="58" s="1"/>
  <c r="AT6" i="58" s="1"/>
  <c r="AM10" i="58"/>
  <c r="AO10" i="58" s="1"/>
  <c r="AP10" i="58" s="1"/>
  <c r="AS10" i="58" s="1"/>
  <c r="AT10" i="58" s="1"/>
  <c r="AM12" i="58"/>
  <c r="AO12" i="58" s="1"/>
  <c r="AP12" i="58" s="1"/>
  <c r="AS12" i="58" s="1"/>
  <c r="AT12" i="58" s="1"/>
  <c r="AM13" i="58"/>
  <c r="AO13" i="58" s="1"/>
  <c r="AP13" i="58" s="1"/>
  <c r="AS13" i="58" s="1"/>
  <c r="AT13" i="58" s="1"/>
  <c r="AM5" i="58"/>
  <c r="AO5" i="58" s="1"/>
  <c r="AP5" i="58" s="1"/>
  <c r="AM14" i="58"/>
  <c r="AO14" i="58" s="1"/>
  <c r="AP14" i="58" s="1"/>
  <c r="AS14" i="58" s="1"/>
  <c r="AT14" i="58" s="1"/>
  <c r="AM9" i="58"/>
  <c r="AO9" i="58" s="1"/>
  <c r="AP9" i="58" s="1"/>
  <c r="AS9" i="58" s="1"/>
  <c r="AT9" i="58" s="1"/>
  <c r="AM8" i="58"/>
  <c r="AO8" i="58" s="1"/>
  <c r="AP8" i="58" s="1"/>
  <c r="AS8" i="58" s="1"/>
  <c r="AT8" i="58" s="1"/>
  <c r="AM15" i="58"/>
  <c r="AO15" i="58" s="1"/>
  <c r="AP15" i="58" s="1"/>
  <c r="AS15" i="58" s="1"/>
  <c r="AT15" i="58" s="1"/>
  <c r="AM7" i="58"/>
  <c r="AO7" i="58" s="1"/>
  <c r="AP7" i="58" s="1"/>
  <c r="AS7" i="58" s="1"/>
  <c r="AT7" i="58" s="1"/>
  <c r="AM10" i="56"/>
  <c r="AO10" i="56" s="1"/>
  <c r="AP10" i="56" s="1"/>
  <c r="AS10" i="56" s="1"/>
  <c r="AT10" i="56" s="1"/>
  <c r="AM5" i="56"/>
  <c r="AO5" i="56" s="1"/>
  <c r="AP5" i="56" s="1"/>
  <c r="AM13" i="56"/>
  <c r="AO13" i="56" s="1"/>
  <c r="AP13" i="56" s="1"/>
  <c r="AS13" i="56" s="1"/>
  <c r="AT13" i="56" s="1"/>
  <c r="AM8" i="56"/>
  <c r="AO8" i="56" s="1"/>
  <c r="AP8" i="56" s="1"/>
  <c r="AS8" i="56" s="1"/>
  <c r="AT8" i="56" s="1"/>
  <c r="AM9" i="56"/>
  <c r="AO9" i="56" s="1"/>
  <c r="AP9" i="56" s="1"/>
  <c r="AS9" i="56" s="1"/>
  <c r="AT9" i="56" s="1"/>
  <c r="AM11" i="56"/>
  <c r="AO11" i="56" s="1"/>
  <c r="AP11" i="56" s="1"/>
  <c r="AS11" i="56" s="1"/>
  <c r="AT11" i="56" s="1"/>
  <c r="AM12" i="56"/>
  <c r="AO12" i="56" s="1"/>
  <c r="AP12" i="56" s="1"/>
  <c r="AS12" i="56" s="1"/>
  <c r="AT12" i="56" s="1"/>
  <c r="AM7" i="56"/>
  <c r="AO7" i="56" s="1"/>
  <c r="AP7" i="56" s="1"/>
  <c r="AS7" i="56" s="1"/>
  <c r="AT7" i="56" s="1"/>
  <c r="AM6" i="56"/>
  <c r="AO6" i="56" s="1"/>
  <c r="AP6" i="56" s="1"/>
  <c r="AS6" i="56" s="1"/>
  <c r="AT6" i="56" s="1"/>
  <c r="E19" i="50"/>
  <c r="G19" i="50" s="1"/>
  <c r="H19" i="50" s="1"/>
  <c r="K19" i="50" s="1"/>
  <c r="L19" i="50" s="1"/>
  <c r="E18" i="50"/>
  <c r="G18" i="50" s="1"/>
  <c r="H18" i="50" s="1"/>
  <c r="K18" i="50" s="1"/>
  <c r="L18" i="50" s="1"/>
  <c r="E20" i="50"/>
  <c r="G20" i="50" s="1"/>
  <c r="H20" i="50" s="1"/>
  <c r="K20" i="50" s="1"/>
  <c r="L20" i="50" s="1"/>
  <c r="E21" i="50"/>
  <c r="G21" i="50" s="1"/>
  <c r="H21" i="50" s="1"/>
  <c r="K21" i="50" s="1"/>
  <c r="L21" i="50" s="1"/>
  <c r="E5" i="50"/>
  <c r="G5" i="50" s="1"/>
  <c r="H5" i="50" s="1"/>
  <c r="K5" i="50" s="1"/>
  <c r="L5" i="50" s="1"/>
  <c r="S35" i="50" s="1"/>
  <c r="C52" i="50"/>
  <c r="J53" i="35"/>
  <c r="B71" i="35" s="1"/>
  <c r="H71" i="35" s="1"/>
  <c r="I52" i="35"/>
  <c r="E5" i="35" s="1"/>
  <c r="AA30" i="35"/>
  <c r="T33" i="35"/>
  <c r="D52" i="25"/>
  <c r="E70" i="25" s="1"/>
  <c r="G1" i="25"/>
  <c r="I1" i="25" s="1"/>
  <c r="C52" i="25" s="1"/>
  <c r="C53" i="25" s="1"/>
  <c r="D53" i="25" s="1"/>
  <c r="G70" i="25" s="1"/>
  <c r="J52" i="25"/>
  <c r="B70" i="25" s="1"/>
  <c r="AM1" i="25"/>
  <c r="AO1" i="25"/>
  <c r="G1" i="79"/>
  <c r="E5" i="79" s="1"/>
  <c r="E65" i="79" s="1"/>
  <c r="G65" i="79" s="1"/>
  <c r="H65" i="79" s="1"/>
  <c r="AM6" i="79"/>
  <c r="AO6" i="79" s="1"/>
  <c r="AP6" i="79" s="1"/>
  <c r="AS6" i="79" s="1"/>
  <c r="AT6" i="79" s="1"/>
  <c r="AM7" i="79"/>
  <c r="AO7" i="79" s="1"/>
  <c r="AP7" i="79" s="1"/>
  <c r="AS7" i="79" s="1"/>
  <c r="AT7" i="79" s="1"/>
  <c r="AM8" i="79"/>
  <c r="AO8" i="79" s="1"/>
  <c r="AP8" i="79" s="1"/>
  <c r="AS8" i="79" s="1"/>
  <c r="AT8" i="79" s="1"/>
  <c r="AM9" i="79"/>
  <c r="AO9" i="79" s="1"/>
  <c r="AP9" i="79" s="1"/>
  <c r="AS9" i="79" s="1"/>
  <c r="AT9" i="79" s="1"/>
  <c r="AM10" i="79"/>
  <c r="AO10" i="79" s="1"/>
  <c r="AP10" i="79" s="1"/>
  <c r="AS10" i="79" s="1"/>
  <c r="AT10" i="79" s="1"/>
  <c r="AM11" i="79"/>
  <c r="AO11" i="79" s="1"/>
  <c r="AP11" i="79" s="1"/>
  <c r="AS11" i="79" s="1"/>
  <c r="AT11" i="79" s="1"/>
  <c r="AM12" i="79"/>
  <c r="AO12" i="79" s="1"/>
  <c r="AP12" i="79" s="1"/>
  <c r="AS12" i="79" s="1"/>
  <c r="AT12" i="79" s="1"/>
  <c r="AM13" i="79"/>
  <c r="AO13" i="79" s="1"/>
  <c r="AP13" i="79" s="1"/>
  <c r="AS13" i="79" s="1"/>
  <c r="AT13" i="79" s="1"/>
  <c r="AM14" i="79"/>
  <c r="AO14" i="79" s="1"/>
  <c r="AP14" i="79" s="1"/>
  <c r="AS14" i="79" s="1"/>
  <c r="AT14" i="79" s="1"/>
  <c r="AM15" i="79"/>
  <c r="AO15" i="79" s="1"/>
  <c r="AP15" i="79" s="1"/>
  <c r="AS15" i="79" s="1"/>
  <c r="AT15" i="79" s="1"/>
  <c r="AM16" i="79"/>
  <c r="AO16" i="79" s="1"/>
  <c r="AP16" i="79" s="1"/>
  <c r="AS16" i="79" s="1"/>
  <c r="AT16" i="79" s="1"/>
  <c r="AM17" i="79"/>
  <c r="AO17" i="79" s="1"/>
  <c r="AP17" i="79" s="1"/>
  <c r="AS17" i="79" s="1"/>
  <c r="AT17" i="79" s="1"/>
  <c r="AM18" i="79"/>
  <c r="AO18" i="79" s="1"/>
  <c r="AP18" i="79" s="1"/>
  <c r="AS18" i="79" s="1"/>
  <c r="AT18" i="79" s="1"/>
  <c r="AM19" i="79"/>
  <c r="AO19" i="79" s="1"/>
  <c r="AP19" i="79" s="1"/>
  <c r="AS19" i="79" s="1"/>
  <c r="AT19" i="79" s="1"/>
  <c r="AM5" i="79"/>
  <c r="AO5" i="79" s="1"/>
  <c r="AP5" i="79" s="1"/>
  <c r="C52" i="68"/>
  <c r="I1" i="68"/>
  <c r="I53" i="50"/>
  <c r="J54" i="50"/>
  <c r="B106" i="50" s="1"/>
  <c r="H53" i="50"/>
  <c r="E65" i="50" s="1"/>
  <c r="E1" i="55"/>
  <c r="E1" i="54"/>
  <c r="T30" i="54"/>
  <c r="D52" i="39"/>
  <c r="B73" i="39" s="1"/>
  <c r="G1" i="39"/>
  <c r="E1" i="38"/>
  <c r="E1" i="31"/>
  <c r="D52" i="31" s="1"/>
  <c r="G1" i="27"/>
  <c r="I1" i="27" s="1"/>
  <c r="D52" i="27"/>
  <c r="J54" i="27"/>
  <c r="B104" i="27" s="1"/>
  <c r="J54" i="16"/>
  <c r="B101" i="16" s="1"/>
  <c r="I53" i="16"/>
  <c r="E1" i="14"/>
  <c r="T30" i="14"/>
  <c r="E1" i="13"/>
  <c r="G1" i="12"/>
  <c r="I1" i="12" s="1"/>
  <c r="D52" i="12"/>
  <c r="B74" i="12" s="1"/>
  <c r="E1" i="37"/>
  <c r="J53" i="30"/>
  <c r="B75" i="30" s="1"/>
  <c r="I52" i="30"/>
  <c r="H52" i="30" s="1"/>
  <c r="L5" i="23"/>
  <c r="S33" i="23" s="1"/>
  <c r="J53" i="23"/>
  <c r="B80" i="23" s="1"/>
  <c r="I52" i="23"/>
  <c r="E5" i="23" s="1"/>
  <c r="E13" i="20"/>
  <c r="G13" i="20" s="1"/>
  <c r="H13" i="20" s="1"/>
  <c r="K13" i="20" s="1"/>
  <c r="L13" i="20" s="1"/>
  <c r="E8" i="20"/>
  <c r="G8" i="20" s="1"/>
  <c r="H8" i="20" s="1"/>
  <c r="K8" i="20" s="1"/>
  <c r="L8" i="20" s="1"/>
  <c r="E16" i="20"/>
  <c r="G16" i="20" s="1"/>
  <c r="H16" i="20" s="1"/>
  <c r="K16" i="20" s="1"/>
  <c r="L16" i="20" s="1"/>
  <c r="E11" i="20"/>
  <c r="G11" i="20" s="1"/>
  <c r="H11" i="20" s="1"/>
  <c r="K11" i="20" s="1"/>
  <c r="L11" i="20" s="1"/>
  <c r="E19" i="20"/>
  <c r="G19" i="20" s="1"/>
  <c r="H19" i="20" s="1"/>
  <c r="K19" i="20" s="1"/>
  <c r="L19" i="20" s="1"/>
  <c r="E12" i="20"/>
  <c r="G12" i="20" s="1"/>
  <c r="H12" i="20" s="1"/>
  <c r="K12" i="20" s="1"/>
  <c r="L12" i="20" s="1"/>
  <c r="E15" i="20"/>
  <c r="G15" i="20" s="1"/>
  <c r="H15" i="20" s="1"/>
  <c r="K15" i="20" s="1"/>
  <c r="L15" i="20" s="1"/>
  <c r="E10" i="20"/>
  <c r="G10" i="20" s="1"/>
  <c r="H10" i="20" s="1"/>
  <c r="K10" i="20" s="1"/>
  <c r="L10" i="20" s="1"/>
  <c r="E18" i="20"/>
  <c r="G18" i="20" s="1"/>
  <c r="H18" i="20" s="1"/>
  <c r="K18" i="20" s="1"/>
  <c r="L18" i="20" s="1"/>
  <c r="E6" i="20"/>
  <c r="G6" i="20" s="1"/>
  <c r="H6" i="20" s="1"/>
  <c r="K6" i="20" s="1"/>
  <c r="L6" i="20" s="1"/>
  <c r="E14" i="20"/>
  <c r="G14" i="20" s="1"/>
  <c r="H14" i="20" s="1"/>
  <c r="K14" i="20" s="1"/>
  <c r="L14" i="20" s="1"/>
  <c r="E9" i="20"/>
  <c r="G9" i="20" s="1"/>
  <c r="H9" i="20" s="1"/>
  <c r="K9" i="20" s="1"/>
  <c r="L9" i="20" s="1"/>
  <c r="E17" i="20"/>
  <c r="G17" i="20" s="1"/>
  <c r="H17" i="20" s="1"/>
  <c r="K17" i="20" s="1"/>
  <c r="L17" i="20" s="1"/>
  <c r="C52" i="20"/>
  <c r="E7" i="20"/>
  <c r="G7" i="20" s="1"/>
  <c r="H7" i="20" s="1"/>
  <c r="K7" i="20" s="1"/>
  <c r="L7" i="20" s="1"/>
  <c r="D52" i="19"/>
  <c r="G1" i="19"/>
  <c r="I1" i="19" s="1"/>
  <c r="G1" i="11"/>
  <c r="E18" i="11"/>
  <c r="G18" i="11" s="1"/>
  <c r="H18" i="11" s="1"/>
  <c r="K18" i="11" s="1"/>
  <c r="L18" i="11" s="1"/>
  <c r="E26" i="11"/>
  <c r="G26" i="11" s="1"/>
  <c r="H26" i="11" s="1"/>
  <c r="K26" i="11" s="1"/>
  <c r="L26" i="11" s="1"/>
  <c r="E19" i="11"/>
  <c r="G19" i="11" s="1"/>
  <c r="H19" i="11" s="1"/>
  <c r="K19" i="11" s="1"/>
  <c r="L19" i="11" s="1"/>
  <c r="E27" i="11"/>
  <c r="G27" i="11" s="1"/>
  <c r="H27" i="11" s="1"/>
  <c r="K27" i="11" s="1"/>
  <c r="L27" i="11" s="1"/>
  <c r="E23" i="11"/>
  <c r="G23" i="11" s="1"/>
  <c r="H23" i="11" s="1"/>
  <c r="K23" i="11" s="1"/>
  <c r="L23" i="11" s="1"/>
  <c r="E20" i="11"/>
  <c r="G20" i="11" s="1"/>
  <c r="H20" i="11" s="1"/>
  <c r="K20" i="11" s="1"/>
  <c r="L20" i="11" s="1"/>
  <c r="E14" i="11"/>
  <c r="G14" i="11" s="1"/>
  <c r="H14" i="11" s="1"/>
  <c r="E21" i="11"/>
  <c r="G21" i="11" s="1"/>
  <c r="H21" i="11" s="1"/>
  <c r="K21" i="11" s="1"/>
  <c r="L21" i="11" s="1"/>
  <c r="E22" i="11"/>
  <c r="G22" i="11" s="1"/>
  <c r="H22" i="11" s="1"/>
  <c r="K22" i="11" s="1"/>
  <c r="L22" i="11" s="1"/>
  <c r="E16" i="11"/>
  <c r="G16" i="11" s="1"/>
  <c r="H16" i="11" s="1"/>
  <c r="K16" i="11" s="1"/>
  <c r="L16" i="11" s="1"/>
  <c r="E24" i="11"/>
  <c r="G24" i="11" s="1"/>
  <c r="H24" i="11" s="1"/>
  <c r="K24" i="11" s="1"/>
  <c r="L24" i="11" s="1"/>
  <c r="E17" i="11"/>
  <c r="G17" i="11" s="1"/>
  <c r="H17" i="11" s="1"/>
  <c r="K17" i="11" s="1"/>
  <c r="L17" i="11" s="1"/>
  <c r="E25" i="11"/>
  <c r="G25" i="11" s="1"/>
  <c r="H25" i="11" s="1"/>
  <c r="K25" i="11" s="1"/>
  <c r="L25" i="11" s="1"/>
  <c r="E15" i="11"/>
  <c r="G15" i="11" s="1"/>
  <c r="H15" i="11" s="1"/>
  <c r="K15" i="11" s="1"/>
  <c r="L15" i="11" s="1"/>
  <c r="E12" i="7"/>
  <c r="G12" i="7" s="1"/>
  <c r="H12" i="7" s="1"/>
  <c r="K12" i="7" s="1"/>
  <c r="L12" i="7" s="1"/>
  <c r="C52" i="7"/>
  <c r="E7" i="7"/>
  <c r="G7" i="7" s="1"/>
  <c r="H7" i="7" s="1"/>
  <c r="K7" i="7" s="1"/>
  <c r="L7" i="7" s="1"/>
  <c r="E15" i="7"/>
  <c r="G15" i="7" s="1"/>
  <c r="H15" i="7" s="1"/>
  <c r="K15" i="7" s="1"/>
  <c r="L15" i="7" s="1"/>
  <c r="E10" i="7"/>
  <c r="G10" i="7" s="1"/>
  <c r="H10" i="7" s="1"/>
  <c r="K10" i="7" s="1"/>
  <c r="L10" i="7" s="1"/>
  <c r="E18" i="7"/>
  <c r="G18" i="7" s="1"/>
  <c r="H18" i="7" s="1"/>
  <c r="K18" i="7" s="1"/>
  <c r="L18" i="7" s="1"/>
  <c r="E13" i="7"/>
  <c r="G13" i="7" s="1"/>
  <c r="H13" i="7" s="1"/>
  <c r="K13" i="7" s="1"/>
  <c r="L13" i="7" s="1"/>
  <c r="E8" i="7"/>
  <c r="G8" i="7" s="1"/>
  <c r="H8" i="7" s="1"/>
  <c r="K8" i="7" s="1"/>
  <c r="L8" i="7" s="1"/>
  <c r="E16" i="7"/>
  <c r="G16" i="7" s="1"/>
  <c r="H16" i="7" s="1"/>
  <c r="K16" i="7" s="1"/>
  <c r="L16" i="7" s="1"/>
  <c r="E11" i="7"/>
  <c r="G11" i="7" s="1"/>
  <c r="H11" i="7" s="1"/>
  <c r="K11" i="7" s="1"/>
  <c r="L11" i="7" s="1"/>
  <c r="E19" i="7"/>
  <c r="G19" i="7" s="1"/>
  <c r="H19" i="7" s="1"/>
  <c r="K19" i="7" s="1"/>
  <c r="L19" i="7" s="1"/>
  <c r="E6" i="7"/>
  <c r="G6" i="7" s="1"/>
  <c r="H6" i="7" s="1"/>
  <c r="K6" i="7" s="1"/>
  <c r="L6" i="7" s="1"/>
  <c r="E14" i="7"/>
  <c r="G14" i="7" s="1"/>
  <c r="H14" i="7" s="1"/>
  <c r="K14" i="7" s="1"/>
  <c r="L14" i="7" s="1"/>
  <c r="E9" i="7"/>
  <c r="G9" i="7" s="1"/>
  <c r="H9" i="7" s="1"/>
  <c r="K9" i="7" s="1"/>
  <c r="L9" i="7" s="1"/>
  <c r="E17" i="7"/>
  <c r="G17" i="7" s="1"/>
  <c r="H17" i="7" s="1"/>
  <c r="K17" i="7" s="1"/>
  <c r="L17" i="7" s="1"/>
  <c r="C52" i="45"/>
  <c r="C53" i="45" s="1"/>
  <c r="D53" i="45" s="1"/>
  <c r="E13" i="45"/>
  <c r="G13" i="45" s="1"/>
  <c r="H13" i="45" s="1"/>
  <c r="K13" i="45" s="1"/>
  <c r="L13" i="45" s="1"/>
  <c r="E14" i="45"/>
  <c r="G14" i="45" s="1"/>
  <c r="H14" i="45" s="1"/>
  <c r="K14" i="45" s="1"/>
  <c r="L14" i="45" s="1"/>
  <c r="E10" i="45"/>
  <c r="G10" i="45" s="1"/>
  <c r="H10" i="45" s="1"/>
  <c r="K10" i="45" s="1"/>
  <c r="L10" i="45" s="1"/>
  <c r="E18" i="45"/>
  <c r="G18" i="45" s="1"/>
  <c r="H18" i="45" s="1"/>
  <c r="K18" i="45" s="1"/>
  <c r="L18" i="45" s="1"/>
  <c r="E6" i="45"/>
  <c r="G6" i="45" s="1"/>
  <c r="H6" i="45" s="1"/>
  <c r="K6" i="45" s="1"/>
  <c r="L6" i="45" s="1"/>
  <c r="J52" i="45"/>
  <c r="I52" i="45" s="1"/>
  <c r="D52" i="45"/>
  <c r="V44" i="45" s="1"/>
  <c r="E7" i="45"/>
  <c r="G7" i="45" s="1"/>
  <c r="H7" i="45" s="1"/>
  <c r="K7" i="45" s="1"/>
  <c r="L7" i="45" s="1"/>
  <c r="E11" i="45"/>
  <c r="G11" i="45" s="1"/>
  <c r="H11" i="45" s="1"/>
  <c r="K11" i="45" s="1"/>
  <c r="L11" i="45" s="1"/>
  <c r="E20" i="45"/>
  <c r="G20" i="45" s="1"/>
  <c r="H20" i="45" s="1"/>
  <c r="K20" i="45" s="1"/>
  <c r="L20" i="45" s="1"/>
  <c r="E5" i="45"/>
  <c r="E12" i="45"/>
  <c r="G12" i="45" s="1"/>
  <c r="H12" i="45" s="1"/>
  <c r="K12" i="45" s="1"/>
  <c r="L12" i="45" s="1"/>
  <c r="E16" i="45"/>
  <c r="G16" i="45" s="1"/>
  <c r="H16" i="45" s="1"/>
  <c r="K16" i="45" s="1"/>
  <c r="L16" i="45" s="1"/>
  <c r="E19" i="45"/>
  <c r="G19" i="45" s="1"/>
  <c r="H19" i="45" s="1"/>
  <c r="K19" i="45" s="1"/>
  <c r="L19" i="45" s="1"/>
  <c r="E17" i="45"/>
  <c r="G17" i="45" s="1"/>
  <c r="H17" i="45" s="1"/>
  <c r="K17" i="45" s="1"/>
  <c r="L17" i="45" s="1"/>
  <c r="E8" i="45"/>
  <c r="G8" i="45" s="1"/>
  <c r="H8" i="45" s="1"/>
  <c r="K8" i="45" s="1"/>
  <c r="L8" i="45" s="1"/>
  <c r="E15" i="45"/>
  <c r="G15" i="45" s="1"/>
  <c r="H15" i="45" s="1"/>
  <c r="K15" i="45" s="1"/>
  <c r="L15" i="45" s="1"/>
  <c r="E9" i="45"/>
  <c r="G9" i="45" s="1"/>
  <c r="H9" i="45" s="1"/>
  <c r="K9" i="45" s="1"/>
  <c r="L9" i="45" s="1"/>
  <c r="U44" i="45"/>
  <c r="W44" i="45" s="1"/>
  <c r="J51" i="45" s="1"/>
  <c r="D52" i="3"/>
  <c r="J53" i="6"/>
  <c r="B73" i="6" s="1"/>
  <c r="I52" i="6"/>
  <c r="G1" i="6"/>
  <c r="I1" i="6" s="1"/>
  <c r="D52" i="6"/>
  <c r="J53" i="9"/>
  <c r="I52" i="9"/>
  <c r="H52" i="9" s="1"/>
  <c r="E65" i="9" s="1"/>
  <c r="D52" i="9"/>
  <c r="G1" i="9"/>
  <c r="I1" i="9" s="1"/>
  <c r="C52" i="9" s="1"/>
  <c r="E1" i="70"/>
  <c r="I52" i="66"/>
  <c r="J53" i="66"/>
  <c r="B75" i="66" s="1"/>
  <c r="H75" i="66" s="1"/>
  <c r="H5" i="66"/>
  <c r="K5" i="66" s="1"/>
  <c r="L5" i="66" s="1"/>
  <c r="D52" i="69"/>
  <c r="G1" i="69"/>
  <c r="I1" i="69" s="1"/>
  <c r="H70" i="25" l="1"/>
  <c r="E80" i="85"/>
  <c r="G80" i="85" s="1"/>
  <c r="H80" i="85" s="1"/>
  <c r="E79" i="85"/>
  <c r="G79" i="85" s="1"/>
  <c r="H79" i="85" s="1"/>
  <c r="E78" i="85"/>
  <c r="G78" i="85" s="1"/>
  <c r="H78" i="85" s="1"/>
  <c r="E77" i="85"/>
  <c r="G77" i="85" s="1"/>
  <c r="H77" i="85" s="1"/>
  <c r="E75" i="85"/>
  <c r="G75" i="85" s="1"/>
  <c r="H75" i="85" s="1"/>
  <c r="E66" i="85"/>
  <c r="G66" i="85" s="1"/>
  <c r="H66" i="85" s="1"/>
  <c r="E76" i="85"/>
  <c r="G76" i="85" s="1"/>
  <c r="H76" i="85" s="1"/>
  <c r="E74" i="85"/>
  <c r="G74" i="85" s="1"/>
  <c r="H74" i="85" s="1"/>
  <c r="E72" i="85"/>
  <c r="G72" i="85" s="1"/>
  <c r="H72" i="85" s="1"/>
  <c r="E71" i="85"/>
  <c r="G71" i="85" s="1"/>
  <c r="H71" i="85" s="1"/>
  <c r="E65" i="85"/>
  <c r="G65" i="85" s="1"/>
  <c r="H65" i="85" s="1"/>
  <c r="E73" i="85"/>
  <c r="G73" i="85" s="1"/>
  <c r="H73" i="85" s="1"/>
  <c r="E70" i="85"/>
  <c r="G70" i="85" s="1"/>
  <c r="H70" i="85" s="1"/>
  <c r="E67" i="85"/>
  <c r="G67" i="85" s="1"/>
  <c r="H67" i="85" s="1"/>
  <c r="E81" i="85"/>
  <c r="G81" i="85" s="1"/>
  <c r="H81" i="85" s="1"/>
  <c r="E69" i="85"/>
  <c r="G69" i="85" s="1"/>
  <c r="H69" i="85" s="1"/>
  <c r="E68" i="85"/>
  <c r="G68" i="85" s="1"/>
  <c r="H68" i="85" s="1"/>
  <c r="G5" i="36"/>
  <c r="H5" i="36" s="1"/>
  <c r="K5" i="36" s="1"/>
  <c r="L5" i="36" s="1"/>
  <c r="S35" i="36" s="1"/>
  <c r="U35" i="36" s="1"/>
  <c r="E65" i="36"/>
  <c r="G65" i="36" s="1"/>
  <c r="H65" i="36" s="1"/>
  <c r="C70" i="25"/>
  <c r="G5" i="87"/>
  <c r="H5" i="87" s="1"/>
  <c r="K5" i="87" s="1"/>
  <c r="L5" i="87" s="1"/>
  <c r="E65" i="87"/>
  <c r="G65" i="87" s="1"/>
  <c r="H65" i="87" s="1"/>
  <c r="X54" i="52"/>
  <c r="X53" i="52"/>
  <c r="X52" i="52"/>
  <c r="I51" i="11"/>
  <c r="H51" i="11" s="1"/>
  <c r="H53" i="11" s="1"/>
  <c r="H54" i="11" s="1"/>
  <c r="H55" i="11" s="1"/>
  <c r="J53" i="11"/>
  <c r="J53" i="18"/>
  <c r="I52" i="18"/>
  <c r="H52" i="18" s="1"/>
  <c r="E5" i="18" s="1"/>
  <c r="AF30" i="107"/>
  <c r="AC25" i="107" s="1"/>
  <c r="AE30" i="97"/>
  <c r="AC25" i="97" s="1"/>
  <c r="AF30" i="106"/>
  <c r="AC25" i="106" s="1"/>
  <c r="U35" i="109"/>
  <c r="AB30" i="109"/>
  <c r="AD30" i="109" s="1"/>
  <c r="AC25" i="109" s="1"/>
  <c r="I52" i="59"/>
  <c r="H52" i="59" s="1"/>
  <c r="H53" i="59" s="1"/>
  <c r="J53" i="49"/>
  <c r="I52" i="49"/>
  <c r="H52" i="49" s="1"/>
  <c r="I52" i="19"/>
  <c r="J53" i="19"/>
  <c r="AM7" i="59"/>
  <c r="AO7" i="59" s="1"/>
  <c r="AP7" i="59" s="1"/>
  <c r="AS7" i="59" s="1"/>
  <c r="AT7" i="59" s="1"/>
  <c r="AM5" i="59"/>
  <c r="AO5" i="59" s="1"/>
  <c r="AP5" i="59" s="1"/>
  <c r="AM6" i="59"/>
  <c r="AO6" i="59" s="1"/>
  <c r="AP6" i="59" s="1"/>
  <c r="AS6" i="59" s="1"/>
  <c r="AT6" i="59" s="1"/>
  <c r="AM13" i="59"/>
  <c r="AO13" i="59" s="1"/>
  <c r="AP13" i="59" s="1"/>
  <c r="AS13" i="59" s="1"/>
  <c r="AT13" i="59" s="1"/>
  <c r="AM8" i="59"/>
  <c r="AO8" i="59" s="1"/>
  <c r="AP8" i="59" s="1"/>
  <c r="AS8" i="59" s="1"/>
  <c r="AT8" i="59" s="1"/>
  <c r="AM10" i="59"/>
  <c r="AO10" i="59" s="1"/>
  <c r="AP10" i="59" s="1"/>
  <c r="AS10" i="59" s="1"/>
  <c r="AT10" i="59" s="1"/>
  <c r="AM11" i="59"/>
  <c r="AO11" i="59" s="1"/>
  <c r="AP11" i="59" s="1"/>
  <c r="AS11" i="59" s="1"/>
  <c r="AT11" i="59" s="1"/>
  <c r="AM9" i="59"/>
  <c r="AO9" i="59" s="1"/>
  <c r="AP9" i="59" s="1"/>
  <c r="AS9" i="59" s="1"/>
  <c r="AT9" i="59" s="1"/>
  <c r="AM12" i="59"/>
  <c r="AO12" i="59" s="1"/>
  <c r="AP12" i="59" s="1"/>
  <c r="AS12" i="59" s="1"/>
  <c r="AT12" i="59" s="1"/>
  <c r="E20" i="85"/>
  <c r="G20" i="85" s="1"/>
  <c r="H20" i="85" s="1"/>
  <c r="K20" i="85" s="1"/>
  <c r="L20" i="85" s="1"/>
  <c r="E12" i="85"/>
  <c r="G12" i="85" s="1"/>
  <c r="H12" i="85" s="1"/>
  <c r="K12" i="85" s="1"/>
  <c r="L12" i="85" s="1"/>
  <c r="AM6" i="49"/>
  <c r="AO6" i="49" s="1"/>
  <c r="AP6" i="49" s="1"/>
  <c r="AS6" i="49" s="1"/>
  <c r="AT6" i="49" s="1"/>
  <c r="AM7" i="49"/>
  <c r="AO7" i="49" s="1"/>
  <c r="AP7" i="49" s="1"/>
  <c r="AS7" i="49" s="1"/>
  <c r="AT7" i="49" s="1"/>
  <c r="AM5" i="49"/>
  <c r="AO5" i="49" s="1"/>
  <c r="AP5" i="49" s="1"/>
  <c r="AM8" i="49"/>
  <c r="AO8" i="49" s="1"/>
  <c r="AP8" i="49" s="1"/>
  <c r="AS8" i="49" s="1"/>
  <c r="AT8" i="49" s="1"/>
  <c r="AM9" i="49"/>
  <c r="AO9" i="49" s="1"/>
  <c r="AP9" i="49" s="1"/>
  <c r="AS9" i="49" s="1"/>
  <c r="AT9" i="49" s="1"/>
  <c r="AM10" i="49"/>
  <c r="AO10" i="49" s="1"/>
  <c r="AP10" i="49" s="1"/>
  <c r="AS10" i="49" s="1"/>
  <c r="AT10" i="49" s="1"/>
  <c r="AM11" i="49"/>
  <c r="AO11" i="49" s="1"/>
  <c r="AP11" i="49" s="1"/>
  <c r="AS11" i="49" s="1"/>
  <c r="AT11" i="49" s="1"/>
  <c r="AM12" i="49"/>
  <c r="AO12" i="49" s="1"/>
  <c r="AP12" i="49" s="1"/>
  <c r="AS12" i="49" s="1"/>
  <c r="AT12" i="49" s="1"/>
  <c r="AM13" i="49"/>
  <c r="AO13" i="49" s="1"/>
  <c r="AP13" i="49" s="1"/>
  <c r="AS13" i="49" s="1"/>
  <c r="AT13" i="49" s="1"/>
  <c r="AM5" i="19"/>
  <c r="AO5" i="19" s="1"/>
  <c r="AP5" i="19" s="1"/>
  <c r="AM8" i="19"/>
  <c r="AO8" i="19" s="1"/>
  <c r="AP8" i="19" s="1"/>
  <c r="AS8" i="19" s="1"/>
  <c r="AT8" i="19" s="1"/>
  <c r="AM9" i="19"/>
  <c r="AO9" i="19" s="1"/>
  <c r="AP9" i="19" s="1"/>
  <c r="AS9" i="19" s="1"/>
  <c r="AT9" i="19" s="1"/>
  <c r="AM6" i="19"/>
  <c r="AO6" i="19" s="1"/>
  <c r="AP6" i="19" s="1"/>
  <c r="AS6" i="19" s="1"/>
  <c r="AT6" i="19" s="1"/>
  <c r="AM11" i="19"/>
  <c r="AO11" i="19" s="1"/>
  <c r="AP11" i="19" s="1"/>
  <c r="AS11" i="19" s="1"/>
  <c r="AT11" i="19" s="1"/>
  <c r="AM10" i="19"/>
  <c r="AO10" i="19" s="1"/>
  <c r="AP10" i="19" s="1"/>
  <c r="AS10" i="19" s="1"/>
  <c r="AT10" i="19" s="1"/>
  <c r="AM7" i="19"/>
  <c r="AO7" i="19" s="1"/>
  <c r="AP7" i="19" s="1"/>
  <c r="AS7" i="19" s="1"/>
  <c r="AT7" i="19" s="1"/>
  <c r="AM12" i="19"/>
  <c r="AO12" i="19" s="1"/>
  <c r="AP12" i="19" s="1"/>
  <c r="AS12" i="19" s="1"/>
  <c r="AT12" i="19" s="1"/>
  <c r="AM13" i="19"/>
  <c r="AO13" i="19" s="1"/>
  <c r="AP13" i="19" s="1"/>
  <c r="AS13" i="19" s="1"/>
  <c r="AT13" i="19" s="1"/>
  <c r="E15" i="85"/>
  <c r="G15" i="85" s="1"/>
  <c r="H15" i="85" s="1"/>
  <c r="K15" i="85" s="1"/>
  <c r="L15" i="85" s="1"/>
  <c r="E13" i="85"/>
  <c r="G13" i="85" s="1"/>
  <c r="H13" i="85" s="1"/>
  <c r="K13" i="85" s="1"/>
  <c r="L13" i="85" s="1"/>
  <c r="E8" i="85"/>
  <c r="G8" i="85" s="1"/>
  <c r="H8" i="85" s="1"/>
  <c r="K8" i="85" s="1"/>
  <c r="L8" i="85" s="1"/>
  <c r="E6" i="85"/>
  <c r="G6" i="85" s="1"/>
  <c r="H6" i="85" s="1"/>
  <c r="K6" i="85" s="1"/>
  <c r="L6" i="85" s="1"/>
  <c r="E9" i="85"/>
  <c r="G9" i="85" s="1"/>
  <c r="H9" i="85" s="1"/>
  <c r="K9" i="85" s="1"/>
  <c r="L9" i="85" s="1"/>
  <c r="E19" i="85"/>
  <c r="G19" i="85" s="1"/>
  <c r="H19" i="85" s="1"/>
  <c r="K19" i="85" s="1"/>
  <c r="L19" i="85" s="1"/>
  <c r="E14" i="85"/>
  <c r="G14" i="85" s="1"/>
  <c r="H14" i="85" s="1"/>
  <c r="K14" i="85" s="1"/>
  <c r="L14" i="85" s="1"/>
  <c r="E16" i="85"/>
  <c r="G16" i="85" s="1"/>
  <c r="H16" i="85" s="1"/>
  <c r="K16" i="85" s="1"/>
  <c r="L16" i="85" s="1"/>
  <c r="AM7" i="28"/>
  <c r="AO7" i="28" s="1"/>
  <c r="AP7" i="28" s="1"/>
  <c r="AS7" i="28" s="1"/>
  <c r="AT7" i="28" s="1"/>
  <c r="AM5" i="28"/>
  <c r="AO5" i="28" s="1"/>
  <c r="AP5" i="28" s="1"/>
  <c r="AM17" i="28"/>
  <c r="AO17" i="28" s="1"/>
  <c r="AP17" i="28" s="1"/>
  <c r="AS17" i="28" s="1"/>
  <c r="AT17" i="28" s="1"/>
  <c r="AM12" i="28"/>
  <c r="AO12" i="28" s="1"/>
  <c r="AP12" i="28" s="1"/>
  <c r="AS12" i="28" s="1"/>
  <c r="AT12" i="28" s="1"/>
  <c r="AM13" i="28"/>
  <c r="AO13" i="28" s="1"/>
  <c r="AP13" i="28" s="1"/>
  <c r="AS13" i="28" s="1"/>
  <c r="AT13" i="28" s="1"/>
  <c r="AM8" i="28"/>
  <c r="AO8" i="28" s="1"/>
  <c r="AP8" i="28" s="1"/>
  <c r="AS8" i="28" s="1"/>
  <c r="AT8" i="28" s="1"/>
  <c r="AM9" i="28"/>
  <c r="AO9" i="28" s="1"/>
  <c r="AP9" i="28" s="1"/>
  <c r="AS9" i="28" s="1"/>
  <c r="AT9" i="28" s="1"/>
  <c r="AM14" i="28"/>
  <c r="AO14" i="28" s="1"/>
  <c r="AP14" i="28" s="1"/>
  <c r="AS14" i="28" s="1"/>
  <c r="AT14" i="28" s="1"/>
  <c r="AM6" i="28"/>
  <c r="AO6" i="28" s="1"/>
  <c r="AP6" i="28" s="1"/>
  <c r="AS6" i="28" s="1"/>
  <c r="AT6" i="28" s="1"/>
  <c r="E5" i="85"/>
  <c r="G5" i="85" s="1"/>
  <c r="H5" i="85" s="1"/>
  <c r="K5" i="85" s="1"/>
  <c r="L5" i="85" s="1"/>
  <c r="E10" i="85"/>
  <c r="G10" i="85" s="1"/>
  <c r="H10" i="85" s="1"/>
  <c r="K10" i="85" s="1"/>
  <c r="L10" i="85" s="1"/>
  <c r="E7" i="85"/>
  <c r="G7" i="85" s="1"/>
  <c r="H7" i="85" s="1"/>
  <c r="K7" i="85" s="1"/>
  <c r="L7" i="85" s="1"/>
  <c r="E18" i="85"/>
  <c r="G18" i="85" s="1"/>
  <c r="H18" i="85" s="1"/>
  <c r="K18" i="85" s="1"/>
  <c r="L18" i="85" s="1"/>
  <c r="E11" i="85"/>
  <c r="G11" i="85" s="1"/>
  <c r="H11" i="85" s="1"/>
  <c r="K11" i="85" s="1"/>
  <c r="L11" i="85" s="1"/>
  <c r="E17" i="85"/>
  <c r="G17" i="85" s="1"/>
  <c r="H17" i="85" s="1"/>
  <c r="K17" i="85" s="1"/>
  <c r="L17" i="85" s="1"/>
  <c r="E21" i="85"/>
  <c r="G21" i="85" s="1"/>
  <c r="H21" i="85" s="1"/>
  <c r="K21" i="85" s="1"/>
  <c r="L21" i="85" s="1"/>
  <c r="AM11" i="28"/>
  <c r="AO11" i="28" s="1"/>
  <c r="AP11" i="28" s="1"/>
  <c r="AS11" i="28" s="1"/>
  <c r="AT11" i="28" s="1"/>
  <c r="AM18" i="28"/>
  <c r="AO18" i="28" s="1"/>
  <c r="AP18" i="28" s="1"/>
  <c r="AS18" i="28" s="1"/>
  <c r="AT18" i="28" s="1"/>
  <c r="AM15" i="28"/>
  <c r="AO15" i="28" s="1"/>
  <c r="AP15" i="28" s="1"/>
  <c r="AS15" i="28" s="1"/>
  <c r="AT15" i="28" s="1"/>
  <c r="AM16" i="28"/>
  <c r="AO16" i="28" s="1"/>
  <c r="AP16" i="28" s="1"/>
  <c r="AS16" i="28" s="1"/>
  <c r="AT16" i="28" s="1"/>
  <c r="AM10" i="28"/>
  <c r="AO10" i="28" s="1"/>
  <c r="AP10" i="28" s="1"/>
  <c r="AS10" i="28" s="1"/>
  <c r="AT10" i="28" s="1"/>
  <c r="AM19" i="28"/>
  <c r="AO19" i="28" s="1"/>
  <c r="AP19" i="28" s="1"/>
  <c r="AS19" i="28" s="1"/>
  <c r="AT19" i="28" s="1"/>
  <c r="C54" i="85"/>
  <c r="D54" i="85" s="1"/>
  <c r="AB21" i="92"/>
  <c r="AC21" i="92" s="1"/>
  <c r="AC16" i="92" s="1"/>
  <c r="U33" i="92"/>
  <c r="I52" i="28"/>
  <c r="J53" i="28"/>
  <c r="J54" i="28" s="1"/>
  <c r="D5" i="28"/>
  <c r="I52" i="48"/>
  <c r="J53" i="48"/>
  <c r="E16" i="29"/>
  <c r="G16" i="29" s="1"/>
  <c r="H16" i="29" s="1"/>
  <c r="K16" i="29" s="1"/>
  <c r="L16" i="29" s="1"/>
  <c r="E15" i="29"/>
  <c r="G15" i="29" s="1"/>
  <c r="H15" i="29" s="1"/>
  <c r="K15" i="29" s="1"/>
  <c r="L15" i="29" s="1"/>
  <c r="AM13" i="43"/>
  <c r="AO13" i="43" s="1"/>
  <c r="AP13" i="43" s="1"/>
  <c r="AS13" i="43" s="1"/>
  <c r="AT13" i="43" s="1"/>
  <c r="AM16" i="43"/>
  <c r="AO16" i="43" s="1"/>
  <c r="AP16" i="43" s="1"/>
  <c r="AS16" i="43" s="1"/>
  <c r="AT16" i="43" s="1"/>
  <c r="AM10" i="43"/>
  <c r="AO10" i="43" s="1"/>
  <c r="AP10" i="43" s="1"/>
  <c r="AS10" i="43" s="1"/>
  <c r="AT10" i="43" s="1"/>
  <c r="AM17" i="43"/>
  <c r="AO17" i="43" s="1"/>
  <c r="AP17" i="43" s="1"/>
  <c r="AS17" i="43" s="1"/>
  <c r="AT17" i="43" s="1"/>
  <c r="AM9" i="43"/>
  <c r="AO9" i="43" s="1"/>
  <c r="AP9" i="43" s="1"/>
  <c r="AS9" i="43" s="1"/>
  <c r="AT9" i="43" s="1"/>
  <c r="AM11" i="43"/>
  <c r="AO11" i="43" s="1"/>
  <c r="AP11" i="43" s="1"/>
  <c r="AS11" i="43" s="1"/>
  <c r="AT11" i="43" s="1"/>
  <c r="AM15" i="43"/>
  <c r="AO15" i="43" s="1"/>
  <c r="AP15" i="43" s="1"/>
  <c r="AS15" i="43" s="1"/>
  <c r="AT15" i="43" s="1"/>
  <c r="AM8" i="43"/>
  <c r="AO8" i="43" s="1"/>
  <c r="AP8" i="43" s="1"/>
  <c r="AS8" i="43" s="1"/>
  <c r="AT8" i="43" s="1"/>
  <c r="AM12" i="43"/>
  <c r="AO12" i="43" s="1"/>
  <c r="AP12" i="43" s="1"/>
  <c r="AS12" i="43" s="1"/>
  <c r="AT12" i="43" s="1"/>
  <c r="AM7" i="43"/>
  <c r="AO7" i="43" s="1"/>
  <c r="AP7" i="43" s="1"/>
  <c r="AS7" i="43" s="1"/>
  <c r="AT7" i="43" s="1"/>
  <c r="AM14" i="43"/>
  <c r="AO14" i="43" s="1"/>
  <c r="AP14" i="43" s="1"/>
  <c r="AS14" i="43" s="1"/>
  <c r="AT14" i="43" s="1"/>
  <c r="E7" i="29"/>
  <c r="G7" i="29" s="1"/>
  <c r="H7" i="29" s="1"/>
  <c r="K7" i="29" s="1"/>
  <c r="L7" i="29" s="1"/>
  <c r="E8" i="29"/>
  <c r="G8" i="29" s="1"/>
  <c r="H8" i="29" s="1"/>
  <c r="K8" i="29" s="1"/>
  <c r="L8" i="29" s="1"/>
  <c r="E18" i="29"/>
  <c r="G18" i="29" s="1"/>
  <c r="H18" i="29" s="1"/>
  <c r="K18" i="29" s="1"/>
  <c r="L18" i="29" s="1"/>
  <c r="E10" i="29"/>
  <c r="G10" i="29" s="1"/>
  <c r="H10" i="29" s="1"/>
  <c r="K10" i="29" s="1"/>
  <c r="L10" i="29" s="1"/>
  <c r="C52" i="29"/>
  <c r="C53" i="29" s="1"/>
  <c r="D53" i="29" s="1"/>
  <c r="E17" i="29"/>
  <c r="G17" i="29" s="1"/>
  <c r="H17" i="29" s="1"/>
  <c r="K17" i="29" s="1"/>
  <c r="L17" i="29" s="1"/>
  <c r="G6" i="29"/>
  <c r="H6" i="29" s="1"/>
  <c r="K6" i="29" s="1"/>
  <c r="L6" i="29" s="1"/>
  <c r="E14" i="29"/>
  <c r="G14" i="29" s="1"/>
  <c r="H14" i="29" s="1"/>
  <c r="K14" i="29" s="1"/>
  <c r="L14" i="29" s="1"/>
  <c r="E11" i="29"/>
  <c r="G11" i="29" s="1"/>
  <c r="H11" i="29" s="1"/>
  <c r="K11" i="29" s="1"/>
  <c r="L11" i="29" s="1"/>
  <c r="E13" i="29"/>
  <c r="G13" i="29" s="1"/>
  <c r="H13" i="29" s="1"/>
  <c r="K13" i="29" s="1"/>
  <c r="L13" i="29" s="1"/>
  <c r="E19" i="29"/>
  <c r="G19" i="29" s="1"/>
  <c r="H19" i="29" s="1"/>
  <c r="K19" i="29" s="1"/>
  <c r="L19" i="29" s="1"/>
  <c r="D52" i="29"/>
  <c r="V35" i="56"/>
  <c r="AA30" i="56" s="1"/>
  <c r="V28" i="79"/>
  <c r="V32" i="79" s="1"/>
  <c r="S32" i="83"/>
  <c r="AC25" i="83" s="1"/>
  <c r="V35" i="79"/>
  <c r="Z30" i="79" s="1"/>
  <c r="AA30" i="50"/>
  <c r="E5" i="32"/>
  <c r="G5" i="32" s="1"/>
  <c r="H5" i="32" s="1"/>
  <c r="H53" i="32"/>
  <c r="B82" i="32"/>
  <c r="I53" i="32"/>
  <c r="E12" i="29"/>
  <c r="G12" i="29" s="1"/>
  <c r="H12" i="29" s="1"/>
  <c r="K12" i="29" s="1"/>
  <c r="L12" i="29" s="1"/>
  <c r="E9" i="29"/>
  <c r="G9" i="29" s="1"/>
  <c r="H9" i="29" s="1"/>
  <c r="K9" i="29" s="1"/>
  <c r="L9" i="29" s="1"/>
  <c r="T33" i="23"/>
  <c r="AA30" i="23"/>
  <c r="AC30" i="23" s="1"/>
  <c r="V35" i="21"/>
  <c r="AA30" i="21" s="1"/>
  <c r="V28" i="56"/>
  <c r="T35" i="45"/>
  <c r="AB30" i="45" s="1"/>
  <c r="T35" i="20"/>
  <c r="K14" i="11"/>
  <c r="L14" i="11" s="1"/>
  <c r="V35" i="11" s="1"/>
  <c r="AA30" i="11" s="1"/>
  <c r="V28" i="11"/>
  <c r="F82" i="6"/>
  <c r="F10" i="6"/>
  <c r="F69" i="6"/>
  <c r="E68" i="68"/>
  <c r="E66" i="68"/>
  <c r="E69" i="68"/>
  <c r="E70" i="68"/>
  <c r="E71" i="68"/>
  <c r="E72" i="68"/>
  <c r="E65" i="68"/>
  <c r="E67" i="68"/>
  <c r="D120" i="57"/>
  <c r="D65" i="57"/>
  <c r="D93" i="57"/>
  <c r="V28" i="21"/>
  <c r="D115" i="8"/>
  <c r="D65" i="8"/>
  <c r="D90" i="8"/>
  <c r="E66" i="82"/>
  <c r="E67" i="82"/>
  <c r="E68" i="82"/>
  <c r="E65" i="82"/>
  <c r="H52" i="46"/>
  <c r="AB29" i="3"/>
  <c r="AE31" i="3"/>
  <c r="V35" i="29"/>
  <c r="AA30" i="29" s="1"/>
  <c r="AC29" i="17"/>
  <c r="T35" i="7"/>
  <c r="AD29" i="3"/>
  <c r="V28" i="15"/>
  <c r="V32" i="15" s="1"/>
  <c r="V35" i="15"/>
  <c r="AA30" i="15" s="1"/>
  <c r="E15" i="87"/>
  <c r="E19" i="87"/>
  <c r="E6" i="87"/>
  <c r="E18" i="87"/>
  <c r="E7" i="87"/>
  <c r="E14" i="87"/>
  <c r="E11" i="87"/>
  <c r="E16" i="87"/>
  <c r="E13" i="87"/>
  <c r="E8" i="87"/>
  <c r="E10" i="87"/>
  <c r="E17" i="87"/>
  <c r="E9" i="87"/>
  <c r="E12" i="87"/>
  <c r="AB29" i="11"/>
  <c r="E6" i="11"/>
  <c r="E5" i="11"/>
  <c r="AA29" i="62"/>
  <c r="AD29" i="62"/>
  <c r="V28" i="58"/>
  <c r="V35" i="58"/>
  <c r="Z30" i="58" s="1"/>
  <c r="V28" i="29"/>
  <c r="AB29" i="29"/>
  <c r="AF29" i="29"/>
  <c r="AD29" i="29"/>
  <c r="AB29" i="28"/>
  <c r="AD29" i="28"/>
  <c r="AF29" i="28"/>
  <c r="AB29" i="17"/>
  <c r="AD29" i="17"/>
  <c r="AF29" i="17"/>
  <c r="AF29" i="8"/>
  <c r="E6" i="5"/>
  <c r="G6" i="5" s="1"/>
  <c r="H6" i="5" s="1"/>
  <c r="K6" i="5" s="1"/>
  <c r="L6" i="5" s="1"/>
  <c r="E28" i="5"/>
  <c r="G28" i="5" s="1"/>
  <c r="H28" i="5" s="1"/>
  <c r="K28" i="5" s="1"/>
  <c r="L28" i="5" s="1"/>
  <c r="AF29" i="3"/>
  <c r="AC29" i="3"/>
  <c r="H54" i="16"/>
  <c r="E66" i="16"/>
  <c r="G82" i="45"/>
  <c r="E82" i="45"/>
  <c r="D129" i="66"/>
  <c r="D97" i="66"/>
  <c r="D65" i="66"/>
  <c r="D145" i="66"/>
  <c r="D113" i="66"/>
  <c r="D80" i="66"/>
  <c r="E5" i="66"/>
  <c r="H52" i="66" s="1"/>
  <c r="D5" i="60"/>
  <c r="H51" i="60" s="1"/>
  <c r="J54" i="56"/>
  <c r="B99" i="56" s="1"/>
  <c r="AD29" i="69"/>
  <c r="AF29" i="69"/>
  <c r="AB29" i="69"/>
  <c r="AC29" i="69"/>
  <c r="H51" i="53"/>
  <c r="D65" i="53"/>
  <c r="D5" i="48"/>
  <c r="D106" i="48" s="1"/>
  <c r="H51" i="37"/>
  <c r="D65" i="29"/>
  <c r="D110" i="29"/>
  <c r="D87" i="29"/>
  <c r="H51" i="29"/>
  <c r="H51" i="26"/>
  <c r="D127" i="23"/>
  <c r="D147" i="23"/>
  <c r="D107" i="23"/>
  <c r="D85" i="23"/>
  <c r="D65" i="23"/>
  <c r="D65" i="18"/>
  <c r="D90" i="18"/>
  <c r="H51" i="18"/>
  <c r="D65" i="17"/>
  <c r="D96" i="17"/>
  <c r="H51" i="17"/>
  <c r="H51" i="19"/>
  <c r="J54" i="4"/>
  <c r="I53" i="4"/>
  <c r="AF29" i="11"/>
  <c r="AC29" i="11"/>
  <c r="H52" i="5"/>
  <c r="D65" i="5"/>
  <c r="H51" i="5"/>
  <c r="D65" i="3"/>
  <c r="D117" i="3"/>
  <c r="D89" i="3"/>
  <c r="H51" i="3"/>
  <c r="H52" i="4"/>
  <c r="D122" i="4"/>
  <c r="D103" i="4"/>
  <c r="D83" i="4"/>
  <c r="D65" i="4"/>
  <c r="H51" i="4"/>
  <c r="D5" i="25"/>
  <c r="D52" i="48"/>
  <c r="C53" i="82"/>
  <c r="D53" i="82" s="1"/>
  <c r="E17" i="16"/>
  <c r="G17" i="16" s="1"/>
  <c r="H17" i="16" s="1"/>
  <c r="K17" i="16" s="1"/>
  <c r="L17" i="16" s="1"/>
  <c r="E18" i="16"/>
  <c r="G18" i="16" s="1"/>
  <c r="H18" i="16" s="1"/>
  <c r="K18" i="16" s="1"/>
  <c r="L18" i="16" s="1"/>
  <c r="E16" i="16"/>
  <c r="G16" i="16" s="1"/>
  <c r="H16" i="16" s="1"/>
  <c r="K16" i="16" s="1"/>
  <c r="L16" i="16" s="1"/>
  <c r="G1" i="48"/>
  <c r="I1" i="48" s="1"/>
  <c r="J53" i="70"/>
  <c r="B86" i="70" s="1"/>
  <c r="I52" i="70"/>
  <c r="E18" i="62"/>
  <c r="G18" i="62" s="1"/>
  <c r="H18" i="62" s="1"/>
  <c r="K18" i="62" s="1"/>
  <c r="L18" i="62" s="1"/>
  <c r="E14" i="62"/>
  <c r="G14" i="62" s="1"/>
  <c r="H14" i="62" s="1"/>
  <c r="K14" i="62" s="1"/>
  <c r="L14" i="62" s="1"/>
  <c r="E9" i="62"/>
  <c r="G9" i="62" s="1"/>
  <c r="H9" i="62" s="1"/>
  <c r="K9" i="62" s="1"/>
  <c r="L9" i="62" s="1"/>
  <c r="E17" i="62"/>
  <c r="G17" i="62" s="1"/>
  <c r="H17" i="62" s="1"/>
  <c r="K17" i="62" s="1"/>
  <c r="L17" i="62" s="1"/>
  <c r="E7" i="62"/>
  <c r="G7" i="62" s="1"/>
  <c r="H7" i="62" s="1"/>
  <c r="K7" i="62" s="1"/>
  <c r="L7" i="62" s="1"/>
  <c r="AM11" i="70"/>
  <c r="AO11" i="70" s="1"/>
  <c r="AP11" i="70" s="1"/>
  <c r="AS11" i="70" s="1"/>
  <c r="AT11" i="70" s="1"/>
  <c r="AM6" i="70"/>
  <c r="AO6" i="70" s="1"/>
  <c r="AP6" i="70" s="1"/>
  <c r="AM12" i="70"/>
  <c r="AO12" i="70" s="1"/>
  <c r="AP12" i="70" s="1"/>
  <c r="AS12" i="70" s="1"/>
  <c r="AT12" i="70" s="1"/>
  <c r="AM10" i="70"/>
  <c r="AO10" i="70" s="1"/>
  <c r="AP10" i="70" s="1"/>
  <c r="AS10" i="70" s="1"/>
  <c r="AT10" i="70" s="1"/>
  <c r="AM9" i="70"/>
  <c r="AO9" i="70" s="1"/>
  <c r="AP9" i="70" s="1"/>
  <c r="AS9" i="70" s="1"/>
  <c r="AT9" i="70" s="1"/>
  <c r="AM8" i="70"/>
  <c r="AO8" i="70" s="1"/>
  <c r="AP8" i="70" s="1"/>
  <c r="AS8" i="70" s="1"/>
  <c r="AT8" i="70" s="1"/>
  <c r="AM7" i="70"/>
  <c r="AO7" i="70" s="1"/>
  <c r="AP7" i="70" s="1"/>
  <c r="AS7" i="70" s="1"/>
  <c r="AT7" i="70" s="1"/>
  <c r="AM5" i="70"/>
  <c r="AO5" i="70" s="1"/>
  <c r="AP5" i="70" s="1"/>
  <c r="G65" i="83"/>
  <c r="H65" i="83" s="1"/>
  <c r="G66" i="83"/>
  <c r="H66" i="83" s="1"/>
  <c r="G67" i="83"/>
  <c r="H67" i="83" s="1"/>
  <c r="G68" i="83"/>
  <c r="H68" i="83" s="1"/>
  <c r="D52" i="47"/>
  <c r="G1" i="47"/>
  <c r="I1" i="47" s="1"/>
  <c r="E6" i="41"/>
  <c r="G6" i="41" s="1"/>
  <c r="H6" i="41" s="1"/>
  <c r="K6" i="41" s="1"/>
  <c r="L6" i="41" s="1"/>
  <c r="E9" i="41"/>
  <c r="G9" i="41" s="1"/>
  <c r="H9" i="41" s="1"/>
  <c r="K9" i="41" s="1"/>
  <c r="L9" i="41" s="1"/>
  <c r="E12" i="41"/>
  <c r="G12" i="41" s="1"/>
  <c r="H12" i="41" s="1"/>
  <c r="K12" i="41" s="1"/>
  <c r="L12" i="41" s="1"/>
  <c r="E13" i="41"/>
  <c r="G13" i="41" s="1"/>
  <c r="H13" i="41" s="1"/>
  <c r="K13" i="41" s="1"/>
  <c r="L13" i="41" s="1"/>
  <c r="E11" i="41"/>
  <c r="G11" i="41" s="1"/>
  <c r="H11" i="41" s="1"/>
  <c r="K11" i="41" s="1"/>
  <c r="L11" i="41" s="1"/>
  <c r="E7" i="41"/>
  <c r="G7" i="41" s="1"/>
  <c r="H7" i="41" s="1"/>
  <c r="K7" i="41" s="1"/>
  <c r="L7" i="41" s="1"/>
  <c r="E14" i="41"/>
  <c r="G14" i="41" s="1"/>
  <c r="H14" i="41" s="1"/>
  <c r="K14" i="41" s="1"/>
  <c r="L14" i="41" s="1"/>
  <c r="E10" i="41"/>
  <c r="G10" i="41" s="1"/>
  <c r="H10" i="41" s="1"/>
  <c r="K10" i="41" s="1"/>
  <c r="L10" i="41" s="1"/>
  <c r="E8" i="41"/>
  <c r="G8" i="41" s="1"/>
  <c r="H8" i="41" s="1"/>
  <c r="K8" i="41" s="1"/>
  <c r="L8" i="41" s="1"/>
  <c r="C52" i="41"/>
  <c r="E16" i="62"/>
  <c r="G16" i="62" s="1"/>
  <c r="H16" i="62" s="1"/>
  <c r="K16" i="62" s="1"/>
  <c r="L16" i="62" s="1"/>
  <c r="E15" i="62"/>
  <c r="G15" i="62" s="1"/>
  <c r="H15" i="62" s="1"/>
  <c r="K15" i="62" s="1"/>
  <c r="L15" i="62" s="1"/>
  <c r="E8" i="62"/>
  <c r="G8" i="62" s="1"/>
  <c r="H8" i="62" s="1"/>
  <c r="K8" i="62" s="1"/>
  <c r="L8" i="62" s="1"/>
  <c r="E19" i="62"/>
  <c r="G19" i="62" s="1"/>
  <c r="H19" i="62" s="1"/>
  <c r="K19" i="62" s="1"/>
  <c r="L19" i="62" s="1"/>
  <c r="I1" i="62"/>
  <c r="C52" i="62" s="1"/>
  <c r="E13" i="62"/>
  <c r="G13" i="62" s="1"/>
  <c r="H13" i="62" s="1"/>
  <c r="K13" i="62" s="1"/>
  <c r="L13" i="62" s="1"/>
  <c r="E11" i="62"/>
  <c r="G11" i="62" s="1"/>
  <c r="H11" i="62" s="1"/>
  <c r="K11" i="62" s="1"/>
  <c r="L11" i="62" s="1"/>
  <c r="E10" i="62"/>
  <c r="G10" i="62" s="1"/>
  <c r="H10" i="62" s="1"/>
  <c r="K10" i="62" s="1"/>
  <c r="L10" i="62" s="1"/>
  <c r="E12" i="62"/>
  <c r="G12" i="62" s="1"/>
  <c r="H12" i="62" s="1"/>
  <c r="K12" i="62" s="1"/>
  <c r="L12" i="62" s="1"/>
  <c r="E6" i="62"/>
  <c r="G6" i="62" s="1"/>
  <c r="H6" i="62" s="1"/>
  <c r="K6" i="62" s="1"/>
  <c r="L6" i="62" s="1"/>
  <c r="C53" i="68"/>
  <c r="C54" i="83"/>
  <c r="D54" i="83" s="1"/>
  <c r="AM6" i="69"/>
  <c r="AO6" i="69" s="1"/>
  <c r="AP6" i="69" s="1"/>
  <c r="AS6" i="69" s="1"/>
  <c r="AT6" i="69" s="1"/>
  <c r="AM5" i="69"/>
  <c r="AO5" i="69" s="1"/>
  <c r="AP5" i="69" s="1"/>
  <c r="AM11" i="69"/>
  <c r="AO11" i="69" s="1"/>
  <c r="AP11" i="69" s="1"/>
  <c r="AS11" i="69" s="1"/>
  <c r="AT11" i="69" s="1"/>
  <c r="AM8" i="69"/>
  <c r="AO8" i="69" s="1"/>
  <c r="AP8" i="69" s="1"/>
  <c r="AS8" i="69" s="1"/>
  <c r="AT8" i="69" s="1"/>
  <c r="AM7" i="69"/>
  <c r="AO7" i="69" s="1"/>
  <c r="AP7" i="69" s="1"/>
  <c r="AS7" i="69" s="1"/>
  <c r="AT7" i="69" s="1"/>
  <c r="AM9" i="69"/>
  <c r="AO9" i="69" s="1"/>
  <c r="AP9" i="69" s="1"/>
  <c r="AS9" i="69" s="1"/>
  <c r="AT9" i="69" s="1"/>
  <c r="AM10" i="69"/>
  <c r="AO10" i="69" s="1"/>
  <c r="AP10" i="69" s="1"/>
  <c r="AS10" i="69" s="1"/>
  <c r="AT10" i="69" s="1"/>
  <c r="I52" i="69"/>
  <c r="J53" i="69"/>
  <c r="B84" i="69" s="1"/>
  <c r="J53" i="61"/>
  <c r="B80" i="61" s="1"/>
  <c r="E9" i="67"/>
  <c r="E13" i="67"/>
  <c r="E15" i="67"/>
  <c r="E13" i="61"/>
  <c r="G13" i="61" s="1"/>
  <c r="H13" i="61" s="1"/>
  <c r="K13" i="61" s="1"/>
  <c r="L13" i="61" s="1"/>
  <c r="E11" i="61"/>
  <c r="G11" i="61" s="1"/>
  <c r="H11" i="61" s="1"/>
  <c r="K11" i="61" s="1"/>
  <c r="L11" i="61" s="1"/>
  <c r="E14" i="61"/>
  <c r="G14" i="61" s="1"/>
  <c r="H14" i="61" s="1"/>
  <c r="K14" i="61" s="1"/>
  <c r="L14" i="61" s="1"/>
  <c r="E18" i="61"/>
  <c r="G18" i="61" s="1"/>
  <c r="H18" i="61" s="1"/>
  <c r="K18" i="61" s="1"/>
  <c r="L18" i="61" s="1"/>
  <c r="E9" i="61"/>
  <c r="G9" i="61" s="1"/>
  <c r="H9" i="61" s="1"/>
  <c r="K9" i="61" s="1"/>
  <c r="L9" i="61" s="1"/>
  <c r="C52" i="61"/>
  <c r="E10" i="61"/>
  <c r="G10" i="61" s="1"/>
  <c r="H10" i="61" s="1"/>
  <c r="K10" i="61" s="1"/>
  <c r="L10" i="61" s="1"/>
  <c r="E8" i="67"/>
  <c r="E11" i="67"/>
  <c r="E6" i="67"/>
  <c r="E12" i="61"/>
  <c r="G12" i="61" s="1"/>
  <c r="H12" i="61" s="1"/>
  <c r="K12" i="61" s="1"/>
  <c r="L12" i="61" s="1"/>
  <c r="E17" i="61"/>
  <c r="G17" i="61" s="1"/>
  <c r="H17" i="61" s="1"/>
  <c r="K17" i="61" s="1"/>
  <c r="L17" i="61" s="1"/>
  <c r="E8" i="61"/>
  <c r="G8" i="61" s="1"/>
  <c r="H8" i="61" s="1"/>
  <c r="K8" i="61" s="1"/>
  <c r="L8" i="61" s="1"/>
  <c r="E7" i="61"/>
  <c r="G7" i="61" s="1"/>
  <c r="H7" i="61" s="1"/>
  <c r="K7" i="61" s="1"/>
  <c r="L7" i="61" s="1"/>
  <c r="E6" i="61"/>
  <c r="G6" i="61" s="1"/>
  <c r="H6" i="61" s="1"/>
  <c r="K6" i="61" s="1"/>
  <c r="L6" i="61" s="1"/>
  <c r="E15" i="61"/>
  <c r="G15" i="61" s="1"/>
  <c r="H15" i="61" s="1"/>
  <c r="K15" i="61" s="1"/>
  <c r="L15" i="61" s="1"/>
  <c r="AM7" i="61"/>
  <c r="AM8" i="61"/>
  <c r="AM6" i="61"/>
  <c r="AM11" i="61"/>
  <c r="AM5" i="61"/>
  <c r="AM10" i="61"/>
  <c r="AM9" i="61"/>
  <c r="J53" i="57"/>
  <c r="I52" i="57"/>
  <c r="H52" i="57" s="1"/>
  <c r="AM6" i="57"/>
  <c r="AO6" i="57" s="1"/>
  <c r="AP6" i="57" s="1"/>
  <c r="AS6" i="57" s="1"/>
  <c r="AT6" i="57" s="1"/>
  <c r="E13" i="57"/>
  <c r="G13" i="57" s="1"/>
  <c r="H13" i="57" s="1"/>
  <c r="K13" i="57" s="1"/>
  <c r="L13" i="57" s="1"/>
  <c r="E16" i="57"/>
  <c r="G16" i="57" s="1"/>
  <c r="H16" i="57" s="1"/>
  <c r="K16" i="57" s="1"/>
  <c r="L16" i="57" s="1"/>
  <c r="E25" i="57"/>
  <c r="G25" i="57" s="1"/>
  <c r="H25" i="57" s="1"/>
  <c r="K25" i="57" s="1"/>
  <c r="L25" i="57" s="1"/>
  <c r="E23" i="57"/>
  <c r="G23" i="57" s="1"/>
  <c r="H23" i="57" s="1"/>
  <c r="K23" i="57" s="1"/>
  <c r="L23" i="57" s="1"/>
  <c r="E22" i="57"/>
  <c r="G22" i="57" s="1"/>
  <c r="H22" i="57" s="1"/>
  <c r="K22" i="57" s="1"/>
  <c r="L22" i="57" s="1"/>
  <c r="E21" i="57"/>
  <c r="G21" i="57" s="1"/>
  <c r="H21" i="57" s="1"/>
  <c r="K21" i="57" s="1"/>
  <c r="L21" i="57" s="1"/>
  <c r="E19" i="57"/>
  <c r="G19" i="57" s="1"/>
  <c r="H19" i="57" s="1"/>
  <c r="K19" i="57" s="1"/>
  <c r="L19" i="57" s="1"/>
  <c r="E17" i="57"/>
  <c r="G17" i="57" s="1"/>
  <c r="H17" i="57" s="1"/>
  <c r="K17" i="57" s="1"/>
  <c r="L17" i="57" s="1"/>
  <c r="AM18" i="57"/>
  <c r="AO18" i="57" s="1"/>
  <c r="AP18" i="57" s="1"/>
  <c r="AS18" i="57" s="1"/>
  <c r="AT18" i="57" s="1"/>
  <c r="AM8" i="57"/>
  <c r="AO8" i="57" s="1"/>
  <c r="AP8" i="57" s="1"/>
  <c r="AS8" i="57" s="1"/>
  <c r="AT8" i="57" s="1"/>
  <c r="AM7" i="57"/>
  <c r="AO7" i="57" s="1"/>
  <c r="AP7" i="57" s="1"/>
  <c r="AS7" i="57" s="1"/>
  <c r="AT7" i="57" s="1"/>
  <c r="AM11" i="57"/>
  <c r="AO11" i="57" s="1"/>
  <c r="AP11" i="57" s="1"/>
  <c r="AS11" i="57" s="1"/>
  <c r="AT11" i="57" s="1"/>
  <c r="AM5" i="57"/>
  <c r="AO5" i="57" s="1"/>
  <c r="AP5" i="57" s="1"/>
  <c r="AM9" i="57"/>
  <c r="AO9" i="57" s="1"/>
  <c r="AP9" i="57" s="1"/>
  <c r="AS9" i="57" s="1"/>
  <c r="AT9" i="57" s="1"/>
  <c r="AM16" i="57"/>
  <c r="AO16" i="57" s="1"/>
  <c r="AP16" i="57" s="1"/>
  <c r="AS16" i="57" s="1"/>
  <c r="AT16" i="57" s="1"/>
  <c r="AM12" i="57"/>
  <c r="AO12" i="57" s="1"/>
  <c r="AP12" i="57" s="1"/>
  <c r="AS12" i="57" s="1"/>
  <c r="AT12" i="57" s="1"/>
  <c r="AM19" i="57"/>
  <c r="AO19" i="57" s="1"/>
  <c r="AP19" i="57" s="1"/>
  <c r="AS19" i="57" s="1"/>
  <c r="AT19" i="57" s="1"/>
  <c r="AM17" i="57"/>
  <c r="AO17" i="57" s="1"/>
  <c r="AP17" i="57" s="1"/>
  <c r="AS17" i="57" s="1"/>
  <c r="AT17" i="57" s="1"/>
  <c r="AM14" i="57"/>
  <c r="AO14" i="57" s="1"/>
  <c r="AP14" i="57" s="1"/>
  <c r="AS14" i="57" s="1"/>
  <c r="AT14" i="57" s="1"/>
  <c r="AM13" i="57"/>
  <c r="AO13" i="57" s="1"/>
  <c r="AP13" i="57" s="1"/>
  <c r="AS13" i="57" s="1"/>
  <c r="AT13" i="57" s="1"/>
  <c r="AM10" i="57"/>
  <c r="AO10" i="57" s="1"/>
  <c r="AP10" i="57" s="1"/>
  <c r="AS10" i="57" s="1"/>
  <c r="AT10" i="57" s="1"/>
  <c r="AM15" i="57"/>
  <c r="AO15" i="57" s="1"/>
  <c r="AP15" i="57" s="1"/>
  <c r="AS15" i="57" s="1"/>
  <c r="AT15" i="57" s="1"/>
  <c r="C52" i="57"/>
  <c r="E24" i="57"/>
  <c r="G24" i="57" s="1"/>
  <c r="H24" i="57" s="1"/>
  <c r="K24" i="57" s="1"/>
  <c r="L24" i="57" s="1"/>
  <c r="E20" i="57"/>
  <c r="G20" i="57" s="1"/>
  <c r="H20" i="57" s="1"/>
  <c r="K20" i="57" s="1"/>
  <c r="L20" i="57" s="1"/>
  <c r="E18" i="57"/>
  <c r="G18" i="57" s="1"/>
  <c r="H18" i="57" s="1"/>
  <c r="K18" i="57" s="1"/>
  <c r="L18" i="57" s="1"/>
  <c r="E8" i="57"/>
  <c r="G8" i="57" s="1"/>
  <c r="H8" i="57" s="1"/>
  <c r="K8" i="57" s="1"/>
  <c r="L8" i="57" s="1"/>
  <c r="J53" i="41"/>
  <c r="B76" i="41" s="1"/>
  <c r="E7" i="82"/>
  <c r="G7" i="82" s="1"/>
  <c r="H7" i="82" s="1"/>
  <c r="K7" i="82" s="1"/>
  <c r="L7" i="82" s="1"/>
  <c r="E9" i="82"/>
  <c r="G9" i="82" s="1"/>
  <c r="H9" i="82" s="1"/>
  <c r="K9" i="82" s="1"/>
  <c r="L9" i="82" s="1"/>
  <c r="E6" i="82"/>
  <c r="G6" i="82" s="1"/>
  <c r="H6" i="82" s="1"/>
  <c r="K6" i="82" s="1"/>
  <c r="L6" i="82" s="1"/>
  <c r="C53" i="4"/>
  <c r="AM12" i="61"/>
  <c r="E16" i="61"/>
  <c r="G16" i="61" s="1"/>
  <c r="H16" i="61" s="1"/>
  <c r="K16" i="61" s="1"/>
  <c r="L16" i="61" s="1"/>
  <c r="E15" i="59"/>
  <c r="G15" i="59" s="1"/>
  <c r="H15" i="59" s="1"/>
  <c r="K15" i="59" s="1"/>
  <c r="L15" i="59" s="1"/>
  <c r="E6" i="59"/>
  <c r="G6" i="59" s="1"/>
  <c r="H6" i="59" s="1"/>
  <c r="K6" i="59" s="1"/>
  <c r="L6" i="59" s="1"/>
  <c r="E10" i="59"/>
  <c r="G10" i="59" s="1"/>
  <c r="H10" i="59" s="1"/>
  <c r="K10" i="59" s="1"/>
  <c r="L10" i="59" s="1"/>
  <c r="E16" i="59"/>
  <c r="G16" i="59" s="1"/>
  <c r="H16" i="59" s="1"/>
  <c r="K16" i="59" s="1"/>
  <c r="L16" i="59" s="1"/>
  <c r="E20" i="59"/>
  <c r="G20" i="59" s="1"/>
  <c r="H20" i="59" s="1"/>
  <c r="K20" i="59" s="1"/>
  <c r="L20" i="59" s="1"/>
  <c r="C52" i="59"/>
  <c r="E19" i="59"/>
  <c r="G19" i="59" s="1"/>
  <c r="H19" i="59" s="1"/>
  <c r="K19" i="59" s="1"/>
  <c r="L19" i="59" s="1"/>
  <c r="E7" i="59"/>
  <c r="G7" i="59" s="1"/>
  <c r="H7" i="59" s="1"/>
  <c r="K7" i="59" s="1"/>
  <c r="L7" i="59" s="1"/>
  <c r="E17" i="59"/>
  <c r="G17" i="59" s="1"/>
  <c r="H17" i="59" s="1"/>
  <c r="K17" i="59" s="1"/>
  <c r="L17" i="59" s="1"/>
  <c r="E18" i="59"/>
  <c r="G18" i="59" s="1"/>
  <c r="H18" i="59" s="1"/>
  <c r="K18" i="59" s="1"/>
  <c r="L18" i="59" s="1"/>
  <c r="E8" i="59"/>
  <c r="G8" i="59" s="1"/>
  <c r="H8" i="59" s="1"/>
  <c r="K8" i="59" s="1"/>
  <c r="L8" i="59" s="1"/>
  <c r="J53" i="53"/>
  <c r="B73" i="53" s="1"/>
  <c r="C52" i="46"/>
  <c r="E11" i="46"/>
  <c r="G11" i="46" s="1"/>
  <c r="H11" i="46" s="1"/>
  <c r="K11" i="46" s="1"/>
  <c r="L11" i="46" s="1"/>
  <c r="E9" i="46"/>
  <c r="G9" i="46" s="1"/>
  <c r="H9" i="46" s="1"/>
  <c r="K9" i="46" s="1"/>
  <c r="L9" i="46" s="1"/>
  <c r="E14" i="46"/>
  <c r="G14" i="46" s="1"/>
  <c r="H14" i="46" s="1"/>
  <c r="K14" i="46" s="1"/>
  <c r="L14" i="46" s="1"/>
  <c r="E8" i="46"/>
  <c r="G8" i="46" s="1"/>
  <c r="H8" i="46" s="1"/>
  <c r="K8" i="46" s="1"/>
  <c r="L8" i="46" s="1"/>
  <c r="E15" i="46"/>
  <c r="G15" i="46" s="1"/>
  <c r="H15" i="46" s="1"/>
  <c r="K15" i="46" s="1"/>
  <c r="L15" i="46" s="1"/>
  <c r="E7" i="46"/>
  <c r="G7" i="46" s="1"/>
  <c r="H7" i="46" s="1"/>
  <c r="K7" i="46" s="1"/>
  <c r="L7" i="46" s="1"/>
  <c r="E10" i="46"/>
  <c r="G10" i="46" s="1"/>
  <c r="H10" i="46" s="1"/>
  <c r="K10" i="46" s="1"/>
  <c r="L10" i="46" s="1"/>
  <c r="E6" i="46"/>
  <c r="G6" i="46" s="1"/>
  <c r="H6" i="46" s="1"/>
  <c r="K6" i="46" s="1"/>
  <c r="L6" i="46" s="1"/>
  <c r="E12" i="46"/>
  <c r="G12" i="46" s="1"/>
  <c r="H12" i="46" s="1"/>
  <c r="K12" i="46" s="1"/>
  <c r="L12" i="46" s="1"/>
  <c r="E13" i="46"/>
  <c r="G13" i="46" s="1"/>
  <c r="H13" i="46" s="1"/>
  <c r="K13" i="46" s="1"/>
  <c r="L13" i="46" s="1"/>
  <c r="J54" i="46"/>
  <c r="G1" i="24"/>
  <c r="E10" i="67"/>
  <c r="E12" i="67"/>
  <c r="E15" i="57"/>
  <c r="G15" i="57" s="1"/>
  <c r="H15" i="57" s="1"/>
  <c r="K15" i="57" s="1"/>
  <c r="L15" i="57" s="1"/>
  <c r="G1" i="53"/>
  <c r="I1" i="53" s="1"/>
  <c r="D52" i="53"/>
  <c r="AM13" i="47"/>
  <c r="AO13" i="47" s="1"/>
  <c r="AP13" i="47" s="1"/>
  <c r="AS13" i="47" s="1"/>
  <c r="AT13" i="47" s="1"/>
  <c r="AM5" i="47"/>
  <c r="AO5" i="47" s="1"/>
  <c r="AP5" i="47" s="1"/>
  <c r="AM17" i="47"/>
  <c r="AO17" i="47" s="1"/>
  <c r="AP17" i="47" s="1"/>
  <c r="AS17" i="47" s="1"/>
  <c r="AT17" i="47" s="1"/>
  <c r="I52" i="47"/>
  <c r="AM12" i="47"/>
  <c r="AO12" i="47" s="1"/>
  <c r="AP12" i="47" s="1"/>
  <c r="AS12" i="47" s="1"/>
  <c r="AT12" i="47" s="1"/>
  <c r="AM9" i="47"/>
  <c r="AO9" i="47" s="1"/>
  <c r="AP9" i="47" s="1"/>
  <c r="AS9" i="47" s="1"/>
  <c r="AT9" i="47" s="1"/>
  <c r="AM8" i="47"/>
  <c r="AO8" i="47" s="1"/>
  <c r="AP8" i="47" s="1"/>
  <c r="AS8" i="47" s="1"/>
  <c r="AT8" i="47" s="1"/>
  <c r="AM7" i="47"/>
  <c r="AO7" i="47" s="1"/>
  <c r="AP7" i="47" s="1"/>
  <c r="AS7" i="47" s="1"/>
  <c r="AT7" i="47" s="1"/>
  <c r="AM6" i="47"/>
  <c r="AO6" i="47" s="1"/>
  <c r="AP6" i="47" s="1"/>
  <c r="AM14" i="47"/>
  <c r="AO14" i="47" s="1"/>
  <c r="AP14" i="47" s="1"/>
  <c r="AS14" i="47" s="1"/>
  <c r="AT14" i="47" s="1"/>
  <c r="AM10" i="47"/>
  <c r="AO10" i="47" s="1"/>
  <c r="AP10" i="47" s="1"/>
  <c r="AS10" i="47" s="1"/>
  <c r="AT10" i="47" s="1"/>
  <c r="AM15" i="47"/>
  <c r="AO15" i="47" s="1"/>
  <c r="AP15" i="47" s="1"/>
  <c r="AS15" i="47" s="1"/>
  <c r="AT15" i="47" s="1"/>
  <c r="AM11" i="47"/>
  <c r="AO11" i="47" s="1"/>
  <c r="AP11" i="47" s="1"/>
  <c r="AS11" i="47" s="1"/>
  <c r="AT11" i="47" s="1"/>
  <c r="AM16" i="47"/>
  <c r="AO16" i="47" s="1"/>
  <c r="AP16" i="47" s="1"/>
  <c r="AS16" i="47" s="1"/>
  <c r="AT16" i="47" s="1"/>
  <c r="I53" i="46"/>
  <c r="J55" i="34"/>
  <c r="B98" i="34" s="1"/>
  <c r="H98" i="34" s="1"/>
  <c r="D52" i="24"/>
  <c r="B74" i="24" s="1"/>
  <c r="J53" i="20"/>
  <c r="B81" i="20" s="1"/>
  <c r="AM13" i="18"/>
  <c r="AO13" i="18" s="1"/>
  <c r="AP13" i="18" s="1"/>
  <c r="AS13" i="18" s="1"/>
  <c r="AT13" i="18" s="1"/>
  <c r="AM10" i="18"/>
  <c r="AO10" i="18" s="1"/>
  <c r="AP10" i="18" s="1"/>
  <c r="AS10" i="18" s="1"/>
  <c r="AT10" i="18" s="1"/>
  <c r="AM16" i="18"/>
  <c r="AO16" i="18" s="1"/>
  <c r="AP16" i="18" s="1"/>
  <c r="AS16" i="18" s="1"/>
  <c r="AT16" i="18" s="1"/>
  <c r="E15" i="17"/>
  <c r="G15" i="17" s="1"/>
  <c r="H15" i="17" s="1"/>
  <c r="K15" i="17" s="1"/>
  <c r="L15" i="17" s="1"/>
  <c r="E19" i="17"/>
  <c r="G19" i="17" s="1"/>
  <c r="H19" i="17" s="1"/>
  <c r="K19" i="17" s="1"/>
  <c r="L19" i="17" s="1"/>
  <c r="E8" i="17"/>
  <c r="G8" i="17" s="1"/>
  <c r="H8" i="17" s="1"/>
  <c r="K8" i="17" s="1"/>
  <c r="L8" i="17" s="1"/>
  <c r="E13" i="17"/>
  <c r="G13" i="17" s="1"/>
  <c r="H13" i="17" s="1"/>
  <c r="K13" i="17" s="1"/>
  <c r="L13" i="17" s="1"/>
  <c r="E24" i="17"/>
  <c r="G24" i="17" s="1"/>
  <c r="H24" i="17" s="1"/>
  <c r="K24" i="17" s="1"/>
  <c r="L24" i="17" s="1"/>
  <c r="E7" i="17"/>
  <c r="G7" i="17" s="1"/>
  <c r="H7" i="17" s="1"/>
  <c r="K7" i="17" s="1"/>
  <c r="L7" i="17" s="1"/>
  <c r="E27" i="17"/>
  <c r="G27" i="17" s="1"/>
  <c r="H27" i="17" s="1"/>
  <c r="K27" i="17" s="1"/>
  <c r="L27" i="17" s="1"/>
  <c r="E18" i="17"/>
  <c r="G18" i="17" s="1"/>
  <c r="H18" i="17" s="1"/>
  <c r="K18" i="17" s="1"/>
  <c r="L18" i="17" s="1"/>
  <c r="E6" i="17"/>
  <c r="G6" i="17" s="1"/>
  <c r="H6" i="17" s="1"/>
  <c r="K6" i="17" s="1"/>
  <c r="L6" i="17" s="1"/>
  <c r="E28" i="17"/>
  <c r="G28" i="17" s="1"/>
  <c r="H28" i="17" s="1"/>
  <c r="K28" i="17" s="1"/>
  <c r="L28" i="17" s="1"/>
  <c r="E23" i="17"/>
  <c r="G23" i="17" s="1"/>
  <c r="H23" i="17" s="1"/>
  <c r="K23" i="17" s="1"/>
  <c r="L23" i="17" s="1"/>
  <c r="E25" i="17"/>
  <c r="G25" i="17" s="1"/>
  <c r="H25" i="17" s="1"/>
  <c r="K25" i="17" s="1"/>
  <c r="L25" i="17" s="1"/>
  <c r="E11" i="17"/>
  <c r="G11" i="17" s="1"/>
  <c r="H11" i="17" s="1"/>
  <c r="K11" i="17" s="1"/>
  <c r="L11" i="17" s="1"/>
  <c r="C52" i="15"/>
  <c r="E21" i="15"/>
  <c r="G21" i="15" s="1"/>
  <c r="H21" i="15" s="1"/>
  <c r="K21" i="15" s="1"/>
  <c r="L21" i="15" s="1"/>
  <c r="E7" i="15"/>
  <c r="G7" i="15" s="1"/>
  <c r="H7" i="15" s="1"/>
  <c r="K7" i="15" s="1"/>
  <c r="L7" i="15" s="1"/>
  <c r="E6" i="15"/>
  <c r="G6" i="15" s="1"/>
  <c r="H6" i="15" s="1"/>
  <c r="K6" i="15" s="1"/>
  <c r="L6" i="15" s="1"/>
  <c r="E25" i="15"/>
  <c r="G25" i="15" s="1"/>
  <c r="H25" i="15" s="1"/>
  <c r="K25" i="15" s="1"/>
  <c r="L25" i="15" s="1"/>
  <c r="E28" i="15"/>
  <c r="G28" i="15" s="1"/>
  <c r="H28" i="15" s="1"/>
  <c r="K28" i="15" s="1"/>
  <c r="L28" i="15" s="1"/>
  <c r="E18" i="15"/>
  <c r="G18" i="15" s="1"/>
  <c r="H18" i="15" s="1"/>
  <c r="K18" i="15" s="1"/>
  <c r="L18" i="15" s="1"/>
  <c r="E15" i="15"/>
  <c r="G15" i="15" s="1"/>
  <c r="H15" i="15" s="1"/>
  <c r="K15" i="15" s="1"/>
  <c r="L15" i="15" s="1"/>
  <c r="E29" i="15"/>
  <c r="G29" i="15" s="1"/>
  <c r="H29" i="15" s="1"/>
  <c r="K29" i="15" s="1"/>
  <c r="L29" i="15" s="1"/>
  <c r="E12" i="15"/>
  <c r="G12" i="15" s="1"/>
  <c r="H12" i="15" s="1"/>
  <c r="K12" i="15" s="1"/>
  <c r="L12" i="15" s="1"/>
  <c r="E10" i="15"/>
  <c r="G10" i="15" s="1"/>
  <c r="H10" i="15" s="1"/>
  <c r="K10" i="15" s="1"/>
  <c r="L10" i="15" s="1"/>
  <c r="E23" i="15"/>
  <c r="G23" i="15" s="1"/>
  <c r="H23" i="15" s="1"/>
  <c r="K23" i="15" s="1"/>
  <c r="L23" i="15" s="1"/>
  <c r="E14" i="15"/>
  <c r="G14" i="15" s="1"/>
  <c r="H14" i="15" s="1"/>
  <c r="K14" i="15" s="1"/>
  <c r="L14" i="15" s="1"/>
  <c r="E22" i="15"/>
  <c r="G22" i="15" s="1"/>
  <c r="H22" i="15" s="1"/>
  <c r="K22" i="15" s="1"/>
  <c r="L22" i="15" s="1"/>
  <c r="E17" i="15"/>
  <c r="G17" i="15" s="1"/>
  <c r="H17" i="15" s="1"/>
  <c r="K17" i="15" s="1"/>
  <c r="L17" i="15" s="1"/>
  <c r="E9" i="15"/>
  <c r="G9" i="15" s="1"/>
  <c r="H9" i="15" s="1"/>
  <c r="K9" i="15" s="1"/>
  <c r="L9" i="15" s="1"/>
  <c r="E26" i="15"/>
  <c r="G26" i="15" s="1"/>
  <c r="H26" i="15" s="1"/>
  <c r="K26" i="15" s="1"/>
  <c r="L26" i="15" s="1"/>
  <c r="E13" i="15"/>
  <c r="G13" i="15" s="1"/>
  <c r="H13" i="15" s="1"/>
  <c r="K13" i="15" s="1"/>
  <c r="L13" i="15" s="1"/>
  <c r="E20" i="15"/>
  <c r="G20" i="15" s="1"/>
  <c r="H20" i="15" s="1"/>
  <c r="K20" i="15" s="1"/>
  <c r="L20" i="15" s="1"/>
  <c r="J53" i="8"/>
  <c r="B85" i="8" s="1"/>
  <c r="E7" i="67"/>
  <c r="C52" i="67"/>
  <c r="E12" i="59"/>
  <c r="G12" i="59" s="1"/>
  <c r="H12" i="59" s="1"/>
  <c r="K12" i="59" s="1"/>
  <c r="L12" i="59" s="1"/>
  <c r="E14" i="59"/>
  <c r="G14" i="59" s="1"/>
  <c r="H14" i="59" s="1"/>
  <c r="K14" i="59" s="1"/>
  <c r="L14" i="59" s="1"/>
  <c r="E13" i="59"/>
  <c r="G13" i="59" s="1"/>
  <c r="H13" i="59" s="1"/>
  <c r="K13" i="59" s="1"/>
  <c r="L13" i="59" s="1"/>
  <c r="E11" i="59"/>
  <c r="G11" i="59" s="1"/>
  <c r="H11" i="59" s="1"/>
  <c r="K11" i="59" s="1"/>
  <c r="L11" i="59" s="1"/>
  <c r="E9" i="59"/>
  <c r="G9" i="59" s="1"/>
  <c r="H9" i="59" s="1"/>
  <c r="K9" i="59" s="1"/>
  <c r="L9" i="59" s="1"/>
  <c r="E12" i="57"/>
  <c r="G12" i="57" s="1"/>
  <c r="H12" i="57" s="1"/>
  <c r="K12" i="57" s="1"/>
  <c r="L12" i="57" s="1"/>
  <c r="E10" i="57"/>
  <c r="G10" i="57" s="1"/>
  <c r="H10" i="57" s="1"/>
  <c r="K10" i="57" s="1"/>
  <c r="L10" i="57" s="1"/>
  <c r="E11" i="57"/>
  <c r="G11" i="57" s="1"/>
  <c r="H11" i="57" s="1"/>
  <c r="K11" i="57" s="1"/>
  <c r="L11" i="57" s="1"/>
  <c r="E7" i="57"/>
  <c r="G7" i="57" s="1"/>
  <c r="H7" i="57" s="1"/>
  <c r="K7" i="57" s="1"/>
  <c r="L7" i="57" s="1"/>
  <c r="E6" i="57"/>
  <c r="G6" i="57" s="1"/>
  <c r="H6" i="57" s="1"/>
  <c r="K6" i="57" s="1"/>
  <c r="L6" i="57" s="1"/>
  <c r="E9" i="57"/>
  <c r="G9" i="57" s="1"/>
  <c r="H9" i="57" s="1"/>
  <c r="K9" i="57" s="1"/>
  <c r="L9" i="57" s="1"/>
  <c r="E14" i="57"/>
  <c r="G14" i="57" s="1"/>
  <c r="H14" i="57" s="1"/>
  <c r="K14" i="57" s="1"/>
  <c r="L14" i="57" s="1"/>
  <c r="E15" i="56"/>
  <c r="G15" i="56" s="1"/>
  <c r="H15" i="56" s="1"/>
  <c r="K15" i="56" s="1"/>
  <c r="L15" i="56" s="1"/>
  <c r="E16" i="56"/>
  <c r="G16" i="56" s="1"/>
  <c r="H16" i="56" s="1"/>
  <c r="K16" i="56" s="1"/>
  <c r="L16" i="56" s="1"/>
  <c r="E13" i="56"/>
  <c r="G13" i="56" s="1"/>
  <c r="H13" i="56" s="1"/>
  <c r="K13" i="56" s="1"/>
  <c r="L13" i="56" s="1"/>
  <c r="E11" i="56"/>
  <c r="G11" i="56" s="1"/>
  <c r="H11" i="56" s="1"/>
  <c r="K11" i="56" s="1"/>
  <c r="L11" i="56" s="1"/>
  <c r="E8" i="56"/>
  <c r="G8" i="56" s="1"/>
  <c r="H8" i="56" s="1"/>
  <c r="K8" i="56" s="1"/>
  <c r="L8" i="56" s="1"/>
  <c r="E6" i="56"/>
  <c r="G6" i="56" s="1"/>
  <c r="H6" i="56" s="1"/>
  <c r="K6" i="56" s="1"/>
  <c r="L6" i="56" s="1"/>
  <c r="E14" i="56"/>
  <c r="G14" i="56" s="1"/>
  <c r="H14" i="56" s="1"/>
  <c r="K14" i="56" s="1"/>
  <c r="L14" i="56" s="1"/>
  <c r="E12" i="56"/>
  <c r="G12" i="56" s="1"/>
  <c r="H12" i="56" s="1"/>
  <c r="K12" i="56" s="1"/>
  <c r="L12" i="56" s="1"/>
  <c r="C52" i="56"/>
  <c r="E10" i="56"/>
  <c r="G10" i="56" s="1"/>
  <c r="H10" i="56" s="1"/>
  <c r="K10" i="56" s="1"/>
  <c r="L10" i="56" s="1"/>
  <c r="E9" i="56"/>
  <c r="G9" i="56" s="1"/>
  <c r="H9" i="56" s="1"/>
  <c r="K9" i="56" s="1"/>
  <c r="L9" i="56" s="1"/>
  <c r="E7" i="56"/>
  <c r="G7" i="56" s="1"/>
  <c r="H7" i="56" s="1"/>
  <c r="K7" i="56" s="1"/>
  <c r="L7" i="56" s="1"/>
  <c r="H53" i="44"/>
  <c r="I53" i="44"/>
  <c r="E6" i="44"/>
  <c r="G6" i="44" s="1"/>
  <c r="H6" i="44" s="1"/>
  <c r="K6" i="44" s="1"/>
  <c r="L6" i="44" s="1"/>
  <c r="E8" i="44"/>
  <c r="G8" i="44" s="1"/>
  <c r="H8" i="44" s="1"/>
  <c r="K8" i="44" s="1"/>
  <c r="L8" i="44" s="1"/>
  <c r="E16" i="44"/>
  <c r="G16" i="44" s="1"/>
  <c r="H16" i="44" s="1"/>
  <c r="K16" i="44" s="1"/>
  <c r="L16" i="44" s="1"/>
  <c r="E19" i="44"/>
  <c r="G19" i="44" s="1"/>
  <c r="H19" i="44" s="1"/>
  <c r="K19" i="44" s="1"/>
  <c r="L19" i="44" s="1"/>
  <c r="E20" i="44"/>
  <c r="G20" i="44" s="1"/>
  <c r="H20" i="44" s="1"/>
  <c r="K20" i="44" s="1"/>
  <c r="L20" i="44" s="1"/>
  <c r="E18" i="44"/>
  <c r="G18" i="44" s="1"/>
  <c r="H18" i="44" s="1"/>
  <c r="K18" i="44" s="1"/>
  <c r="L18" i="44" s="1"/>
  <c r="G1" i="42"/>
  <c r="I1" i="42" s="1"/>
  <c r="C52" i="42" s="1"/>
  <c r="I52" i="41"/>
  <c r="H52" i="41" s="1"/>
  <c r="H53" i="34"/>
  <c r="E10" i="34"/>
  <c r="G10" i="34" s="1"/>
  <c r="H10" i="34" s="1"/>
  <c r="K10" i="34" s="1"/>
  <c r="L10" i="34" s="1"/>
  <c r="E9" i="34"/>
  <c r="G9" i="34" s="1"/>
  <c r="H9" i="34" s="1"/>
  <c r="K9" i="34" s="1"/>
  <c r="L9" i="34" s="1"/>
  <c r="E7" i="34"/>
  <c r="G7" i="34" s="1"/>
  <c r="H7" i="34" s="1"/>
  <c r="K7" i="34" s="1"/>
  <c r="L7" i="34" s="1"/>
  <c r="E6" i="34"/>
  <c r="G6" i="34" s="1"/>
  <c r="H6" i="34" s="1"/>
  <c r="K6" i="34" s="1"/>
  <c r="L6" i="34" s="1"/>
  <c r="H1" i="34"/>
  <c r="E8" i="34"/>
  <c r="G8" i="34" s="1"/>
  <c r="H8" i="34" s="1"/>
  <c r="K8" i="34" s="1"/>
  <c r="L8" i="34" s="1"/>
  <c r="J53" i="26"/>
  <c r="B82" i="26" s="1"/>
  <c r="I52" i="20"/>
  <c r="H52" i="20" s="1"/>
  <c r="E19" i="15"/>
  <c r="G19" i="15" s="1"/>
  <c r="H19" i="15" s="1"/>
  <c r="K19" i="15" s="1"/>
  <c r="L19" i="15" s="1"/>
  <c r="E27" i="15"/>
  <c r="G27" i="15" s="1"/>
  <c r="H27" i="15" s="1"/>
  <c r="K27" i="15" s="1"/>
  <c r="L27" i="15" s="1"/>
  <c r="E11" i="15"/>
  <c r="G11" i="15" s="1"/>
  <c r="H11" i="15" s="1"/>
  <c r="K11" i="15" s="1"/>
  <c r="L11" i="15" s="1"/>
  <c r="G1" i="40"/>
  <c r="D52" i="40"/>
  <c r="B75" i="40" s="1"/>
  <c r="I52" i="37"/>
  <c r="H52" i="37" s="1"/>
  <c r="AM7" i="37"/>
  <c r="AO7" i="37" s="1"/>
  <c r="AP7" i="37" s="1"/>
  <c r="AS7" i="37" s="1"/>
  <c r="AT7" i="37" s="1"/>
  <c r="AM8" i="37"/>
  <c r="AO8" i="37" s="1"/>
  <c r="AP8" i="37" s="1"/>
  <c r="AS8" i="37" s="1"/>
  <c r="AT8" i="37" s="1"/>
  <c r="AM12" i="37"/>
  <c r="AO12" i="37" s="1"/>
  <c r="AP12" i="37" s="1"/>
  <c r="AS12" i="37" s="1"/>
  <c r="AT12" i="37" s="1"/>
  <c r="J53" i="37"/>
  <c r="B78" i="37" s="1"/>
  <c r="AM11" i="37"/>
  <c r="AO11" i="37" s="1"/>
  <c r="AP11" i="37" s="1"/>
  <c r="AS11" i="37" s="1"/>
  <c r="AT11" i="37" s="1"/>
  <c r="AM5" i="37"/>
  <c r="AO5" i="37" s="1"/>
  <c r="AP5" i="37" s="1"/>
  <c r="AM6" i="37"/>
  <c r="AO6" i="37" s="1"/>
  <c r="AP6" i="37" s="1"/>
  <c r="AS6" i="37" s="1"/>
  <c r="AT6" i="37" s="1"/>
  <c r="AM10" i="37"/>
  <c r="AO10" i="37" s="1"/>
  <c r="AP10" i="37" s="1"/>
  <c r="AS10" i="37" s="1"/>
  <c r="AT10" i="37" s="1"/>
  <c r="AM9" i="37"/>
  <c r="AO9" i="37" s="1"/>
  <c r="AP9" i="37" s="1"/>
  <c r="AS9" i="37" s="1"/>
  <c r="AT9" i="37" s="1"/>
  <c r="AM13" i="37"/>
  <c r="AO13" i="37" s="1"/>
  <c r="AP13" i="37" s="1"/>
  <c r="AS13" i="37" s="1"/>
  <c r="AT13" i="37" s="1"/>
  <c r="H52" i="29"/>
  <c r="E5" i="29" s="1"/>
  <c r="J53" i="29"/>
  <c r="B81" i="29" s="1"/>
  <c r="E21" i="28"/>
  <c r="G21" i="28" s="1"/>
  <c r="H21" i="28" s="1"/>
  <c r="K21" i="28" s="1"/>
  <c r="L21" i="28" s="1"/>
  <c r="E13" i="28"/>
  <c r="G13" i="28" s="1"/>
  <c r="H13" i="28" s="1"/>
  <c r="K13" i="28" s="1"/>
  <c r="L13" i="28" s="1"/>
  <c r="E9" i="28"/>
  <c r="G9" i="28" s="1"/>
  <c r="H9" i="28" s="1"/>
  <c r="K9" i="28" s="1"/>
  <c r="L9" i="28" s="1"/>
  <c r="E6" i="28"/>
  <c r="G6" i="28" s="1"/>
  <c r="H6" i="28" s="1"/>
  <c r="K6" i="28" s="1"/>
  <c r="L6" i="28" s="1"/>
  <c r="E14" i="28"/>
  <c r="G14" i="28" s="1"/>
  <c r="H14" i="28" s="1"/>
  <c r="K14" i="28" s="1"/>
  <c r="L14" i="28" s="1"/>
  <c r="C52" i="28"/>
  <c r="C53" i="28" s="1"/>
  <c r="E11" i="28"/>
  <c r="G11" i="28" s="1"/>
  <c r="H11" i="28" s="1"/>
  <c r="K11" i="28" s="1"/>
  <c r="L11" i="28" s="1"/>
  <c r="E8" i="28"/>
  <c r="G8" i="28" s="1"/>
  <c r="H8" i="28" s="1"/>
  <c r="K8" i="28" s="1"/>
  <c r="L8" i="28" s="1"/>
  <c r="E10" i="28"/>
  <c r="G10" i="28" s="1"/>
  <c r="H10" i="28" s="1"/>
  <c r="K10" i="28" s="1"/>
  <c r="L10" i="28" s="1"/>
  <c r="E18" i="28"/>
  <c r="G18" i="28" s="1"/>
  <c r="H18" i="28" s="1"/>
  <c r="K18" i="28" s="1"/>
  <c r="L18" i="28" s="1"/>
  <c r="E7" i="28"/>
  <c r="G7" i="28" s="1"/>
  <c r="H7" i="28" s="1"/>
  <c r="K7" i="28" s="1"/>
  <c r="L7" i="28" s="1"/>
  <c r="E15" i="28"/>
  <c r="G15" i="28" s="1"/>
  <c r="H15" i="28" s="1"/>
  <c r="K15" i="28" s="1"/>
  <c r="L15" i="28" s="1"/>
  <c r="E23" i="28"/>
  <c r="G23" i="28" s="1"/>
  <c r="H23" i="28" s="1"/>
  <c r="K23" i="28" s="1"/>
  <c r="L23" i="28" s="1"/>
  <c r="E12" i="28"/>
  <c r="G12" i="28" s="1"/>
  <c r="H12" i="28" s="1"/>
  <c r="K12" i="28" s="1"/>
  <c r="L12" i="28" s="1"/>
  <c r="E20" i="28"/>
  <c r="G20" i="28" s="1"/>
  <c r="H20" i="28" s="1"/>
  <c r="K20" i="28" s="1"/>
  <c r="L20" i="28" s="1"/>
  <c r="E17" i="28"/>
  <c r="G17" i="28" s="1"/>
  <c r="H17" i="28" s="1"/>
  <c r="K17" i="28" s="1"/>
  <c r="L17" i="28" s="1"/>
  <c r="E22" i="28"/>
  <c r="G22" i="28" s="1"/>
  <c r="H22" i="28" s="1"/>
  <c r="K22" i="28" s="1"/>
  <c r="L22" i="28" s="1"/>
  <c r="E16" i="28"/>
  <c r="G16" i="28" s="1"/>
  <c r="H16" i="28" s="1"/>
  <c r="K16" i="28" s="1"/>
  <c r="L16" i="28" s="1"/>
  <c r="E19" i="28"/>
  <c r="G19" i="28" s="1"/>
  <c r="H19" i="28" s="1"/>
  <c r="K19" i="28" s="1"/>
  <c r="L19" i="28" s="1"/>
  <c r="E24" i="28"/>
  <c r="G24" i="28" s="1"/>
  <c r="H24" i="28" s="1"/>
  <c r="K24" i="28" s="1"/>
  <c r="L24" i="28" s="1"/>
  <c r="I52" i="26"/>
  <c r="H52" i="26" s="1"/>
  <c r="AM5" i="26"/>
  <c r="AO5" i="26" s="1"/>
  <c r="AP5" i="26" s="1"/>
  <c r="AM12" i="26"/>
  <c r="AO12" i="26" s="1"/>
  <c r="AP12" i="26" s="1"/>
  <c r="AS12" i="26" s="1"/>
  <c r="AT12" i="26" s="1"/>
  <c r="AM11" i="26"/>
  <c r="AO11" i="26" s="1"/>
  <c r="AP11" i="26" s="1"/>
  <c r="AS11" i="26" s="1"/>
  <c r="AT11" i="26" s="1"/>
  <c r="AM7" i="26"/>
  <c r="AO7" i="26" s="1"/>
  <c r="AP7" i="26" s="1"/>
  <c r="AS7" i="26" s="1"/>
  <c r="AT7" i="26" s="1"/>
  <c r="AM9" i="26"/>
  <c r="AO9" i="26" s="1"/>
  <c r="AP9" i="26" s="1"/>
  <c r="AS9" i="26" s="1"/>
  <c r="AT9" i="26" s="1"/>
  <c r="AM8" i="26"/>
  <c r="AO8" i="26" s="1"/>
  <c r="AP8" i="26" s="1"/>
  <c r="AS8" i="26" s="1"/>
  <c r="AT8" i="26" s="1"/>
  <c r="AM10" i="26"/>
  <c r="AO10" i="26" s="1"/>
  <c r="AP10" i="26" s="1"/>
  <c r="AS10" i="26" s="1"/>
  <c r="AT10" i="26" s="1"/>
  <c r="AM6" i="26"/>
  <c r="AO6" i="26" s="1"/>
  <c r="AP6" i="26" s="1"/>
  <c r="AS6" i="26" s="1"/>
  <c r="AT6" i="26" s="1"/>
  <c r="E11" i="18"/>
  <c r="G11" i="18" s="1"/>
  <c r="H11" i="18" s="1"/>
  <c r="K11" i="18" s="1"/>
  <c r="L11" i="18" s="1"/>
  <c r="E7" i="18"/>
  <c r="G7" i="18" s="1"/>
  <c r="H7" i="18" s="1"/>
  <c r="K7" i="18" s="1"/>
  <c r="L7" i="18" s="1"/>
  <c r="E8" i="18"/>
  <c r="G8" i="18" s="1"/>
  <c r="H8" i="18" s="1"/>
  <c r="K8" i="18" s="1"/>
  <c r="L8" i="18" s="1"/>
  <c r="E16" i="18"/>
  <c r="G16" i="18" s="1"/>
  <c r="H16" i="18" s="1"/>
  <c r="K16" i="18" s="1"/>
  <c r="L16" i="18" s="1"/>
  <c r="E18" i="18"/>
  <c r="G18" i="18" s="1"/>
  <c r="H18" i="18" s="1"/>
  <c r="K18" i="18" s="1"/>
  <c r="L18" i="18" s="1"/>
  <c r="E13" i="18"/>
  <c r="G13" i="18" s="1"/>
  <c r="H13" i="18" s="1"/>
  <c r="K13" i="18" s="1"/>
  <c r="L13" i="18" s="1"/>
  <c r="E19" i="18"/>
  <c r="G19" i="18" s="1"/>
  <c r="H19" i="18" s="1"/>
  <c r="K19" i="18" s="1"/>
  <c r="L19" i="18" s="1"/>
  <c r="G6" i="18"/>
  <c r="H6" i="18" s="1"/>
  <c r="K6" i="18" s="1"/>
  <c r="L6" i="18" s="1"/>
  <c r="E14" i="18"/>
  <c r="G14" i="18" s="1"/>
  <c r="H14" i="18" s="1"/>
  <c r="K14" i="18" s="1"/>
  <c r="L14" i="18" s="1"/>
  <c r="E9" i="18"/>
  <c r="G9" i="18" s="1"/>
  <c r="H9" i="18" s="1"/>
  <c r="K9" i="18" s="1"/>
  <c r="L9" i="18" s="1"/>
  <c r="E17" i="18"/>
  <c r="G17" i="18" s="1"/>
  <c r="H17" i="18" s="1"/>
  <c r="K17" i="18" s="1"/>
  <c r="L17" i="18" s="1"/>
  <c r="E12" i="18"/>
  <c r="G12" i="18" s="1"/>
  <c r="H12" i="18" s="1"/>
  <c r="K12" i="18" s="1"/>
  <c r="L12" i="18" s="1"/>
  <c r="E20" i="18"/>
  <c r="G20" i="18" s="1"/>
  <c r="H20" i="18" s="1"/>
  <c r="K20" i="18" s="1"/>
  <c r="L20" i="18" s="1"/>
  <c r="E10" i="18"/>
  <c r="G10" i="18" s="1"/>
  <c r="H10" i="18" s="1"/>
  <c r="K10" i="18" s="1"/>
  <c r="L10" i="18" s="1"/>
  <c r="C52" i="18"/>
  <c r="E15" i="18"/>
  <c r="G15" i="18" s="1"/>
  <c r="H15" i="18" s="1"/>
  <c r="K15" i="18" s="1"/>
  <c r="L15" i="18" s="1"/>
  <c r="E20" i="17"/>
  <c r="G20" i="17" s="1"/>
  <c r="H20" i="17" s="1"/>
  <c r="K20" i="17" s="1"/>
  <c r="L20" i="17" s="1"/>
  <c r="E9" i="17"/>
  <c r="G9" i="17" s="1"/>
  <c r="H9" i="17" s="1"/>
  <c r="K9" i="17" s="1"/>
  <c r="L9" i="17" s="1"/>
  <c r="E17" i="17"/>
  <c r="G17" i="17" s="1"/>
  <c r="H17" i="17" s="1"/>
  <c r="K17" i="17" s="1"/>
  <c r="L17" i="17" s="1"/>
  <c r="E16" i="17"/>
  <c r="G16" i="17" s="1"/>
  <c r="H16" i="17" s="1"/>
  <c r="K16" i="17" s="1"/>
  <c r="L16" i="17" s="1"/>
  <c r="E21" i="17"/>
  <c r="G21" i="17" s="1"/>
  <c r="H21" i="17" s="1"/>
  <c r="K21" i="17" s="1"/>
  <c r="L21" i="17" s="1"/>
  <c r="E14" i="17"/>
  <c r="G14" i="17" s="1"/>
  <c r="H14" i="17" s="1"/>
  <c r="K14" i="17" s="1"/>
  <c r="L14" i="17" s="1"/>
  <c r="E12" i="17"/>
  <c r="G12" i="17" s="1"/>
  <c r="H12" i="17" s="1"/>
  <c r="K12" i="17" s="1"/>
  <c r="L12" i="17" s="1"/>
  <c r="E10" i="17"/>
  <c r="G10" i="17" s="1"/>
  <c r="H10" i="17" s="1"/>
  <c r="K10" i="17" s="1"/>
  <c r="L10" i="17" s="1"/>
  <c r="AM10" i="17"/>
  <c r="AO10" i="17" s="1"/>
  <c r="AP10" i="17" s="1"/>
  <c r="AS10" i="17" s="1"/>
  <c r="AT10" i="17" s="1"/>
  <c r="E22" i="17"/>
  <c r="G22" i="17" s="1"/>
  <c r="H22" i="17" s="1"/>
  <c r="K22" i="17" s="1"/>
  <c r="L22" i="17" s="1"/>
  <c r="E26" i="17"/>
  <c r="G26" i="17" s="1"/>
  <c r="H26" i="17" s="1"/>
  <c r="K26" i="17" s="1"/>
  <c r="L26" i="17" s="1"/>
  <c r="C52" i="17"/>
  <c r="J53" i="17"/>
  <c r="AM13" i="17"/>
  <c r="AO13" i="17" s="1"/>
  <c r="AP13" i="17" s="1"/>
  <c r="AS13" i="17" s="1"/>
  <c r="AT13" i="17" s="1"/>
  <c r="E24" i="15"/>
  <c r="G24" i="15" s="1"/>
  <c r="H24" i="15" s="1"/>
  <c r="K24" i="15" s="1"/>
  <c r="L24" i="15" s="1"/>
  <c r="E16" i="15"/>
  <c r="G16" i="15" s="1"/>
  <c r="H16" i="15" s="1"/>
  <c r="K16" i="15" s="1"/>
  <c r="L16" i="15" s="1"/>
  <c r="E8" i="15"/>
  <c r="G8" i="15" s="1"/>
  <c r="H8" i="15" s="1"/>
  <c r="K8" i="15" s="1"/>
  <c r="L8" i="15" s="1"/>
  <c r="AM11" i="8"/>
  <c r="AO11" i="8" s="1"/>
  <c r="AP11" i="8" s="1"/>
  <c r="AS11" i="8" s="1"/>
  <c r="AT11" i="8" s="1"/>
  <c r="AM6" i="8"/>
  <c r="AO6" i="8" s="1"/>
  <c r="AP6" i="8" s="1"/>
  <c r="AS6" i="8" s="1"/>
  <c r="AT6" i="8" s="1"/>
  <c r="AM9" i="8"/>
  <c r="AO9" i="8" s="1"/>
  <c r="AP9" i="8" s="1"/>
  <c r="AS9" i="8" s="1"/>
  <c r="AT9" i="8" s="1"/>
  <c r="AM10" i="8"/>
  <c r="AO10" i="8" s="1"/>
  <c r="AP10" i="8" s="1"/>
  <c r="AS10" i="8" s="1"/>
  <c r="AT10" i="8" s="1"/>
  <c r="AM8" i="8"/>
  <c r="AO8" i="8" s="1"/>
  <c r="AP8" i="8" s="1"/>
  <c r="AS8" i="8" s="1"/>
  <c r="AT8" i="8" s="1"/>
  <c r="H52" i="8"/>
  <c r="AM7" i="8"/>
  <c r="AO7" i="8" s="1"/>
  <c r="AP7" i="8" s="1"/>
  <c r="AS7" i="8" s="1"/>
  <c r="AT7" i="8" s="1"/>
  <c r="AM12" i="8"/>
  <c r="AO12" i="8" s="1"/>
  <c r="AP12" i="8" s="1"/>
  <c r="AS12" i="8" s="1"/>
  <c r="AT12" i="8" s="1"/>
  <c r="AM5" i="8"/>
  <c r="AO5" i="8" s="1"/>
  <c r="AP5" i="8" s="1"/>
  <c r="J54" i="5"/>
  <c r="I53" i="5"/>
  <c r="AM8" i="3"/>
  <c r="AO8" i="3" s="1"/>
  <c r="AP8" i="3" s="1"/>
  <c r="AS8" i="3" s="1"/>
  <c r="AT8" i="3" s="1"/>
  <c r="AM10" i="3"/>
  <c r="AO10" i="3" s="1"/>
  <c r="AP10" i="3" s="1"/>
  <c r="AS10" i="3" s="1"/>
  <c r="AT10" i="3" s="1"/>
  <c r="I52" i="3"/>
  <c r="H52" i="3" s="1"/>
  <c r="AM6" i="3"/>
  <c r="AO6" i="3" s="1"/>
  <c r="AP6" i="3" s="1"/>
  <c r="AS6" i="3" s="1"/>
  <c r="AT6" i="3" s="1"/>
  <c r="AM13" i="3"/>
  <c r="AO13" i="3" s="1"/>
  <c r="AP13" i="3" s="1"/>
  <c r="AS13" i="3" s="1"/>
  <c r="AT13" i="3" s="1"/>
  <c r="AM12" i="3"/>
  <c r="AO12" i="3" s="1"/>
  <c r="AP12" i="3" s="1"/>
  <c r="AS12" i="3" s="1"/>
  <c r="AT12" i="3" s="1"/>
  <c r="AM11" i="3"/>
  <c r="AO11" i="3" s="1"/>
  <c r="AP11" i="3" s="1"/>
  <c r="AS11" i="3" s="1"/>
  <c r="AT11" i="3" s="1"/>
  <c r="AM9" i="3"/>
  <c r="AO9" i="3" s="1"/>
  <c r="AP9" i="3" s="1"/>
  <c r="AS9" i="3" s="1"/>
  <c r="AT9" i="3" s="1"/>
  <c r="AM7" i="3"/>
  <c r="AO7" i="3" s="1"/>
  <c r="AP7" i="3" s="1"/>
  <c r="AS7" i="3" s="1"/>
  <c r="AT7" i="3" s="1"/>
  <c r="AP5" i="3"/>
  <c r="J53" i="3"/>
  <c r="B84" i="3" s="1"/>
  <c r="I54" i="34"/>
  <c r="AM6" i="18"/>
  <c r="AO6" i="18" s="1"/>
  <c r="AP6" i="18" s="1"/>
  <c r="AS6" i="18" s="1"/>
  <c r="AT6" i="18" s="1"/>
  <c r="AM17" i="18"/>
  <c r="AO17" i="18" s="1"/>
  <c r="AP17" i="18" s="1"/>
  <c r="AS17" i="18" s="1"/>
  <c r="AT17" i="18" s="1"/>
  <c r="AM12" i="18"/>
  <c r="AO12" i="18" s="1"/>
  <c r="AP12" i="18" s="1"/>
  <c r="AS12" i="18" s="1"/>
  <c r="AT12" i="18" s="1"/>
  <c r="AM7" i="18"/>
  <c r="AO7" i="18" s="1"/>
  <c r="AP7" i="18" s="1"/>
  <c r="AS7" i="18" s="1"/>
  <c r="AT7" i="18" s="1"/>
  <c r="AM15" i="18"/>
  <c r="AO15" i="18" s="1"/>
  <c r="AP15" i="18" s="1"/>
  <c r="AS15" i="18" s="1"/>
  <c r="AT15" i="18" s="1"/>
  <c r="AM18" i="18"/>
  <c r="AO18" i="18" s="1"/>
  <c r="AP18" i="18" s="1"/>
  <c r="AS18" i="18" s="1"/>
  <c r="AT18" i="18" s="1"/>
  <c r="AM11" i="18"/>
  <c r="AO11" i="18" s="1"/>
  <c r="AP11" i="18" s="1"/>
  <c r="AS11" i="18" s="1"/>
  <c r="AT11" i="18" s="1"/>
  <c r="AM14" i="18"/>
  <c r="AO14" i="18" s="1"/>
  <c r="AP14" i="18" s="1"/>
  <c r="AS14" i="18" s="1"/>
  <c r="AT14" i="18" s="1"/>
  <c r="AM5" i="18"/>
  <c r="AO5" i="18" s="1"/>
  <c r="AP5" i="18" s="1"/>
  <c r="AM19" i="18"/>
  <c r="AO19" i="18" s="1"/>
  <c r="AP19" i="18" s="1"/>
  <c r="AS19" i="18" s="1"/>
  <c r="AT19" i="18" s="1"/>
  <c r="AM9" i="18"/>
  <c r="AO9" i="18" s="1"/>
  <c r="AP9" i="18" s="1"/>
  <c r="AS9" i="18" s="1"/>
  <c r="AT9" i="18" s="1"/>
  <c r="E27" i="5"/>
  <c r="G27" i="5" s="1"/>
  <c r="H27" i="5" s="1"/>
  <c r="K27" i="5" s="1"/>
  <c r="L27" i="5" s="1"/>
  <c r="J53" i="21"/>
  <c r="B82" i="21" s="1"/>
  <c r="AM5" i="17"/>
  <c r="AO5" i="17" s="1"/>
  <c r="AP5" i="17" s="1"/>
  <c r="AM9" i="17"/>
  <c r="AO9" i="17" s="1"/>
  <c r="AP9" i="17" s="1"/>
  <c r="AS9" i="17" s="1"/>
  <c r="AT9" i="17" s="1"/>
  <c r="AM14" i="17"/>
  <c r="AO14" i="17" s="1"/>
  <c r="AP14" i="17" s="1"/>
  <c r="AS14" i="17" s="1"/>
  <c r="AT14" i="17" s="1"/>
  <c r="AM7" i="17"/>
  <c r="AO7" i="17" s="1"/>
  <c r="AP7" i="17" s="1"/>
  <c r="AS7" i="17" s="1"/>
  <c r="AT7" i="17" s="1"/>
  <c r="AM8" i="17"/>
  <c r="AO8" i="17" s="1"/>
  <c r="AP8" i="17" s="1"/>
  <c r="AS8" i="17" s="1"/>
  <c r="AT8" i="17" s="1"/>
  <c r="J53" i="15"/>
  <c r="G6" i="21"/>
  <c r="H6" i="21" s="1"/>
  <c r="K6" i="21" s="1"/>
  <c r="L6" i="21" s="1"/>
  <c r="C52" i="21"/>
  <c r="E12" i="21"/>
  <c r="G12" i="21" s="1"/>
  <c r="H12" i="21" s="1"/>
  <c r="K12" i="21" s="1"/>
  <c r="L12" i="21" s="1"/>
  <c r="E9" i="21"/>
  <c r="G9" i="21" s="1"/>
  <c r="H9" i="21" s="1"/>
  <c r="K9" i="21" s="1"/>
  <c r="L9" i="21" s="1"/>
  <c r="E16" i="21"/>
  <c r="G16" i="21" s="1"/>
  <c r="H16" i="21" s="1"/>
  <c r="K16" i="21" s="1"/>
  <c r="L16" i="21" s="1"/>
  <c r="E19" i="21"/>
  <c r="G19" i="21" s="1"/>
  <c r="E7" i="21"/>
  <c r="G7" i="21" s="1"/>
  <c r="H7" i="21" s="1"/>
  <c r="K7" i="21" s="1"/>
  <c r="L7" i="21" s="1"/>
  <c r="E11" i="21"/>
  <c r="G11" i="21" s="1"/>
  <c r="H11" i="21" s="1"/>
  <c r="K11" i="21" s="1"/>
  <c r="L11" i="21" s="1"/>
  <c r="E17" i="21"/>
  <c r="G17" i="21" s="1"/>
  <c r="H17" i="21" s="1"/>
  <c r="K17" i="21" s="1"/>
  <c r="L17" i="21" s="1"/>
  <c r="E13" i="21"/>
  <c r="G13" i="21" s="1"/>
  <c r="H13" i="21" s="1"/>
  <c r="K13" i="21" s="1"/>
  <c r="L13" i="21" s="1"/>
  <c r="E10" i="21"/>
  <c r="G10" i="21" s="1"/>
  <c r="H10" i="21" s="1"/>
  <c r="K10" i="21" s="1"/>
  <c r="L10" i="21" s="1"/>
  <c r="E15" i="21"/>
  <c r="G15" i="21" s="1"/>
  <c r="H15" i="21" s="1"/>
  <c r="K15" i="21" s="1"/>
  <c r="L15" i="21" s="1"/>
  <c r="E18" i="21"/>
  <c r="G18" i="21" s="1"/>
  <c r="E20" i="21"/>
  <c r="G20" i="21" s="1"/>
  <c r="E14" i="21"/>
  <c r="G14" i="21" s="1"/>
  <c r="H14" i="21" s="1"/>
  <c r="K14" i="21" s="1"/>
  <c r="L14" i="21" s="1"/>
  <c r="E8" i="21"/>
  <c r="G8" i="21" s="1"/>
  <c r="H8" i="21" s="1"/>
  <c r="K8" i="21" s="1"/>
  <c r="L8" i="21" s="1"/>
  <c r="AM11" i="17"/>
  <c r="AO11" i="17" s="1"/>
  <c r="AP11" i="17" s="1"/>
  <c r="AS11" i="17" s="1"/>
  <c r="AT11" i="17" s="1"/>
  <c r="AM15" i="17"/>
  <c r="AO15" i="17" s="1"/>
  <c r="AP15" i="17" s="1"/>
  <c r="AS15" i="17" s="1"/>
  <c r="AT15" i="17" s="1"/>
  <c r="AM16" i="17"/>
  <c r="AO16" i="17" s="1"/>
  <c r="AP16" i="17" s="1"/>
  <c r="AS16" i="17" s="1"/>
  <c r="AT16" i="17" s="1"/>
  <c r="I52" i="17"/>
  <c r="H52" i="17" s="1"/>
  <c r="H53" i="17" s="1"/>
  <c r="E65" i="17" s="1"/>
  <c r="AM12" i="17"/>
  <c r="AO12" i="17" s="1"/>
  <c r="AP12" i="17" s="1"/>
  <c r="AS12" i="17" s="1"/>
  <c r="AT12" i="17" s="1"/>
  <c r="E14" i="16"/>
  <c r="G14" i="16" s="1"/>
  <c r="H14" i="16" s="1"/>
  <c r="K14" i="16" s="1"/>
  <c r="L14" i="16" s="1"/>
  <c r="E13" i="16"/>
  <c r="G13" i="16" s="1"/>
  <c r="H13" i="16" s="1"/>
  <c r="K13" i="16" s="1"/>
  <c r="L13" i="16" s="1"/>
  <c r="E8" i="16"/>
  <c r="G8" i="16" s="1"/>
  <c r="H8" i="16" s="1"/>
  <c r="K8" i="16" s="1"/>
  <c r="L8" i="16" s="1"/>
  <c r="E11" i="16"/>
  <c r="G11" i="16" s="1"/>
  <c r="H11" i="16" s="1"/>
  <c r="K11" i="16" s="1"/>
  <c r="L11" i="16" s="1"/>
  <c r="E9" i="16"/>
  <c r="G9" i="16" s="1"/>
  <c r="H9" i="16" s="1"/>
  <c r="K9" i="16" s="1"/>
  <c r="L9" i="16" s="1"/>
  <c r="E12" i="16"/>
  <c r="G12" i="16" s="1"/>
  <c r="H12" i="16" s="1"/>
  <c r="K12" i="16" s="1"/>
  <c r="L12" i="16" s="1"/>
  <c r="E6" i="16"/>
  <c r="G6" i="16" s="1"/>
  <c r="H6" i="16" s="1"/>
  <c r="K6" i="16" s="1"/>
  <c r="L6" i="16" s="1"/>
  <c r="AB29" i="56"/>
  <c r="AE29" i="56"/>
  <c r="AC29" i="56"/>
  <c r="I52" i="7"/>
  <c r="E23" i="5"/>
  <c r="G23" i="5" s="1"/>
  <c r="H23" i="5" s="1"/>
  <c r="K23" i="5" s="1"/>
  <c r="L23" i="5" s="1"/>
  <c r="E12" i="5"/>
  <c r="G12" i="5" s="1"/>
  <c r="H12" i="5" s="1"/>
  <c r="K12" i="5" s="1"/>
  <c r="L12" i="5" s="1"/>
  <c r="E20" i="5"/>
  <c r="G20" i="5" s="1"/>
  <c r="H20" i="5" s="1"/>
  <c r="K20" i="5" s="1"/>
  <c r="L20" i="5" s="1"/>
  <c r="E17" i="5"/>
  <c r="G17" i="5" s="1"/>
  <c r="H17" i="5" s="1"/>
  <c r="K17" i="5" s="1"/>
  <c r="L17" i="5" s="1"/>
  <c r="E26" i="5"/>
  <c r="G26" i="5" s="1"/>
  <c r="H26" i="5" s="1"/>
  <c r="K26" i="5" s="1"/>
  <c r="L26" i="5" s="1"/>
  <c r="E15" i="5"/>
  <c r="G15" i="5" s="1"/>
  <c r="H15" i="5" s="1"/>
  <c r="K15" i="5" s="1"/>
  <c r="L15" i="5" s="1"/>
  <c r="E25" i="5"/>
  <c r="G25" i="5" s="1"/>
  <c r="H25" i="5" s="1"/>
  <c r="K25" i="5" s="1"/>
  <c r="L25" i="5" s="1"/>
  <c r="E16" i="5"/>
  <c r="G16" i="5" s="1"/>
  <c r="H16" i="5" s="1"/>
  <c r="K16" i="5" s="1"/>
  <c r="L16" i="5" s="1"/>
  <c r="E10" i="5"/>
  <c r="G10" i="5" s="1"/>
  <c r="H10" i="5" s="1"/>
  <c r="K10" i="5" s="1"/>
  <c r="L10" i="5" s="1"/>
  <c r="E11" i="5"/>
  <c r="G11" i="5" s="1"/>
  <c r="H11" i="5" s="1"/>
  <c r="K11" i="5" s="1"/>
  <c r="L11" i="5" s="1"/>
  <c r="E7" i="5"/>
  <c r="G7" i="5" s="1"/>
  <c r="H7" i="5" s="1"/>
  <c r="K7" i="5" s="1"/>
  <c r="L7" i="5" s="1"/>
  <c r="E8" i="5"/>
  <c r="G8" i="5" s="1"/>
  <c r="H8" i="5" s="1"/>
  <c r="K8" i="5" s="1"/>
  <c r="L8" i="5" s="1"/>
  <c r="E9" i="5"/>
  <c r="G9" i="5" s="1"/>
  <c r="H9" i="5" s="1"/>
  <c r="K9" i="5" s="1"/>
  <c r="L9" i="5" s="1"/>
  <c r="E24" i="5"/>
  <c r="G24" i="5" s="1"/>
  <c r="H24" i="5" s="1"/>
  <c r="K24" i="5" s="1"/>
  <c r="L24" i="5" s="1"/>
  <c r="E13" i="5"/>
  <c r="G13" i="5" s="1"/>
  <c r="H13" i="5" s="1"/>
  <c r="K13" i="5" s="1"/>
  <c r="L13" i="5" s="1"/>
  <c r="E18" i="5"/>
  <c r="G18" i="5" s="1"/>
  <c r="H18" i="5" s="1"/>
  <c r="K18" i="5" s="1"/>
  <c r="L18" i="5" s="1"/>
  <c r="C52" i="5"/>
  <c r="C53" i="5" s="1"/>
  <c r="E21" i="5"/>
  <c r="G21" i="5" s="1"/>
  <c r="H21" i="5" s="1"/>
  <c r="K21" i="5" s="1"/>
  <c r="L21" i="5" s="1"/>
  <c r="E22" i="5"/>
  <c r="G22" i="5" s="1"/>
  <c r="H22" i="5" s="1"/>
  <c r="K22" i="5" s="1"/>
  <c r="L22" i="5" s="1"/>
  <c r="E19" i="5"/>
  <c r="G19" i="5" s="1"/>
  <c r="H19" i="5" s="1"/>
  <c r="K19" i="5" s="1"/>
  <c r="L19" i="5" s="1"/>
  <c r="E14" i="5"/>
  <c r="G14" i="5" s="1"/>
  <c r="H14" i="5" s="1"/>
  <c r="K14" i="5" s="1"/>
  <c r="L14" i="5" s="1"/>
  <c r="E14" i="67"/>
  <c r="G1" i="58"/>
  <c r="I1" i="58" s="1"/>
  <c r="D52" i="58"/>
  <c r="E9" i="44"/>
  <c r="G9" i="44" s="1"/>
  <c r="H9" i="44" s="1"/>
  <c r="K9" i="44" s="1"/>
  <c r="L9" i="44" s="1"/>
  <c r="E7" i="44"/>
  <c r="G7" i="44" s="1"/>
  <c r="H7" i="44" s="1"/>
  <c r="K7" i="44" s="1"/>
  <c r="L7" i="44" s="1"/>
  <c r="C52" i="44"/>
  <c r="E10" i="44"/>
  <c r="G10" i="44" s="1"/>
  <c r="H10" i="44" s="1"/>
  <c r="K10" i="44" s="1"/>
  <c r="L10" i="44" s="1"/>
  <c r="E5" i="44"/>
  <c r="G5" i="44" s="1"/>
  <c r="H5" i="44" s="1"/>
  <c r="K5" i="44" s="1"/>
  <c r="L5" i="44" s="1"/>
  <c r="S35" i="44" s="1"/>
  <c r="E11" i="44"/>
  <c r="G11" i="44" s="1"/>
  <c r="H11" i="44" s="1"/>
  <c r="K11" i="44" s="1"/>
  <c r="L11" i="44" s="1"/>
  <c r="E12" i="44"/>
  <c r="G12" i="44" s="1"/>
  <c r="H12" i="44" s="1"/>
  <c r="K12" i="44" s="1"/>
  <c r="L12" i="44" s="1"/>
  <c r="E14" i="44"/>
  <c r="G14" i="44" s="1"/>
  <c r="H14" i="44" s="1"/>
  <c r="K14" i="44" s="1"/>
  <c r="L14" i="44" s="1"/>
  <c r="E17" i="44"/>
  <c r="G17" i="44" s="1"/>
  <c r="H17" i="44" s="1"/>
  <c r="K17" i="44" s="1"/>
  <c r="L17" i="44" s="1"/>
  <c r="E15" i="44"/>
  <c r="G15" i="44" s="1"/>
  <c r="H15" i="44" s="1"/>
  <c r="K15" i="44" s="1"/>
  <c r="L15" i="44" s="1"/>
  <c r="I52" i="53"/>
  <c r="H52" i="53" s="1"/>
  <c r="I51" i="56"/>
  <c r="I51" i="65"/>
  <c r="D5" i="65" s="1"/>
  <c r="D5" i="67"/>
  <c r="H51" i="67" s="1"/>
  <c r="J53" i="58"/>
  <c r="B83" i="58" s="1"/>
  <c r="I51" i="58"/>
  <c r="D91" i="70"/>
  <c r="D65" i="70"/>
  <c r="D118" i="70"/>
  <c r="D89" i="59"/>
  <c r="D65" i="59"/>
  <c r="H52" i="62"/>
  <c r="I53" i="62"/>
  <c r="J54" i="62"/>
  <c r="H51" i="70"/>
  <c r="H51" i="62"/>
  <c r="J51" i="47"/>
  <c r="X44" i="47"/>
  <c r="D85" i="49"/>
  <c r="D65" i="49"/>
  <c r="D90" i="44"/>
  <c r="D65" i="44"/>
  <c r="D81" i="41"/>
  <c r="D65" i="41"/>
  <c r="D84" i="43"/>
  <c r="D65" i="43"/>
  <c r="E7" i="49"/>
  <c r="G7" i="49" s="1"/>
  <c r="H7" i="49" s="1"/>
  <c r="K7" i="49" s="1"/>
  <c r="L7" i="49" s="1"/>
  <c r="E13" i="49"/>
  <c r="G13" i="49" s="1"/>
  <c r="H13" i="49" s="1"/>
  <c r="K13" i="49" s="1"/>
  <c r="L13" i="49" s="1"/>
  <c r="E8" i="49"/>
  <c r="G8" i="49" s="1"/>
  <c r="H8" i="49" s="1"/>
  <c r="K8" i="49" s="1"/>
  <c r="L8" i="49" s="1"/>
  <c r="E9" i="49"/>
  <c r="G9" i="49" s="1"/>
  <c r="H9" i="49" s="1"/>
  <c r="K9" i="49" s="1"/>
  <c r="L9" i="49" s="1"/>
  <c r="E11" i="49"/>
  <c r="G11" i="49" s="1"/>
  <c r="H11" i="49" s="1"/>
  <c r="K11" i="49" s="1"/>
  <c r="L11" i="49" s="1"/>
  <c r="E6" i="49"/>
  <c r="G6" i="49" s="1"/>
  <c r="H6" i="49" s="1"/>
  <c r="K6" i="49" s="1"/>
  <c r="L6" i="49" s="1"/>
  <c r="E12" i="49"/>
  <c r="G12" i="49" s="1"/>
  <c r="H12" i="49" s="1"/>
  <c r="K12" i="49" s="1"/>
  <c r="L12" i="49" s="1"/>
  <c r="E15" i="49"/>
  <c r="G15" i="49" s="1"/>
  <c r="H15" i="49" s="1"/>
  <c r="K15" i="49" s="1"/>
  <c r="L15" i="49" s="1"/>
  <c r="E17" i="49"/>
  <c r="G17" i="49" s="1"/>
  <c r="H17" i="49" s="1"/>
  <c r="K17" i="49" s="1"/>
  <c r="L17" i="49" s="1"/>
  <c r="E10" i="49"/>
  <c r="G10" i="49" s="1"/>
  <c r="H10" i="49" s="1"/>
  <c r="K10" i="49" s="1"/>
  <c r="L10" i="49" s="1"/>
  <c r="E16" i="49"/>
  <c r="G16" i="49" s="1"/>
  <c r="H16" i="49" s="1"/>
  <c r="K16" i="49" s="1"/>
  <c r="L16" i="49" s="1"/>
  <c r="E14" i="49"/>
  <c r="G14" i="49" s="1"/>
  <c r="H14" i="49" s="1"/>
  <c r="K14" i="49" s="1"/>
  <c r="L14" i="49" s="1"/>
  <c r="C52" i="49"/>
  <c r="E13" i="44"/>
  <c r="G13" i="44" s="1"/>
  <c r="H13" i="44" s="1"/>
  <c r="K13" i="44" s="1"/>
  <c r="L13" i="44" s="1"/>
  <c r="J54" i="44"/>
  <c r="H51" i="49"/>
  <c r="H51" i="41"/>
  <c r="H51" i="46"/>
  <c r="H51" i="43"/>
  <c r="I52" i="67"/>
  <c r="J53" i="67"/>
  <c r="AM5" i="43"/>
  <c r="AO5" i="43" s="1"/>
  <c r="AP5" i="43" s="1"/>
  <c r="AM6" i="43"/>
  <c r="AO6" i="43" s="1"/>
  <c r="AP6" i="43" s="1"/>
  <c r="AS6" i="43" s="1"/>
  <c r="AT6" i="43" s="1"/>
  <c r="I52" i="43"/>
  <c r="H52" i="43" s="1"/>
  <c r="J54" i="43"/>
  <c r="I53" i="43"/>
  <c r="D87" i="48"/>
  <c r="D65" i="48"/>
  <c r="H51" i="48"/>
  <c r="E16" i="43"/>
  <c r="G16" i="43" s="1"/>
  <c r="H16" i="43" s="1"/>
  <c r="K16" i="43" s="1"/>
  <c r="L16" i="43" s="1"/>
  <c r="E9" i="43"/>
  <c r="G9" i="43" s="1"/>
  <c r="H9" i="43" s="1"/>
  <c r="K9" i="43" s="1"/>
  <c r="L9" i="43" s="1"/>
  <c r="E13" i="43"/>
  <c r="G13" i="43" s="1"/>
  <c r="H13" i="43" s="1"/>
  <c r="K13" i="43" s="1"/>
  <c r="L13" i="43" s="1"/>
  <c r="E11" i="43"/>
  <c r="G11" i="43" s="1"/>
  <c r="H11" i="43" s="1"/>
  <c r="K11" i="43" s="1"/>
  <c r="L11" i="43" s="1"/>
  <c r="E14" i="43"/>
  <c r="G14" i="43" s="1"/>
  <c r="H14" i="43" s="1"/>
  <c r="K14" i="43" s="1"/>
  <c r="L14" i="43" s="1"/>
  <c r="C52" i="43"/>
  <c r="E7" i="43"/>
  <c r="G7" i="43" s="1"/>
  <c r="H7" i="43" s="1"/>
  <c r="K7" i="43" s="1"/>
  <c r="L7" i="43" s="1"/>
  <c r="E8" i="43"/>
  <c r="G8" i="43" s="1"/>
  <c r="H8" i="43" s="1"/>
  <c r="K8" i="43" s="1"/>
  <c r="L8" i="43" s="1"/>
  <c r="U35" i="43" s="1"/>
  <c r="AD30" i="43" s="1"/>
  <c r="E6" i="43"/>
  <c r="G6" i="43" s="1"/>
  <c r="H6" i="43" s="1"/>
  <c r="K6" i="43" s="1"/>
  <c r="L6" i="43" s="1"/>
  <c r="E10" i="43"/>
  <c r="G10" i="43" s="1"/>
  <c r="H10" i="43" s="1"/>
  <c r="K10" i="43" s="1"/>
  <c r="L10" i="43" s="1"/>
  <c r="E12" i="43"/>
  <c r="G12" i="43" s="1"/>
  <c r="H12" i="43" s="1"/>
  <c r="K12" i="43" s="1"/>
  <c r="L12" i="43" s="1"/>
  <c r="E15" i="43"/>
  <c r="G15" i="43" s="1"/>
  <c r="H15" i="43" s="1"/>
  <c r="K15" i="43" s="1"/>
  <c r="L15" i="43" s="1"/>
  <c r="E17" i="43"/>
  <c r="G17" i="43" s="1"/>
  <c r="H17" i="43" s="1"/>
  <c r="K17" i="43" s="1"/>
  <c r="L17" i="43" s="1"/>
  <c r="AM7" i="41"/>
  <c r="AO7" i="41" s="1"/>
  <c r="AP7" i="41" s="1"/>
  <c r="AS7" i="41" s="1"/>
  <c r="AT7" i="41" s="1"/>
  <c r="AM5" i="41"/>
  <c r="AO5" i="41" s="1"/>
  <c r="AP5" i="41" s="1"/>
  <c r="AM6" i="41"/>
  <c r="AO6" i="41" s="1"/>
  <c r="AP6" i="41" s="1"/>
  <c r="AS6" i="41" s="1"/>
  <c r="AT6" i="41" s="1"/>
  <c r="AM8" i="41"/>
  <c r="AO8" i="41" s="1"/>
  <c r="AP8" i="41" s="1"/>
  <c r="AS8" i="41" s="1"/>
  <c r="AT8" i="41" s="1"/>
  <c r="AM9" i="41"/>
  <c r="AO9" i="41" s="1"/>
  <c r="AP9" i="41" s="1"/>
  <c r="AS9" i="41" s="1"/>
  <c r="AT9" i="41" s="1"/>
  <c r="AM10" i="41"/>
  <c r="AO10" i="41" s="1"/>
  <c r="AP10" i="41" s="1"/>
  <c r="AS10" i="41" s="1"/>
  <c r="AT10" i="41" s="1"/>
  <c r="AM12" i="41"/>
  <c r="AO12" i="41" s="1"/>
  <c r="AP12" i="41" s="1"/>
  <c r="AS12" i="41" s="1"/>
  <c r="AT12" i="41" s="1"/>
  <c r="AM11" i="41"/>
  <c r="AO11" i="41" s="1"/>
  <c r="AP11" i="41" s="1"/>
  <c r="AS11" i="41" s="1"/>
  <c r="AT11" i="41" s="1"/>
  <c r="J54" i="30"/>
  <c r="B90" i="30" s="1"/>
  <c r="H54" i="50"/>
  <c r="E88" i="50" s="1"/>
  <c r="J53" i="33"/>
  <c r="B88" i="33" s="1"/>
  <c r="I51" i="33"/>
  <c r="G1" i="32"/>
  <c r="E6" i="32" s="1"/>
  <c r="D52" i="32"/>
  <c r="C52" i="8"/>
  <c r="C53" i="8" s="1"/>
  <c r="E22" i="8"/>
  <c r="G22" i="8" s="1"/>
  <c r="H22" i="8" s="1"/>
  <c r="K22" i="8" s="1"/>
  <c r="L22" i="8" s="1"/>
  <c r="E20" i="8"/>
  <c r="G20" i="8" s="1"/>
  <c r="H20" i="8" s="1"/>
  <c r="K20" i="8" s="1"/>
  <c r="L20" i="8" s="1"/>
  <c r="E19" i="8"/>
  <c r="G19" i="8" s="1"/>
  <c r="H19" i="8" s="1"/>
  <c r="K19" i="8" s="1"/>
  <c r="L19" i="8" s="1"/>
  <c r="E17" i="8"/>
  <c r="G17" i="8" s="1"/>
  <c r="H17" i="8" s="1"/>
  <c r="K17" i="8" s="1"/>
  <c r="L17" i="8" s="1"/>
  <c r="E13" i="8"/>
  <c r="G13" i="8" s="1"/>
  <c r="H13" i="8" s="1"/>
  <c r="K13" i="8" s="1"/>
  <c r="L13" i="8" s="1"/>
  <c r="E12" i="8"/>
  <c r="G12" i="8" s="1"/>
  <c r="H12" i="8" s="1"/>
  <c r="K12" i="8" s="1"/>
  <c r="L12" i="8" s="1"/>
  <c r="E10" i="8"/>
  <c r="G10" i="8" s="1"/>
  <c r="H10" i="8" s="1"/>
  <c r="K10" i="8" s="1"/>
  <c r="L10" i="8" s="1"/>
  <c r="E9" i="8"/>
  <c r="G9" i="8" s="1"/>
  <c r="H9" i="8" s="1"/>
  <c r="K9" i="8" s="1"/>
  <c r="L9" i="8" s="1"/>
  <c r="E6" i="8"/>
  <c r="G6" i="8" s="1"/>
  <c r="H6" i="8" s="1"/>
  <c r="K6" i="8" s="1"/>
  <c r="L6" i="8" s="1"/>
  <c r="E21" i="8"/>
  <c r="G21" i="8" s="1"/>
  <c r="H21" i="8" s="1"/>
  <c r="K21" i="8" s="1"/>
  <c r="L21" i="8" s="1"/>
  <c r="E16" i="8"/>
  <c r="G16" i="8" s="1"/>
  <c r="H16" i="8" s="1"/>
  <c r="K16" i="8" s="1"/>
  <c r="L16" i="8" s="1"/>
  <c r="E23" i="8"/>
  <c r="G23" i="8" s="1"/>
  <c r="H23" i="8" s="1"/>
  <c r="K23" i="8" s="1"/>
  <c r="L23" i="8" s="1"/>
  <c r="E18" i="8"/>
  <c r="G18" i="8" s="1"/>
  <c r="H18" i="8" s="1"/>
  <c r="K18" i="8" s="1"/>
  <c r="L18" i="8" s="1"/>
  <c r="E15" i="8"/>
  <c r="G15" i="8" s="1"/>
  <c r="H15" i="8" s="1"/>
  <c r="K15" i="8" s="1"/>
  <c r="L15" i="8" s="1"/>
  <c r="E14" i="8"/>
  <c r="G14" i="8" s="1"/>
  <c r="H14" i="8" s="1"/>
  <c r="K14" i="8" s="1"/>
  <c r="L14" i="8" s="1"/>
  <c r="E11" i="8"/>
  <c r="G11" i="8" s="1"/>
  <c r="H11" i="8" s="1"/>
  <c r="K11" i="8" s="1"/>
  <c r="L11" i="8" s="1"/>
  <c r="E8" i="8"/>
  <c r="G8" i="8" s="1"/>
  <c r="H8" i="8" s="1"/>
  <c r="K8" i="8" s="1"/>
  <c r="L8" i="8" s="1"/>
  <c r="E7" i="8"/>
  <c r="G7" i="8" s="1"/>
  <c r="H7" i="8" s="1"/>
  <c r="K7" i="8" s="1"/>
  <c r="L7" i="8" s="1"/>
  <c r="E21" i="33"/>
  <c r="G21" i="33" s="1"/>
  <c r="H21" i="33" s="1"/>
  <c r="K21" i="33" s="1"/>
  <c r="L21" i="33" s="1"/>
  <c r="E20" i="33"/>
  <c r="G20" i="33" s="1"/>
  <c r="H20" i="33" s="1"/>
  <c r="K20" i="33" s="1"/>
  <c r="L20" i="33" s="1"/>
  <c r="E22" i="33"/>
  <c r="G22" i="33" s="1"/>
  <c r="H22" i="33" s="1"/>
  <c r="K22" i="33" s="1"/>
  <c r="L22" i="33" s="1"/>
  <c r="E9" i="33"/>
  <c r="G9" i="33" s="1"/>
  <c r="H9" i="33" s="1"/>
  <c r="K9" i="33" s="1"/>
  <c r="L9" i="33" s="1"/>
  <c r="E25" i="33"/>
  <c r="G25" i="33" s="1"/>
  <c r="H25" i="33" s="1"/>
  <c r="K25" i="33" s="1"/>
  <c r="L25" i="33" s="1"/>
  <c r="E8" i="33"/>
  <c r="G8" i="33" s="1"/>
  <c r="H8" i="33" s="1"/>
  <c r="K8" i="33" s="1"/>
  <c r="L8" i="33" s="1"/>
  <c r="C52" i="33"/>
  <c r="E23" i="33"/>
  <c r="G23" i="33" s="1"/>
  <c r="H23" i="33" s="1"/>
  <c r="K23" i="33" s="1"/>
  <c r="L23" i="33" s="1"/>
  <c r="E10" i="33"/>
  <c r="G10" i="33" s="1"/>
  <c r="H10" i="33" s="1"/>
  <c r="K10" i="33" s="1"/>
  <c r="L10" i="33" s="1"/>
  <c r="E17" i="33"/>
  <c r="G17" i="33" s="1"/>
  <c r="H17" i="33" s="1"/>
  <c r="K17" i="33" s="1"/>
  <c r="L17" i="33" s="1"/>
  <c r="E18" i="33"/>
  <c r="G18" i="33" s="1"/>
  <c r="H18" i="33" s="1"/>
  <c r="K18" i="33" s="1"/>
  <c r="L18" i="33" s="1"/>
  <c r="E6" i="33"/>
  <c r="G6" i="33" s="1"/>
  <c r="H6" i="33" s="1"/>
  <c r="K6" i="33" s="1"/>
  <c r="L6" i="33" s="1"/>
  <c r="E14" i="33"/>
  <c r="G14" i="33" s="1"/>
  <c r="H14" i="33" s="1"/>
  <c r="K14" i="33" s="1"/>
  <c r="L14" i="33" s="1"/>
  <c r="E19" i="33"/>
  <c r="G19" i="33" s="1"/>
  <c r="H19" i="33" s="1"/>
  <c r="K19" i="33" s="1"/>
  <c r="L19" i="33" s="1"/>
  <c r="E11" i="33"/>
  <c r="G11" i="33" s="1"/>
  <c r="H11" i="33" s="1"/>
  <c r="K11" i="33" s="1"/>
  <c r="L11" i="33" s="1"/>
  <c r="E15" i="33"/>
  <c r="G15" i="33" s="1"/>
  <c r="H15" i="33" s="1"/>
  <c r="K15" i="33" s="1"/>
  <c r="L15" i="33" s="1"/>
  <c r="E16" i="33"/>
  <c r="G16" i="33" s="1"/>
  <c r="H16" i="33" s="1"/>
  <c r="K16" i="33" s="1"/>
  <c r="L16" i="33" s="1"/>
  <c r="E12" i="33"/>
  <c r="G12" i="33" s="1"/>
  <c r="H12" i="33" s="1"/>
  <c r="K12" i="33" s="1"/>
  <c r="L12" i="33" s="1"/>
  <c r="E7" i="33"/>
  <c r="G7" i="33" s="1"/>
  <c r="H7" i="33" s="1"/>
  <c r="K7" i="33" s="1"/>
  <c r="L7" i="33" s="1"/>
  <c r="E13" i="33"/>
  <c r="G13" i="33" s="1"/>
  <c r="H13" i="33" s="1"/>
  <c r="K13" i="33" s="1"/>
  <c r="L13" i="33" s="1"/>
  <c r="E24" i="33"/>
  <c r="G24" i="33" s="1"/>
  <c r="H24" i="33" s="1"/>
  <c r="K24" i="33" s="1"/>
  <c r="L24" i="33" s="1"/>
  <c r="E8" i="26"/>
  <c r="G8" i="26" s="1"/>
  <c r="H8" i="26" s="1"/>
  <c r="K8" i="26" s="1"/>
  <c r="L8" i="26" s="1"/>
  <c r="E15" i="26"/>
  <c r="G15" i="26" s="1"/>
  <c r="H15" i="26" s="1"/>
  <c r="K15" i="26" s="1"/>
  <c r="L15" i="26" s="1"/>
  <c r="E19" i="26"/>
  <c r="G19" i="26" s="1"/>
  <c r="H19" i="26" s="1"/>
  <c r="K19" i="26" s="1"/>
  <c r="L19" i="26" s="1"/>
  <c r="E16" i="26"/>
  <c r="G16" i="26" s="1"/>
  <c r="H16" i="26" s="1"/>
  <c r="K16" i="26" s="1"/>
  <c r="L16" i="26" s="1"/>
  <c r="E7" i="26"/>
  <c r="G7" i="26" s="1"/>
  <c r="H7" i="26" s="1"/>
  <c r="K7" i="26" s="1"/>
  <c r="L7" i="26" s="1"/>
  <c r="E6" i="26"/>
  <c r="G6" i="26" s="1"/>
  <c r="H6" i="26" s="1"/>
  <c r="K6" i="26" s="1"/>
  <c r="L6" i="26" s="1"/>
  <c r="C52" i="26"/>
  <c r="C53" i="26" s="1"/>
  <c r="E12" i="26"/>
  <c r="G12" i="26" s="1"/>
  <c r="H12" i="26" s="1"/>
  <c r="K12" i="26" s="1"/>
  <c r="L12" i="26" s="1"/>
  <c r="E14" i="26"/>
  <c r="G14" i="26" s="1"/>
  <c r="H14" i="26" s="1"/>
  <c r="K14" i="26" s="1"/>
  <c r="L14" i="26" s="1"/>
  <c r="E17" i="26"/>
  <c r="G17" i="26" s="1"/>
  <c r="H17" i="26" s="1"/>
  <c r="K17" i="26" s="1"/>
  <c r="L17" i="26" s="1"/>
  <c r="E9" i="26"/>
  <c r="G9" i="26" s="1"/>
  <c r="H9" i="26" s="1"/>
  <c r="K9" i="26" s="1"/>
  <c r="L9" i="26" s="1"/>
  <c r="E11" i="26"/>
  <c r="G11" i="26" s="1"/>
  <c r="H11" i="26" s="1"/>
  <c r="K11" i="26" s="1"/>
  <c r="L11" i="26" s="1"/>
  <c r="E13" i="26"/>
  <c r="G13" i="26" s="1"/>
  <c r="H13" i="26" s="1"/>
  <c r="K13" i="26" s="1"/>
  <c r="L13" i="26" s="1"/>
  <c r="E18" i="26"/>
  <c r="G18" i="26" s="1"/>
  <c r="H18" i="26" s="1"/>
  <c r="K18" i="26" s="1"/>
  <c r="L18" i="26" s="1"/>
  <c r="E10" i="26"/>
  <c r="G10" i="26" s="1"/>
  <c r="H10" i="26" s="1"/>
  <c r="K10" i="26" s="1"/>
  <c r="L10" i="26" s="1"/>
  <c r="J54" i="23"/>
  <c r="B100" i="23" s="1"/>
  <c r="E10" i="16"/>
  <c r="G10" i="16" s="1"/>
  <c r="H10" i="16" s="1"/>
  <c r="K10" i="16" s="1"/>
  <c r="L10" i="16" s="1"/>
  <c r="C52" i="16"/>
  <c r="E5" i="16"/>
  <c r="G5" i="16" s="1"/>
  <c r="H5" i="16" s="1"/>
  <c r="K5" i="16" s="1"/>
  <c r="L5" i="16" s="1"/>
  <c r="S35" i="16" s="1"/>
  <c r="E7" i="16"/>
  <c r="G7" i="16" s="1"/>
  <c r="H7" i="16" s="1"/>
  <c r="K7" i="16" s="1"/>
  <c r="L7" i="16" s="1"/>
  <c r="G5" i="10"/>
  <c r="I54" i="10"/>
  <c r="L5" i="10"/>
  <c r="J55" i="10"/>
  <c r="B95" i="10" s="1"/>
  <c r="H52" i="10"/>
  <c r="J53" i="7"/>
  <c r="B81" i="7" s="1"/>
  <c r="I51" i="7"/>
  <c r="D5" i="69"/>
  <c r="J54" i="9"/>
  <c r="AM10" i="25"/>
  <c r="AO10" i="25" s="1"/>
  <c r="AP10" i="25" s="1"/>
  <c r="AS10" i="25" s="1"/>
  <c r="AT10" i="25" s="1"/>
  <c r="AM12" i="25"/>
  <c r="AO12" i="25" s="1"/>
  <c r="AP12" i="25" s="1"/>
  <c r="AS12" i="25" s="1"/>
  <c r="AT12" i="25" s="1"/>
  <c r="AM5" i="25"/>
  <c r="AO5" i="25" s="1"/>
  <c r="AP5" i="25" s="1"/>
  <c r="AM11" i="25"/>
  <c r="AO11" i="25" s="1"/>
  <c r="AP11" i="25" s="1"/>
  <c r="AS11" i="25" s="1"/>
  <c r="AT11" i="25" s="1"/>
  <c r="AM15" i="25"/>
  <c r="AO15" i="25" s="1"/>
  <c r="AP15" i="25" s="1"/>
  <c r="AS15" i="25" s="1"/>
  <c r="AT15" i="25" s="1"/>
  <c r="E8" i="25"/>
  <c r="E7" i="25"/>
  <c r="E6" i="25"/>
  <c r="G5" i="51"/>
  <c r="H52" i="51"/>
  <c r="I53" i="51"/>
  <c r="J54" i="51"/>
  <c r="B98" i="51" s="1"/>
  <c r="H98" i="51" s="1"/>
  <c r="I52" i="60"/>
  <c r="J53" i="60"/>
  <c r="B79" i="60" s="1"/>
  <c r="AM8" i="60"/>
  <c r="AO8" i="60" s="1"/>
  <c r="AP8" i="60" s="1"/>
  <c r="AS8" i="60" s="1"/>
  <c r="AT8" i="60" s="1"/>
  <c r="AM7" i="60"/>
  <c r="AO7" i="60" s="1"/>
  <c r="AP7" i="60" s="1"/>
  <c r="AS7" i="60" s="1"/>
  <c r="AT7" i="60" s="1"/>
  <c r="AM5" i="60"/>
  <c r="AO5" i="60" s="1"/>
  <c r="AP5" i="60" s="1"/>
  <c r="AM12" i="60"/>
  <c r="AO12" i="60" s="1"/>
  <c r="AP12" i="60" s="1"/>
  <c r="AS12" i="60" s="1"/>
  <c r="AT12" i="60" s="1"/>
  <c r="AM11" i="60"/>
  <c r="AO11" i="60" s="1"/>
  <c r="AP11" i="60" s="1"/>
  <c r="AS11" i="60" s="1"/>
  <c r="AT11" i="60" s="1"/>
  <c r="AM10" i="60"/>
  <c r="AO10" i="60" s="1"/>
  <c r="AP10" i="60" s="1"/>
  <c r="AS10" i="60" s="1"/>
  <c r="AT10" i="60" s="1"/>
  <c r="AM13" i="60"/>
  <c r="AO13" i="60" s="1"/>
  <c r="AP13" i="60" s="1"/>
  <c r="AS13" i="60" s="1"/>
  <c r="AT13" i="60" s="1"/>
  <c r="AM6" i="60"/>
  <c r="AO6" i="60" s="1"/>
  <c r="AP6" i="60" s="1"/>
  <c r="AS6" i="60" s="1"/>
  <c r="AT6" i="60" s="1"/>
  <c r="AM9" i="60"/>
  <c r="AO9" i="60" s="1"/>
  <c r="AP9" i="60" s="1"/>
  <c r="AS9" i="60" s="1"/>
  <c r="AT9" i="60" s="1"/>
  <c r="AM14" i="60"/>
  <c r="AO14" i="60" s="1"/>
  <c r="AP14" i="60" s="1"/>
  <c r="AS14" i="60" s="1"/>
  <c r="AT14" i="60" s="1"/>
  <c r="G1" i="60"/>
  <c r="I1" i="60" s="1"/>
  <c r="D52" i="60"/>
  <c r="C53" i="50"/>
  <c r="J54" i="35"/>
  <c r="B81" i="35" s="1"/>
  <c r="H81" i="35" s="1"/>
  <c r="I53" i="35"/>
  <c r="G5" i="35"/>
  <c r="H52" i="35"/>
  <c r="I52" i="25"/>
  <c r="J53" i="25"/>
  <c r="AM13" i="25"/>
  <c r="AO13" i="25" s="1"/>
  <c r="AP13" i="25" s="1"/>
  <c r="AS13" i="25" s="1"/>
  <c r="AT13" i="25" s="1"/>
  <c r="AM16" i="25"/>
  <c r="AO16" i="25" s="1"/>
  <c r="AP16" i="25" s="1"/>
  <c r="AS16" i="25" s="1"/>
  <c r="AT16" i="25" s="1"/>
  <c r="AM8" i="25"/>
  <c r="AO8" i="25" s="1"/>
  <c r="AP8" i="25" s="1"/>
  <c r="AS8" i="25" s="1"/>
  <c r="AT8" i="25" s="1"/>
  <c r="AM9" i="25"/>
  <c r="AO9" i="25" s="1"/>
  <c r="AP9" i="25" s="1"/>
  <c r="AS9" i="25" s="1"/>
  <c r="AT9" i="25" s="1"/>
  <c r="AM7" i="25"/>
  <c r="AO7" i="25" s="1"/>
  <c r="AP7" i="25" s="1"/>
  <c r="AS7" i="25" s="1"/>
  <c r="AT7" i="25" s="1"/>
  <c r="AM6" i="25"/>
  <c r="AO6" i="25" s="1"/>
  <c r="AP6" i="25" s="1"/>
  <c r="AS6" i="25" s="1"/>
  <c r="AT6" i="25" s="1"/>
  <c r="AM14" i="25"/>
  <c r="AO14" i="25" s="1"/>
  <c r="AP14" i="25" s="1"/>
  <c r="AS14" i="25" s="1"/>
  <c r="AT14" i="25" s="1"/>
  <c r="E8" i="79"/>
  <c r="E7" i="79"/>
  <c r="E9" i="79"/>
  <c r="E6" i="79"/>
  <c r="G5" i="79"/>
  <c r="H5" i="79" s="1"/>
  <c r="K5" i="79" s="1"/>
  <c r="L5" i="79" s="1"/>
  <c r="S35" i="79" s="1"/>
  <c r="I1" i="79"/>
  <c r="I54" i="32"/>
  <c r="J55" i="32"/>
  <c r="I55" i="32" s="1"/>
  <c r="E6" i="68"/>
  <c r="G6" i="68" s="1"/>
  <c r="H6" i="68" s="1"/>
  <c r="K6" i="68" s="1"/>
  <c r="L6" i="68" s="1"/>
  <c r="E8" i="68"/>
  <c r="G8" i="68" s="1"/>
  <c r="H8" i="68" s="1"/>
  <c r="K8" i="68" s="1"/>
  <c r="L8" i="68" s="1"/>
  <c r="E13" i="68"/>
  <c r="G13" i="68" s="1"/>
  <c r="H13" i="68" s="1"/>
  <c r="K13" i="68" s="1"/>
  <c r="L13" i="68" s="1"/>
  <c r="E11" i="68"/>
  <c r="G11" i="68" s="1"/>
  <c r="H11" i="68" s="1"/>
  <c r="K11" i="68" s="1"/>
  <c r="L11" i="68" s="1"/>
  <c r="E9" i="68"/>
  <c r="G9" i="68" s="1"/>
  <c r="H9" i="68" s="1"/>
  <c r="K9" i="68" s="1"/>
  <c r="L9" i="68" s="1"/>
  <c r="E10" i="68"/>
  <c r="G10" i="68" s="1"/>
  <c r="H10" i="68" s="1"/>
  <c r="K10" i="68" s="1"/>
  <c r="L10" i="68" s="1"/>
  <c r="E12" i="68"/>
  <c r="G12" i="68" s="1"/>
  <c r="H12" i="68" s="1"/>
  <c r="K12" i="68" s="1"/>
  <c r="L12" i="68" s="1"/>
  <c r="E7" i="68"/>
  <c r="G7" i="68" s="1"/>
  <c r="H7" i="68" s="1"/>
  <c r="K7" i="68" s="1"/>
  <c r="L7" i="68" s="1"/>
  <c r="I54" i="50"/>
  <c r="J55" i="50"/>
  <c r="D52" i="55"/>
  <c r="B76" i="55" s="1"/>
  <c r="G1" i="55"/>
  <c r="G1" i="54"/>
  <c r="D52" i="54"/>
  <c r="B73" i="54" s="1"/>
  <c r="C52" i="39"/>
  <c r="I1" i="39"/>
  <c r="D52" i="38"/>
  <c r="B73" i="38" s="1"/>
  <c r="G1" i="38"/>
  <c r="G1" i="31"/>
  <c r="E19" i="27"/>
  <c r="G19" i="27" s="1"/>
  <c r="H19" i="27" s="1"/>
  <c r="K19" i="27" s="1"/>
  <c r="L19" i="27" s="1"/>
  <c r="E15" i="27"/>
  <c r="G15" i="27" s="1"/>
  <c r="H15" i="27" s="1"/>
  <c r="K15" i="27" s="1"/>
  <c r="L15" i="27" s="1"/>
  <c r="E14" i="27"/>
  <c r="G14" i="27" s="1"/>
  <c r="H14" i="27" s="1"/>
  <c r="K14" i="27" s="1"/>
  <c r="L14" i="27" s="1"/>
  <c r="E18" i="27"/>
  <c r="G18" i="27" s="1"/>
  <c r="H18" i="27" s="1"/>
  <c r="K18" i="27" s="1"/>
  <c r="L18" i="27" s="1"/>
  <c r="E17" i="27"/>
  <c r="G17" i="27" s="1"/>
  <c r="H17" i="27" s="1"/>
  <c r="K17" i="27" s="1"/>
  <c r="L17" i="27" s="1"/>
  <c r="E13" i="27"/>
  <c r="G13" i="27" s="1"/>
  <c r="H13" i="27" s="1"/>
  <c r="K13" i="27" s="1"/>
  <c r="L13" i="27" s="1"/>
  <c r="E11" i="27"/>
  <c r="G11" i="27" s="1"/>
  <c r="H11" i="27" s="1"/>
  <c r="K11" i="27" s="1"/>
  <c r="L11" i="27" s="1"/>
  <c r="E10" i="27"/>
  <c r="G10" i="27" s="1"/>
  <c r="H10" i="27" s="1"/>
  <c r="K10" i="27" s="1"/>
  <c r="L10" i="27" s="1"/>
  <c r="E8" i="27"/>
  <c r="G8" i="27" s="1"/>
  <c r="H8" i="27" s="1"/>
  <c r="K8" i="27" s="1"/>
  <c r="L8" i="27" s="1"/>
  <c r="E5" i="27"/>
  <c r="G5" i="27" s="1"/>
  <c r="H5" i="27" s="1"/>
  <c r="K5" i="27" s="1"/>
  <c r="L5" i="27" s="1"/>
  <c r="S35" i="27" s="1"/>
  <c r="AA30" i="27" s="1"/>
  <c r="C52" i="27"/>
  <c r="C53" i="27" s="1"/>
  <c r="E12" i="27"/>
  <c r="G12" i="27" s="1"/>
  <c r="H12" i="27" s="1"/>
  <c r="K12" i="27" s="1"/>
  <c r="L12" i="27" s="1"/>
  <c r="E16" i="27"/>
  <c r="G16" i="27" s="1"/>
  <c r="H16" i="27" s="1"/>
  <c r="K16" i="27" s="1"/>
  <c r="L16" i="27" s="1"/>
  <c r="E9" i="27"/>
  <c r="G9" i="27" s="1"/>
  <c r="H9" i="27" s="1"/>
  <c r="K9" i="27" s="1"/>
  <c r="L9" i="27" s="1"/>
  <c r="E7" i="27"/>
  <c r="G7" i="27" s="1"/>
  <c r="H7" i="27" s="1"/>
  <c r="K7" i="27" s="1"/>
  <c r="L7" i="27" s="1"/>
  <c r="E6" i="27"/>
  <c r="G6" i="27" s="1"/>
  <c r="H6" i="27" s="1"/>
  <c r="K6" i="27" s="1"/>
  <c r="L6" i="27" s="1"/>
  <c r="I54" i="27"/>
  <c r="J55" i="27"/>
  <c r="I55" i="27" s="1"/>
  <c r="J55" i="16"/>
  <c r="I54" i="16"/>
  <c r="D52" i="14"/>
  <c r="B73" i="14" s="1"/>
  <c r="G1" i="14"/>
  <c r="G1" i="13"/>
  <c r="D52" i="13"/>
  <c r="B75" i="13" s="1"/>
  <c r="E8" i="12"/>
  <c r="G8" i="12" s="1"/>
  <c r="H8" i="12" s="1"/>
  <c r="K8" i="12" s="1"/>
  <c r="L8" i="12" s="1"/>
  <c r="E13" i="12"/>
  <c r="G13" i="12" s="1"/>
  <c r="H13" i="12" s="1"/>
  <c r="K13" i="12" s="1"/>
  <c r="L13" i="12" s="1"/>
  <c r="E11" i="12"/>
  <c r="G11" i="12" s="1"/>
  <c r="H11" i="12" s="1"/>
  <c r="K11" i="12" s="1"/>
  <c r="L11" i="12" s="1"/>
  <c r="E6" i="12"/>
  <c r="G6" i="12" s="1"/>
  <c r="H6" i="12" s="1"/>
  <c r="K6" i="12" s="1"/>
  <c r="L6" i="12" s="1"/>
  <c r="C52" i="12"/>
  <c r="E9" i="12"/>
  <c r="G9" i="12" s="1"/>
  <c r="H9" i="12" s="1"/>
  <c r="K9" i="12" s="1"/>
  <c r="L9" i="12" s="1"/>
  <c r="E12" i="12"/>
  <c r="G12" i="12" s="1"/>
  <c r="H12" i="12" s="1"/>
  <c r="K12" i="12" s="1"/>
  <c r="L12" i="12" s="1"/>
  <c r="E7" i="12"/>
  <c r="G7" i="12" s="1"/>
  <c r="H7" i="12" s="1"/>
  <c r="K7" i="12" s="1"/>
  <c r="L7" i="12" s="1"/>
  <c r="E10" i="12"/>
  <c r="G10" i="12" s="1"/>
  <c r="H10" i="12" s="1"/>
  <c r="K10" i="12" s="1"/>
  <c r="L10" i="12" s="1"/>
  <c r="D52" i="37"/>
  <c r="G1" i="37"/>
  <c r="I1" i="37" s="1"/>
  <c r="H53" i="30"/>
  <c r="E65" i="30" s="1"/>
  <c r="E5" i="30"/>
  <c r="G5" i="30" s="1"/>
  <c r="H5" i="30" s="1"/>
  <c r="I53" i="30"/>
  <c r="I53" i="23"/>
  <c r="H52" i="23"/>
  <c r="G5" i="23"/>
  <c r="G5" i="21"/>
  <c r="H5" i="21" s="1"/>
  <c r="K5" i="21" s="1"/>
  <c r="L5" i="21" s="1"/>
  <c r="S35" i="21" s="1"/>
  <c r="H53" i="21"/>
  <c r="E65" i="21" s="1"/>
  <c r="G65" i="21" s="1"/>
  <c r="H65" i="21" s="1"/>
  <c r="C53" i="20"/>
  <c r="E14" i="19"/>
  <c r="G14" i="19" s="1"/>
  <c r="H14" i="19" s="1"/>
  <c r="K14" i="19" s="1"/>
  <c r="L14" i="19" s="1"/>
  <c r="E13" i="19"/>
  <c r="G13" i="19" s="1"/>
  <c r="H13" i="19" s="1"/>
  <c r="K13" i="19" s="1"/>
  <c r="L13" i="19" s="1"/>
  <c r="E6" i="19"/>
  <c r="G6" i="19" s="1"/>
  <c r="H6" i="19" s="1"/>
  <c r="K6" i="19" s="1"/>
  <c r="L6" i="19" s="1"/>
  <c r="E9" i="19"/>
  <c r="G9" i="19" s="1"/>
  <c r="H9" i="19" s="1"/>
  <c r="K9" i="19" s="1"/>
  <c r="L9" i="19" s="1"/>
  <c r="E16" i="19"/>
  <c r="G16" i="19" s="1"/>
  <c r="H16" i="19" s="1"/>
  <c r="K16" i="19" s="1"/>
  <c r="L16" i="19" s="1"/>
  <c r="C52" i="19"/>
  <c r="E15" i="19"/>
  <c r="G15" i="19" s="1"/>
  <c r="H15" i="19" s="1"/>
  <c r="K15" i="19" s="1"/>
  <c r="L15" i="19" s="1"/>
  <c r="E8" i="19"/>
  <c r="G8" i="19" s="1"/>
  <c r="H8" i="19" s="1"/>
  <c r="K8" i="19" s="1"/>
  <c r="L8" i="19" s="1"/>
  <c r="E7" i="19"/>
  <c r="G7" i="19" s="1"/>
  <c r="H7" i="19" s="1"/>
  <c r="K7" i="19" s="1"/>
  <c r="L7" i="19" s="1"/>
  <c r="E12" i="19"/>
  <c r="G12" i="19" s="1"/>
  <c r="H12" i="19" s="1"/>
  <c r="K12" i="19" s="1"/>
  <c r="L12" i="19" s="1"/>
  <c r="E10" i="19"/>
  <c r="G10" i="19" s="1"/>
  <c r="H10" i="19" s="1"/>
  <c r="K10" i="19" s="1"/>
  <c r="L10" i="19" s="1"/>
  <c r="E17" i="19"/>
  <c r="G17" i="19" s="1"/>
  <c r="H17" i="19" s="1"/>
  <c r="K17" i="19" s="1"/>
  <c r="L17" i="19" s="1"/>
  <c r="E11" i="19"/>
  <c r="G11" i="19" s="1"/>
  <c r="H11" i="19" s="1"/>
  <c r="K11" i="19" s="1"/>
  <c r="L11" i="19" s="1"/>
  <c r="C53" i="7"/>
  <c r="I51" i="45"/>
  <c r="D5" i="45" s="1"/>
  <c r="J53" i="45"/>
  <c r="B82" i="45" s="1"/>
  <c r="E17" i="3"/>
  <c r="G17" i="3" s="1"/>
  <c r="H17" i="3" s="1"/>
  <c r="K17" i="3" s="1"/>
  <c r="L17" i="3" s="1"/>
  <c r="E22" i="3"/>
  <c r="G22" i="3" s="1"/>
  <c r="H22" i="3" s="1"/>
  <c r="K22" i="3" s="1"/>
  <c r="L22" i="3" s="1"/>
  <c r="E20" i="3"/>
  <c r="G20" i="3" s="1"/>
  <c r="H20" i="3" s="1"/>
  <c r="K20" i="3" s="1"/>
  <c r="L20" i="3" s="1"/>
  <c r="E16" i="3"/>
  <c r="G16" i="3" s="1"/>
  <c r="H16" i="3" s="1"/>
  <c r="K16" i="3" s="1"/>
  <c r="L16" i="3" s="1"/>
  <c r="E14" i="3"/>
  <c r="G14" i="3" s="1"/>
  <c r="H14" i="3" s="1"/>
  <c r="K14" i="3" s="1"/>
  <c r="L14" i="3" s="1"/>
  <c r="E12" i="3"/>
  <c r="G12" i="3" s="1"/>
  <c r="H12" i="3" s="1"/>
  <c r="K12" i="3" s="1"/>
  <c r="L12" i="3" s="1"/>
  <c r="E10" i="3"/>
  <c r="G10" i="3" s="1"/>
  <c r="H10" i="3" s="1"/>
  <c r="K10" i="3" s="1"/>
  <c r="L10" i="3" s="1"/>
  <c r="E9" i="3"/>
  <c r="G9" i="3" s="1"/>
  <c r="H9" i="3" s="1"/>
  <c r="K9" i="3" s="1"/>
  <c r="L9" i="3" s="1"/>
  <c r="E8" i="3"/>
  <c r="G8" i="3" s="1"/>
  <c r="H8" i="3" s="1"/>
  <c r="K8" i="3" s="1"/>
  <c r="L8" i="3" s="1"/>
  <c r="E7" i="3"/>
  <c r="G7" i="3" s="1"/>
  <c r="H7" i="3" s="1"/>
  <c r="K7" i="3" s="1"/>
  <c r="L7" i="3" s="1"/>
  <c r="E6" i="3"/>
  <c r="G6" i="3" s="1"/>
  <c r="H6" i="3" s="1"/>
  <c r="K6" i="3" s="1"/>
  <c r="L6" i="3" s="1"/>
  <c r="E18" i="3"/>
  <c r="G18" i="3" s="1"/>
  <c r="H18" i="3" s="1"/>
  <c r="K18" i="3" s="1"/>
  <c r="L18" i="3" s="1"/>
  <c r="C52" i="3"/>
  <c r="E21" i="3"/>
  <c r="G21" i="3" s="1"/>
  <c r="H21" i="3" s="1"/>
  <c r="K21" i="3" s="1"/>
  <c r="L21" i="3" s="1"/>
  <c r="E15" i="3"/>
  <c r="G15" i="3" s="1"/>
  <c r="H15" i="3" s="1"/>
  <c r="K15" i="3" s="1"/>
  <c r="L15" i="3" s="1"/>
  <c r="E13" i="3"/>
  <c r="G13" i="3" s="1"/>
  <c r="H13" i="3" s="1"/>
  <c r="K13" i="3" s="1"/>
  <c r="L13" i="3" s="1"/>
  <c r="E11" i="3"/>
  <c r="G11" i="3" s="1"/>
  <c r="H11" i="3" s="1"/>
  <c r="K11" i="3" s="1"/>
  <c r="L11" i="3" s="1"/>
  <c r="E19" i="3"/>
  <c r="G19" i="3" s="1"/>
  <c r="H19" i="3" s="1"/>
  <c r="K19" i="3" s="1"/>
  <c r="L19" i="3" s="1"/>
  <c r="I53" i="6"/>
  <c r="E11" i="6"/>
  <c r="G11" i="6" s="1"/>
  <c r="H11" i="6" s="1"/>
  <c r="K11" i="6" s="1"/>
  <c r="L11" i="6" s="1"/>
  <c r="E10" i="6"/>
  <c r="G10" i="6" s="1"/>
  <c r="H10" i="6" s="1"/>
  <c r="K10" i="6" s="1"/>
  <c r="L10" i="6" s="1"/>
  <c r="E9" i="6"/>
  <c r="G9" i="6" s="1"/>
  <c r="H9" i="6" s="1"/>
  <c r="K9" i="6" s="1"/>
  <c r="L9" i="6" s="1"/>
  <c r="E8" i="6"/>
  <c r="G8" i="6" s="1"/>
  <c r="H8" i="6" s="1"/>
  <c r="K8" i="6" s="1"/>
  <c r="L8" i="6" s="1"/>
  <c r="E7" i="6"/>
  <c r="G7" i="6" s="1"/>
  <c r="H7" i="6" s="1"/>
  <c r="K7" i="6" s="1"/>
  <c r="L7" i="6" s="1"/>
  <c r="E6" i="6"/>
  <c r="G6" i="6" s="1"/>
  <c r="H6" i="6" s="1"/>
  <c r="K6" i="6" s="1"/>
  <c r="L6" i="6" s="1"/>
  <c r="C52" i="6"/>
  <c r="J54" i="6"/>
  <c r="B86" i="6" s="1"/>
  <c r="I53" i="9"/>
  <c r="H53" i="9"/>
  <c r="E5" i="9"/>
  <c r="G5" i="9" s="1"/>
  <c r="H5" i="9" s="1"/>
  <c r="K5" i="9" s="1"/>
  <c r="L5" i="9" s="1"/>
  <c r="S35" i="9" s="1"/>
  <c r="C53" i="9"/>
  <c r="D53" i="9" s="1"/>
  <c r="D52" i="70"/>
  <c r="G1" i="70"/>
  <c r="I1" i="70" s="1"/>
  <c r="E24" i="70" s="1"/>
  <c r="G24" i="70" s="1"/>
  <c r="H24" i="70" s="1"/>
  <c r="K24" i="70" s="1"/>
  <c r="L24" i="70" s="1"/>
  <c r="I53" i="66"/>
  <c r="J54" i="66"/>
  <c r="B90" i="66" s="1"/>
  <c r="H90" i="66" s="1"/>
  <c r="E22" i="69"/>
  <c r="G22" i="69" s="1"/>
  <c r="H22" i="69" s="1"/>
  <c r="K22" i="69" s="1"/>
  <c r="L22" i="69" s="1"/>
  <c r="E10" i="69"/>
  <c r="G10" i="69" s="1"/>
  <c r="H10" i="69" s="1"/>
  <c r="K10" i="69" s="1"/>
  <c r="L10" i="69" s="1"/>
  <c r="E20" i="69"/>
  <c r="G20" i="69" s="1"/>
  <c r="H20" i="69" s="1"/>
  <c r="K20" i="69" s="1"/>
  <c r="L20" i="69" s="1"/>
  <c r="E16" i="69"/>
  <c r="G16" i="69" s="1"/>
  <c r="H16" i="69" s="1"/>
  <c r="K16" i="69" s="1"/>
  <c r="L16" i="69" s="1"/>
  <c r="E13" i="69"/>
  <c r="G13" i="69" s="1"/>
  <c r="H13" i="69" s="1"/>
  <c r="K13" i="69" s="1"/>
  <c r="L13" i="69" s="1"/>
  <c r="E11" i="69"/>
  <c r="G11" i="69" s="1"/>
  <c r="H11" i="69" s="1"/>
  <c r="K11" i="69" s="1"/>
  <c r="L11" i="69" s="1"/>
  <c r="E7" i="69"/>
  <c r="G7" i="69" s="1"/>
  <c r="H7" i="69" s="1"/>
  <c r="K7" i="69" s="1"/>
  <c r="L7" i="69" s="1"/>
  <c r="E6" i="69"/>
  <c r="G6" i="69" s="1"/>
  <c r="H6" i="69" s="1"/>
  <c r="K6" i="69" s="1"/>
  <c r="L6" i="69" s="1"/>
  <c r="C52" i="69"/>
  <c r="C53" i="69" s="1"/>
  <c r="D53" i="69" s="1"/>
  <c r="E19" i="69"/>
  <c r="G19" i="69" s="1"/>
  <c r="H19" i="69" s="1"/>
  <c r="K19" i="69" s="1"/>
  <c r="L19" i="69" s="1"/>
  <c r="E17" i="69"/>
  <c r="G17" i="69" s="1"/>
  <c r="H17" i="69" s="1"/>
  <c r="K17" i="69" s="1"/>
  <c r="L17" i="69" s="1"/>
  <c r="E14" i="69"/>
  <c r="G14" i="69" s="1"/>
  <c r="H14" i="69" s="1"/>
  <c r="K14" i="69" s="1"/>
  <c r="L14" i="69" s="1"/>
  <c r="E12" i="69"/>
  <c r="G12" i="69" s="1"/>
  <c r="H12" i="69" s="1"/>
  <c r="K12" i="69" s="1"/>
  <c r="L12" i="69" s="1"/>
  <c r="E9" i="69"/>
  <c r="G9" i="69" s="1"/>
  <c r="H9" i="69" s="1"/>
  <c r="K9" i="69" s="1"/>
  <c r="L9" i="69" s="1"/>
  <c r="E8" i="69"/>
  <c r="G8" i="69" s="1"/>
  <c r="H8" i="69" s="1"/>
  <c r="K8" i="69" s="1"/>
  <c r="L8" i="69" s="1"/>
  <c r="E18" i="69"/>
  <c r="G18" i="69" s="1"/>
  <c r="H18" i="69" s="1"/>
  <c r="K18" i="69" s="1"/>
  <c r="L18" i="69" s="1"/>
  <c r="E15" i="69"/>
  <c r="G15" i="69" s="1"/>
  <c r="H15" i="69" s="1"/>
  <c r="K15" i="69" s="1"/>
  <c r="L15" i="69" s="1"/>
  <c r="E21" i="69"/>
  <c r="G21" i="69" s="1"/>
  <c r="H21" i="69" s="1"/>
  <c r="K21" i="69" s="1"/>
  <c r="L21" i="69" s="1"/>
  <c r="AA30" i="36" l="1"/>
  <c r="AC30" i="36" s="1"/>
  <c r="AC25" i="36" s="1"/>
  <c r="G6" i="67"/>
  <c r="H6" i="67" s="1"/>
  <c r="K6" i="67" s="1"/>
  <c r="L6" i="67" s="1"/>
  <c r="E66" i="67"/>
  <c r="G66" i="67" s="1"/>
  <c r="H66" i="67" s="1"/>
  <c r="G11" i="67"/>
  <c r="H11" i="67" s="1"/>
  <c r="K11" i="67" s="1"/>
  <c r="L11" i="67" s="1"/>
  <c r="E71" i="67"/>
  <c r="G71" i="67" s="1"/>
  <c r="H71" i="67" s="1"/>
  <c r="G8" i="67"/>
  <c r="H8" i="67" s="1"/>
  <c r="K8" i="67" s="1"/>
  <c r="L8" i="67" s="1"/>
  <c r="E68" i="67"/>
  <c r="G68" i="67" s="1"/>
  <c r="H68" i="67" s="1"/>
  <c r="G7" i="67"/>
  <c r="H7" i="67" s="1"/>
  <c r="K7" i="67" s="1"/>
  <c r="L7" i="67" s="1"/>
  <c r="E67" i="67"/>
  <c r="G67" i="67" s="1"/>
  <c r="H67" i="67" s="1"/>
  <c r="G12" i="67"/>
  <c r="H12" i="67" s="1"/>
  <c r="K12" i="67" s="1"/>
  <c r="L12" i="67" s="1"/>
  <c r="E72" i="67"/>
  <c r="G72" i="67" s="1"/>
  <c r="H72" i="67" s="1"/>
  <c r="G10" i="67"/>
  <c r="H10" i="67" s="1"/>
  <c r="K10" i="67" s="1"/>
  <c r="L10" i="67" s="1"/>
  <c r="E70" i="67"/>
  <c r="G70" i="67" s="1"/>
  <c r="H70" i="67" s="1"/>
  <c r="G14" i="67"/>
  <c r="H14" i="67" s="1"/>
  <c r="K14" i="67" s="1"/>
  <c r="L14" i="67" s="1"/>
  <c r="E74" i="67"/>
  <c r="G74" i="67" s="1"/>
  <c r="H74" i="67" s="1"/>
  <c r="G15" i="67"/>
  <c r="H15" i="67" s="1"/>
  <c r="K15" i="67" s="1"/>
  <c r="L15" i="67" s="1"/>
  <c r="E75" i="67"/>
  <c r="G75" i="67" s="1"/>
  <c r="H75" i="67" s="1"/>
  <c r="G13" i="67"/>
  <c r="H13" i="67" s="1"/>
  <c r="K13" i="67" s="1"/>
  <c r="L13" i="67" s="1"/>
  <c r="E73" i="67"/>
  <c r="G73" i="67" s="1"/>
  <c r="H73" i="67" s="1"/>
  <c r="G9" i="67"/>
  <c r="H9" i="67" s="1"/>
  <c r="K9" i="67" s="1"/>
  <c r="L9" i="67" s="1"/>
  <c r="E69" i="67"/>
  <c r="G69" i="67" s="1"/>
  <c r="H69" i="67" s="1"/>
  <c r="G8" i="79"/>
  <c r="H8" i="79" s="1"/>
  <c r="K8" i="79" s="1"/>
  <c r="L8" i="79" s="1"/>
  <c r="E68" i="79"/>
  <c r="G68" i="79" s="1"/>
  <c r="H68" i="79" s="1"/>
  <c r="G6" i="79"/>
  <c r="H6" i="79" s="1"/>
  <c r="K6" i="79" s="1"/>
  <c r="L6" i="79" s="1"/>
  <c r="E66" i="79"/>
  <c r="G66" i="79" s="1"/>
  <c r="H66" i="79" s="1"/>
  <c r="G7" i="79"/>
  <c r="H7" i="79" s="1"/>
  <c r="K7" i="79" s="1"/>
  <c r="L7" i="79" s="1"/>
  <c r="E67" i="79"/>
  <c r="G67" i="79" s="1"/>
  <c r="H67" i="79" s="1"/>
  <c r="G9" i="79"/>
  <c r="H9" i="79" s="1"/>
  <c r="K9" i="79" s="1"/>
  <c r="L9" i="79" s="1"/>
  <c r="E69" i="79"/>
  <c r="G69" i="79" s="1"/>
  <c r="H69" i="79" s="1"/>
  <c r="G6" i="25"/>
  <c r="H6" i="25" s="1"/>
  <c r="K6" i="25" s="1"/>
  <c r="L6" i="25" s="1"/>
  <c r="E66" i="25"/>
  <c r="G66" i="25" s="1"/>
  <c r="H66" i="25" s="1"/>
  <c r="G7" i="25"/>
  <c r="H7" i="25" s="1"/>
  <c r="K7" i="25" s="1"/>
  <c r="L7" i="25" s="1"/>
  <c r="E67" i="25"/>
  <c r="G67" i="25" s="1"/>
  <c r="H67" i="25" s="1"/>
  <c r="G8" i="25"/>
  <c r="H8" i="25" s="1"/>
  <c r="K8" i="25" s="1"/>
  <c r="L8" i="25" s="1"/>
  <c r="E68" i="25"/>
  <c r="G68" i="25" s="1"/>
  <c r="H68" i="25" s="1"/>
  <c r="G19" i="87"/>
  <c r="H19" i="87" s="1"/>
  <c r="K19" i="87" s="1"/>
  <c r="L19" i="87" s="1"/>
  <c r="E79" i="87"/>
  <c r="G79" i="87" s="1"/>
  <c r="H79" i="87" s="1"/>
  <c r="G15" i="87"/>
  <c r="H15" i="87" s="1"/>
  <c r="K15" i="87" s="1"/>
  <c r="L15" i="87" s="1"/>
  <c r="E75" i="87"/>
  <c r="G75" i="87" s="1"/>
  <c r="H75" i="87" s="1"/>
  <c r="G18" i="87"/>
  <c r="H18" i="87" s="1"/>
  <c r="K18" i="87" s="1"/>
  <c r="L18" i="87" s="1"/>
  <c r="E78" i="87"/>
  <c r="G78" i="87" s="1"/>
  <c r="H78" i="87" s="1"/>
  <c r="G6" i="87"/>
  <c r="H6" i="87" s="1"/>
  <c r="K6" i="87" s="1"/>
  <c r="L6" i="87" s="1"/>
  <c r="E66" i="87"/>
  <c r="G66" i="87" s="1"/>
  <c r="H66" i="87" s="1"/>
  <c r="G12" i="87"/>
  <c r="H12" i="87" s="1"/>
  <c r="K12" i="87" s="1"/>
  <c r="L12" i="87" s="1"/>
  <c r="E72" i="87"/>
  <c r="G72" i="87" s="1"/>
  <c r="H72" i="87" s="1"/>
  <c r="G9" i="87"/>
  <c r="H9" i="87" s="1"/>
  <c r="K9" i="87" s="1"/>
  <c r="L9" i="87" s="1"/>
  <c r="E69" i="87"/>
  <c r="G69" i="87" s="1"/>
  <c r="H69" i="87" s="1"/>
  <c r="G17" i="87"/>
  <c r="H17" i="87" s="1"/>
  <c r="K17" i="87" s="1"/>
  <c r="L17" i="87" s="1"/>
  <c r="E77" i="87"/>
  <c r="G77" i="87" s="1"/>
  <c r="H77" i="87" s="1"/>
  <c r="G10" i="87"/>
  <c r="H10" i="87" s="1"/>
  <c r="K10" i="87" s="1"/>
  <c r="L10" i="87" s="1"/>
  <c r="E70" i="87"/>
  <c r="G70" i="87" s="1"/>
  <c r="H70" i="87" s="1"/>
  <c r="G8" i="87"/>
  <c r="H8" i="87" s="1"/>
  <c r="K8" i="87" s="1"/>
  <c r="L8" i="87" s="1"/>
  <c r="E68" i="87"/>
  <c r="G68" i="87" s="1"/>
  <c r="H68" i="87" s="1"/>
  <c r="G7" i="87"/>
  <c r="H7" i="87" s="1"/>
  <c r="K7" i="87" s="1"/>
  <c r="L7" i="87" s="1"/>
  <c r="E67" i="87"/>
  <c r="G67" i="87" s="1"/>
  <c r="H67" i="87" s="1"/>
  <c r="G13" i="87"/>
  <c r="H13" i="87" s="1"/>
  <c r="K13" i="87" s="1"/>
  <c r="L13" i="87" s="1"/>
  <c r="E73" i="87"/>
  <c r="G73" i="87" s="1"/>
  <c r="H73" i="87" s="1"/>
  <c r="G16" i="87"/>
  <c r="H16" i="87" s="1"/>
  <c r="K16" i="87" s="1"/>
  <c r="L16" i="87" s="1"/>
  <c r="E76" i="87"/>
  <c r="G76" i="87" s="1"/>
  <c r="H76" i="87" s="1"/>
  <c r="G11" i="87"/>
  <c r="H11" i="87" s="1"/>
  <c r="K11" i="87" s="1"/>
  <c r="L11" i="87" s="1"/>
  <c r="E71" i="87"/>
  <c r="G71" i="87" s="1"/>
  <c r="H71" i="87" s="1"/>
  <c r="G14" i="87"/>
  <c r="H14" i="87" s="1"/>
  <c r="K14" i="87" s="1"/>
  <c r="L14" i="87" s="1"/>
  <c r="E74" i="87"/>
  <c r="G74" i="87" s="1"/>
  <c r="H74" i="87" s="1"/>
  <c r="AB52" i="52"/>
  <c r="Z52" i="52"/>
  <c r="AA52" i="52"/>
  <c r="AC52" i="52"/>
  <c r="AA53" i="52"/>
  <c r="AB53" i="52"/>
  <c r="Z53" i="52"/>
  <c r="AC53" i="52"/>
  <c r="AC54" i="52"/>
  <c r="Z54" i="52"/>
  <c r="AA54" i="52"/>
  <c r="AB54" i="52"/>
  <c r="G5" i="11"/>
  <c r="H5" i="11" s="1"/>
  <c r="K5" i="11" s="1"/>
  <c r="L5" i="11" s="1"/>
  <c r="S35" i="11" s="1"/>
  <c r="AB30" i="11" s="1"/>
  <c r="E65" i="11"/>
  <c r="G65" i="11" s="1"/>
  <c r="H65" i="11" s="1"/>
  <c r="G6" i="11"/>
  <c r="H6" i="11" s="1"/>
  <c r="K6" i="11" s="1"/>
  <c r="W28" i="11" s="1"/>
  <c r="W32" i="11" s="1"/>
  <c r="E66" i="11"/>
  <c r="G66" i="11" s="1"/>
  <c r="H66" i="11" s="1"/>
  <c r="I53" i="11"/>
  <c r="J54" i="11"/>
  <c r="I54" i="11" s="1"/>
  <c r="J54" i="18"/>
  <c r="B107" i="18" s="1"/>
  <c r="B82" i="18"/>
  <c r="D53" i="20"/>
  <c r="V35" i="8"/>
  <c r="AA30" i="8" s="1"/>
  <c r="V35" i="59"/>
  <c r="AC30" i="59" s="1"/>
  <c r="V28" i="59"/>
  <c r="V32" i="59" s="1"/>
  <c r="T35" i="59"/>
  <c r="AB30" i="59" s="1"/>
  <c r="B83" i="59"/>
  <c r="J54" i="59"/>
  <c r="T35" i="19"/>
  <c r="AB30" i="19" s="1"/>
  <c r="T35" i="49"/>
  <c r="B79" i="49"/>
  <c r="I53" i="49"/>
  <c r="J54" i="49"/>
  <c r="B87" i="57"/>
  <c r="K5" i="30"/>
  <c r="L5" i="30" s="1"/>
  <c r="S35" i="30" s="1"/>
  <c r="AB30" i="30" s="1"/>
  <c r="P12" i="30"/>
  <c r="P13" i="30" s="1"/>
  <c r="B79" i="19"/>
  <c r="J54" i="19"/>
  <c r="B101" i="19" s="1"/>
  <c r="I53" i="19"/>
  <c r="D53" i="28"/>
  <c r="E84" i="28"/>
  <c r="G84" i="28" s="1"/>
  <c r="H84" i="28" s="1"/>
  <c r="E85" i="28"/>
  <c r="G85" i="28" s="1"/>
  <c r="H85" i="28" s="1"/>
  <c r="D53" i="26"/>
  <c r="E80" i="26"/>
  <c r="G80" i="26" s="1"/>
  <c r="H80" i="26" s="1"/>
  <c r="E79" i="26"/>
  <c r="G79" i="26" s="1"/>
  <c r="H79" i="26" s="1"/>
  <c r="G65" i="17"/>
  <c r="H65" i="17" s="1"/>
  <c r="E5" i="49"/>
  <c r="G5" i="49" s="1"/>
  <c r="H5" i="49" s="1"/>
  <c r="K5" i="49" s="1"/>
  <c r="L5" i="49" s="1"/>
  <c r="S35" i="49" s="1"/>
  <c r="H53" i="49"/>
  <c r="E15" i="37"/>
  <c r="G15" i="37" s="1"/>
  <c r="H15" i="37" s="1"/>
  <c r="K15" i="37" s="1"/>
  <c r="L15" i="37" s="1"/>
  <c r="E14" i="37"/>
  <c r="G14" i="37" s="1"/>
  <c r="H14" i="37" s="1"/>
  <c r="K14" i="37" s="1"/>
  <c r="L14" i="37" s="1"/>
  <c r="E16" i="37"/>
  <c r="G16" i="37" s="1"/>
  <c r="H16" i="37" s="1"/>
  <c r="K16" i="37" s="1"/>
  <c r="K5" i="32"/>
  <c r="L5" i="32" s="1"/>
  <c r="S35" i="32" s="1"/>
  <c r="AA30" i="32" s="1"/>
  <c r="S33" i="85"/>
  <c r="T33" i="85"/>
  <c r="AC25" i="85" s="1"/>
  <c r="V35" i="28"/>
  <c r="AA30" i="28" s="1"/>
  <c r="V28" i="28"/>
  <c r="H52" i="67"/>
  <c r="C55" i="85"/>
  <c r="D55" i="85" s="1"/>
  <c r="D65" i="28"/>
  <c r="D92" i="28"/>
  <c r="H52" i="28"/>
  <c r="D120" i="28"/>
  <c r="H51" i="28"/>
  <c r="D53" i="4"/>
  <c r="E73" i="4"/>
  <c r="G73" i="4" s="1"/>
  <c r="H73" i="4" s="1"/>
  <c r="E74" i="4"/>
  <c r="G74" i="4" s="1"/>
  <c r="H74" i="4" s="1"/>
  <c r="E76" i="4"/>
  <c r="G76" i="4" s="1"/>
  <c r="H76" i="4" s="1"/>
  <c r="E75" i="4"/>
  <c r="G75" i="4" s="1"/>
  <c r="H75" i="4" s="1"/>
  <c r="B79" i="48"/>
  <c r="J54" i="48"/>
  <c r="I53" i="48"/>
  <c r="W35" i="43"/>
  <c r="AA30" i="43" s="1"/>
  <c r="V35" i="25"/>
  <c r="AA30" i="25" s="1"/>
  <c r="T35" i="29"/>
  <c r="T35" i="62"/>
  <c r="AB30" i="62" s="1"/>
  <c r="T35" i="46"/>
  <c r="S33" i="68"/>
  <c r="AC25" i="68" s="1"/>
  <c r="AS6" i="70"/>
  <c r="AT6" i="70" s="1"/>
  <c r="V35" i="70" s="1"/>
  <c r="AA30" i="70" s="1"/>
  <c r="V28" i="70"/>
  <c r="V35" i="69"/>
  <c r="AA30" i="69" s="1"/>
  <c r="V28" i="69"/>
  <c r="T35" i="61"/>
  <c r="AC30" i="61" s="1"/>
  <c r="T35" i="57"/>
  <c r="V35" i="57"/>
  <c r="AA30" i="57" s="1"/>
  <c r="AA30" i="79"/>
  <c r="AS6" i="47"/>
  <c r="AT6" i="47" s="1"/>
  <c r="V35" i="47" s="1"/>
  <c r="Z30" i="47" s="1"/>
  <c r="V28" i="47"/>
  <c r="E5" i="46"/>
  <c r="G5" i="46" s="1"/>
  <c r="H5" i="46" s="1"/>
  <c r="K5" i="46" s="1"/>
  <c r="L5" i="46" s="1"/>
  <c r="S35" i="46" s="1"/>
  <c r="H53" i="46"/>
  <c r="T35" i="44"/>
  <c r="AA30" i="44"/>
  <c r="T35" i="43"/>
  <c r="AC30" i="43" s="1"/>
  <c r="V28" i="41"/>
  <c r="V35" i="41"/>
  <c r="AA30" i="41" s="1"/>
  <c r="T35" i="41"/>
  <c r="AC30" i="41" s="1"/>
  <c r="S33" i="34"/>
  <c r="E66" i="32"/>
  <c r="G66" i="32" s="1"/>
  <c r="H66" i="32" s="1"/>
  <c r="H54" i="32"/>
  <c r="T35" i="27"/>
  <c r="T35" i="26"/>
  <c r="AC30" i="26" s="1"/>
  <c r="AB30" i="21"/>
  <c r="T35" i="69"/>
  <c r="V35" i="60"/>
  <c r="AA30" i="60" s="1"/>
  <c r="T35" i="56"/>
  <c r="AA30" i="16"/>
  <c r="V35" i="26"/>
  <c r="AA30" i="26" s="1"/>
  <c r="V35" i="17"/>
  <c r="AA30" i="17" s="1"/>
  <c r="T35" i="16"/>
  <c r="AB30" i="16" s="1"/>
  <c r="V28" i="18"/>
  <c r="AC30" i="20"/>
  <c r="AC31" i="20" s="1"/>
  <c r="AB30" i="20"/>
  <c r="AB31" i="20" s="1"/>
  <c r="V35" i="18"/>
  <c r="AA30" i="18" s="1"/>
  <c r="AB30" i="9"/>
  <c r="AF30" i="9" s="1"/>
  <c r="AC25" i="9" s="1"/>
  <c r="U35" i="9"/>
  <c r="V28" i="25"/>
  <c r="E71" i="12"/>
  <c r="E72" i="12"/>
  <c r="E65" i="12"/>
  <c r="E70" i="12"/>
  <c r="E66" i="12"/>
  <c r="E67" i="12"/>
  <c r="E68" i="12"/>
  <c r="E69" i="12"/>
  <c r="E69" i="39"/>
  <c r="E67" i="39"/>
  <c r="E68" i="39"/>
  <c r="E70" i="39"/>
  <c r="E71" i="39"/>
  <c r="E66" i="39"/>
  <c r="V28" i="26"/>
  <c r="F83" i="6"/>
  <c r="F70" i="6"/>
  <c r="S32" i="82"/>
  <c r="AC24" i="82" s="1"/>
  <c r="V28" i="37"/>
  <c r="V35" i="37"/>
  <c r="AA30" i="37" s="1"/>
  <c r="T35" i="17"/>
  <c r="T35" i="28"/>
  <c r="V35" i="3"/>
  <c r="AA30" i="3" s="1"/>
  <c r="AA31" i="3" s="1"/>
  <c r="T35" i="3"/>
  <c r="V28" i="8"/>
  <c r="T35" i="8"/>
  <c r="S33" i="12"/>
  <c r="V28" i="60"/>
  <c r="V32" i="60" s="1"/>
  <c r="C82" i="45"/>
  <c r="W28" i="43"/>
  <c r="V28" i="57"/>
  <c r="V28" i="17"/>
  <c r="D53" i="5"/>
  <c r="E90" i="5" s="1"/>
  <c r="E88" i="5"/>
  <c r="G88" i="5" s="1"/>
  <c r="H88" i="5" s="1"/>
  <c r="V28" i="3"/>
  <c r="V32" i="3" s="1"/>
  <c r="D53" i="8"/>
  <c r="H55" i="16"/>
  <c r="E108" i="16" s="1"/>
  <c r="G108" i="16" s="1"/>
  <c r="H108" i="16" s="1"/>
  <c r="E86" i="16"/>
  <c r="G86" i="16" s="1"/>
  <c r="H86" i="16" s="1"/>
  <c r="H52" i="60"/>
  <c r="D84" i="60"/>
  <c r="D65" i="60"/>
  <c r="D53" i="68"/>
  <c r="G65" i="68"/>
  <c r="H65" i="68" s="1"/>
  <c r="E69" i="50"/>
  <c r="G69" i="50" s="1"/>
  <c r="H69" i="50" s="1"/>
  <c r="E75" i="50"/>
  <c r="G75" i="50" s="1"/>
  <c r="H75" i="50" s="1"/>
  <c r="E80" i="50"/>
  <c r="G80" i="50" s="1"/>
  <c r="H80" i="50" s="1"/>
  <c r="E73" i="50"/>
  <c r="G73" i="50" s="1"/>
  <c r="H73" i="50" s="1"/>
  <c r="E77" i="50"/>
  <c r="G77" i="50" s="1"/>
  <c r="H77" i="50" s="1"/>
  <c r="E66" i="50"/>
  <c r="G66" i="50" s="1"/>
  <c r="H66" i="50" s="1"/>
  <c r="E67" i="50"/>
  <c r="G67" i="50" s="1"/>
  <c r="H67" i="50" s="1"/>
  <c r="E68" i="50"/>
  <c r="G68" i="50" s="1"/>
  <c r="H68" i="50" s="1"/>
  <c r="E72" i="50"/>
  <c r="G72" i="50" s="1"/>
  <c r="H72" i="50" s="1"/>
  <c r="E78" i="50"/>
  <c r="G78" i="50" s="1"/>
  <c r="H78" i="50" s="1"/>
  <c r="E71" i="50"/>
  <c r="G71" i="50" s="1"/>
  <c r="H71" i="50" s="1"/>
  <c r="E76" i="50"/>
  <c r="G76" i="50" s="1"/>
  <c r="H76" i="50" s="1"/>
  <c r="E79" i="50"/>
  <c r="G79" i="50" s="1"/>
  <c r="H79" i="50" s="1"/>
  <c r="E70" i="50"/>
  <c r="G70" i="50" s="1"/>
  <c r="H70" i="50" s="1"/>
  <c r="E74" i="50"/>
  <c r="G74" i="50" s="1"/>
  <c r="H74" i="50" s="1"/>
  <c r="E81" i="50"/>
  <c r="G81" i="50" s="1"/>
  <c r="H81" i="50" s="1"/>
  <c r="H54" i="44"/>
  <c r="E65" i="44"/>
  <c r="G65" i="44" s="1"/>
  <c r="H65" i="44" s="1"/>
  <c r="D53" i="27"/>
  <c r="E69" i="27"/>
  <c r="G69" i="27" s="1"/>
  <c r="H69" i="27" s="1"/>
  <c r="E71" i="27"/>
  <c r="G71" i="27" s="1"/>
  <c r="H71" i="27" s="1"/>
  <c r="E73" i="27"/>
  <c r="G73" i="27" s="1"/>
  <c r="H73" i="27" s="1"/>
  <c r="E75" i="27"/>
  <c r="G75" i="27" s="1"/>
  <c r="H75" i="27" s="1"/>
  <c r="E77" i="27"/>
  <c r="G77" i="27" s="1"/>
  <c r="H77" i="27" s="1"/>
  <c r="E79" i="27"/>
  <c r="G79" i="27" s="1"/>
  <c r="H79" i="27" s="1"/>
  <c r="E67" i="27"/>
  <c r="G67" i="27" s="1"/>
  <c r="H67" i="27" s="1"/>
  <c r="E68" i="27"/>
  <c r="G68" i="27" s="1"/>
  <c r="H68" i="27" s="1"/>
  <c r="E72" i="27"/>
  <c r="G72" i="27" s="1"/>
  <c r="H72" i="27" s="1"/>
  <c r="E74" i="27"/>
  <c r="G74" i="27" s="1"/>
  <c r="H74" i="27" s="1"/>
  <c r="E76" i="27"/>
  <c r="G76" i="27" s="1"/>
  <c r="H76" i="27" s="1"/>
  <c r="E78" i="27"/>
  <c r="G78" i="27" s="1"/>
  <c r="H78" i="27" s="1"/>
  <c r="E66" i="27"/>
  <c r="G66" i="27" s="1"/>
  <c r="H66" i="27" s="1"/>
  <c r="E70" i="27"/>
  <c r="G70" i="27" s="1"/>
  <c r="H70" i="27" s="1"/>
  <c r="D53" i="7"/>
  <c r="D53" i="50"/>
  <c r="E83" i="50" s="1"/>
  <c r="I55" i="50"/>
  <c r="B130" i="50"/>
  <c r="C53" i="33"/>
  <c r="H82" i="45"/>
  <c r="G81" i="29"/>
  <c r="E81" i="29"/>
  <c r="E84" i="69"/>
  <c r="G84" i="69"/>
  <c r="H1" i="66"/>
  <c r="E9" i="66"/>
  <c r="G9" i="66" s="1"/>
  <c r="H9" i="66" s="1"/>
  <c r="K9" i="66" s="1"/>
  <c r="L9" i="66" s="1"/>
  <c r="E11" i="66"/>
  <c r="G11" i="66" s="1"/>
  <c r="H11" i="66" s="1"/>
  <c r="K11" i="66" s="1"/>
  <c r="L11" i="66" s="1"/>
  <c r="E6" i="66"/>
  <c r="G6" i="66" s="1"/>
  <c r="H6" i="66" s="1"/>
  <c r="K6" i="66" s="1"/>
  <c r="L6" i="66" s="1"/>
  <c r="E12" i="66"/>
  <c r="G12" i="66" s="1"/>
  <c r="H12" i="66" s="1"/>
  <c r="K12" i="66" s="1"/>
  <c r="L12" i="66" s="1"/>
  <c r="E8" i="66"/>
  <c r="G8" i="66" s="1"/>
  <c r="H8" i="66" s="1"/>
  <c r="K8" i="66" s="1"/>
  <c r="L8" i="66" s="1"/>
  <c r="H53" i="66"/>
  <c r="E10" i="66"/>
  <c r="G10" i="66" s="1"/>
  <c r="H10" i="66" s="1"/>
  <c r="K10" i="66" s="1"/>
  <c r="L10" i="66" s="1"/>
  <c r="E13" i="66"/>
  <c r="G13" i="66" s="1"/>
  <c r="H13" i="66" s="1"/>
  <c r="K13" i="66" s="1"/>
  <c r="L13" i="66" s="1"/>
  <c r="E7" i="66"/>
  <c r="G7" i="66" s="1"/>
  <c r="H7" i="66" s="1"/>
  <c r="K7" i="66" s="1"/>
  <c r="L7" i="66" s="1"/>
  <c r="J55" i="44"/>
  <c r="I55" i="44" s="1"/>
  <c r="B107" i="44"/>
  <c r="J55" i="43"/>
  <c r="I55" i="43" s="1"/>
  <c r="B98" i="43"/>
  <c r="C53" i="42"/>
  <c r="B114" i="28"/>
  <c r="B87" i="28"/>
  <c r="J54" i="17"/>
  <c r="B121" i="17" s="1"/>
  <c r="B90" i="17"/>
  <c r="I55" i="16"/>
  <c r="B123" i="16"/>
  <c r="J54" i="15"/>
  <c r="B123" i="15" s="1"/>
  <c r="B91" i="15"/>
  <c r="I54" i="4"/>
  <c r="J55" i="4"/>
  <c r="B96" i="4"/>
  <c r="H52" i="48"/>
  <c r="H52" i="25"/>
  <c r="H52" i="19"/>
  <c r="D65" i="19"/>
  <c r="D87" i="19"/>
  <c r="G78" i="4"/>
  <c r="E78" i="4"/>
  <c r="H53" i="5"/>
  <c r="E5" i="5"/>
  <c r="G5" i="5" s="1"/>
  <c r="H5" i="5" s="1"/>
  <c r="K5" i="5" s="1"/>
  <c r="L5" i="5" s="1"/>
  <c r="S35" i="5" s="1"/>
  <c r="AA30" i="5" s="1"/>
  <c r="H53" i="3"/>
  <c r="H53" i="4"/>
  <c r="E65" i="4" s="1"/>
  <c r="G65" i="4" s="1"/>
  <c r="H65" i="4" s="1"/>
  <c r="E5" i="4"/>
  <c r="G5" i="4" s="1"/>
  <c r="H5" i="4" s="1"/>
  <c r="K5" i="4" s="1"/>
  <c r="L5" i="4" s="1"/>
  <c r="H51" i="25"/>
  <c r="C53" i="39"/>
  <c r="D53" i="39" s="1"/>
  <c r="C53" i="12"/>
  <c r="D53" i="12" s="1"/>
  <c r="G66" i="82"/>
  <c r="H66" i="82" s="1"/>
  <c r="G65" i="82"/>
  <c r="H65" i="82" s="1"/>
  <c r="G68" i="82"/>
  <c r="H68" i="82" s="1"/>
  <c r="G67" i="82"/>
  <c r="H67" i="82" s="1"/>
  <c r="C54" i="82"/>
  <c r="D54" i="82" s="1"/>
  <c r="C53" i="46"/>
  <c r="E16" i="48"/>
  <c r="G16" i="48" s="1"/>
  <c r="H16" i="48" s="1"/>
  <c r="K16" i="48" s="1"/>
  <c r="L16" i="48" s="1"/>
  <c r="E6" i="48"/>
  <c r="G6" i="48" s="1"/>
  <c r="H6" i="48" s="1"/>
  <c r="K6" i="48" s="1"/>
  <c r="L6" i="48" s="1"/>
  <c r="E15" i="48"/>
  <c r="G15" i="48" s="1"/>
  <c r="H15" i="48" s="1"/>
  <c r="K15" i="48" s="1"/>
  <c r="L15" i="48" s="1"/>
  <c r="E7" i="48"/>
  <c r="G7" i="48" s="1"/>
  <c r="H7" i="48" s="1"/>
  <c r="K7" i="48" s="1"/>
  <c r="L7" i="48" s="1"/>
  <c r="C52" i="48"/>
  <c r="E12" i="48"/>
  <c r="G12" i="48" s="1"/>
  <c r="H12" i="48" s="1"/>
  <c r="K12" i="48" s="1"/>
  <c r="L12" i="48" s="1"/>
  <c r="E8" i="48"/>
  <c r="G8" i="48" s="1"/>
  <c r="H8" i="48" s="1"/>
  <c r="K8" i="48" s="1"/>
  <c r="L8" i="48" s="1"/>
  <c r="E13" i="48"/>
  <c r="G13" i="48" s="1"/>
  <c r="H13" i="48" s="1"/>
  <c r="K13" i="48" s="1"/>
  <c r="L13" i="48" s="1"/>
  <c r="E9" i="48"/>
  <c r="G9" i="48" s="1"/>
  <c r="H9" i="48" s="1"/>
  <c r="K9" i="48" s="1"/>
  <c r="L9" i="48" s="1"/>
  <c r="E11" i="48"/>
  <c r="G11" i="48" s="1"/>
  <c r="H11" i="48" s="1"/>
  <c r="K11" i="48" s="1"/>
  <c r="L11" i="48" s="1"/>
  <c r="E17" i="48"/>
  <c r="G17" i="48" s="1"/>
  <c r="H17" i="48" s="1"/>
  <c r="K17" i="48" s="1"/>
  <c r="L17" i="48" s="1"/>
  <c r="E14" i="48"/>
  <c r="G14" i="48" s="1"/>
  <c r="H14" i="48" s="1"/>
  <c r="K14" i="48" s="1"/>
  <c r="L14" i="48" s="1"/>
  <c r="E10" i="48"/>
  <c r="G10" i="48" s="1"/>
  <c r="H10" i="48" s="1"/>
  <c r="K10" i="48" s="1"/>
  <c r="L10" i="48" s="1"/>
  <c r="H52" i="70"/>
  <c r="I53" i="70"/>
  <c r="J54" i="70"/>
  <c r="C53" i="62"/>
  <c r="H53" i="57"/>
  <c r="E21" i="47"/>
  <c r="G21" i="47" s="1"/>
  <c r="H21" i="47" s="1"/>
  <c r="K21" i="47" s="1"/>
  <c r="L21" i="47" s="1"/>
  <c r="E10" i="47"/>
  <c r="G10" i="47" s="1"/>
  <c r="H10" i="47" s="1"/>
  <c r="K10" i="47" s="1"/>
  <c r="L10" i="47" s="1"/>
  <c r="E7" i="47"/>
  <c r="G7" i="47" s="1"/>
  <c r="H7" i="47" s="1"/>
  <c r="K7" i="47" s="1"/>
  <c r="L7" i="47" s="1"/>
  <c r="C52" i="47"/>
  <c r="E17" i="47"/>
  <c r="G17" i="47" s="1"/>
  <c r="H17" i="47" s="1"/>
  <c r="K17" i="47" s="1"/>
  <c r="L17" i="47" s="1"/>
  <c r="E18" i="47"/>
  <c r="G18" i="47" s="1"/>
  <c r="H18" i="47" s="1"/>
  <c r="K18" i="47" s="1"/>
  <c r="L18" i="47" s="1"/>
  <c r="E14" i="47"/>
  <c r="G14" i="47" s="1"/>
  <c r="H14" i="47" s="1"/>
  <c r="K14" i="47" s="1"/>
  <c r="L14" i="47" s="1"/>
  <c r="E20" i="47"/>
  <c r="G20" i="47" s="1"/>
  <c r="H20" i="47" s="1"/>
  <c r="K20" i="47" s="1"/>
  <c r="L20" i="47" s="1"/>
  <c r="E19" i="47"/>
  <c r="G19" i="47" s="1"/>
  <c r="H19" i="47" s="1"/>
  <c r="K19" i="47" s="1"/>
  <c r="L19" i="47" s="1"/>
  <c r="E16" i="47"/>
  <c r="G16" i="47" s="1"/>
  <c r="H16" i="47" s="1"/>
  <c r="K16" i="47" s="1"/>
  <c r="L16" i="47" s="1"/>
  <c r="E13" i="47"/>
  <c r="G13" i="47" s="1"/>
  <c r="H13" i="47" s="1"/>
  <c r="K13" i="47" s="1"/>
  <c r="L13" i="47" s="1"/>
  <c r="E9" i="47"/>
  <c r="G9" i="47" s="1"/>
  <c r="H9" i="47" s="1"/>
  <c r="K9" i="47" s="1"/>
  <c r="L9" i="47" s="1"/>
  <c r="E11" i="47"/>
  <c r="G11" i="47" s="1"/>
  <c r="H11" i="47" s="1"/>
  <c r="K11" i="47" s="1"/>
  <c r="L11" i="47" s="1"/>
  <c r="E6" i="47"/>
  <c r="G6" i="47" s="1"/>
  <c r="H6" i="47" s="1"/>
  <c r="K6" i="47" s="1"/>
  <c r="L6" i="47" s="1"/>
  <c r="E15" i="47"/>
  <c r="G15" i="47" s="1"/>
  <c r="H15" i="47" s="1"/>
  <c r="K15" i="47" s="1"/>
  <c r="L15" i="47" s="1"/>
  <c r="E12" i="47"/>
  <c r="G12" i="47" s="1"/>
  <c r="H12" i="47" s="1"/>
  <c r="K12" i="47" s="1"/>
  <c r="L12" i="47" s="1"/>
  <c r="E8" i="47"/>
  <c r="G8" i="47" s="1"/>
  <c r="H8" i="47" s="1"/>
  <c r="K8" i="47" s="1"/>
  <c r="L8" i="47" s="1"/>
  <c r="C53" i="41"/>
  <c r="C54" i="68"/>
  <c r="C55" i="83"/>
  <c r="I53" i="69"/>
  <c r="J54" i="69"/>
  <c r="B108" i="69" s="1"/>
  <c r="I53" i="61"/>
  <c r="J54" i="61"/>
  <c r="C53" i="61"/>
  <c r="J54" i="57"/>
  <c r="I53" i="57"/>
  <c r="E5" i="57"/>
  <c r="G5" i="57" s="1"/>
  <c r="H5" i="57" s="1"/>
  <c r="K5" i="57" s="1"/>
  <c r="L5" i="57" s="1"/>
  <c r="S35" i="57" s="1"/>
  <c r="H52" i="61"/>
  <c r="C53" i="57"/>
  <c r="H53" i="41"/>
  <c r="E65" i="41" s="1"/>
  <c r="E5" i="41"/>
  <c r="G5" i="41" s="1"/>
  <c r="H5" i="41" s="1"/>
  <c r="K5" i="41" s="1"/>
  <c r="L5" i="41" s="1"/>
  <c r="S35" i="41" s="1"/>
  <c r="I53" i="41"/>
  <c r="J54" i="41"/>
  <c r="B92" i="41" s="1"/>
  <c r="H53" i="29"/>
  <c r="I53" i="26"/>
  <c r="H53" i="26"/>
  <c r="E65" i="26" s="1"/>
  <c r="G65" i="26" s="1"/>
  <c r="H65" i="26" s="1"/>
  <c r="C54" i="4"/>
  <c r="E70" i="4"/>
  <c r="G70" i="4" s="1"/>
  <c r="H70" i="4" s="1"/>
  <c r="E68" i="4"/>
  <c r="G68" i="4" s="1"/>
  <c r="H68" i="4" s="1"/>
  <c r="E71" i="4"/>
  <c r="G71" i="4" s="1"/>
  <c r="H71" i="4" s="1"/>
  <c r="E66" i="4"/>
  <c r="G66" i="4" s="1"/>
  <c r="H66" i="4" s="1"/>
  <c r="E69" i="4"/>
  <c r="G69" i="4" s="1"/>
  <c r="H69" i="4" s="1"/>
  <c r="E72" i="4"/>
  <c r="G72" i="4" s="1"/>
  <c r="H72" i="4" s="1"/>
  <c r="E67" i="4"/>
  <c r="G67" i="4" s="1"/>
  <c r="H67" i="4" s="1"/>
  <c r="E5" i="3"/>
  <c r="G5" i="3" s="1"/>
  <c r="C53" i="67"/>
  <c r="D53" i="67" s="1"/>
  <c r="C53" i="59"/>
  <c r="E9" i="53"/>
  <c r="G9" i="53" s="1"/>
  <c r="H9" i="53" s="1"/>
  <c r="K9" i="53" s="1"/>
  <c r="L9" i="53" s="1"/>
  <c r="E10" i="53"/>
  <c r="G10" i="53" s="1"/>
  <c r="H10" i="53" s="1"/>
  <c r="K10" i="53" s="1"/>
  <c r="L10" i="53" s="1"/>
  <c r="C52" i="53"/>
  <c r="E6" i="53"/>
  <c r="G6" i="53" s="1"/>
  <c r="H6" i="53" s="1"/>
  <c r="K6" i="53" s="1"/>
  <c r="L6" i="53" s="1"/>
  <c r="E7" i="53"/>
  <c r="G7" i="53" s="1"/>
  <c r="H7" i="53" s="1"/>
  <c r="K7" i="53" s="1"/>
  <c r="L7" i="53" s="1"/>
  <c r="H53" i="53"/>
  <c r="E65" i="53" s="1"/>
  <c r="E8" i="53"/>
  <c r="G8" i="53" s="1"/>
  <c r="H8" i="53" s="1"/>
  <c r="K8" i="53" s="1"/>
  <c r="L8" i="53" s="1"/>
  <c r="E5" i="53"/>
  <c r="G5" i="53" s="1"/>
  <c r="H5" i="53" s="1"/>
  <c r="K5" i="53" s="1"/>
  <c r="L5" i="53" s="1"/>
  <c r="S35" i="53" s="1"/>
  <c r="I53" i="53"/>
  <c r="J54" i="53"/>
  <c r="I54" i="46"/>
  <c r="J55" i="46"/>
  <c r="I55" i="46" s="1"/>
  <c r="C52" i="24"/>
  <c r="I1" i="24"/>
  <c r="J54" i="8"/>
  <c r="B110" i="8" s="1"/>
  <c r="E68" i="34"/>
  <c r="G68" i="34" s="1"/>
  <c r="H68" i="34" s="1"/>
  <c r="I55" i="34"/>
  <c r="J56" i="34"/>
  <c r="I56" i="34" s="1"/>
  <c r="E67" i="34"/>
  <c r="G67" i="34" s="1"/>
  <c r="H67" i="34" s="1"/>
  <c r="E65" i="34"/>
  <c r="G65" i="34" s="1"/>
  <c r="H65" i="34" s="1"/>
  <c r="E70" i="34"/>
  <c r="G70" i="34" s="1"/>
  <c r="H70" i="34" s="1"/>
  <c r="E69" i="34"/>
  <c r="G69" i="34" s="1"/>
  <c r="H69" i="34" s="1"/>
  <c r="E66" i="34"/>
  <c r="G66" i="34" s="1"/>
  <c r="H66" i="34" s="1"/>
  <c r="H54" i="34"/>
  <c r="J54" i="26"/>
  <c r="E5" i="26"/>
  <c r="G5" i="26" s="1"/>
  <c r="H5" i="26" s="1"/>
  <c r="I53" i="20"/>
  <c r="J54" i="20"/>
  <c r="B103" i="20" s="1"/>
  <c r="C53" i="15"/>
  <c r="D53" i="15" s="1"/>
  <c r="I53" i="8"/>
  <c r="C53" i="56"/>
  <c r="T35" i="50"/>
  <c r="H53" i="37"/>
  <c r="E65" i="37" s="1"/>
  <c r="C53" i="49"/>
  <c r="C53" i="44"/>
  <c r="D53" i="44" s="1"/>
  <c r="I54" i="44"/>
  <c r="E6" i="42"/>
  <c r="G6" i="42" s="1"/>
  <c r="H6" i="42" s="1"/>
  <c r="K6" i="42" s="1"/>
  <c r="L6" i="42" s="1"/>
  <c r="E9" i="42"/>
  <c r="G9" i="42" s="1"/>
  <c r="H9" i="42" s="1"/>
  <c r="K9" i="42" s="1"/>
  <c r="L9" i="42" s="1"/>
  <c r="E12" i="42"/>
  <c r="G12" i="42" s="1"/>
  <c r="H12" i="42" s="1"/>
  <c r="K12" i="42" s="1"/>
  <c r="L12" i="42" s="1"/>
  <c r="E8" i="42"/>
  <c r="G8" i="42" s="1"/>
  <c r="H8" i="42" s="1"/>
  <c r="K8" i="42" s="1"/>
  <c r="L8" i="42" s="1"/>
  <c r="E5" i="42"/>
  <c r="G5" i="42" s="1"/>
  <c r="H5" i="42" s="1"/>
  <c r="K5" i="42" s="1"/>
  <c r="L5" i="42" s="1"/>
  <c r="E7" i="42"/>
  <c r="G7" i="42" s="1"/>
  <c r="H7" i="42" s="1"/>
  <c r="K7" i="42" s="1"/>
  <c r="L7" i="42" s="1"/>
  <c r="E10" i="42"/>
  <c r="G10" i="42" s="1"/>
  <c r="H10" i="42" s="1"/>
  <c r="K10" i="42" s="1"/>
  <c r="L10" i="42" s="1"/>
  <c r="E11" i="42"/>
  <c r="G11" i="42" s="1"/>
  <c r="H11" i="42" s="1"/>
  <c r="K11" i="42" s="1"/>
  <c r="L11" i="42" s="1"/>
  <c r="E5" i="37"/>
  <c r="G5" i="37" s="1"/>
  <c r="H5" i="37" s="1"/>
  <c r="K5" i="37" s="1"/>
  <c r="L5" i="37" s="1"/>
  <c r="S35" i="37" s="1"/>
  <c r="G5" i="29"/>
  <c r="H5" i="29" s="1"/>
  <c r="K5" i="29" s="1"/>
  <c r="L5" i="29" s="1"/>
  <c r="S35" i="29" s="1"/>
  <c r="I53" i="29"/>
  <c r="C53" i="21"/>
  <c r="E5" i="20"/>
  <c r="G5" i="20" s="1"/>
  <c r="H5" i="20" s="1"/>
  <c r="K5" i="20" s="1"/>
  <c r="L5" i="20" s="1"/>
  <c r="S35" i="20" s="1"/>
  <c r="H53" i="20"/>
  <c r="I53" i="3"/>
  <c r="J54" i="3"/>
  <c r="I1" i="40"/>
  <c r="C52" i="40"/>
  <c r="I53" i="37"/>
  <c r="J54" i="37"/>
  <c r="I54" i="37" s="1"/>
  <c r="J54" i="29"/>
  <c r="B103" i="29" s="1"/>
  <c r="I53" i="28"/>
  <c r="J54" i="21"/>
  <c r="I54" i="21" s="1"/>
  <c r="I53" i="21"/>
  <c r="I53" i="18"/>
  <c r="H53" i="18"/>
  <c r="E65" i="18" s="1"/>
  <c r="G65" i="18" s="1"/>
  <c r="H65" i="18" s="1"/>
  <c r="T35" i="18"/>
  <c r="AC30" i="18" s="1"/>
  <c r="G5" i="18"/>
  <c r="H5" i="18" s="1"/>
  <c r="K5" i="18" s="1"/>
  <c r="L5" i="18" s="1"/>
  <c r="S35" i="18" s="1"/>
  <c r="C53" i="18"/>
  <c r="D53" i="18" s="1"/>
  <c r="C53" i="17"/>
  <c r="I53" i="17"/>
  <c r="C53" i="16"/>
  <c r="T35" i="15"/>
  <c r="AC30" i="15" s="1"/>
  <c r="E5" i="8"/>
  <c r="G5" i="8" s="1"/>
  <c r="H5" i="8" s="1"/>
  <c r="K5" i="8" s="1"/>
  <c r="L5" i="8" s="1"/>
  <c r="S35" i="8" s="1"/>
  <c r="AB30" i="8" s="1"/>
  <c r="H53" i="8"/>
  <c r="E65" i="8" s="1"/>
  <c r="J55" i="5"/>
  <c r="I55" i="5" s="1"/>
  <c r="I54" i="5"/>
  <c r="J55" i="30"/>
  <c r="I55" i="30" s="1"/>
  <c r="I54" i="30"/>
  <c r="E5" i="17"/>
  <c r="G5" i="17" s="1"/>
  <c r="H5" i="17" s="1"/>
  <c r="K5" i="17" s="1"/>
  <c r="L5" i="17" s="1"/>
  <c r="S35" i="17" s="1"/>
  <c r="I53" i="15"/>
  <c r="J55" i="23"/>
  <c r="B122" i="23" s="1"/>
  <c r="I54" i="23"/>
  <c r="T35" i="21"/>
  <c r="U35" i="21" s="1"/>
  <c r="T35" i="5"/>
  <c r="AB30" i="5" s="1"/>
  <c r="E84" i="5"/>
  <c r="G84" i="5" s="1"/>
  <c r="H84" i="5" s="1"/>
  <c r="E76" i="5"/>
  <c r="G76" i="5" s="1"/>
  <c r="H76" i="5" s="1"/>
  <c r="E80" i="5"/>
  <c r="G80" i="5" s="1"/>
  <c r="H80" i="5" s="1"/>
  <c r="E66" i="5"/>
  <c r="G66" i="5" s="1"/>
  <c r="H66" i="5" s="1"/>
  <c r="E77" i="5"/>
  <c r="G77" i="5" s="1"/>
  <c r="H77" i="5" s="1"/>
  <c r="E75" i="5"/>
  <c r="G75" i="5" s="1"/>
  <c r="H75" i="5" s="1"/>
  <c r="E69" i="5"/>
  <c r="G69" i="5" s="1"/>
  <c r="H69" i="5" s="1"/>
  <c r="E67" i="5"/>
  <c r="G67" i="5" s="1"/>
  <c r="H67" i="5" s="1"/>
  <c r="E87" i="5"/>
  <c r="G87" i="5" s="1"/>
  <c r="H87" i="5" s="1"/>
  <c r="E86" i="5"/>
  <c r="G86" i="5" s="1"/>
  <c r="H86" i="5" s="1"/>
  <c r="E83" i="5"/>
  <c r="G83" i="5" s="1"/>
  <c r="H83" i="5" s="1"/>
  <c r="E81" i="5"/>
  <c r="G81" i="5" s="1"/>
  <c r="H81" i="5" s="1"/>
  <c r="E73" i="5"/>
  <c r="G73" i="5" s="1"/>
  <c r="H73" i="5" s="1"/>
  <c r="E72" i="5"/>
  <c r="G72" i="5" s="1"/>
  <c r="H72" i="5" s="1"/>
  <c r="E71" i="5"/>
  <c r="G71" i="5" s="1"/>
  <c r="H71" i="5" s="1"/>
  <c r="E70" i="5"/>
  <c r="G70" i="5" s="1"/>
  <c r="H70" i="5" s="1"/>
  <c r="E68" i="5"/>
  <c r="G68" i="5" s="1"/>
  <c r="H68" i="5" s="1"/>
  <c r="C54" i="5"/>
  <c r="D54" i="5" s="1"/>
  <c r="E85" i="5"/>
  <c r="G85" i="5" s="1"/>
  <c r="H85" i="5" s="1"/>
  <c r="E82" i="5"/>
  <c r="G82" i="5" s="1"/>
  <c r="H82" i="5" s="1"/>
  <c r="E79" i="5"/>
  <c r="G79" i="5" s="1"/>
  <c r="H79" i="5" s="1"/>
  <c r="E78" i="5"/>
  <c r="G78" i="5" s="1"/>
  <c r="H78" i="5" s="1"/>
  <c r="E74" i="5"/>
  <c r="G74" i="5" s="1"/>
  <c r="H74" i="5" s="1"/>
  <c r="E13" i="58"/>
  <c r="G13" i="58" s="1"/>
  <c r="H13" i="58" s="1"/>
  <c r="K13" i="58" s="1"/>
  <c r="L13" i="58" s="1"/>
  <c r="E6" i="58"/>
  <c r="G6" i="58" s="1"/>
  <c r="H6" i="58" s="1"/>
  <c r="K6" i="58" s="1"/>
  <c r="L6" i="58" s="1"/>
  <c r="E7" i="58"/>
  <c r="G7" i="58" s="1"/>
  <c r="H7" i="58" s="1"/>
  <c r="K7" i="58" s="1"/>
  <c r="L7" i="58" s="1"/>
  <c r="E17" i="58"/>
  <c r="G17" i="58" s="1"/>
  <c r="H17" i="58" s="1"/>
  <c r="K17" i="58" s="1"/>
  <c r="L17" i="58" s="1"/>
  <c r="E10" i="58"/>
  <c r="G10" i="58" s="1"/>
  <c r="H10" i="58" s="1"/>
  <c r="K10" i="58" s="1"/>
  <c r="L10" i="58" s="1"/>
  <c r="E12" i="58"/>
  <c r="G12" i="58" s="1"/>
  <c r="H12" i="58" s="1"/>
  <c r="K12" i="58" s="1"/>
  <c r="L12" i="58" s="1"/>
  <c r="E16" i="58"/>
  <c r="G16" i="58" s="1"/>
  <c r="H16" i="58" s="1"/>
  <c r="K16" i="58" s="1"/>
  <c r="L16" i="58" s="1"/>
  <c r="E21" i="58"/>
  <c r="G21" i="58" s="1"/>
  <c r="H21" i="58" s="1"/>
  <c r="K21" i="58" s="1"/>
  <c r="L21" i="58" s="1"/>
  <c r="E9" i="58"/>
  <c r="G9" i="58" s="1"/>
  <c r="H9" i="58" s="1"/>
  <c r="K9" i="58" s="1"/>
  <c r="L9" i="58" s="1"/>
  <c r="E14" i="58"/>
  <c r="G14" i="58" s="1"/>
  <c r="H14" i="58" s="1"/>
  <c r="K14" i="58" s="1"/>
  <c r="L14" i="58" s="1"/>
  <c r="E20" i="58"/>
  <c r="G20" i="58" s="1"/>
  <c r="H20" i="58" s="1"/>
  <c r="K20" i="58" s="1"/>
  <c r="L20" i="58" s="1"/>
  <c r="C52" i="58"/>
  <c r="C53" i="58" s="1"/>
  <c r="D53" i="58" s="1"/>
  <c r="E8" i="58"/>
  <c r="G8" i="58" s="1"/>
  <c r="H8" i="58" s="1"/>
  <c r="K8" i="58" s="1"/>
  <c r="L8" i="58" s="1"/>
  <c r="E11" i="58"/>
  <c r="G11" i="58" s="1"/>
  <c r="H11" i="58" s="1"/>
  <c r="K11" i="58" s="1"/>
  <c r="L11" i="58" s="1"/>
  <c r="E15" i="58"/>
  <c r="G15" i="58" s="1"/>
  <c r="H15" i="58" s="1"/>
  <c r="K15" i="58" s="1"/>
  <c r="L15" i="58" s="1"/>
  <c r="E18" i="58"/>
  <c r="G18" i="58" s="1"/>
  <c r="H18" i="58" s="1"/>
  <c r="K18" i="58" s="1"/>
  <c r="L18" i="58" s="1"/>
  <c r="E19" i="58"/>
  <c r="G19" i="58" s="1"/>
  <c r="H19" i="58" s="1"/>
  <c r="K19" i="58" s="1"/>
  <c r="L19" i="58" s="1"/>
  <c r="I53" i="56"/>
  <c r="D5" i="56"/>
  <c r="H52" i="56" s="1"/>
  <c r="I53" i="58"/>
  <c r="J54" i="58"/>
  <c r="B106" i="58" s="1"/>
  <c r="D5" i="58"/>
  <c r="H51" i="58" s="1"/>
  <c r="E65" i="59"/>
  <c r="G65" i="59" s="1"/>
  <c r="H65" i="59" s="1"/>
  <c r="E5" i="59"/>
  <c r="G5" i="59" s="1"/>
  <c r="H5" i="59" s="1"/>
  <c r="K5" i="59" s="1"/>
  <c r="L5" i="59" s="1"/>
  <c r="S35" i="59" s="1"/>
  <c r="H53" i="62"/>
  <c r="E65" i="62" s="1"/>
  <c r="G65" i="62" s="1"/>
  <c r="H65" i="62" s="1"/>
  <c r="E5" i="62"/>
  <c r="G5" i="62" s="1"/>
  <c r="H5" i="62" s="1"/>
  <c r="K5" i="62" s="1"/>
  <c r="L5" i="62" s="1"/>
  <c r="S35" i="62" s="1"/>
  <c r="H51" i="69"/>
  <c r="I54" i="62"/>
  <c r="J55" i="62"/>
  <c r="I55" i="62" s="1"/>
  <c r="J53" i="47"/>
  <c r="B83" i="47" s="1"/>
  <c r="I51" i="47"/>
  <c r="D5" i="47" s="1"/>
  <c r="I53" i="67"/>
  <c r="J54" i="67"/>
  <c r="H53" i="43"/>
  <c r="E65" i="43" s="1"/>
  <c r="E5" i="43"/>
  <c r="G5" i="43" s="1"/>
  <c r="H5" i="43" s="1"/>
  <c r="K5" i="43" s="1"/>
  <c r="L5" i="43" s="1"/>
  <c r="S35" i="43" s="1"/>
  <c r="I54" i="43"/>
  <c r="D90" i="45"/>
  <c r="D112" i="45"/>
  <c r="C53" i="43"/>
  <c r="D53" i="43" s="1"/>
  <c r="E9" i="32"/>
  <c r="G9" i="32" s="1"/>
  <c r="H9" i="32" s="1"/>
  <c r="K9" i="32" s="1"/>
  <c r="L9" i="32" s="1"/>
  <c r="E10" i="32"/>
  <c r="G10" i="32" s="1"/>
  <c r="H10" i="32" s="1"/>
  <c r="K10" i="32" s="1"/>
  <c r="L10" i="32" s="1"/>
  <c r="E8" i="32"/>
  <c r="G8" i="32" s="1"/>
  <c r="H8" i="32" s="1"/>
  <c r="K8" i="32" s="1"/>
  <c r="L8" i="32" s="1"/>
  <c r="E7" i="32"/>
  <c r="G7" i="32" s="1"/>
  <c r="H7" i="32" s="1"/>
  <c r="K7" i="32" s="1"/>
  <c r="L7" i="32" s="1"/>
  <c r="I1" i="32"/>
  <c r="C52" i="32" s="1"/>
  <c r="E14" i="32"/>
  <c r="G14" i="32" s="1"/>
  <c r="H14" i="32" s="1"/>
  <c r="K14" i="32" s="1"/>
  <c r="L14" i="32" s="1"/>
  <c r="E13" i="32"/>
  <c r="G13" i="32" s="1"/>
  <c r="H13" i="32" s="1"/>
  <c r="K13" i="32" s="1"/>
  <c r="L13" i="32" s="1"/>
  <c r="E18" i="32"/>
  <c r="G18" i="32" s="1"/>
  <c r="H18" i="32" s="1"/>
  <c r="K18" i="32" s="1"/>
  <c r="L18" i="32" s="1"/>
  <c r="E11" i="32"/>
  <c r="G11" i="32" s="1"/>
  <c r="H11" i="32" s="1"/>
  <c r="K11" i="32" s="1"/>
  <c r="L11" i="32" s="1"/>
  <c r="E17" i="32"/>
  <c r="G17" i="32" s="1"/>
  <c r="H17" i="32" s="1"/>
  <c r="K17" i="32" s="1"/>
  <c r="L17" i="32" s="1"/>
  <c r="G6" i="32"/>
  <c r="H6" i="32" s="1"/>
  <c r="K6" i="32" s="1"/>
  <c r="L6" i="32" s="1"/>
  <c r="E15" i="32"/>
  <c r="G15" i="32" s="1"/>
  <c r="H15" i="32" s="1"/>
  <c r="K15" i="32" s="1"/>
  <c r="L15" i="32" s="1"/>
  <c r="E16" i="32"/>
  <c r="G16" i="32" s="1"/>
  <c r="H16" i="32" s="1"/>
  <c r="K16" i="32" s="1"/>
  <c r="L16" i="32" s="1"/>
  <c r="E19" i="32"/>
  <c r="G19" i="32" s="1"/>
  <c r="H19" i="32" s="1"/>
  <c r="K19" i="32" s="1"/>
  <c r="L19" i="32" s="1"/>
  <c r="E69" i="26"/>
  <c r="G69" i="26" s="1"/>
  <c r="H69" i="26" s="1"/>
  <c r="C54" i="25"/>
  <c r="D54" i="25" s="1"/>
  <c r="G88" i="50"/>
  <c r="H88" i="50" s="1"/>
  <c r="H55" i="50"/>
  <c r="E112" i="50" s="1"/>
  <c r="G112" i="50" s="1"/>
  <c r="H112" i="50" s="1"/>
  <c r="G65" i="50"/>
  <c r="H65" i="50" s="1"/>
  <c r="J54" i="33"/>
  <c r="B116" i="33" s="1"/>
  <c r="I53" i="33"/>
  <c r="D5" i="33"/>
  <c r="E12" i="32"/>
  <c r="G12" i="32" s="1"/>
  <c r="H12" i="32" s="1"/>
  <c r="K12" i="32" s="1"/>
  <c r="L12" i="32" s="1"/>
  <c r="C54" i="29"/>
  <c r="D54" i="29" s="1"/>
  <c r="T35" i="33"/>
  <c r="E70" i="26"/>
  <c r="G70" i="26" s="1"/>
  <c r="H70" i="26" s="1"/>
  <c r="E67" i="26"/>
  <c r="G67" i="26" s="1"/>
  <c r="H67" i="26" s="1"/>
  <c r="E78" i="26"/>
  <c r="G78" i="26" s="1"/>
  <c r="H78" i="26" s="1"/>
  <c r="C54" i="26"/>
  <c r="D54" i="26" s="1"/>
  <c r="E66" i="26"/>
  <c r="G66" i="26" s="1"/>
  <c r="H66" i="26" s="1"/>
  <c r="E68" i="26"/>
  <c r="G68" i="26" s="1"/>
  <c r="H68" i="26" s="1"/>
  <c r="E72" i="26"/>
  <c r="G72" i="26" s="1"/>
  <c r="H72" i="26" s="1"/>
  <c r="E75" i="26"/>
  <c r="G75" i="26" s="1"/>
  <c r="H75" i="26" s="1"/>
  <c r="E73" i="26"/>
  <c r="G73" i="26" s="1"/>
  <c r="H73" i="26" s="1"/>
  <c r="E77" i="26"/>
  <c r="G77" i="26" s="1"/>
  <c r="H77" i="26" s="1"/>
  <c r="E76" i="26"/>
  <c r="G76" i="26" s="1"/>
  <c r="H76" i="26" s="1"/>
  <c r="E71" i="26"/>
  <c r="G71" i="26" s="1"/>
  <c r="H71" i="26" s="1"/>
  <c r="E74" i="26"/>
  <c r="G74" i="26" s="1"/>
  <c r="H74" i="26" s="1"/>
  <c r="E67" i="20"/>
  <c r="J55" i="9"/>
  <c r="I55" i="9" s="1"/>
  <c r="I55" i="10"/>
  <c r="H53" i="10"/>
  <c r="E8" i="10"/>
  <c r="G8" i="10" s="1"/>
  <c r="H8" i="10" s="1"/>
  <c r="K8" i="10" s="1"/>
  <c r="L8" i="10" s="1"/>
  <c r="E9" i="10"/>
  <c r="G9" i="10" s="1"/>
  <c r="H9" i="10" s="1"/>
  <c r="K9" i="10" s="1"/>
  <c r="L9" i="10" s="1"/>
  <c r="E7" i="10"/>
  <c r="G7" i="10" s="1"/>
  <c r="H7" i="10" s="1"/>
  <c r="K7" i="10" s="1"/>
  <c r="L7" i="10" s="1"/>
  <c r="E6" i="10"/>
  <c r="G6" i="10" s="1"/>
  <c r="H6" i="10" s="1"/>
  <c r="K6" i="10" s="1"/>
  <c r="L6" i="10" s="1"/>
  <c r="H1" i="10"/>
  <c r="J56" i="10"/>
  <c r="B106" i="10" s="1"/>
  <c r="J54" i="7"/>
  <c r="B104" i="7" s="1"/>
  <c r="I53" i="7"/>
  <c r="D5" i="7"/>
  <c r="D132" i="7" s="1"/>
  <c r="C54" i="7"/>
  <c r="D54" i="7" s="1"/>
  <c r="H52" i="69"/>
  <c r="D89" i="69"/>
  <c r="D65" i="69"/>
  <c r="I54" i="9"/>
  <c r="I53" i="25"/>
  <c r="J54" i="25"/>
  <c r="E17" i="51"/>
  <c r="G17" i="51" s="1"/>
  <c r="H17" i="51" s="1"/>
  <c r="K17" i="51" s="1"/>
  <c r="L17" i="51" s="1"/>
  <c r="E13" i="51"/>
  <c r="G13" i="51" s="1"/>
  <c r="H13" i="51" s="1"/>
  <c r="K13" i="51" s="1"/>
  <c r="L13" i="51" s="1"/>
  <c r="E11" i="51"/>
  <c r="G11" i="51" s="1"/>
  <c r="H11" i="51" s="1"/>
  <c r="K11" i="51" s="1"/>
  <c r="L11" i="51" s="1"/>
  <c r="E6" i="51"/>
  <c r="G6" i="51" s="1"/>
  <c r="H6" i="51" s="1"/>
  <c r="K6" i="51" s="1"/>
  <c r="L6" i="51" s="1"/>
  <c r="H1" i="51"/>
  <c r="E16" i="51"/>
  <c r="G16" i="51" s="1"/>
  <c r="H16" i="51" s="1"/>
  <c r="K16" i="51" s="1"/>
  <c r="L16" i="51" s="1"/>
  <c r="E10" i="51"/>
  <c r="G10" i="51" s="1"/>
  <c r="H10" i="51" s="1"/>
  <c r="K10" i="51" s="1"/>
  <c r="L10" i="51" s="1"/>
  <c r="E9" i="51"/>
  <c r="G9" i="51" s="1"/>
  <c r="H9" i="51" s="1"/>
  <c r="K9" i="51" s="1"/>
  <c r="L9" i="51" s="1"/>
  <c r="E8" i="51"/>
  <c r="G8" i="51" s="1"/>
  <c r="H8" i="51" s="1"/>
  <c r="K8" i="51" s="1"/>
  <c r="L8" i="51" s="1"/>
  <c r="E7" i="51"/>
  <c r="G7" i="51" s="1"/>
  <c r="H7" i="51" s="1"/>
  <c r="K7" i="51" s="1"/>
  <c r="L7" i="51" s="1"/>
  <c r="E14" i="51"/>
  <c r="G14" i="51" s="1"/>
  <c r="H14" i="51" s="1"/>
  <c r="K14" i="51" s="1"/>
  <c r="L14" i="51" s="1"/>
  <c r="E12" i="51"/>
  <c r="G12" i="51" s="1"/>
  <c r="H12" i="51" s="1"/>
  <c r="K12" i="51" s="1"/>
  <c r="L12" i="51" s="1"/>
  <c r="E15" i="51"/>
  <c r="G15" i="51" s="1"/>
  <c r="H15" i="51" s="1"/>
  <c r="K15" i="51" s="1"/>
  <c r="L15" i="51" s="1"/>
  <c r="H53" i="51"/>
  <c r="I54" i="51"/>
  <c r="J55" i="51"/>
  <c r="I53" i="60"/>
  <c r="E6" i="60"/>
  <c r="G6" i="60" s="1"/>
  <c r="H6" i="60" s="1"/>
  <c r="K6" i="60" s="1"/>
  <c r="L6" i="60" s="1"/>
  <c r="E13" i="60"/>
  <c r="G13" i="60" s="1"/>
  <c r="H13" i="60" s="1"/>
  <c r="K13" i="60" s="1"/>
  <c r="L13" i="60" s="1"/>
  <c r="E10" i="60"/>
  <c r="G10" i="60" s="1"/>
  <c r="H10" i="60" s="1"/>
  <c r="K10" i="60" s="1"/>
  <c r="L10" i="60" s="1"/>
  <c r="E12" i="60"/>
  <c r="G12" i="60" s="1"/>
  <c r="H12" i="60" s="1"/>
  <c r="K12" i="60" s="1"/>
  <c r="L12" i="60" s="1"/>
  <c r="E9" i="60"/>
  <c r="G9" i="60" s="1"/>
  <c r="H9" i="60" s="1"/>
  <c r="K9" i="60" s="1"/>
  <c r="L9" i="60" s="1"/>
  <c r="E7" i="60"/>
  <c r="G7" i="60" s="1"/>
  <c r="H7" i="60" s="1"/>
  <c r="K7" i="60" s="1"/>
  <c r="L7" i="60" s="1"/>
  <c r="E8" i="60"/>
  <c r="G8" i="60" s="1"/>
  <c r="H8" i="60" s="1"/>
  <c r="K8" i="60" s="1"/>
  <c r="L8" i="60" s="1"/>
  <c r="E11" i="60"/>
  <c r="G11" i="60" s="1"/>
  <c r="H11" i="60" s="1"/>
  <c r="K11" i="60" s="1"/>
  <c r="L11" i="60" s="1"/>
  <c r="E16" i="60"/>
  <c r="G16" i="60" s="1"/>
  <c r="H16" i="60" s="1"/>
  <c r="K16" i="60" s="1"/>
  <c r="L16" i="60" s="1"/>
  <c r="E14" i="60"/>
  <c r="G14" i="60" s="1"/>
  <c r="H14" i="60" s="1"/>
  <c r="K14" i="60" s="1"/>
  <c r="L14" i="60" s="1"/>
  <c r="C52" i="60"/>
  <c r="E15" i="60"/>
  <c r="G15" i="60" s="1"/>
  <c r="H15" i="60" s="1"/>
  <c r="K15" i="60" s="1"/>
  <c r="L15" i="60" s="1"/>
  <c r="E17" i="60"/>
  <c r="G17" i="60" s="1"/>
  <c r="H17" i="60" s="1"/>
  <c r="K17" i="60" s="1"/>
  <c r="L17" i="60" s="1"/>
  <c r="J54" i="60"/>
  <c r="C54" i="50"/>
  <c r="I54" i="35"/>
  <c r="J55" i="35"/>
  <c r="B95" i="35" s="1"/>
  <c r="H95" i="35" s="1"/>
  <c r="E6" i="35"/>
  <c r="G6" i="35" s="1"/>
  <c r="H6" i="35" s="1"/>
  <c r="K6" i="35" s="1"/>
  <c r="L6" i="35" s="1"/>
  <c r="E9" i="35"/>
  <c r="G9" i="35" s="1"/>
  <c r="H9" i="35" s="1"/>
  <c r="K9" i="35" s="1"/>
  <c r="L9" i="35" s="1"/>
  <c r="H53" i="35"/>
  <c r="H1" i="35"/>
  <c r="E7" i="35"/>
  <c r="G7" i="35" s="1"/>
  <c r="H7" i="35" s="1"/>
  <c r="K7" i="35" s="1"/>
  <c r="L7" i="35" s="1"/>
  <c r="E8" i="35"/>
  <c r="G8" i="35" s="1"/>
  <c r="H8" i="35" s="1"/>
  <c r="K8" i="35" s="1"/>
  <c r="L8" i="35" s="1"/>
  <c r="C54" i="27"/>
  <c r="D54" i="27" s="1"/>
  <c r="G65" i="30"/>
  <c r="H65" i="30" s="1"/>
  <c r="H54" i="30"/>
  <c r="E80" i="30" s="1"/>
  <c r="G80" i="30" s="1"/>
  <c r="H80" i="30" s="1"/>
  <c r="G70" i="68"/>
  <c r="H70" i="68" s="1"/>
  <c r="G67" i="68"/>
  <c r="H67" i="68" s="1"/>
  <c r="G72" i="68"/>
  <c r="H72" i="68" s="1"/>
  <c r="G68" i="68"/>
  <c r="H68" i="68" s="1"/>
  <c r="G66" i="68"/>
  <c r="H66" i="68" s="1"/>
  <c r="G71" i="68"/>
  <c r="H71" i="68" s="1"/>
  <c r="G69" i="68"/>
  <c r="H69" i="68" s="1"/>
  <c r="C52" i="55"/>
  <c r="I1" i="55"/>
  <c r="I1" i="54"/>
  <c r="C52" i="54"/>
  <c r="E11" i="39"/>
  <c r="G11" i="39" s="1"/>
  <c r="H11" i="39" s="1"/>
  <c r="K11" i="39" s="1"/>
  <c r="L11" i="39" s="1"/>
  <c r="E10" i="39"/>
  <c r="G10" i="39" s="1"/>
  <c r="H10" i="39" s="1"/>
  <c r="K10" i="39" s="1"/>
  <c r="L10" i="39" s="1"/>
  <c r="E7" i="39"/>
  <c r="G7" i="39" s="1"/>
  <c r="H7" i="39" s="1"/>
  <c r="K7" i="39" s="1"/>
  <c r="L7" i="39" s="1"/>
  <c r="E9" i="39"/>
  <c r="G9" i="39" s="1"/>
  <c r="H9" i="39" s="1"/>
  <c r="K9" i="39" s="1"/>
  <c r="L9" i="39" s="1"/>
  <c r="E6" i="39"/>
  <c r="G6" i="39" s="1"/>
  <c r="H6" i="39" s="1"/>
  <c r="K6" i="39" s="1"/>
  <c r="L6" i="39" s="1"/>
  <c r="E8" i="39"/>
  <c r="G8" i="39" s="1"/>
  <c r="H8" i="39" s="1"/>
  <c r="K8" i="39" s="1"/>
  <c r="L8" i="39" s="1"/>
  <c r="C52" i="38"/>
  <c r="I1" i="38"/>
  <c r="E9" i="31"/>
  <c r="G9" i="31" s="1"/>
  <c r="H9" i="31" s="1"/>
  <c r="K9" i="31" s="1"/>
  <c r="L9" i="31" s="1"/>
  <c r="E8" i="31"/>
  <c r="G8" i="31" s="1"/>
  <c r="H8" i="31" s="1"/>
  <c r="K8" i="31" s="1"/>
  <c r="L8" i="31" s="1"/>
  <c r="E16" i="31"/>
  <c r="G16" i="31" s="1"/>
  <c r="H16" i="31" s="1"/>
  <c r="K16" i="31" s="1"/>
  <c r="L16" i="31" s="1"/>
  <c r="E12" i="31"/>
  <c r="G12" i="31" s="1"/>
  <c r="H12" i="31" s="1"/>
  <c r="K12" i="31" s="1"/>
  <c r="L12" i="31" s="1"/>
  <c r="E14" i="31"/>
  <c r="G14" i="31" s="1"/>
  <c r="H14" i="31" s="1"/>
  <c r="K14" i="31" s="1"/>
  <c r="L14" i="31" s="1"/>
  <c r="E11" i="31"/>
  <c r="G11" i="31" s="1"/>
  <c r="H11" i="31" s="1"/>
  <c r="K11" i="31" s="1"/>
  <c r="L11" i="31" s="1"/>
  <c r="E10" i="31"/>
  <c r="G10" i="31" s="1"/>
  <c r="H10" i="31" s="1"/>
  <c r="K10" i="31" s="1"/>
  <c r="L10" i="31" s="1"/>
  <c r="E22" i="31"/>
  <c r="G22" i="31" s="1"/>
  <c r="H22" i="31" s="1"/>
  <c r="K22" i="31" s="1"/>
  <c r="L22" i="31" s="1"/>
  <c r="E21" i="31"/>
  <c r="G21" i="31" s="1"/>
  <c r="H21" i="31" s="1"/>
  <c r="K21" i="31" s="1"/>
  <c r="L21" i="31" s="1"/>
  <c r="E20" i="31"/>
  <c r="G20" i="31" s="1"/>
  <c r="H20" i="31" s="1"/>
  <c r="K20" i="31" s="1"/>
  <c r="L20" i="31" s="1"/>
  <c r="E19" i="31"/>
  <c r="G19" i="31" s="1"/>
  <c r="H19" i="31" s="1"/>
  <c r="K19" i="31" s="1"/>
  <c r="L19" i="31" s="1"/>
  <c r="E18" i="31"/>
  <c r="G18" i="31" s="1"/>
  <c r="H18" i="31" s="1"/>
  <c r="K18" i="31" s="1"/>
  <c r="L18" i="31" s="1"/>
  <c r="E13" i="31"/>
  <c r="G13" i="31" s="1"/>
  <c r="H13" i="31" s="1"/>
  <c r="K13" i="31" s="1"/>
  <c r="L13" i="31" s="1"/>
  <c r="E7" i="31"/>
  <c r="G7" i="31" s="1"/>
  <c r="H7" i="31" s="1"/>
  <c r="K7" i="31" s="1"/>
  <c r="L7" i="31" s="1"/>
  <c r="E6" i="31"/>
  <c r="G6" i="31" s="1"/>
  <c r="H6" i="31" s="1"/>
  <c r="K6" i="31" s="1"/>
  <c r="L6" i="31" s="1"/>
  <c r="E15" i="31"/>
  <c r="G15" i="31" s="1"/>
  <c r="H15" i="31" s="1"/>
  <c r="K15" i="31" s="1"/>
  <c r="L15" i="31" s="1"/>
  <c r="E24" i="31"/>
  <c r="G24" i="31" s="1"/>
  <c r="H24" i="31" s="1"/>
  <c r="K24" i="31" s="1"/>
  <c r="L24" i="31" s="1"/>
  <c r="I1" i="31"/>
  <c r="C52" i="31" s="1"/>
  <c r="E23" i="31"/>
  <c r="G23" i="31" s="1"/>
  <c r="H23" i="31" s="1"/>
  <c r="K23" i="31" s="1"/>
  <c r="L23" i="31" s="1"/>
  <c r="E17" i="31"/>
  <c r="G17" i="31" s="1"/>
  <c r="H17" i="31" s="1"/>
  <c r="K17" i="31" s="1"/>
  <c r="L17" i="31" s="1"/>
  <c r="I1" i="14"/>
  <c r="C52" i="14"/>
  <c r="C52" i="13"/>
  <c r="I1" i="13"/>
  <c r="E8" i="37"/>
  <c r="G8" i="37" s="1"/>
  <c r="H8" i="37" s="1"/>
  <c r="K8" i="37" s="1"/>
  <c r="L8" i="37" s="1"/>
  <c r="E11" i="37"/>
  <c r="G11" i="37" s="1"/>
  <c r="H11" i="37" s="1"/>
  <c r="K11" i="37" s="1"/>
  <c r="L11" i="37" s="1"/>
  <c r="E7" i="37"/>
  <c r="G7" i="37" s="1"/>
  <c r="H7" i="37" s="1"/>
  <c r="K7" i="37" s="1"/>
  <c r="L7" i="37" s="1"/>
  <c r="E6" i="37"/>
  <c r="G6" i="37" s="1"/>
  <c r="H6" i="37" s="1"/>
  <c r="K6" i="37" s="1"/>
  <c r="L6" i="37" s="1"/>
  <c r="E9" i="37"/>
  <c r="G9" i="37" s="1"/>
  <c r="H9" i="37" s="1"/>
  <c r="K9" i="37" s="1"/>
  <c r="L9" i="37" s="1"/>
  <c r="E12" i="37"/>
  <c r="G12" i="37" s="1"/>
  <c r="H12" i="37" s="1"/>
  <c r="K12" i="37" s="1"/>
  <c r="L12" i="37" s="1"/>
  <c r="E10" i="37"/>
  <c r="G10" i="37" s="1"/>
  <c r="H10" i="37" s="1"/>
  <c r="K10" i="37" s="1"/>
  <c r="L10" i="37" s="1"/>
  <c r="C52" i="37"/>
  <c r="E72" i="29"/>
  <c r="G72" i="29" s="1"/>
  <c r="H72" i="29" s="1"/>
  <c r="E70" i="29"/>
  <c r="G70" i="29" s="1"/>
  <c r="H70" i="29" s="1"/>
  <c r="E67" i="29"/>
  <c r="G67" i="29" s="1"/>
  <c r="H67" i="29" s="1"/>
  <c r="E75" i="29"/>
  <c r="G75" i="29" s="1"/>
  <c r="H75" i="29" s="1"/>
  <c r="E78" i="29"/>
  <c r="G78" i="29" s="1"/>
  <c r="H78" i="29" s="1"/>
  <c r="E73" i="29"/>
  <c r="G73" i="29" s="1"/>
  <c r="H73" i="29" s="1"/>
  <c r="E71" i="29"/>
  <c r="G71" i="29" s="1"/>
  <c r="H71" i="29" s="1"/>
  <c r="E79" i="29"/>
  <c r="G79" i="29" s="1"/>
  <c r="H79" i="29" s="1"/>
  <c r="E66" i="29"/>
  <c r="G66" i="29" s="1"/>
  <c r="H66" i="29" s="1"/>
  <c r="E74" i="29"/>
  <c r="G74" i="29" s="1"/>
  <c r="H74" i="29" s="1"/>
  <c r="E76" i="29"/>
  <c r="G76" i="29" s="1"/>
  <c r="H76" i="29" s="1"/>
  <c r="E77" i="29"/>
  <c r="G77" i="29" s="1"/>
  <c r="H77" i="29" s="1"/>
  <c r="E68" i="29"/>
  <c r="G68" i="29" s="1"/>
  <c r="H68" i="29" s="1"/>
  <c r="E69" i="29"/>
  <c r="G69" i="29" s="1"/>
  <c r="H69" i="29" s="1"/>
  <c r="AC30" i="7"/>
  <c r="H53" i="23"/>
  <c r="E8" i="23"/>
  <c r="G8" i="23" s="1"/>
  <c r="H8" i="23" s="1"/>
  <c r="K8" i="23" s="1"/>
  <c r="L8" i="23" s="1"/>
  <c r="E16" i="23"/>
  <c r="G16" i="23" s="1"/>
  <c r="H16" i="23" s="1"/>
  <c r="K16" i="23" s="1"/>
  <c r="L16" i="23" s="1"/>
  <c r="E6" i="23"/>
  <c r="G6" i="23" s="1"/>
  <c r="H6" i="23" s="1"/>
  <c r="K6" i="23" s="1"/>
  <c r="H1" i="23"/>
  <c r="E11" i="23"/>
  <c r="G11" i="23" s="1"/>
  <c r="H11" i="23" s="1"/>
  <c r="K11" i="23" s="1"/>
  <c r="L11" i="23" s="1"/>
  <c r="E14" i="23"/>
  <c r="G14" i="23" s="1"/>
  <c r="H14" i="23" s="1"/>
  <c r="K14" i="23" s="1"/>
  <c r="L14" i="23" s="1"/>
  <c r="E9" i="23"/>
  <c r="G9" i="23" s="1"/>
  <c r="H9" i="23" s="1"/>
  <c r="K9" i="23" s="1"/>
  <c r="L9" i="23" s="1"/>
  <c r="E17" i="23"/>
  <c r="G17" i="23" s="1"/>
  <c r="H17" i="23" s="1"/>
  <c r="K17" i="23" s="1"/>
  <c r="L17" i="23" s="1"/>
  <c r="E12" i="23"/>
  <c r="G12" i="23" s="1"/>
  <c r="H12" i="23" s="1"/>
  <c r="K12" i="23" s="1"/>
  <c r="L12" i="23" s="1"/>
  <c r="E10" i="23"/>
  <c r="G10" i="23" s="1"/>
  <c r="H10" i="23" s="1"/>
  <c r="K10" i="23" s="1"/>
  <c r="L10" i="23" s="1"/>
  <c r="E18" i="23"/>
  <c r="G18" i="23" s="1"/>
  <c r="H18" i="23" s="1"/>
  <c r="K18" i="23" s="1"/>
  <c r="L18" i="23" s="1"/>
  <c r="E7" i="23"/>
  <c r="G7" i="23" s="1"/>
  <c r="H7" i="23" s="1"/>
  <c r="K7" i="23" s="1"/>
  <c r="L7" i="23" s="1"/>
  <c r="E15" i="23"/>
  <c r="G15" i="23" s="1"/>
  <c r="H15" i="23" s="1"/>
  <c r="K15" i="23" s="1"/>
  <c r="L15" i="23" s="1"/>
  <c r="E13" i="23"/>
  <c r="G13" i="23" s="1"/>
  <c r="H13" i="23" s="1"/>
  <c r="K13" i="23" s="1"/>
  <c r="L13" i="23" s="1"/>
  <c r="H20" i="21"/>
  <c r="H18" i="21"/>
  <c r="H54" i="21"/>
  <c r="H55" i="21" s="1"/>
  <c r="H19" i="21"/>
  <c r="E71" i="20"/>
  <c r="G71" i="20" s="1"/>
  <c r="H71" i="20" s="1"/>
  <c r="E79" i="20"/>
  <c r="G79" i="20" s="1"/>
  <c r="H79" i="20" s="1"/>
  <c r="E66" i="20"/>
  <c r="G66" i="20" s="1"/>
  <c r="H66" i="20" s="1"/>
  <c r="E74" i="20"/>
  <c r="G74" i="20" s="1"/>
  <c r="H74" i="20" s="1"/>
  <c r="E69" i="20"/>
  <c r="G69" i="20" s="1"/>
  <c r="H69" i="20" s="1"/>
  <c r="E77" i="20"/>
  <c r="G77" i="20" s="1"/>
  <c r="H77" i="20" s="1"/>
  <c r="E78" i="20"/>
  <c r="G78" i="20" s="1"/>
  <c r="H78" i="20" s="1"/>
  <c r="E72" i="20"/>
  <c r="G72" i="20" s="1"/>
  <c r="H72" i="20" s="1"/>
  <c r="E75" i="20"/>
  <c r="G75" i="20" s="1"/>
  <c r="H75" i="20" s="1"/>
  <c r="E70" i="20"/>
  <c r="G70" i="20" s="1"/>
  <c r="H70" i="20" s="1"/>
  <c r="E73" i="20"/>
  <c r="G73" i="20" s="1"/>
  <c r="H73" i="20" s="1"/>
  <c r="E68" i="20"/>
  <c r="G68" i="20" s="1"/>
  <c r="H68" i="20" s="1"/>
  <c r="E76" i="20"/>
  <c r="G76" i="20" s="1"/>
  <c r="H76" i="20" s="1"/>
  <c r="C54" i="20"/>
  <c r="D54" i="20" s="1"/>
  <c r="C53" i="19"/>
  <c r="H54" i="17"/>
  <c r="E96" i="17" s="1"/>
  <c r="G96" i="17" s="1"/>
  <c r="H96" i="17" s="1"/>
  <c r="AB30" i="7"/>
  <c r="E79" i="7"/>
  <c r="G79" i="7" s="1"/>
  <c r="H79" i="7" s="1"/>
  <c r="E74" i="7"/>
  <c r="G74" i="7" s="1"/>
  <c r="H74" i="7" s="1"/>
  <c r="E72" i="7"/>
  <c r="G72" i="7" s="1"/>
  <c r="H72" i="7" s="1"/>
  <c r="E68" i="7"/>
  <c r="G68" i="7" s="1"/>
  <c r="H68" i="7" s="1"/>
  <c r="E76" i="7"/>
  <c r="G76" i="7" s="1"/>
  <c r="H76" i="7" s="1"/>
  <c r="E71" i="7"/>
  <c r="G71" i="7" s="1"/>
  <c r="H71" i="7" s="1"/>
  <c r="E66" i="7"/>
  <c r="G66" i="7" s="1"/>
  <c r="H66" i="7" s="1"/>
  <c r="E78" i="7"/>
  <c r="G78" i="7" s="1"/>
  <c r="H78" i="7" s="1"/>
  <c r="E69" i="7"/>
  <c r="G69" i="7" s="1"/>
  <c r="H69" i="7" s="1"/>
  <c r="E77" i="7"/>
  <c r="G77" i="7" s="1"/>
  <c r="H77" i="7" s="1"/>
  <c r="E73" i="7"/>
  <c r="G73" i="7" s="1"/>
  <c r="H73" i="7" s="1"/>
  <c r="E67" i="7"/>
  <c r="G67" i="7" s="1"/>
  <c r="H67" i="7" s="1"/>
  <c r="E75" i="7"/>
  <c r="G75" i="7" s="1"/>
  <c r="H75" i="7" s="1"/>
  <c r="E70" i="7"/>
  <c r="G70" i="7" s="1"/>
  <c r="H70" i="7" s="1"/>
  <c r="E67" i="45"/>
  <c r="G67" i="45" s="1"/>
  <c r="H67" i="45" s="1"/>
  <c r="E75" i="45"/>
  <c r="G75" i="45" s="1"/>
  <c r="H75" i="45" s="1"/>
  <c r="E80" i="45"/>
  <c r="G80" i="45" s="1"/>
  <c r="H80" i="45" s="1"/>
  <c r="C54" i="45"/>
  <c r="D54" i="45" s="1"/>
  <c r="E70" i="45"/>
  <c r="G70" i="45" s="1"/>
  <c r="H70" i="45" s="1"/>
  <c r="E78" i="45"/>
  <c r="G78" i="45" s="1"/>
  <c r="H78" i="45" s="1"/>
  <c r="E73" i="45"/>
  <c r="G73" i="45" s="1"/>
  <c r="H73" i="45" s="1"/>
  <c r="E68" i="45"/>
  <c r="G68" i="45" s="1"/>
  <c r="H68" i="45" s="1"/>
  <c r="E76" i="45"/>
  <c r="G76" i="45" s="1"/>
  <c r="H76" i="45" s="1"/>
  <c r="E71" i="45"/>
  <c r="G71" i="45" s="1"/>
  <c r="H71" i="45" s="1"/>
  <c r="E79" i="45"/>
  <c r="G79" i="45" s="1"/>
  <c r="H79" i="45" s="1"/>
  <c r="E66" i="45"/>
  <c r="G66" i="45" s="1"/>
  <c r="H66" i="45" s="1"/>
  <c r="E69" i="45"/>
  <c r="G69" i="45" s="1"/>
  <c r="H69" i="45" s="1"/>
  <c r="E77" i="45"/>
  <c r="G77" i="45" s="1"/>
  <c r="H77" i="45" s="1"/>
  <c r="E72" i="45"/>
  <c r="G72" i="45" s="1"/>
  <c r="H72" i="45" s="1"/>
  <c r="E74" i="45"/>
  <c r="G74" i="45" s="1"/>
  <c r="H74" i="45" s="1"/>
  <c r="J54" i="45"/>
  <c r="B107" i="45" s="1"/>
  <c r="I53" i="45"/>
  <c r="T35" i="6"/>
  <c r="C53" i="3"/>
  <c r="D53" i="3" s="1"/>
  <c r="C53" i="6"/>
  <c r="D53" i="6" s="1"/>
  <c r="I54" i="6"/>
  <c r="J55" i="6"/>
  <c r="I55" i="6" s="1"/>
  <c r="E83" i="8"/>
  <c r="G83" i="8" s="1"/>
  <c r="H83" i="8" s="1"/>
  <c r="E80" i="8"/>
  <c r="G80" i="8" s="1"/>
  <c r="H80" i="8" s="1"/>
  <c r="E68" i="8"/>
  <c r="G68" i="8" s="1"/>
  <c r="H68" i="8" s="1"/>
  <c r="E66" i="8"/>
  <c r="G66" i="8" s="1"/>
  <c r="H66" i="8" s="1"/>
  <c r="E74" i="8"/>
  <c r="G74" i="8" s="1"/>
  <c r="H74" i="8" s="1"/>
  <c r="E78" i="8"/>
  <c r="G78" i="8" s="1"/>
  <c r="H78" i="8" s="1"/>
  <c r="E70" i="8"/>
  <c r="G70" i="8" s="1"/>
  <c r="H70" i="8" s="1"/>
  <c r="E67" i="8"/>
  <c r="G67" i="8" s="1"/>
  <c r="H67" i="8" s="1"/>
  <c r="E79" i="8"/>
  <c r="G79" i="8" s="1"/>
  <c r="H79" i="8" s="1"/>
  <c r="E77" i="8"/>
  <c r="G77" i="8" s="1"/>
  <c r="H77" i="8" s="1"/>
  <c r="E82" i="8"/>
  <c r="G82" i="8" s="1"/>
  <c r="H82" i="8" s="1"/>
  <c r="E73" i="8"/>
  <c r="G73" i="8" s="1"/>
  <c r="H73" i="8" s="1"/>
  <c r="E69" i="8"/>
  <c r="G69" i="8" s="1"/>
  <c r="H69" i="8" s="1"/>
  <c r="E76" i="8"/>
  <c r="G76" i="8" s="1"/>
  <c r="H76" i="8" s="1"/>
  <c r="E81" i="8"/>
  <c r="G81" i="8" s="1"/>
  <c r="H81" i="8" s="1"/>
  <c r="E75" i="8"/>
  <c r="G75" i="8" s="1"/>
  <c r="H75" i="8" s="1"/>
  <c r="E71" i="8"/>
  <c r="G71" i="8" s="1"/>
  <c r="H71" i="8" s="1"/>
  <c r="E72" i="8"/>
  <c r="G72" i="8" s="1"/>
  <c r="H72" i="8" s="1"/>
  <c r="C54" i="8"/>
  <c r="G65" i="9"/>
  <c r="H65" i="9" s="1"/>
  <c r="H54" i="9"/>
  <c r="C54" i="9"/>
  <c r="D54" i="9" s="1"/>
  <c r="E12" i="70"/>
  <c r="G12" i="70" s="1"/>
  <c r="H12" i="70" s="1"/>
  <c r="K12" i="70" s="1"/>
  <c r="L12" i="70" s="1"/>
  <c r="E10" i="70"/>
  <c r="G10" i="70" s="1"/>
  <c r="H10" i="70" s="1"/>
  <c r="K10" i="70" s="1"/>
  <c r="L10" i="70" s="1"/>
  <c r="E14" i="70"/>
  <c r="G14" i="70" s="1"/>
  <c r="H14" i="70" s="1"/>
  <c r="K14" i="70" s="1"/>
  <c r="L14" i="70" s="1"/>
  <c r="E17" i="70"/>
  <c r="G17" i="70" s="1"/>
  <c r="H17" i="70" s="1"/>
  <c r="K17" i="70" s="1"/>
  <c r="L17" i="70" s="1"/>
  <c r="E15" i="70"/>
  <c r="G15" i="70" s="1"/>
  <c r="H15" i="70" s="1"/>
  <c r="K15" i="70" s="1"/>
  <c r="L15" i="70" s="1"/>
  <c r="E9" i="70"/>
  <c r="G9" i="70" s="1"/>
  <c r="H9" i="70" s="1"/>
  <c r="K9" i="70" s="1"/>
  <c r="L9" i="70" s="1"/>
  <c r="E8" i="70"/>
  <c r="G8" i="70" s="1"/>
  <c r="H8" i="70" s="1"/>
  <c r="K8" i="70" s="1"/>
  <c r="L8" i="70" s="1"/>
  <c r="E7" i="70"/>
  <c r="G7" i="70" s="1"/>
  <c r="H7" i="70" s="1"/>
  <c r="K7" i="70" s="1"/>
  <c r="L7" i="70" s="1"/>
  <c r="E6" i="70"/>
  <c r="G6" i="70" s="1"/>
  <c r="H6" i="70" s="1"/>
  <c r="K6" i="70" s="1"/>
  <c r="L6" i="70" s="1"/>
  <c r="C52" i="70"/>
  <c r="E22" i="70"/>
  <c r="G22" i="70" s="1"/>
  <c r="H22" i="70" s="1"/>
  <c r="K22" i="70" s="1"/>
  <c r="L22" i="70" s="1"/>
  <c r="E20" i="70"/>
  <c r="G20" i="70" s="1"/>
  <c r="H20" i="70" s="1"/>
  <c r="K20" i="70" s="1"/>
  <c r="L20" i="70" s="1"/>
  <c r="E18" i="70"/>
  <c r="G18" i="70" s="1"/>
  <c r="H18" i="70" s="1"/>
  <c r="K18" i="70" s="1"/>
  <c r="L18" i="70" s="1"/>
  <c r="E16" i="70"/>
  <c r="G16" i="70" s="1"/>
  <c r="H16" i="70" s="1"/>
  <c r="K16" i="70" s="1"/>
  <c r="L16" i="70" s="1"/>
  <c r="E11" i="70"/>
  <c r="G11" i="70" s="1"/>
  <c r="H11" i="70" s="1"/>
  <c r="K11" i="70" s="1"/>
  <c r="L11" i="70" s="1"/>
  <c r="E23" i="70"/>
  <c r="G23" i="70" s="1"/>
  <c r="H23" i="70" s="1"/>
  <c r="K23" i="70" s="1"/>
  <c r="L23" i="70" s="1"/>
  <c r="E19" i="70"/>
  <c r="G19" i="70" s="1"/>
  <c r="H19" i="70" s="1"/>
  <c r="K19" i="70" s="1"/>
  <c r="L19" i="70" s="1"/>
  <c r="E21" i="70"/>
  <c r="G21" i="70" s="1"/>
  <c r="H21" i="70" s="1"/>
  <c r="K21" i="70" s="1"/>
  <c r="L21" i="70" s="1"/>
  <c r="E13" i="70"/>
  <c r="G13" i="70" s="1"/>
  <c r="H13" i="70" s="1"/>
  <c r="K13" i="70" s="1"/>
  <c r="L13" i="70" s="1"/>
  <c r="I54" i="66"/>
  <c r="J55" i="66"/>
  <c r="T35" i="25" l="1"/>
  <c r="AC30" i="25" s="1"/>
  <c r="T35" i="67"/>
  <c r="AB30" i="67" s="1"/>
  <c r="L6" i="11"/>
  <c r="W35" i="11" s="1"/>
  <c r="AD30" i="11" s="1"/>
  <c r="AF30" i="11" s="1"/>
  <c r="AC25" i="11" s="1"/>
  <c r="T35" i="79"/>
  <c r="T30" i="87"/>
  <c r="AA25" i="87" s="1"/>
  <c r="U35" i="11"/>
  <c r="J55" i="11"/>
  <c r="I55" i="11" s="1"/>
  <c r="E81" i="34"/>
  <c r="G81" i="34" s="1"/>
  <c r="H81" i="34" s="1"/>
  <c r="D53" i="21"/>
  <c r="G81" i="20"/>
  <c r="E81" i="20"/>
  <c r="D53" i="17"/>
  <c r="G104" i="7"/>
  <c r="E104" i="7"/>
  <c r="D53" i="16"/>
  <c r="E81" i="16" s="1"/>
  <c r="AB30" i="29"/>
  <c r="U35" i="29"/>
  <c r="U35" i="49"/>
  <c r="U35" i="59"/>
  <c r="B107" i="59"/>
  <c r="J55" i="59"/>
  <c r="I55" i="59" s="1"/>
  <c r="I54" i="59"/>
  <c r="AA30" i="49"/>
  <c r="B99" i="49"/>
  <c r="I54" i="49"/>
  <c r="J55" i="49"/>
  <c r="I55" i="49" s="1"/>
  <c r="D53" i="57"/>
  <c r="J55" i="19"/>
  <c r="I55" i="19" s="1"/>
  <c r="I54" i="19"/>
  <c r="E82" i="26"/>
  <c r="G82" i="26"/>
  <c r="D53" i="49"/>
  <c r="D53" i="19"/>
  <c r="E81" i="59"/>
  <c r="G81" i="59" s="1"/>
  <c r="H81" i="59" s="1"/>
  <c r="E80" i="59"/>
  <c r="G80" i="59" s="1"/>
  <c r="H80" i="59" s="1"/>
  <c r="D53" i="59"/>
  <c r="E86" i="33"/>
  <c r="G86" i="33" s="1"/>
  <c r="H86" i="33" s="1"/>
  <c r="E85" i="33"/>
  <c r="G85" i="33" s="1"/>
  <c r="H85" i="33" s="1"/>
  <c r="H54" i="49"/>
  <c r="H55" i="49" s="1"/>
  <c r="E65" i="49"/>
  <c r="G65" i="49" s="1"/>
  <c r="H65" i="49" s="1"/>
  <c r="L16" i="37"/>
  <c r="W28" i="37"/>
  <c r="T35" i="58"/>
  <c r="AB30" i="58" s="1"/>
  <c r="AB31" i="58" s="1"/>
  <c r="S35" i="4"/>
  <c r="M5" i="4"/>
  <c r="H53" i="67"/>
  <c r="H54" i="67" s="1"/>
  <c r="H55" i="67" s="1"/>
  <c r="E5" i="67"/>
  <c r="H53" i="28"/>
  <c r="E5" i="28"/>
  <c r="G5" i="28" s="1"/>
  <c r="H5" i="28" s="1"/>
  <c r="K5" i="28" s="1"/>
  <c r="L5" i="28" s="1"/>
  <c r="S35" i="28" s="1"/>
  <c r="AB30" i="28" s="1"/>
  <c r="D54" i="4"/>
  <c r="E91" i="4"/>
  <c r="G91" i="4" s="1"/>
  <c r="H91" i="4" s="1"/>
  <c r="E92" i="4"/>
  <c r="G92" i="4" s="1"/>
  <c r="H92" i="4" s="1"/>
  <c r="E93" i="4"/>
  <c r="G93" i="4" s="1"/>
  <c r="H93" i="4" s="1"/>
  <c r="E94" i="4"/>
  <c r="G94" i="4" s="1"/>
  <c r="H94" i="4" s="1"/>
  <c r="I54" i="48"/>
  <c r="J55" i="48"/>
  <c r="B101" i="48"/>
  <c r="E87" i="32"/>
  <c r="H55" i="32"/>
  <c r="AB32" i="20"/>
  <c r="AC30" i="29"/>
  <c r="AD30" i="29"/>
  <c r="T33" i="34"/>
  <c r="AA30" i="34"/>
  <c r="AC30" i="34" s="1"/>
  <c r="AC25" i="34" s="1"/>
  <c r="T35" i="47"/>
  <c r="AB30" i="47" s="1"/>
  <c r="T35" i="53"/>
  <c r="AC30" i="53" s="1"/>
  <c r="U35" i="46"/>
  <c r="AA30" i="46"/>
  <c r="U35" i="27"/>
  <c r="AB30" i="27"/>
  <c r="T35" i="70"/>
  <c r="S33" i="66"/>
  <c r="AA30" i="62"/>
  <c r="AD30" i="62" s="1"/>
  <c r="U35" i="62"/>
  <c r="AA30" i="59"/>
  <c r="AD30" i="59" s="1"/>
  <c r="U35" i="57"/>
  <c r="AB30" i="57"/>
  <c r="AB30" i="53"/>
  <c r="S33" i="51"/>
  <c r="AB30" i="50"/>
  <c r="U35" i="50"/>
  <c r="T35" i="48"/>
  <c r="E65" i="46"/>
  <c r="G65" i="46" s="1"/>
  <c r="H65" i="46" s="1"/>
  <c r="H54" i="46"/>
  <c r="H55" i="46" s="1"/>
  <c r="AB30" i="44"/>
  <c r="AD30" i="44" s="1"/>
  <c r="AC25" i="44" s="1"/>
  <c r="U35" i="44"/>
  <c r="AB30" i="43"/>
  <c r="V35" i="43"/>
  <c r="AB30" i="41"/>
  <c r="AE30" i="41" s="1"/>
  <c r="AC25" i="41" s="1"/>
  <c r="U35" i="41"/>
  <c r="S34" i="39"/>
  <c r="T35" i="37"/>
  <c r="AB30" i="37"/>
  <c r="AC30" i="21"/>
  <c r="AE30" i="21" s="1"/>
  <c r="AC25" i="21" s="1"/>
  <c r="AA30" i="20"/>
  <c r="U35" i="20"/>
  <c r="AC30" i="69"/>
  <c r="AD30" i="69"/>
  <c r="T35" i="60"/>
  <c r="AD30" i="57"/>
  <c r="AC30" i="57"/>
  <c r="AC30" i="56"/>
  <c r="G90" i="5"/>
  <c r="C90" i="5" s="1"/>
  <c r="U35" i="16"/>
  <c r="AB30" i="18"/>
  <c r="AE30" i="18" s="1"/>
  <c r="AC25" i="18" s="1"/>
  <c r="U35" i="18"/>
  <c r="E71" i="24"/>
  <c r="E65" i="24"/>
  <c r="E70" i="24"/>
  <c r="E72" i="24"/>
  <c r="E66" i="24"/>
  <c r="E67" i="24"/>
  <c r="E68" i="24"/>
  <c r="E69" i="24"/>
  <c r="E66" i="55"/>
  <c r="E67" i="55"/>
  <c r="E68" i="55"/>
  <c r="E69" i="55"/>
  <c r="E70" i="55"/>
  <c r="E74" i="55"/>
  <c r="E71" i="55"/>
  <c r="E72" i="55"/>
  <c r="E73" i="55"/>
  <c r="E68" i="38"/>
  <c r="E69" i="38"/>
  <c r="E70" i="38"/>
  <c r="E71" i="38"/>
  <c r="E65" i="38"/>
  <c r="E67" i="38"/>
  <c r="E66" i="38"/>
  <c r="E67" i="13"/>
  <c r="E70" i="13"/>
  <c r="E68" i="13"/>
  <c r="E73" i="13"/>
  <c r="E69" i="13"/>
  <c r="E71" i="13"/>
  <c r="E72" i="13"/>
  <c r="E65" i="13"/>
  <c r="E66" i="13"/>
  <c r="E66" i="54"/>
  <c r="E70" i="54"/>
  <c r="E71" i="54"/>
  <c r="E65" i="54"/>
  <c r="E67" i="54"/>
  <c r="E68" i="54"/>
  <c r="E69" i="54"/>
  <c r="E66" i="14"/>
  <c r="E67" i="14"/>
  <c r="E68" i="14"/>
  <c r="E69" i="14"/>
  <c r="E70" i="14"/>
  <c r="E71" i="14"/>
  <c r="E65" i="14"/>
  <c r="E69" i="40"/>
  <c r="E70" i="40"/>
  <c r="E72" i="40"/>
  <c r="E71" i="40"/>
  <c r="E73" i="40"/>
  <c r="E65" i="40"/>
  <c r="E68" i="40"/>
  <c r="E66" i="40"/>
  <c r="E67" i="40"/>
  <c r="AC30" i="6"/>
  <c r="AD30" i="6"/>
  <c r="AD31" i="6" s="1"/>
  <c r="AC30" i="17"/>
  <c r="AD30" i="17"/>
  <c r="AD30" i="28"/>
  <c r="AC30" i="28"/>
  <c r="S33" i="10"/>
  <c r="AB31" i="30"/>
  <c r="AC24" i="12"/>
  <c r="T33" i="12"/>
  <c r="U35" i="17"/>
  <c r="AB30" i="17"/>
  <c r="AE30" i="5"/>
  <c r="AC25" i="5" s="1"/>
  <c r="AD30" i="8"/>
  <c r="AC30" i="8"/>
  <c r="AB32" i="8"/>
  <c r="AC30" i="3"/>
  <c r="AC31" i="3" s="1"/>
  <c r="AD30" i="3"/>
  <c r="AD31" i="3" s="1"/>
  <c r="U35" i="8"/>
  <c r="G84" i="3"/>
  <c r="E84" i="3"/>
  <c r="G81" i="27"/>
  <c r="E81" i="27"/>
  <c r="H81" i="27" s="1"/>
  <c r="L6" i="23"/>
  <c r="AC25" i="23" s="1"/>
  <c r="G85" i="8"/>
  <c r="E85" i="8"/>
  <c r="K5" i="26"/>
  <c r="L5" i="26" s="1"/>
  <c r="S35" i="26" s="1"/>
  <c r="D54" i="8"/>
  <c r="D53" i="56"/>
  <c r="E66" i="56"/>
  <c r="G66" i="56" s="1"/>
  <c r="H66" i="56" s="1"/>
  <c r="H53" i="60"/>
  <c r="E5" i="60"/>
  <c r="G5" i="60" s="1"/>
  <c r="H5" i="60" s="1"/>
  <c r="K5" i="60" s="1"/>
  <c r="L5" i="60" s="1"/>
  <c r="D53" i="62"/>
  <c r="E66" i="62"/>
  <c r="G66" i="62" s="1"/>
  <c r="H66" i="62" s="1"/>
  <c r="D53" i="61"/>
  <c r="E66" i="61"/>
  <c r="G66" i="61" s="1"/>
  <c r="H66" i="61" s="1"/>
  <c r="D54" i="50"/>
  <c r="E89" i="50"/>
  <c r="G89" i="50" s="1"/>
  <c r="H89" i="50" s="1"/>
  <c r="D53" i="46"/>
  <c r="E66" i="46"/>
  <c r="G66" i="46" s="1"/>
  <c r="H66" i="46" s="1"/>
  <c r="H55" i="44"/>
  <c r="E90" i="44"/>
  <c r="G90" i="44" s="1"/>
  <c r="H90" i="44" s="1"/>
  <c r="D53" i="42"/>
  <c r="G74" i="42" s="1"/>
  <c r="C74" i="42" s="1"/>
  <c r="E69" i="42"/>
  <c r="E66" i="42"/>
  <c r="E68" i="42"/>
  <c r="E70" i="42"/>
  <c r="E71" i="42"/>
  <c r="E72" i="42"/>
  <c r="E65" i="42"/>
  <c r="E67" i="42"/>
  <c r="D53" i="41"/>
  <c r="E66" i="41"/>
  <c r="G66" i="41" s="1"/>
  <c r="H66" i="41" s="1"/>
  <c r="E68" i="41"/>
  <c r="G68" i="41" s="1"/>
  <c r="H68" i="41" s="1"/>
  <c r="C53" i="38"/>
  <c r="G81" i="7"/>
  <c r="E81" i="7"/>
  <c r="H81" i="7" s="1"/>
  <c r="C55" i="7"/>
  <c r="G83" i="50"/>
  <c r="C83" i="50" s="1"/>
  <c r="D53" i="33"/>
  <c r="C54" i="33"/>
  <c r="E107" i="45"/>
  <c r="G107" i="45"/>
  <c r="E82" i="44"/>
  <c r="G82" i="44"/>
  <c r="G79" i="43"/>
  <c r="E79" i="43"/>
  <c r="E103" i="29"/>
  <c r="G103" i="29"/>
  <c r="G104" i="27"/>
  <c r="E104" i="27"/>
  <c r="G103" i="20"/>
  <c r="E103" i="20"/>
  <c r="G82" i="18"/>
  <c r="E82" i="18"/>
  <c r="G91" i="15"/>
  <c r="E91" i="15"/>
  <c r="G73" i="6"/>
  <c r="E73" i="6"/>
  <c r="J55" i="15"/>
  <c r="I55" i="15" s="1"/>
  <c r="C55" i="68"/>
  <c r="D54" i="68"/>
  <c r="C56" i="83"/>
  <c r="D55" i="83"/>
  <c r="E83" i="58"/>
  <c r="G83" i="58"/>
  <c r="J55" i="17"/>
  <c r="I55" i="17" s="1"/>
  <c r="I54" i="17"/>
  <c r="I54" i="15"/>
  <c r="J56" i="4"/>
  <c r="H54" i="66"/>
  <c r="E73" i="66"/>
  <c r="G73" i="66" s="1"/>
  <c r="H73" i="66" s="1"/>
  <c r="E72" i="66"/>
  <c r="G72" i="66" s="1"/>
  <c r="H72" i="66" s="1"/>
  <c r="E71" i="66"/>
  <c r="G71" i="66" s="1"/>
  <c r="H71" i="66" s="1"/>
  <c r="E70" i="66"/>
  <c r="G70" i="66" s="1"/>
  <c r="H70" i="66" s="1"/>
  <c r="E69" i="66"/>
  <c r="G69" i="66" s="1"/>
  <c r="H69" i="66" s="1"/>
  <c r="E68" i="66"/>
  <c r="G68" i="66" s="1"/>
  <c r="H68" i="66" s="1"/>
  <c r="E67" i="66"/>
  <c r="G67" i="66" s="1"/>
  <c r="H67" i="66" s="1"/>
  <c r="E66" i="66"/>
  <c r="G66" i="66" s="1"/>
  <c r="H66" i="66" s="1"/>
  <c r="E65" i="66"/>
  <c r="G65" i="66" s="1"/>
  <c r="H65" i="66" s="1"/>
  <c r="J55" i="70"/>
  <c r="B139" i="70" s="1"/>
  <c r="B112" i="70"/>
  <c r="H84" i="69"/>
  <c r="C84" i="69"/>
  <c r="J56" i="66"/>
  <c r="B107" i="66"/>
  <c r="H107" i="66" s="1"/>
  <c r="J55" i="60"/>
  <c r="I55" i="60" s="1"/>
  <c r="B98" i="60"/>
  <c r="J55" i="57"/>
  <c r="B115" i="57"/>
  <c r="J56" i="51"/>
  <c r="B138" i="51" s="1"/>
  <c r="H138" i="51" s="1"/>
  <c r="B119" i="51"/>
  <c r="H119" i="51" s="1"/>
  <c r="H53" i="48"/>
  <c r="E5" i="48"/>
  <c r="G5" i="48" s="1"/>
  <c r="H5" i="48" s="1"/>
  <c r="K5" i="48" s="1"/>
  <c r="L5" i="48" s="1"/>
  <c r="S35" i="48" s="1"/>
  <c r="C54" i="42"/>
  <c r="H81" i="29"/>
  <c r="C81" i="29"/>
  <c r="J55" i="28"/>
  <c r="I54" i="28"/>
  <c r="H54" i="23"/>
  <c r="G80" i="23"/>
  <c r="C80" i="23" s="1"/>
  <c r="H90" i="5"/>
  <c r="I55" i="4"/>
  <c r="B116" i="4"/>
  <c r="C55" i="4"/>
  <c r="G96" i="4"/>
  <c r="E96" i="4"/>
  <c r="J55" i="3"/>
  <c r="B136" i="3" s="1"/>
  <c r="B108" i="3"/>
  <c r="C53" i="55"/>
  <c r="D53" i="55" s="1"/>
  <c r="C53" i="54"/>
  <c r="D93" i="33"/>
  <c r="H52" i="33"/>
  <c r="C53" i="31"/>
  <c r="E5" i="25"/>
  <c r="H53" i="25"/>
  <c r="G71" i="10"/>
  <c r="E71" i="10"/>
  <c r="H53" i="19"/>
  <c r="E65" i="19" s="1"/>
  <c r="G65" i="19" s="1"/>
  <c r="H65" i="19" s="1"/>
  <c r="E5" i="19"/>
  <c r="G5" i="19" s="1"/>
  <c r="H5" i="19" s="1"/>
  <c r="K5" i="19" s="1"/>
  <c r="L5" i="19" s="1"/>
  <c r="S35" i="19" s="1"/>
  <c r="U35" i="19" s="1"/>
  <c r="H78" i="4"/>
  <c r="C78" i="4"/>
  <c r="H54" i="5"/>
  <c r="H55" i="5" s="1"/>
  <c r="E65" i="5"/>
  <c r="G65" i="5" s="1"/>
  <c r="H65" i="5" s="1"/>
  <c r="H54" i="3"/>
  <c r="E65" i="3"/>
  <c r="H54" i="4"/>
  <c r="E83" i="4" s="1"/>
  <c r="G83" i="4" s="1"/>
  <c r="H83" i="4" s="1"/>
  <c r="C54" i="46"/>
  <c r="D54" i="46" s="1"/>
  <c r="C53" i="40"/>
  <c r="D53" i="40" s="1"/>
  <c r="C54" i="39"/>
  <c r="D54" i="39" s="1"/>
  <c r="C53" i="24"/>
  <c r="D53" i="24" s="1"/>
  <c r="C53" i="14"/>
  <c r="D53" i="14" s="1"/>
  <c r="C53" i="13"/>
  <c r="D53" i="13" s="1"/>
  <c r="C54" i="12"/>
  <c r="D54" i="12" s="1"/>
  <c r="C55" i="82"/>
  <c r="D55" i="82" s="1"/>
  <c r="E78" i="16"/>
  <c r="G78" i="16" s="1"/>
  <c r="H78" i="16" s="1"/>
  <c r="E79" i="16"/>
  <c r="G79" i="16" s="1"/>
  <c r="H79" i="16" s="1"/>
  <c r="E76" i="16"/>
  <c r="G76" i="16" s="1"/>
  <c r="H76" i="16" s="1"/>
  <c r="E77" i="16"/>
  <c r="G77" i="16" s="1"/>
  <c r="H77" i="16" s="1"/>
  <c r="E75" i="16"/>
  <c r="G75" i="16" s="1"/>
  <c r="H75" i="16" s="1"/>
  <c r="E72" i="46"/>
  <c r="G72" i="46" s="1"/>
  <c r="H72" i="46" s="1"/>
  <c r="E75" i="46"/>
  <c r="G75" i="46" s="1"/>
  <c r="H75" i="46" s="1"/>
  <c r="E74" i="46"/>
  <c r="G74" i="46" s="1"/>
  <c r="H74" i="46" s="1"/>
  <c r="E70" i="46"/>
  <c r="G70" i="46" s="1"/>
  <c r="H70" i="46" s="1"/>
  <c r="E73" i="46"/>
  <c r="G73" i="46" s="1"/>
  <c r="H73" i="46" s="1"/>
  <c r="E71" i="46"/>
  <c r="G71" i="46" s="1"/>
  <c r="H71" i="46" s="1"/>
  <c r="E69" i="46"/>
  <c r="G69" i="46" s="1"/>
  <c r="H69" i="46" s="1"/>
  <c r="E67" i="46"/>
  <c r="G67" i="46" s="1"/>
  <c r="H67" i="46" s="1"/>
  <c r="E68" i="46"/>
  <c r="G68" i="46" s="1"/>
  <c r="H68" i="46" s="1"/>
  <c r="H53" i="70"/>
  <c r="C53" i="48"/>
  <c r="D53" i="48" s="1"/>
  <c r="E5" i="70"/>
  <c r="G5" i="70" s="1"/>
  <c r="H5" i="70" s="1"/>
  <c r="K5" i="70" s="1"/>
  <c r="L5" i="70" s="1"/>
  <c r="S35" i="70" s="1"/>
  <c r="I54" i="70"/>
  <c r="C54" i="62"/>
  <c r="D54" i="62" s="1"/>
  <c r="E72" i="62"/>
  <c r="G72" i="62" s="1"/>
  <c r="H72" i="62" s="1"/>
  <c r="E69" i="62"/>
  <c r="G69" i="62" s="1"/>
  <c r="H69" i="62" s="1"/>
  <c r="E70" i="62"/>
  <c r="G70" i="62" s="1"/>
  <c r="H70" i="62" s="1"/>
  <c r="E73" i="62"/>
  <c r="G73" i="62" s="1"/>
  <c r="H73" i="62" s="1"/>
  <c r="E79" i="62"/>
  <c r="G79" i="62" s="1"/>
  <c r="H79" i="62" s="1"/>
  <c r="E78" i="62"/>
  <c r="G78" i="62" s="1"/>
  <c r="H78" i="62" s="1"/>
  <c r="E75" i="62"/>
  <c r="G75" i="62" s="1"/>
  <c r="H75" i="62" s="1"/>
  <c r="E74" i="62"/>
  <c r="G74" i="62" s="1"/>
  <c r="H74" i="62" s="1"/>
  <c r="E77" i="62"/>
  <c r="G77" i="62" s="1"/>
  <c r="H77" i="62" s="1"/>
  <c r="E80" i="62"/>
  <c r="G80" i="62" s="1"/>
  <c r="H80" i="62" s="1"/>
  <c r="E76" i="62"/>
  <c r="G76" i="62" s="1"/>
  <c r="H76" i="62" s="1"/>
  <c r="E68" i="62"/>
  <c r="G68" i="62" s="1"/>
  <c r="H68" i="62" s="1"/>
  <c r="E71" i="62"/>
  <c r="G71" i="62" s="1"/>
  <c r="H71" i="62" s="1"/>
  <c r="E67" i="62"/>
  <c r="G67" i="62" s="1"/>
  <c r="H67" i="62" s="1"/>
  <c r="E65" i="57"/>
  <c r="G65" i="57" s="1"/>
  <c r="H65" i="57" s="1"/>
  <c r="H54" i="57"/>
  <c r="C53" i="47"/>
  <c r="E70" i="41"/>
  <c r="G70" i="41" s="1"/>
  <c r="H70" i="41" s="1"/>
  <c r="E73" i="41"/>
  <c r="G73" i="41" s="1"/>
  <c r="H73" i="41" s="1"/>
  <c r="E71" i="41"/>
  <c r="G71" i="41" s="1"/>
  <c r="H71" i="41" s="1"/>
  <c r="E74" i="41"/>
  <c r="G74" i="41" s="1"/>
  <c r="H74" i="41" s="1"/>
  <c r="E69" i="41"/>
  <c r="G69" i="41" s="1"/>
  <c r="H69" i="41" s="1"/>
  <c r="E72" i="41"/>
  <c r="G72" i="41" s="1"/>
  <c r="H72" i="41" s="1"/>
  <c r="E67" i="41"/>
  <c r="G67" i="41" s="1"/>
  <c r="H67" i="41" s="1"/>
  <c r="C54" i="41"/>
  <c r="E6" i="24"/>
  <c r="G6" i="24" s="1"/>
  <c r="H6" i="24" s="1"/>
  <c r="K6" i="24" s="1"/>
  <c r="L6" i="24" s="1"/>
  <c r="E9" i="24"/>
  <c r="G9" i="24" s="1"/>
  <c r="H9" i="24" s="1"/>
  <c r="K9" i="24" s="1"/>
  <c r="L9" i="24" s="1"/>
  <c r="E12" i="24"/>
  <c r="G12" i="24" s="1"/>
  <c r="H12" i="24" s="1"/>
  <c r="K12" i="24" s="1"/>
  <c r="L12" i="24" s="1"/>
  <c r="E7" i="24"/>
  <c r="G7" i="24" s="1"/>
  <c r="H7" i="24" s="1"/>
  <c r="K7" i="24" s="1"/>
  <c r="L7" i="24" s="1"/>
  <c r="E10" i="24"/>
  <c r="G10" i="24" s="1"/>
  <c r="H10" i="24" s="1"/>
  <c r="K10" i="24" s="1"/>
  <c r="L10" i="24" s="1"/>
  <c r="I54" i="69"/>
  <c r="J55" i="69"/>
  <c r="I55" i="69" s="1"/>
  <c r="I54" i="61"/>
  <c r="J55" i="61"/>
  <c r="I55" i="61" s="1"/>
  <c r="E77" i="61"/>
  <c r="G77" i="61" s="1"/>
  <c r="H77" i="61" s="1"/>
  <c r="E70" i="61"/>
  <c r="G70" i="61" s="1"/>
  <c r="H70" i="61" s="1"/>
  <c r="E75" i="61"/>
  <c r="G75" i="61" s="1"/>
  <c r="H75" i="61" s="1"/>
  <c r="E76" i="61"/>
  <c r="G76" i="61" s="1"/>
  <c r="H76" i="61" s="1"/>
  <c r="E69" i="61"/>
  <c r="G69" i="61" s="1"/>
  <c r="H69" i="61" s="1"/>
  <c r="E67" i="61"/>
  <c r="G67" i="61" s="1"/>
  <c r="H67" i="61" s="1"/>
  <c r="E74" i="61"/>
  <c r="G74" i="61" s="1"/>
  <c r="H74" i="61" s="1"/>
  <c r="E71" i="61"/>
  <c r="G71" i="61" s="1"/>
  <c r="H71" i="61" s="1"/>
  <c r="E72" i="61"/>
  <c r="G72" i="61" s="1"/>
  <c r="H72" i="61" s="1"/>
  <c r="C54" i="61"/>
  <c r="E78" i="61"/>
  <c r="G78" i="61" s="1"/>
  <c r="H78" i="61" s="1"/>
  <c r="E73" i="61"/>
  <c r="G73" i="61" s="1"/>
  <c r="H73" i="61" s="1"/>
  <c r="E68" i="61"/>
  <c r="G68" i="61" s="1"/>
  <c r="H68" i="61" s="1"/>
  <c r="I54" i="57"/>
  <c r="E13" i="24"/>
  <c r="G13" i="24" s="1"/>
  <c r="H13" i="24" s="1"/>
  <c r="K13" i="24" s="1"/>
  <c r="L13" i="24" s="1"/>
  <c r="E85" i="4"/>
  <c r="G85" i="4" s="1"/>
  <c r="H85" i="4" s="1"/>
  <c r="E89" i="4"/>
  <c r="G89" i="4" s="1"/>
  <c r="H89" i="4" s="1"/>
  <c r="E90" i="4"/>
  <c r="G90" i="4" s="1"/>
  <c r="H90" i="4" s="1"/>
  <c r="E8" i="24"/>
  <c r="G8" i="24" s="1"/>
  <c r="H8" i="24" s="1"/>
  <c r="K8" i="24" s="1"/>
  <c r="L8" i="24" s="1"/>
  <c r="E11" i="24"/>
  <c r="G11" i="24" s="1"/>
  <c r="H11" i="24" s="1"/>
  <c r="K11" i="24" s="1"/>
  <c r="L11" i="24" s="1"/>
  <c r="E84" i="4"/>
  <c r="G84" i="4" s="1"/>
  <c r="H84" i="4" s="1"/>
  <c r="E86" i="4"/>
  <c r="G86" i="4" s="1"/>
  <c r="H86" i="4" s="1"/>
  <c r="E87" i="4"/>
  <c r="G87" i="4" s="1"/>
  <c r="H87" i="4" s="1"/>
  <c r="E5" i="61"/>
  <c r="G5" i="61" s="1"/>
  <c r="H5" i="61" s="1"/>
  <c r="K5" i="61" s="1"/>
  <c r="L5" i="61" s="1"/>
  <c r="S35" i="61" s="1"/>
  <c r="H53" i="61"/>
  <c r="E68" i="57"/>
  <c r="G68" i="57" s="1"/>
  <c r="H68" i="57" s="1"/>
  <c r="E76" i="57"/>
  <c r="G76" i="57" s="1"/>
  <c r="H76" i="57" s="1"/>
  <c r="C54" i="57"/>
  <c r="E83" i="57"/>
  <c r="G83" i="57" s="1"/>
  <c r="H83" i="57" s="1"/>
  <c r="E81" i="57"/>
  <c r="G81" i="57" s="1"/>
  <c r="H81" i="57" s="1"/>
  <c r="E80" i="57"/>
  <c r="G80" i="57" s="1"/>
  <c r="H80" i="57" s="1"/>
  <c r="E84" i="57"/>
  <c r="G84" i="57" s="1"/>
  <c r="H84" i="57" s="1"/>
  <c r="E85" i="57"/>
  <c r="G85" i="57" s="1"/>
  <c r="H85" i="57" s="1"/>
  <c r="E82" i="57"/>
  <c r="G82" i="57" s="1"/>
  <c r="H82" i="57" s="1"/>
  <c r="E79" i="57"/>
  <c r="G79" i="57" s="1"/>
  <c r="H79" i="57" s="1"/>
  <c r="E77" i="57"/>
  <c r="G77" i="57" s="1"/>
  <c r="H77" i="57" s="1"/>
  <c r="E74" i="57"/>
  <c r="G74" i="57" s="1"/>
  <c r="H74" i="57" s="1"/>
  <c r="E73" i="57"/>
  <c r="G73" i="57" s="1"/>
  <c r="H73" i="57" s="1"/>
  <c r="E72" i="57"/>
  <c r="G72" i="57" s="1"/>
  <c r="H72" i="57" s="1"/>
  <c r="E71" i="57"/>
  <c r="G71" i="57" s="1"/>
  <c r="H71" i="57" s="1"/>
  <c r="E70" i="57"/>
  <c r="G70" i="57" s="1"/>
  <c r="H70" i="57" s="1"/>
  <c r="E69" i="57"/>
  <c r="G69" i="57" s="1"/>
  <c r="H69" i="57" s="1"/>
  <c r="E67" i="57"/>
  <c r="G67" i="57" s="1"/>
  <c r="H67" i="57" s="1"/>
  <c r="E66" i="57"/>
  <c r="G66" i="57" s="1"/>
  <c r="H66" i="57" s="1"/>
  <c r="E78" i="57"/>
  <c r="G78" i="57" s="1"/>
  <c r="H78" i="57" s="1"/>
  <c r="E75" i="57"/>
  <c r="G75" i="57" s="1"/>
  <c r="H75" i="57" s="1"/>
  <c r="G65" i="41"/>
  <c r="H65" i="41" s="1"/>
  <c r="H54" i="41"/>
  <c r="E81" i="41" s="1"/>
  <c r="G81" i="41" s="1"/>
  <c r="H81" i="41" s="1"/>
  <c r="J55" i="41"/>
  <c r="I55" i="41" s="1"/>
  <c r="I54" i="41"/>
  <c r="E65" i="29"/>
  <c r="G65" i="29" s="1"/>
  <c r="H65" i="29" s="1"/>
  <c r="H54" i="29"/>
  <c r="E87" i="29" s="1"/>
  <c r="G87" i="29" s="1"/>
  <c r="H87" i="29" s="1"/>
  <c r="J55" i="20"/>
  <c r="B124" i="20" s="1"/>
  <c r="I54" i="20"/>
  <c r="C54" i="67"/>
  <c r="D54" i="67" s="1"/>
  <c r="H54" i="26"/>
  <c r="H55" i="26" s="1"/>
  <c r="E88" i="4"/>
  <c r="G88" i="4" s="1"/>
  <c r="H88" i="4" s="1"/>
  <c r="H5" i="3"/>
  <c r="G65" i="3"/>
  <c r="G89" i="3"/>
  <c r="G117" i="3"/>
  <c r="E79" i="59"/>
  <c r="G79" i="59" s="1"/>
  <c r="H79" i="59" s="1"/>
  <c r="E76" i="59"/>
  <c r="G76" i="59" s="1"/>
  <c r="H76" i="59" s="1"/>
  <c r="E74" i="59"/>
  <c r="G74" i="59" s="1"/>
  <c r="H74" i="59" s="1"/>
  <c r="E71" i="59"/>
  <c r="G71" i="59" s="1"/>
  <c r="H71" i="59" s="1"/>
  <c r="E77" i="59"/>
  <c r="G77" i="59" s="1"/>
  <c r="H77" i="59" s="1"/>
  <c r="E72" i="59"/>
  <c r="G72" i="59" s="1"/>
  <c r="H72" i="59" s="1"/>
  <c r="E68" i="59"/>
  <c r="G68" i="59" s="1"/>
  <c r="H68" i="59" s="1"/>
  <c r="E67" i="59"/>
  <c r="G67" i="59" s="1"/>
  <c r="H67" i="59" s="1"/>
  <c r="E70" i="59"/>
  <c r="G70" i="59" s="1"/>
  <c r="H70" i="59" s="1"/>
  <c r="E73" i="59"/>
  <c r="G73" i="59" s="1"/>
  <c r="H73" i="59" s="1"/>
  <c r="E69" i="59"/>
  <c r="G69" i="59" s="1"/>
  <c r="H69" i="59" s="1"/>
  <c r="E75" i="59"/>
  <c r="G75" i="59" s="1"/>
  <c r="H75" i="59" s="1"/>
  <c r="E78" i="59"/>
  <c r="G78" i="59" s="1"/>
  <c r="H78" i="59" s="1"/>
  <c r="E66" i="59"/>
  <c r="G66" i="59" s="1"/>
  <c r="H66" i="59" s="1"/>
  <c r="C54" i="59"/>
  <c r="I54" i="53"/>
  <c r="C53" i="53"/>
  <c r="E70" i="53" s="1"/>
  <c r="G70" i="53" s="1"/>
  <c r="H70" i="53" s="1"/>
  <c r="H54" i="53"/>
  <c r="H55" i="53" s="1"/>
  <c r="J55" i="53"/>
  <c r="I55" i="53" s="1"/>
  <c r="G65" i="53"/>
  <c r="H65" i="53" s="1"/>
  <c r="AB30" i="46"/>
  <c r="G65" i="43"/>
  <c r="H65" i="43" s="1"/>
  <c r="E80" i="34"/>
  <c r="G80" i="34" s="1"/>
  <c r="H80" i="34" s="1"/>
  <c r="E79" i="34"/>
  <c r="G79" i="34" s="1"/>
  <c r="H79" i="34" s="1"/>
  <c r="E77" i="34"/>
  <c r="G77" i="34" s="1"/>
  <c r="H77" i="34" s="1"/>
  <c r="I55" i="23"/>
  <c r="J55" i="8"/>
  <c r="I54" i="8"/>
  <c r="C54" i="49"/>
  <c r="D54" i="49" s="1"/>
  <c r="E82" i="34"/>
  <c r="G82" i="34" s="1"/>
  <c r="H82" i="34" s="1"/>
  <c r="H55" i="34"/>
  <c r="E78" i="34"/>
  <c r="G78" i="34" s="1"/>
  <c r="H78" i="34" s="1"/>
  <c r="I54" i="26"/>
  <c r="J55" i="26"/>
  <c r="I55" i="26" s="1"/>
  <c r="C54" i="15"/>
  <c r="D54" i="15" s="1"/>
  <c r="E73" i="15"/>
  <c r="G73" i="15" s="1"/>
  <c r="H73" i="15" s="1"/>
  <c r="E81" i="15"/>
  <c r="G81" i="15" s="1"/>
  <c r="H81" i="15" s="1"/>
  <c r="E89" i="15"/>
  <c r="G89" i="15" s="1"/>
  <c r="H89" i="15" s="1"/>
  <c r="E68" i="15"/>
  <c r="G68" i="15" s="1"/>
  <c r="H68" i="15" s="1"/>
  <c r="E76" i="15"/>
  <c r="G76" i="15" s="1"/>
  <c r="H76" i="15" s="1"/>
  <c r="E84" i="15"/>
  <c r="G84" i="15" s="1"/>
  <c r="H84" i="15" s="1"/>
  <c r="E85" i="15"/>
  <c r="G85" i="15" s="1"/>
  <c r="H85" i="15" s="1"/>
  <c r="E71" i="15"/>
  <c r="G71" i="15" s="1"/>
  <c r="H71" i="15" s="1"/>
  <c r="E79" i="15"/>
  <c r="G79" i="15" s="1"/>
  <c r="H79" i="15" s="1"/>
  <c r="E87" i="15"/>
  <c r="G87" i="15" s="1"/>
  <c r="H87" i="15" s="1"/>
  <c r="E66" i="15"/>
  <c r="G66" i="15" s="1"/>
  <c r="H66" i="15" s="1"/>
  <c r="E74" i="15"/>
  <c r="G74" i="15" s="1"/>
  <c r="H74" i="15" s="1"/>
  <c r="E82" i="15"/>
  <c r="G82" i="15" s="1"/>
  <c r="H82" i="15" s="1"/>
  <c r="E69" i="15"/>
  <c r="G69" i="15" s="1"/>
  <c r="H69" i="15" s="1"/>
  <c r="E77" i="15"/>
  <c r="G77" i="15" s="1"/>
  <c r="H77" i="15" s="1"/>
  <c r="E67" i="15"/>
  <c r="G67" i="15" s="1"/>
  <c r="H67" i="15" s="1"/>
  <c r="E75" i="15"/>
  <c r="G75" i="15" s="1"/>
  <c r="H75" i="15" s="1"/>
  <c r="E83" i="15"/>
  <c r="G83" i="15" s="1"/>
  <c r="H83" i="15" s="1"/>
  <c r="E72" i="15"/>
  <c r="G72" i="15" s="1"/>
  <c r="H72" i="15" s="1"/>
  <c r="E80" i="15"/>
  <c r="G80" i="15" s="1"/>
  <c r="H80" i="15" s="1"/>
  <c r="E88" i="15"/>
  <c r="G88" i="15" s="1"/>
  <c r="H88" i="15" s="1"/>
  <c r="E70" i="15"/>
  <c r="G70" i="15" s="1"/>
  <c r="H70" i="15" s="1"/>
  <c r="E78" i="15"/>
  <c r="G78" i="15" s="1"/>
  <c r="H78" i="15" s="1"/>
  <c r="E86" i="15"/>
  <c r="G86" i="15" s="1"/>
  <c r="H86" i="15" s="1"/>
  <c r="E77" i="56"/>
  <c r="G77" i="56" s="1"/>
  <c r="H77" i="56" s="1"/>
  <c r="E76" i="56"/>
  <c r="G76" i="56" s="1"/>
  <c r="H76" i="56" s="1"/>
  <c r="E74" i="56"/>
  <c r="G74" i="56" s="1"/>
  <c r="H74" i="56" s="1"/>
  <c r="E67" i="56"/>
  <c r="G67" i="56" s="1"/>
  <c r="H67" i="56" s="1"/>
  <c r="E71" i="56"/>
  <c r="G71" i="56" s="1"/>
  <c r="H71" i="56" s="1"/>
  <c r="E70" i="56"/>
  <c r="G70" i="56" s="1"/>
  <c r="H70" i="56" s="1"/>
  <c r="E69" i="56"/>
  <c r="G69" i="56" s="1"/>
  <c r="H69" i="56" s="1"/>
  <c r="E72" i="56"/>
  <c r="G72" i="56" s="1"/>
  <c r="H72" i="56" s="1"/>
  <c r="E73" i="56"/>
  <c r="G73" i="56" s="1"/>
  <c r="H73" i="56" s="1"/>
  <c r="E75" i="56"/>
  <c r="G75" i="56" s="1"/>
  <c r="H75" i="56" s="1"/>
  <c r="E68" i="56"/>
  <c r="G68" i="56" s="1"/>
  <c r="H68" i="56" s="1"/>
  <c r="C54" i="56"/>
  <c r="D54" i="56" s="1"/>
  <c r="G65" i="37"/>
  <c r="H65" i="37" s="1"/>
  <c r="H54" i="37"/>
  <c r="H55" i="37" s="1"/>
  <c r="E77" i="49"/>
  <c r="G77" i="49" s="1"/>
  <c r="H77" i="49" s="1"/>
  <c r="E73" i="49"/>
  <c r="G73" i="49" s="1"/>
  <c r="H73" i="49" s="1"/>
  <c r="E68" i="49"/>
  <c r="G68" i="49" s="1"/>
  <c r="H68" i="49" s="1"/>
  <c r="E67" i="49"/>
  <c r="G67" i="49" s="1"/>
  <c r="H67" i="49" s="1"/>
  <c r="E74" i="49"/>
  <c r="G74" i="49" s="1"/>
  <c r="H74" i="49" s="1"/>
  <c r="E70" i="49"/>
  <c r="G70" i="49" s="1"/>
  <c r="H70" i="49" s="1"/>
  <c r="E75" i="49"/>
  <c r="G75" i="49" s="1"/>
  <c r="H75" i="49" s="1"/>
  <c r="E76" i="49"/>
  <c r="G76" i="49" s="1"/>
  <c r="H76" i="49" s="1"/>
  <c r="E69" i="49"/>
  <c r="G69" i="49" s="1"/>
  <c r="H69" i="49" s="1"/>
  <c r="E71" i="49"/>
  <c r="G71" i="49" s="1"/>
  <c r="H71" i="49" s="1"/>
  <c r="E72" i="49"/>
  <c r="G72" i="49" s="1"/>
  <c r="H72" i="49" s="1"/>
  <c r="E66" i="49"/>
  <c r="G66" i="49" s="1"/>
  <c r="H66" i="49" s="1"/>
  <c r="E75" i="44"/>
  <c r="G75" i="44" s="1"/>
  <c r="H75" i="44" s="1"/>
  <c r="E76" i="44"/>
  <c r="G76" i="44" s="1"/>
  <c r="H76" i="44" s="1"/>
  <c r="E78" i="44"/>
  <c r="G78" i="44" s="1"/>
  <c r="H78" i="44" s="1"/>
  <c r="E77" i="44"/>
  <c r="G77" i="44" s="1"/>
  <c r="H77" i="44" s="1"/>
  <c r="E70" i="44"/>
  <c r="G70" i="44" s="1"/>
  <c r="H70" i="44" s="1"/>
  <c r="E69" i="44"/>
  <c r="G69" i="44" s="1"/>
  <c r="H69" i="44" s="1"/>
  <c r="E79" i="44"/>
  <c r="G79" i="44" s="1"/>
  <c r="H79" i="44" s="1"/>
  <c r="E73" i="44"/>
  <c r="G73" i="44" s="1"/>
  <c r="H73" i="44" s="1"/>
  <c r="E68" i="44"/>
  <c r="G68" i="44" s="1"/>
  <c r="H68" i="44" s="1"/>
  <c r="E67" i="44"/>
  <c r="G67" i="44" s="1"/>
  <c r="H67" i="44" s="1"/>
  <c r="E66" i="44"/>
  <c r="G66" i="44" s="1"/>
  <c r="H66" i="44" s="1"/>
  <c r="E80" i="44"/>
  <c r="G80" i="44" s="1"/>
  <c r="H80" i="44" s="1"/>
  <c r="E74" i="44"/>
  <c r="G74" i="44" s="1"/>
  <c r="H74" i="44" s="1"/>
  <c r="E71" i="44"/>
  <c r="G71" i="44" s="1"/>
  <c r="H71" i="44" s="1"/>
  <c r="E72" i="44"/>
  <c r="G72" i="44" s="1"/>
  <c r="H72" i="44" s="1"/>
  <c r="C54" i="44"/>
  <c r="D54" i="44" s="1"/>
  <c r="H54" i="43"/>
  <c r="E84" i="43" s="1"/>
  <c r="G84" i="43" s="1"/>
  <c r="H84" i="43" s="1"/>
  <c r="S34" i="42"/>
  <c r="C54" i="21"/>
  <c r="D54" i="21" s="1"/>
  <c r="E68" i="21"/>
  <c r="G68" i="21" s="1"/>
  <c r="H68" i="21" s="1"/>
  <c r="E79" i="21"/>
  <c r="G79" i="21" s="1"/>
  <c r="H79" i="21" s="1"/>
  <c r="E78" i="21"/>
  <c r="G78" i="21" s="1"/>
  <c r="H78" i="21" s="1"/>
  <c r="E80" i="21"/>
  <c r="G80" i="21" s="1"/>
  <c r="H80" i="21" s="1"/>
  <c r="E66" i="21"/>
  <c r="G66" i="21" s="1"/>
  <c r="H66" i="21" s="1"/>
  <c r="E67" i="21"/>
  <c r="G67" i="21" s="1"/>
  <c r="H67" i="21" s="1"/>
  <c r="E70" i="21"/>
  <c r="G70" i="21" s="1"/>
  <c r="H70" i="21" s="1"/>
  <c r="E73" i="21"/>
  <c r="G73" i="21" s="1"/>
  <c r="H73" i="21" s="1"/>
  <c r="E77" i="21"/>
  <c r="G77" i="21" s="1"/>
  <c r="H77" i="21" s="1"/>
  <c r="E69" i="21"/>
  <c r="G69" i="21" s="1"/>
  <c r="H69" i="21" s="1"/>
  <c r="E72" i="21"/>
  <c r="G72" i="21" s="1"/>
  <c r="H72" i="21" s="1"/>
  <c r="E71" i="21"/>
  <c r="G71" i="21" s="1"/>
  <c r="H71" i="21" s="1"/>
  <c r="E74" i="21"/>
  <c r="G74" i="21" s="1"/>
  <c r="H74" i="21" s="1"/>
  <c r="E76" i="21"/>
  <c r="G76" i="21" s="1"/>
  <c r="H76" i="21" s="1"/>
  <c r="E75" i="21"/>
  <c r="G75" i="21" s="1"/>
  <c r="H75" i="21" s="1"/>
  <c r="H54" i="20"/>
  <c r="E65" i="20"/>
  <c r="G65" i="20" s="1"/>
  <c r="H65" i="20" s="1"/>
  <c r="H54" i="18"/>
  <c r="E90" i="18" s="1"/>
  <c r="I54" i="18"/>
  <c r="J55" i="18"/>
  <c r="I55" i="18" s="1"/>
  <c r="E87" i="17"/>
  <c r="G87" i="17" s="1"/>
  <c r="H87" i="17" s="1"/>
  <c r="E88" i="17"/>
  <c r="G88" i="17" s="1"/>
  <c r="H88" i="17" s="1"/>
  <c r="E66" i="17"/>
  <c r="G66" i="17" s="1"/>
  <c r="H66" i="17" s="1"/>
  <c r="E82" i="17"/>
  <c r="G82" i="17" s="1"/>
  <c r="H82" i="17" s="1"/>
  <c r="E83" i="17"/>
  <c r="G83" i="17" s="1"/>
  <c r="H83" i="17" s="1"/>
  <c r="E78" i="17"/>
  <c r="G78" i="17" s="1"/>
  <c r="H78" i="17" s="1"/>
  <c r="E86" i="17"/>
  <c r="G86" i="17" s="1"/>
  <c r="H86" i="17" s="1"/>
  <c r="E81" i="17"/>
  <c r="G81" i="17" s="1"/>
  <c r="H81" i="17" s="1"/>
  <c r="E76" i="17"/>
  <c r="G76" i="17" s="1"/>
  <c r="H76" i="17" s="1"/>
  <c r="E69" i="17"/>
  <c r="G69" i="17" s="1"/>
  <c r="H69" i="17" s="1"/>
  <c r="E79" i="17"/>
  <c r="G79" i="17" s="1"/>
  <c r="H79" i="17" s="1"/>
  <c r="E75" i="17"/>
  <c r="G75" i="17" s="1"/>
  <c r="H75" i="17" s="1"/>
  <c r="E70" i="17"/>
  <c r="G70" i="17" s="1"/>
  <c r="H70" i="17" s="1"/>
  <c r="E68" i="17"/>
  <c r="G68" i="17" s="1"/>
  <c r="H68" i="17" s="1"/>
  <c r="E84" i="17"/>
  <c r="G84" i="17" s="1"/>
  <c r="H84" i="17" s="1"/>
  <c r="E77" i="17"/>
  <c r="G77" i="17" s="1"/>
  <c r="H77" i="17" s="1"/>
  <c r="E71" i="17"/>
  <c r="G71" i="17" s="1"/>
  <c r="H71" i="17" s="1"/>
  <c r="E73" i="17"/>
  <c r="G73" i="17" s="1"/>
  <c r="H73" i="17" s="1"/>
  <c r="E74" i="17"/>
  <c r="G74" i="17" s="1"/>
  <c r="H74" i="17" s="1"/>
  <c r="E85" i="17"/>
  <c r="G85" i="17" s="1"/>
  <c r="H85" i="17" s="1"/>
  <c r="C54" i="16"/>
  <c r="E72" i="16"/>
  <c r="G72" i="16" s="1"/>
  <c r="H72" i="16" s="1"/>
  <c r="E68" i="16"/>
  <c r="G68" i="16" s="1"/>
  <c r="H68" i="16" s="1"/>
  <c r="E71" i="16"/>
  <c r="G71" i="16" s="1"/>
  <c r="H71" i="16" s="1"/>
  <c r="G66" i="16"/>
  <c r="H66" i="16" s="1"/>
  <c r="E74" i="16"/>
  <c r="G74" i="16" s="1"/>
  <c r="H74" i="16" s="1"/>
  <c r="E69" i="16"/>
  <c r="G69" i="16" s="1"/>
  <c r="H69" i="16" s="1"/>
  <c r="I54" i="3"/>
  <c r="E11" i="40"/>
  <c r="G11" i="40" s="1"/>
  <c r="H11" i="40" s="1"/>
  <c r="K11" i="40" s="1"/>
  <c r="L11" i="40" s="1"/>
  <c r="E7" i="40"/>
  <c r="G7" i="40" s="1"/>
  <c r="H7" i="40" s="1"/>
  <c r="K7" i="40" s="1"/>
  <c r="L7" i="40" s="1"/>
  <c r="E12" i="40"/>
  <c r="G12" i="40" s="1"/>
  <c r="H12" i="40" s="1"/>
  <c r="K12" i="40" s="1"/>
  <c r="L12" i="40" s="1"/>
  <c r="E8" i="40"/>
  <c r="G8" i="40" s="1"/>
  <c r="H8" i="40" s="1"/>
  <c r="K8" i="40" s="1"/>
  <c r="L8" i="40" s="1"/>
  <c r="E14" i="40"/>
  <c r="G14" i="40" s="1"/>
  <c r="H14" i="40" s="1"/>
  <c r="K14" i="40" s="1"/>
  <c r="L14" i="40" s="1"/>
  <c r="E10" i="40"/>
  <c r="G10" i="40" s="1"/>
  <c r="H10" i="40" s="1"/>
  <c r="K10" i="40" s="1"/>
  <c r="L10" i="40" s="1"/>
  <c r="E13" i="40"/>
  <c r="G13" i="40" s="1"/>
  <c r="H13" i="40" s="1"/>
  <c r="K13" i="40" s="1"/>
  <c r="L13" i="40" s="1"/>
  <c r="E6" i="40"/>
  <c r="G6" i="40" s="1"/>
  <c r="H6" i="40" s="1"/>
  <c r="K6" i="40" s="1"/>
  <c r="L6" i="40" s="1"/>
  <c r="E9" i="40"/>
  <c r="G9" i="40" s="1"/>
  <c r="H9" i="40" s="1"/>
  <c r="K9" i="40" s="1"/>
  <c r="L9" i="40" s="1"/>
  <c r="J55" i="37"/>
  <c r="I55" i="37" s="1"/>
  <c r="J55" i="29"/>
  <c r="B126" i="29" s="1"/>
  <c r="I54" i="29"/>
  <c r="E94" i="29"/>
  <c r="G94" i="29" s="1"/>
  <c r="H94" i="29" s="1"/>
  <c r="E89" i="29"/>
  <c r="G89" i="29" s="1"/>
  <c r="H89" i="29" s="1"/>
  <c r="E92" i="29"/>
  <c r="G92" i="29" s="1"/>
  <c r="H92" i="29" s="1"/>
  <c r="E88" i="29"/>
  <c r="G88" i="29" s="1"/>
  <c r="H88" i="29" s="1"/>
  <c r="E100" i="29"/>
  <c r="G100" i="29" s="1"/>
  <c r="H100" i="29" s="1"/>
  <c r="E90" i="29"/>
  <c r="G90" i="29" s="1"/>
  <c r="H90" i="29" s="1"/>
  <c r="E97" i="29"/>
  <c r="G97" i="29" s="1"/>
  <c r="H97" i="29" s="1"/>
  <c r="E93" i="29"/>
  <c r="G93" i="29" s="1"/>
  <c r="H93" i="29" s="1"/>
  <c r="E98" i="29"/>
  <c r="G98" i="29" s="1"/>
  <c r="H98" i="29" s="1"/>
  <c r="E96" i="29"/>
  <c r="G96" i="29" s="1"/>
  <c r="H96" i="29" s="1"/>
  <c r="E95" i="29"/>
  <c r="G95" i="29" s="1"/>
  <c r="H95" i="29" s="1"/>
  <c r="E91" i="29"/>
  <c r="G91" i="29" s="1"/>
  <c r="H91" i="29" s="1"/>
  <c r="E99" i="29"/>
  <c r="G99" i="29" s="1"/>
  <c r="H99" i="29" s="1"/>
  <c r="E101" i="29"/>
  <c r="G101" i="29" s="1"/>
  <c r="H101" i="29" s="1"/>
  <c r="C54" i="28"/>
  <c r="E74" i="28"/>
  <c r="G74" i="28" s="1"/>
  <c r="H74" i="28" s="1"/>
  <c r="E78" i="28"/>
  <c r="G78" i="28" s="1"/>
  <c r="H78" i="28" s="1"/>
  <c r="E81" i="28"/>
  <c r="G81" i="28" s="1"/>
  <c r="H81" i="28" s="1"/>
  <c r="E76" i="28"/>
  <c r="G76" i="28" s="1"/>
  <c r="H76" i="28" s="1"/>
  <c r="E79" i="28"/>
  <c r="G79" i="28" s="1"/>
  <c r="H79" i="28" s="1"/>
  <c r="E82" i="28"/>
  <c r="G82" i="28" s="1"/>
  <c r="H82" i="28" s="1"/>
  <c r="E69" i="28"/>
  <c r="G69" i="28" s="1"/>
  <c r="H69" i="28" s="1"/>
  <c r="E72" i="28"/>
  <c r="G72" i="28" s="1"/>
  <c r="H72" i="28" s="1"/>
  <c r="E75" i="28"/>
  <c r="G75" i="28" s="1"/>
  <c r="H75" i="28" s="1"/>
  <c r="E71" i="28"/>
  <c r="G71" i="28" s="1"/>
  <c r="H71" i="28" s="1"/>
  <c r="E70" i="28"/>
  <c r="G70" i="28" s="1"/>
  <c r="H70" i="28" s="1"/>
  <c r="E80" i="28"/>
  <c r="G80" i="28" s="1"/>
  <c r="H80" i="28" s="1"/>
  <c r="E83" i="28"/>
  <c r="G83" i="28" s="1"/>
  <c r="H83" i="28" s="1"/>
  <c r="E68" i="28"/>
  <c r="G68" i="28" s="1"/>
  <c r="H68" i="28" s="1"/>
  <c r="E66" i="28"/>
  <c r="G66" i="28" s="1"/>
  <c r="H66" i="28" s="1"/>
  <c r="E77" i="28"/>
  <c r="G77" i="28" s="1"/>
  <c r="H77" i="28" s="1"/>
  <c r="E67" i="28"/>
  <c r="G67" i="28" s="1"/>
  <c r="H67" i="28" s="1"/>
  <c r="E73" i="28"/>
  <c r="G73" i="28" s="1"/>
  <c r="H73" i="28" s="1"/>
  <c r="J55" i="21"/>
  <c r="I55" i="21" s="1"/>
  <c r="C54" i="18"/>
  <c r="D54" i="18" s="1"/>
  <c r="E71" i="18"/>
  <c r="G71" i="18" s="1"/>
  <c r="H71" i="18" s="1"/>
  <c r="E80" i="18"/>
  <c r="G80" i="18" s="1"/>
  <c r="H80" i="18" s="1"/>
  <c r="E75" i="18"/>
  <c r="G75" i="18" s="1"/>
  <c r="H75" i="18" s="1"/>
  <c r="E76" i="18"/>
  <c r="G76" i="18" s="1"/>
  <c r="H76" i="18" s="1"/>
  <c r="E77" i="18"/>
  <c r="G77" i="18" s="1"/>
  <c r="H77" i="18" s="1"/>
  <c r="E70" i="18"/>
  <c r="G70" i="18" s="1"/>
  <c r="H70" i="18" s="1"/>
  <c r="E66" i="18"/>
  <c r="G66" i="18" s="1"/>
  <c r="H66" i="18" s="1"/>
  <c r="E74" i="18"/>
  <c r="G74" i="18" s="1"/>
  <c r="H74" i="18" s="1"/>
  <c r="E79" i="18"/>
  <c r="G79" i="18" s="1"/>
  <c r="H79" i="18" s="1"/>
  <c r="E72" i="18"/>
  <c r="G72" i="18" s="1"/>
  <c r="H72" i="18" s="1"/>
  <c r="E68" i="18"/>
  <c r="G68" i="18" s="1"/>
  <c r="H68" i="18" s="1"/>
  <c r="E73" i="18"/>
  <c r="G73" i="18" s="1"/>
  <c r="H73" i="18" s="1"/>
  <c r="E69" i="18"/>
  <c r="G69" i="18" s="1"/>
  <c r="H69" i="18" s="1"/>
  <c r="E78" i="18"/>
  <c r="G78" i="18" s="1"/>
  <c r="H78" i="18" s="1"/>
  <c r="E67" i="18"/>
  <c r="G67" i="18" s="1"/>
  <c r="H67" i="18" s="1"/>
  <c r="C54" i="17"/>
  <c r="E67" i="17"/>
  <c r="E72" i="17"/>
  <c r="G72" i="17" s="1"/>
  <c r="H72" i="17" s="1"/>
  <c r="E80" i="17"/>
  <c r="G80" i="17" s="1"/>
  <c r="H80" i="17" s="1"/>
  <c r="E73" i="16"/>
  <c r="G73" i="16" s="1"/>
  <c r="H73" i="16" s="1"/>
  <c r="E70" i="16"/>
  <c r="G70" i="16" s="1"/>
  <c r="H70" i="16" s="1"/>
  <c r="E67" i="16"/>
  <c r="G67" i="16" s="1"/>
  <c r="H67" i="16" s="1"/>
  <c r="H54" i="10"/>
  <c r="G65" i="8"/>
  <c r="H65" i="8" s="1"/>
  <c r="H54" i="8"/>
  <c r="E90" i="8" s="1"/>
  <c r="G90" i="8" s="1"/>
  <c r="H90" i="8" s="1"/>
  <c r="C55" i="25"/>
  <c r="D55" i="25" s="1"/>
  <c r="H55" i="17"/>
  <c r="J56" i="23"/>
  <c r="U35" i="5"/>
  <c r="C55" i="5"/>
  <c r="D55" i="5" s="1"/>
  <c r="H54" i="59"/>
  <c r="H54" i="62"/>
  <c r="H55" i="62" s="1"/>
  <c r="E72" i="58"/>
  <c r="G72" i="58" s="1"/>
  <c r="H72" i="58" s="1"/>
  <c r="E66" i="58"/>
  <c r="G66" i="58" s="1"/>
  <c r="H66" i="58" s="1"/>
  <c r="E67" i="58"/>
  <c r="G67" i="58" s="1"/>
  <c r="H67" i="58" s="1"/>
  <c r="E76" i="58"/>
  <c r="G76" i="58" s="1"/>
  <c r="H76" i="58" s="1"/>
  <c r="E74" i="58"/>
  <c r="G74" i="58" s="1"/>
  <c r="H74" i="58" s="1"/>
  <c r="E77" i="58"/>
  <c r="G77" i="58" s="1"/>
  <c r="H77" i="58" s="1"/>
  <c r="C54" i="58"/>
  <c r="D54" i="58" s="1"/>
  <c r="E71" i="58"/>
  <c r="G71" i="58" s="1"/>
  <c r="H71" i="58" s="1"/>
  <c r="E78" i="58"/>
  <c r="G78" i="58" s="1"/>
  <c r="H78" i="58" s="1"/>
  <c r="E70" i="58"/>
  <c r="G70" i="58" s="1"/>
  <c r="H70" i="58" s="1"/>
  <c r="E79" i="58"/>
  <c r="G79" i="58" s="1"/>
  <c r="H79" i="58" s="1"/>
  <c r="E75" i="58"/>
  <c r="G75" i="58" s="1"/>
  <c r="H75" i="58" s="1"/>
  <c r="E73" i="58"/>
  <c r="G73" i="58" s="1"/>
  <c r="H73" i="58" s="1"/>
  <c r="E68" i="58"/>
  <c r="G68" i="58" s="1"/>
  <c r="H68" i="58" s="1"/>
  <c r="E69" i="58"/>
  <c r="G69" i="58" s="1"/>
  <c r="H69" i="58" s="1"/>
  <c r="E80" i="58"/>
  <c r="G80" i="58" s="1"/>
  <c r="H80" i="58" s="1"/>
  <c r="E81" i="58"/>
  <c r="G81" i="58" s="1"/>
  <c r="H81" i="58" s="1"/>
  <c r="I54" i="56"/>
  <c r="J55" i="56"/>
  <c r="I55" i="56" s="1"/>
  <c r="D85" i="56"/>
  <c r="D65" i="56"/>
  <c r="I54" i="58"/>
  <c r="J55" i="58"/>
  <c r="I55" i="58" s="1"/>
  <c r="H52" i="58"/>
  <c r="D88" i="58"/>
  <c r="D65" i="58"/>
  <c r="H51" i="56"/>
  <c r="J54" i="47"/>
  <c r="B107" i="47" s="1"/>
  <c r="I53" i="47"/>
  <c r="H52" i="47"/>
  <c r="D89" i="47"/>
  <c r="D65" i="47"/>
  <c r="I54" i="67"/>
  <c r="J55" i="67"/>
  <c r="I55" i="67" s="1"/>
  <c r="E67" i="43"/>
  <c r="G67" i="43" s="1"/>
  <c r="H67" i="43" s="1"/>
  <c r="E70" i="43"/>
  <c r="G70" i="43" s="1"/>
  <c r="H70" i="43" s="1"/>
  <c r="E76" i="43"/>
  <c r="G76" i="43" s="1"/>
  <c r="H76" i="43" s="1"/>
  <c r="E77" i="43"/>
  <c r="G77" i="43" s="1"/>
  <c r="H77" i="43" s="1"/>
  <c r="E72" i="43"/>
  <c r="G72" i="43" s="1"/>
  <c r="H72" i="43" s="1"/>
  <c r="E69" i="43"/>
  <c r="G69" i="43" s="1"/>
  <c r="H69" i="43" s="1"/>
  <c r="E73" i="43"/>
  <c r="G73" i="43" s="1"/>
  <c r="H73" i="43" s="1"/>
  <c r="E74" i="43"/>
  <c r="G74" i="43" s="1"/>
  <c r="H74" i="43" s="1"/>
  <c r="E66" i="43"/>
  <c r="G66" i="43" s="1"/>
  <c r="H66" i="43" s="1"/>
  <c r="E68" i="43"/>
  <c r="G68" i="43" s="1"/>
  <c r="H68" i="43" s="1"/>
  <c r="E71" i="43"/>
  <c r="G71" i="43" s="1"/>
  <c r="H71" i="43" s="1"/>
  <c r="E75" i="43"/>
  <c r="G75" i="43" s="1"/>
  <c r="H75" i="43" s="1"/>
  <c r="C54" i="43"/>
  <c r="D54" i="43" s="1"/>
  <c r="C53" i="32"/>
  <c r="C55" i="29"/>
  <c r="D55" i="29" s="1"/>
  <c r="C55" i="50"/>
  <c r="E90" i="50"/>
  <c r="G90" i="50" s="1"/>
  <c r="H90" i="50" s="1"/>
  <c r="E91" i="50"/>
  <c r="G91" i="50" s="1"/>
  <c r="H91" i="50" s="1"/>
  <c r="E92" i="50"/>
  <c r="G92" i="50" s="1"/>
  <c r="H92" i="50" s="1"/>
  <c r="E93" i="50"/>
  <c r="G93" i="50" s="1"/>
  <c r="H93" i="50" s="1"/>
  <c r="E94" i="50"/>
  <c r="G94" i="50" s="1"/>
  <c r="H94" i="50" s="1"/>
  <c r="E95" i="50"/>
  <c r="G95" i="50" s="1"/>
  <c r="H95" i="50" s="1"/>
  <c r="E96" i="50"/>
  <c r="G96" i="50" s="1"/>
  <c r="H96" i="50" s="1"/>
  <c r="E97" i="50"/>
  <c r="G97" i="50" s="1"/>
  <c r="H97" i="50" s="1"/>
  <c r="E98" i="50"/>
  <c r="G98" i="50" s="1"/>
  <c r="H98" i="50" s="1"/>
  <c r="E99" i="50"/>
  <c r="G99" i="50" s="1"/>
  <c r="H99" i="50" s="1"/>
  <c r="E100" i="50"/>
  <c r="G100" i="50" s="1"/>
  <c r="H100" i="50" s="1"/>
  <c r="E101" i="50"/>
  <c r="G101" i="50" s="1"/>
  <c r="H101" i="50" s="1"/>
  <c r="E102" i="50"/>
  <c r="G102" i="50" s="1"/>
  <c r="H102" i="50" s="1"/>
  <c r="E103" i="50"/>
  <c r="G103" i="50" s="1"/>
  <c r="H103" i="50" s="1"/>
  <c r="E104" i="50"/>
  <c r="G104" i="50" s="1"/>
  <c r="H104" i="50" s="1"/>
  <c r="I54" i="33"/>
  <c r="J55" i="33"/>
  <c r="I55" i="33" s="1"/>
  <c r="D65" i="33"/>
  <c r="H51" i="33"/>
  <c r="T35" i="32"/>
  <c r="U35" i="32" s="1"/>
  <c r="H55" i="30"/>
  <c r="E76" i="33"/>
  <c r="G76" i="33" s="1"/>
  <c r="H76" i="33" s="1"/>
  <c r="E71" i="33"/>
  <c r="G71" i="33" s="1"/>
  <c r="H71" i="33" s="1"/>
  <c r="E66" i="33"/>
  <c r="G66" i="33" s="1"/>
  <c r="H66" i="33" s="1"/>
  <c r="E72" i="33"/>
  <c r="G72" i="33" s="1"/>
  <c r="H72" i="33" s="1"/>
  <c r="E82" i="33"/>
  <c r="G82" i="33" s="1"/>
  <c r="H82" i="33" s="1"/>
  <c r="E70" i="33"/>
  <c r="G70" i="33" s="1"/>
  <c r="H70" i="33" s="1"/>
  <c r="E67" i="33"/>
  <c r="G67" i="33" s="1"/>
  <c r="H67" i="33" s="1"/>
  <c r="E80" i="33"/>
  <c r="G80" i="33" s="1"/>
  <c r="H80" i="33" s="1"/>
  <c r="E79" i="33"/>
  <c r="G79" i="33" s="1"/>
  <c r="H79" i="33" s="1"/>
  <c r="E69" i="33"/>
  <c r="G69" i="33" s="1"/>
  <c r="H69" i="33" s="1"/>
  <c r="E77" i="33"/>
  <c r="G77" i="33" s="1"/>
  <c r="H77" i="33" s="1"/>
  <c r="E75" i="33"/>
  <c r="G75" i="33" s="1"/>
  <c r="H75" i="33" s="1"/>
  <c r="E74" i="33"/>
  <c r="G74" i="33" s="1"/>
  <c r="H74" i="33" s="1"/>
  <c r="E83" i="33"/>
  <c r="G83" i="33" s="1"/>
  <c r="H83" i="33" s="1"/>
  <c r="E81" i="33"/>
  <c r="G81" i="33" s="1"/>
  <c r="H81" i="33" s="1"/>
  <c r="E78" i="33"/>
  <c r="G78" i="33" s="1"/>
  <c r="H78" i="33" s="1"/>
  <c r="E68" i="33"/>
  <c r="G68" i="33" s="1"/>
  <c r="H68" i="33" s="1"/>
  <c r="E73" i="33"/>
  <c r="G73" i="33" s="1"/>
  <c r="H73" i="33" s="1"/>
  <c r="E84" i="33"/>
  <c r="G84" i="33" s="1"/>
  <c r="H84" i="33" s="1"/>
  <c r="AB30" i="33"/>
  <c r="E91" i="27"/>
  <c r="G91" i="27" s="1"/>
  <c r="H91" i="27" s="1"/>
  <c r="E96" i="27"/>
  <c r="G96" i="27" s="1"/>
  <c r="H96" i="27" s="1"/>
  <c r="E98" i="27"/>
  <c r="G98" i="27" s="1"/>
  <c r="H98" i="27" s="1"/>
  <c r="E89" i="27"/>
  <c r="G89" i="27" s="1"/>
  <c r="H89" i="27" s="1"/>
  <c r="E92" i="27"/>
  <c r="G92" i="27" s="1"/>
  <c r="H92" i="27" s="1"/>
  <c r="E94" i="27"/>
  <c r="G94" i="27" s="1"/>
  <c r="H94" i="27" s="1"/>
  <c r="E97" i="27"/>
  <c r="G97" i="27" s="1"/>
  <c r="H97" i="27" s="1"/>
  <c r="E100" i="27"/>
  <c r="G100" i="27" s="1"/>
  <c r="H100" i="27" s="1"/>
  <c r="E102" i="27"/>
  <c r="G102" i="27" s="1"/>
  <c r="H102" i="27" s="1"/>
  <c r="E90" i="27"/>
  <c r="G90" i="27" s="1"/>
  <c r="H90" i="27" s="1"/>
  <c r="E93" i="27"/>
  <c r="G93" i="27" s="1"/>
  <c r="H93" i="27" s="1"/>
  <c r="E95" i="27"/>
  <c r="G95" i="27" s="1"/>
  <c r="H95" i="27" s="1"/>
  <c r="E99" i="27"/>
  <c r="G99" i="27" s="1"/>
  <c r="H99" i="27" s="1"/>
  <c r="E101" i="27"/>
  <c r="G101" i="27" s="1"/>
  <c r="H101" i="27" s="1"/>
  <c r="C55" i="26"/>
  <c r="D55" i="26" s="1"/>
  <c r="G67" i="20"/>
  <c r="H67" i="20" s="1"/>
  <c r="C55" i="20"/>
  <c r="E94" i="20"/>
  <c r="G94" i="20" s="1"/>
  <c r="H94" i="20" s="1"/>
  <c r="C54" i="19"/>
  <c r="D54" i="19" s="1"/>
  <c r="E101" i="19" s="1"/>
  <c r="H101" i="19" s="1"/>
  <c r="E66" i="10"/>
  <c r="G66" i="10" s="1"/>
  <c r="H66" i="10" s="1"/>
  <c r="E65" i="10"/>
  <c r="C55" i="8"/>
  <c r="B113" i="8" s="1"/>
  <c r="I56" i="10"/>
  <c r="E67" i="10"/>
  <c r="G67" i="10" s="1"/>
  <c r="H67" i="10" s="1"/>
  <c r="E69" i="10"/>
  <c r="G69" i="10" s="1"/>
  <c r="H69" i="10" s="1"/>
  <c r="E68" i="10"/>
  <c r="G68" i="10" s="1"/>
  <c r="H68" i="10" s="1"/>
  <c r="I54" i="7"/>
  <c r="H52" i="7"/>
  <c r="D109" i="7"/>
  <c r="J55" i="7"/>
  <c r="B125" i="7" s="1"/>
  <c r="E92" i="7"/>
  <c r="G92" i="7" s="1"/>
  <c r="H92" i="7" s="1"/>
  <c r="E102" i="7"/>
  <c r="G102" i="7" s="1"/>
  <c r="H102" i="7" s="1"/>
  <c r="E101" i="7"/>
  <c r="G101" i="7" s="1"/>
  <c r="H101" i="7" s="1"/>
  <c r="E89" i="7"/>
  <c r="G89" i="7" s="1"/>
  <c r="H89" i="7" s="1"/>
  <c r="E96" i="7"/>
  <c r="G96" i="7" s="1"/>
  <c r="H96" i="7" s="1"/>
  <c r="E95" i="7"/>
  <c r="G95" i="7" s="1"/>
  <c r="H95" i="7" s="1"/>
  <c r="E91" i="7"/>
  <c r="G91" i="7" s="1"/>
  <c r="H91" i="7" s="1"/>
  <c r="E100" i="7"/>
  <c r="G100" i="7" s="1"/>
  <c r="H100" i="7" s="1"/>
  <c r="E99" i="7"/>
  <c r="G99" i="7" s="1"/>
  <c r="H99" i="7" s="1"/>
  <c r="E94" i="7"/>
  <c r="G94" i="7" s="1"/>
  <c r="H94" i="7" s="1"/>
  <c r="E90" i="7"/>
  <c r="G90" i="7" s="1"/>
  <c r="H90" i="7" s="1"/>
  <c r="E97" i="7"/>
  <c r="G97" i="7" s="1"/>
  <c r="H97" i="7" s="1"/>
  <c r="E98" i="7"/>
  <c r="G98" i="7" s="1"/>
  <c r="H98" i="7" s="1"/>
  <c r="E93" i="7"/>
  <c r="G93" i="7" s="1"/>
  <c r="H93" i="7" s="1"/>
  <c r="H51" i="7"/>
  <c r="H53" i="69"/>
  <c r="E65" i="69" s="1"/>
  <c r="G65" i="69" s="1"/>
  <c r="H65" i="69" s="1"/>
  <c r="E5" i="69"/>
  <c r="G5" i="69" s="1"/>
  <c r="H5" i="69" s="1"/>
  <c r="K5" i="69" s="1"/>
  <c r="L5" i="69" s="1"/>
  <c r="S35" i="69" s="1"/>
  <c r="J55" i="25"/>
  <c r="I55" i="25" s="1"/>
  <c r="I54" i="25"/>
  <c r="E98" i="45"/>
  <c r="G98" i="45" s="1"/>
  <c r="H98" i="45" s="1"/>
  <c r="E94" i="45"/>
  <c r="G94" i="45" s="1"/>
  <c r="H94" i="45" s="1"/>
  <c r="E95" i="45"/>
  <c r="G95" i="45" s="1"/>
  <c r="H95" i="45" s="1"/>
  <c r="E93" i="45"/>
  <c r="G93" i="45" s="1"/>
  <c r="H93" i="45" s="1"/>
  <c r="C55" i="45"/>
  <c r="D55" i="45" s="1"/>
  <c r="E99" i="45"/>
  <c r="G99" i="45" s="1"/>
  <c r="H99" i="45" s="1"/>
  <c r="E91" i="45"/>
  <c r="G91" i="45" s="1"/>
  <c r="H91" i="45" s="1"/>
  <c r="E96" i="45"/>
  <c r="G96" i="45" s="1"/>
  <c r="H96" i="45" s="1"/>
  <c r="E103" i="45"/>
  <c r="G103" i="45" s="1"/>
  <c r="H103" i="45" s="1"/>
  <c r="E100" i="45"/>
  <c r="G100" i="45" s="1"/>
  <c r="H100" i="45" s="1"/>
  <c r="E105" i="45"/>
  <c r="G105" i="45" s="1"/>
  <c r="H105" i="45" s="1"/>
  <c r="E92" i="45"/>
  <c r="G92" i="45" s="1"/>
  <c r="H92" i="45" s="1"/>
  <c r="E104" i="45"/>
  <c r="G104" i="45" s="1"/>
  <c r="H104" i="45" s="1"/>
  <c r="E102" i="45"/>
  <c r="G102" i="45" s="1"/>
  <c r="H102" i="45" s="1"/>
  <c r="E69" i="51"/>
  <c r="G69" i="51" s="1"/>
  <c r="H69" i="51" s="1"/>
  <c r="E67" i="51"/>
  <c r="G67" i="51" s="1"/>
  <c r="H67" i="51" s="1"/>
  <c r="E71" i="51"/>
  <c r="G71" i="51" s="1"/>
  <c r="H71" i="51" s="1"/>
  <c r="E65" i="51"/>
  <c r="G65" i="51" s="1"/>
  <c r="H65" i="51" s="1"/>
  <c r="E66" i="51"/>
  <c r="G66" i="51" s="1"/>
  <c r="H66" i="51" s="1"/>
  <c r="E70" i="51"/>
  <c r="G70" i="51" s="1"/>
  <c r="H70" i="51" s="1"/>
  <c r="E73" i="51"/>
  <c r="G73" i="51" s="1"/>
  <c r="H73" i="51" s="1"/>
  <c r="E68" i="51"/>
  <c r="G68" i="51" s="1"/>
  <c r="H68" i="51" s="1"/>
  <c r="E72" i="51"/>
  <c r="G72" i="51" s="1"/>
  <c r="H72" i="51" s="1"/>
  <c r="E75" i="51"/>
  <c r="G75" i="51" s="1"/>
  <c r="H75" i="51" s="1"/>
  <c r="E77" i="51"/>
  <c r="G77" i="51" s="1"/>
  <c r="H77" i="51" s="1"/>
  <c r="E74" i="51"/>
  <c r="G74" i="51" s="1"/>
  <c r="H74" i="51" s="1"/>
  <c r="E76" i="51"/>
  <c r="G76" i="51" s="1"/>
  <c r="H76" i="51" s="1"/>
  <c r="I55" i="51"/>
  <c r="H54" i="51"/>
  <c r="C53" i="60"/>
  <c r="E67" i="60" s="1"/>
  <c r="I54" i="60"/>
  <c r="I55" i="35"/>
  <c r="H54" i="35"/>
  <c r="E66" i="35"/>
  <c r="G66" i="35" s="1"/>
  <c r="H66" i="35" s="1"/>
  <c r="E67" i="35"/>
  <c r="G67" i="35" s="1"/>
  <c r="H67" i="35" s="1"/>
  <c r="E68" i="35"/>
  <c r="G68" i="35" s="1"/>
  <c r="H68" i="35" s="1"/>
  <c r="E69" i="35"/>
  <c r="G69" i="35" s="1"/>
  <c r="H69" i="35" s="1"/>
  <c r="E65" i="35"/>
  <c r="G65" i="35" s="1"/>
  <c r="H65" i="35" s="1"/>
  <c r="AB30" i="35"/>
  <c r="AC30" i="35" s="1"/>
  <c r="AC25" i="35" s="1"/>
  <c r="C55" i="27"/>
  <c r="E11" i="55"/>
  <c r="G11" i="55" s="1"/>
  <c r="H11" i="55" s="1"/>
  <c r="K11" i="55" s="1"/>
  <c r="L11" i="55" s="1"/>
  <c r="E8" i="55"/>
  <c r="G8" i="55" s="1"/>
  <c r="H8" i="55" s="1"/>
  <c r="K8" i="55" s="1"/>
  <c r="L8" i="55" s="1"/>
  <c r="E7" i="55"/>
  <c r="G7" i="55" s="1"/>
  <c r="H7" i="55" s="1"/>
  <c r="K7" i="55" s="1"/>
  <c r="L7" i="55" s="1"/>
  <c r="E9" i="55"/>
  <c r="G9" i="55" s="1"/>
  <c r="H9" i="55" s="1"/>
  <c r="K9" i="55" s="1"/>
  <c r="L9" i="55" s="1"/>
  <c r="E6" i="55"/>
  <c r="G6" i="55" s="1"/>
  <c r="H6" i="55" s="1"/>
  <c r="K6" i="55" s="1"/>
  <c r="L6" i="55" s="1"/>
  <c r="E10" i="55"/>
  <c r="G10" i="55" s="1"/>
  <c r="H10" i="55" s="1"/>
  <c r="K10" i="55" s="1"/>
  <c r="L10" i="55" s="1"/>
  <c r="E14" i="55"/>
  <c r="G14" i="55" s="1"/>
  <c r="H14" i="55" s="1"/>
  <c r="K14" i="55" s="1"/>
  <c r="L14" i="55" s="1"/>
  <c r="E13" i="55"/>
  <c r="G13" i="55" s="1"/>
  <c r="H13" i="55" s="1"/>
  <c r="K13" i="55" s="1"/>
  <c r="L13" i="55" s="1"/>
  <c r="E12" i="55"/>
  <c r="G12" i="55" s="1"/>
  <c r="H12" i="55" s="1"/>
  <c r="K12" i="55" s="1"/>
  <c r="L12" i="55" s="1"/>
  <c r="E12" i="54"/>
  <c r="G12" i="54" s="1"/>
  <c r="H12" i="54" s="1"/>
  <c r="K12" i="54" s="1"/>
  <c r="L12" i="54" s="1"/>
  <c r="E7" i="54"/>
  <c r="G7" i="54" s="1"/>
  <c r="H7" i="54" s="1"/>
  <c r="K7" i="54" s="1"/>
  <c r="L7" i="54" s="1"/>
  <c r="E6" i="54"/>
  <c r="G6" i="54" s="1"/>
  <c r="H6" i="54" s="1"/>
  <c r="K6" i="54" s="1"/>
  <c r="L6" i="54" s="1"/>
  <c r="E10" i="54"/>
  <c r="G10" i="54" s="1"/>
  <c r="H10" i="54" s="1"/>
  <c r="K10" i="54" s="1"/>
  <c r="L10" i="54" s="1"/>
  <c r="E11" i="54"/>
  <c r="G11" i="54" s="1"/>
  <c r="H11" i="54" s="1"/>
  <c r="K11" i="54" s="1"/>
  <c r="L11" i="54" s="1"/>
  <c r="E9" i="54"/>
  <c r="G9" i="54" s="1"/>
  <c r="H9" i="54" s="1"/>
  <c r="K9" i="54" s="1"/>
  <c r="L9" i="54" s="1"/>
  <c r="E8" i="54"/>
  <c r="G8" i="54" s="1"/>
  <c r="H8" i="54" s="1"/>
  <c r="K8" i="54" s="1"/>
  <c r="L8" i="54" s="1"/>
  <c r="G66" i="39"/>
  <c r="H66" i="39" s="1"/>
  <c r="G69" i="39"/>
  <c r="H69" i="39" s="1"/>
  <c r="G68" i="39"/>
  <c r="H68" i="39" s="1"/>
  <c r="G71" i="39"/>
  <c r="H71" i="39" s="1"/>
  <c r="G70" i="39"/>
  <c r="H70" i="39" s="1"/>
  <c r="G67" i="39"/>
  <c r="H67" i="39" s="1"/>
  <c r="E12" i="38"/>
  <c r="G12" i="38" s="1"/>
  <c r="H12" i="38" s="1"/>
  <c r="K12" i="38" s="1"/>
  <c r="L12" i="38" s="1"/>
  <c r="E11" i="38"/>
  <c r="G11" i="38" s="1"/>
  <c r="H11" i="38" s="1"/>
  <c r="K11" i="38" s="1"/>
  <c r="L11" i="38" s="1"/>
  <c r="E9" i="38"/>
  <c r="G9" i="38" s="1"/>
  <c r="H9" i="38" s="1"/>
  <c r="K9" i="38" s="1"/>
  <c r="L9" i="38" s="1"/>
  <c r="E7" i="38"/>
  <c r="G7" i="38" s="1"/>
  <c r="H7" i="38" s="1"/>
  <c r="K7" i="38" s="1"/>
  <c r="L7" i="38" s="1"/>
  <c r="E8" i="38"/>
  <c r="G8" i="38" s="1"/>
  <c r="H8" i="38" s="1"/>
  <c r="K8" i="38" s="1"/>
  <c r="L8" i="38" s="1"/>
  <c r="E10" i="38"/>
  <c r="G10" i="38" s="1"/>
  <c r="H10" i="38" s="1"/>
  <c r="K10" i="38" s="1"/>
  <c r="L10" i="38" s="1"/>
  <c r="E6" i="38"/>
  <c r="G6" i="38" s="1"/>
  <c r="H6" i="38" s="1"/>
  <c r="K6" i="38" s="1"/>
  <c r="L6" i="38" s="1"/>
  <c r="T35" i="31"/>
  <c r="AC25" i="31" s="1"/>
  <c r="E11" i="14"/>
  <c r="G11" i="14" s="1"/>
  <c r="H11" i="14" s="1"/>
  <c r="K11" i="14" s="1"/>
  <c r="L11" i="14" s="1"/>
  <c r="E10" i="14"/>
  <c r="G10" i="14" s="1"/>
  <c r="H10" i="14" s="1"/>
  <c r="K10" i="14" s="1"/>
  <c r="L10" i="14" s="1"/>
  <c r="E7" i="14"/>
  <c r="G7" i="14" s="1"/>
  <c r="H7" i="14" s="1"/>
  <c r="K7" i="14" s="1"/>
  <c r="L7" i="14" s="1"/>
  <c r="E12" i="14"/>
  <c r="G12" i="14" s="1"/>
  <c r="H12" i="14" s="1"/>
  <c r="K12" i="14" s="1"/>
  <c r="L12" i="14" s="1"/>
  <c r="E9" i="14"/>
  <c r="G9" i="14" s="1"/>
  <c r="H9" i="14" s="1"/>
  <c r="K9" i="14" s="1"/>
  <c r="L9" i="14" s="1"/>
  <c r="E8" i="14"/>
  <c r="G8" i="14" s="1"/>
  <c r="H8" i="14" s="1"/>
  <c r="K8" i="14" s="1"/>
  <c r="L8" i="14" s="1"/>
  <c r="E6" i="14"/>
  <c r="G6" i="14" s="1"/>
  <c r="H6" i="14" s="1"/>
  <c r="K6" i="14" s="1"/>
  <c r="L6" i="14" s="1"/>
  <c r="E12" i="13"/>
  <c r="G12" i="13" s="1"/>
  <c r="H12" i="13" s="1"/>
  <c r="K12" i="13" s="1"/>
  <c r="L12" i="13" s="1"/>
  <c r="E13" i="13"/>
  <c r="G13" i="13" s="1"/>
  <c r="H13" i="13" s="1"/>
  <c r="K13" i="13" s="1"/>
  <c r="L13" i="13" s="1"/>
  <c r="E11" i="13"/>
  <c r="G11" i="13" s="1"/>
  <c r="H11" i="13" s="1"/>
  <c r="K11" i="13" s="1"/>
  <c r="L11" i="13" s="1"/>
  <c r="E8" i="13"/>
  <c r="G8" i="13" s="1"/>
  <c r="H8" i="13" s="1"/>
  <c r="K8" i="13" s="1"/>
  <c r="L8" i="13" s="1"/>
  <c r="E6" i="13"/>
  <c r="G6" i="13" s="1"/>
  <c r="H6" i="13" s="1"/>
  <c r="K6" i="13" s="1"/>
  <c r="L6" i="13" s="1"/>
  <c r="E14" i="13"/>
  <c r="G14" i="13" s="1"/>
  <c r="H14" i="13" s="1"/>
  <c r="K14" i="13" s="1"/>
  <c r="L14" i="13" s="1"/>
  <c r="E10" i="13"/>
  <c r="G10" i="13" s="1"/>
  <c r="H10" i="13" s="1"/>
  <c r="K10" i="13" s="1"/>
  <c r="L10" i="13" s="1"/>
  <c r="E9" i="13"/>
  <c r="G9" i="13" s="1"/>
  <c r="H9" i="13" s="1"/>
  <c r="K9" i="13" s="1"/>
  <c r="L9" i="13" s="1"/>
  <c r="E7" i="13"/>
  <c r="G7" i="13" s="1"/>
  <c r="H7" i="13" s="1"/>
  <c r="K7" i="13" s="1"/>
  <c r="L7" i="13" s="1"/>
  <c r="G72" i="12"/>
  <c r="H72" i="12" s="1"/>
  <c r="G66" i="12"/>
  <c r="H66" i="12" s="1"/>
  <c r="G71" i="12"/>
  <c r="H71" i="12" s="1"/>
  <c r="G68" i="12"/>
  <c r="H68" i="12" s="1"/>
  <c r="G69" i="12"/>
  <c r="H69" i="12" s="1"/>
  <c r="G65" i="12"/>
  <c r="H65" i="12" s="1"/>
  <c r="G67" i="12"/>
  <c r="H67" i="12" s="1"/>
  <c r="G70" i="12"/>
  <c r="H70" i="12" s="1"/>
  <c r="C53" i="37"/>
  <c r="E71" i="23"/>
  <c r="G71" i="23" s="1"/>
  <c r="H71" i="23" s="1"/>
  <c r="E69" i="23"/>
  <c r="G69" i="23" s="1"/>
  <c r="H69" i="23" s="1"/>
  <c r="E77" i="23"/>
  <c r="G77" i="23" s="1"/>
  <c r="H77" i="23" s="1"/>
  <c r="E66" i="23"/>
  <c r="G66" i="23" s="1"/>
  <c r="H66" i="23" s="1"/>
  <c r="E74" i="23"/>
  <c r="G74" i="23" s="1"/>
  <c r="H74" i="23" s="1"/>
  <c r="E72" i="23"/>
  <c r="G72" i="23" s="1"/>
  <c r="H72" i="23" s="1"/>
  <c r="E67" i="23"/>
  <c r="G67" i="23" s="1"/>
  <c r="H67" i="23" s="1"/>
  <c r="E75" i="23"/>
  <c r="G75" i="23" s="1"/>
  <c r="H75" i="23" s="1"/>
  <c r="E65" i="23"/>
  <c r="G65" i="23" s="1"/>
  <c r="H65" i="23" s="1"/>
  <c r="E70" i="23"/>
  <c r="G70" i="23" s="1"/>
  <c r="H70" i="23" s="1"/>
  <c r="E78" i="23"/>
  <c r="G78" i="23" s="1"/>
  <c r="H78" i="23" s="1"/>
  <c r="E73" i="23"/>
  <c r="G73" i="23" s="1"/>
  <c r="H73" i="23" s="1"/>
  <c r="E68" i="23"/>
  <c r="G68" i="23" s="1"/>
  <c r="H68" i="23" s="1"/>
  <c r="E76" i="23"/>
  <c r="G76" i="23" s="1"/>
  <c r="H76" i="23" s="1"/>
  <c r="E90" i="20"/>
  <c r="G90" i="20" s="1"/>
  <c r="H90" i="20" s="1"/>
  <c r="E98" i="20"/>
  <c r="G98" i="20" s="1"/>
  <c r="H98" i="20" s="1"/>
  <c r="E93" i="20"/>
  <c r="G93" i="20" s="1"/>
  <c r="H93" i="20" s="1"/>
  <c r="E101" i="20"/>
  <c r="G101" i="20" s="1"/>
  <c r="H101" i="20" s="1"/>
  <c r="E88" i="20"/>
  <c r="G88" i="20" s="1"/>
  <c r="H88" i="20" s="1"/>
  <c r="E96" i="20"/>
  <c r="G96" i="20" s="1"/>
  <c r="H96" i="20" s="1"/>
  <c r="E89" i="20"/>
  <c r="G89" i="20" s="1"/>
  <c r="H89" i="20" s="1"/>
  <c r="E97" i="20"/>
  <c r="G97" i="20" s="1"/>
  <c r="H97" i="20" s="1"/>
  <c r="E92" i="20"/>
  <c r="G92" i="20" s="1"/>
  <c r="H92" i="20" s="1"/>
  <c r="E100" i="20"/>
  <c r="G100" i="20" s="1"/>
  <c r="H100" i="20" s="1"/>
  <c r="E95" i="20"/>
  <c r="G95" i="20" s="1"/>
  <c r="H95" i="20" s="1"/>
  <c r="E91" i="20"/>
  <c r="G91" i="20" s="1"/>
  <c r="H91" i="20" s="1"/>
  <c r="E99" i="20"/>
  <c r="G99" i="20" s="1"/>
  <c r="H99" i="20" s="1"/>
  <c r="E74" i="19"/>
  <c r="G74" i="19" s="1"/>
  <c r="H74" i="19" s="1"/>
  <c r="E70" i="19"/>
  <c r="G70" i="19" s="1"/>
  <c r="H70" i="19" s="1"/>
  <c r="E77" i="19"/>
  <c r="G77" i="19" s="1"/>
  <c r="H77" i="19" s="1"/>
  <c r="E67" i="19"/>
  <c r="G67" i="19" s="1"/>
  <c r="H67" i="19" s="1"/>
  <c r="E68" i="19"/>
  <c r="G68" i="19" s="1"/>
  <c r="H68" i="19" s="1"/>
  <c r="E75" i="19"/>
  <c r="G75" i="19" s="1"/>
  <c r="H75" i="19" s="1"/>
  <c r="E71" i="19"/>
  <c r="G71" i="19" s="1"/>
  <c r="H71" i="19" s="1"/>
  <c r="E72" i="19"/>
  <c r="G72" i="19" s="1"/>
  <c r="H72" i="19" s="1"/>
  <c r="E69" i="19"/>
  <c r="G69" i="19" s="1"/>
  <c r="H69" i="19" s="1"/>
  <c r="E76" i="19"/>
  <c r="G76" i="19" s="1"/>
  <c r="H76" i="19" s="1"/>
  <c r="E73" i="19"/>
  <c r="G73" i="19" s="1"/>
  <c r="H73" i="19" s="1"/>
  <c r="E66" i="19"/>
  <c r="G66" i="19" s="1"/>
  <c r="H66" i="19" s="1"/>
  <c r="E101" i="45"/>
  <c r="G101" i="45" s="1"/>
  <c r="H101" i="45" s="1"/>
  <c r="E97" i="45"/>
  <c r="G97" i="45" s="1"/>
  <c r="H97" i="45" s="1"/>
  <c r="I54" i="45"/>
  <c r="J55" i="45"/>
  <c r="E76" i="3"/>
  <c r="G76" i="3" s="1"/>
  <c r="H76" i="3" s="1"/>
  <c r="E82" i="3"/>
  <c r="G82" i="3" s="1"/>
  <c r="H82" i="3" s="1"/>
  <c r="E75" i="3"/>
  <c r="G75" i="3" s="1"/>
  <c r="H75" i="3" s="1"/>
  <c r="E77" i="3"/>
  <c r="G77" i="3" s="1"/>
  <c r="H77" i="3" s="1"/>
  <c r="E74" i="3"/>
  <c r="G74" i="3" s="1"/>
  <c r="H74" i="3" s="1"/>
  <c r="E73" i="3"/>
  <c r="G73" i="3" s="1"/>
  <c r="H73" i="3" s="1"/>
  <c r="E72" i="3"/>
  <c r="G72" i="3" s="1"/>
  <c r="H72" i="3" s="1"/>
  <c r="E71" i="3"/>
  <c r="G71" i="3" s="1"/>
  <c r="H71" i="3" s="1"/>
  <c r="E70" i="3"/>
  <c r="G70" i="3" s="1"/>
  <c r="H70" i="3" s="1"/>
  <c r="E69" i="3"/>
  <c r="G69" i="3" s="1"/>
  <c r="H69" i="3" s="1"/>
  <c r="E68" i="3"/>
  <c r="G68" i="3" s="1"/>
  <c r="H68" i="3" s="1"/>
  <c r="E67" i="3"/>
  <c r="G67" i="3" s="1"/>
  <c r="H67" i="3" s="1"/>
  <c r="E66" i="3"/>
  <c r="G66" i="3" s="1"/>
  <c r="H66" i="3" s="1"/>
  <c r="E81" i="3"/>
  <c r="G81" i="3" s="1"/>
  <c r="H81" i="3" s="1"/>
  <c r="E79" i="3"/>
  <c r="G79" i="3" s="1"/>
  <c r="H79" i="3" s="1"/>
  <c r="E80" i="3"/>
  <c r="G80" i="3" s="1"/>
  <c r="H80" i="3" s="1"/>
  <c r="E78" i="3"/>
  <c r="G78" i="3" s="1"/>
  <c r="H78" i="3" s="1"/>
  <c r="C54" i="3"/>
  <c r="E69" i="6"/>
  <c r="G69" i="6" s="1"/>
  <c r="H69" i="6" s="1"/>
  <c r="E70" i="6"/>
  <c r="G70" i="6" s="1"/>
  <c r="H70" i="6" s="1"/>
  <c r="E67" i="6"/>
  <c r="G67" i="6" s="1"/>
  <c r="H67" i="6" s="1"/>
  <c r="E71" i="6"/>
  <c r="G71" i="6" s="1"/>
  <c r="H71" i="6" s="1"/>
  <c r="E68" i="6"/>
  <c r="G68" i="6" s="1"/>
  <c r="H68" i="6" s="1"/>
  <c r="E66" i="6"/>
  <c r="G66" i="6" s="1"/>
  <c r="H66" i="6" s="1"/>
  <c r="C54" i="6"/>
  <c r="D54" i="6" s="1"/>
  <c r="E108" i="8"/>
  <c r="G108" i="8" s="1"/>
  <c r="H108" i="8" s="1"/>
  <c r="E107" i="8"/>
  <c r="G107" i="8" s="1"/>
  <c r="H107" i="8" s="1"/>
  <c r="E106" i="8"/>
  <c r="G106" i="8" s="1"/>
  <c r="H106" i="8" s="1"/>
  <c r="E105" i="8"/>
  <c r="G105" i="8" s="1"/>
  <c r="H105" i="8" s="1"/>
  <c r="E104" i="8"/>
  <c r="G104" i="8" s="1"/>
  <c r="H104" i="8" s="1"/>
  <c r="E103" i="8"/>
  <c r="G103" i="8" s="1"/>
  <c r="H103" i="8" s="1"/>
  <c r="E102" i="8"/>
  <c r="G102" i="8" s="1"/>
  <c r="H102" i="8" s="1"/>
  <c r="E101" i="8"/>
  <c r="G101" i="8" s="1"/>
  <c r="H101" i="8" s="1"/>
  <c r="E100" i="8"/>
  <c r="G100" i="8" s="1"/>
  <c r="H100" i="8" s="1"/>
  <c r="E99" i="8"/>
  <c r="G99" i="8" s="1"/>
  <c r="H99" i="8" s="1"/>
  <c r="E98" i="8"/>
  <c r="G98" i="8" s="1"/>
  <c r="H98" i="8" s="1"/>
  <c r="E97" i="8"/>
  <c r="G97" i="8" s="1"/>
  <c r="H97" i="8" s="1"/>
  <c r="E94" i="8"/>
  <c r="G94" i="8" s="1"/>
  <c r="H94" i="8" s="1"/>
  <c r="E92" i="8"/>
  <c r="G92" i="8" s="1"/>
  <c r="H92" i="8" s="1"/>
  <c r="E91" i="8"/>
  <c r="G91" i="8" s="1"/>
  <c r="H91" i="8" s="1"/>
  <c r="E96" i="8"/>
  <c r="G96" i="8" s="1"/>
  <c r="H96" i="8" s="1"/>
  <c r="E95" i="8"/>
  <c r="G95" i="8" s="1"/>
  <c r="H95" i="8" s="1"/>
  <c r="E93" i="8"/>
  <c r="G93" i="8" s="1"/>
  <c r="H93" i="8" s="1"/>
  <c r="H55" i="9"/>
  <c r="C55" i="9"/>
  <c r="D55" i="9" s="1"/>
  <c r="C53" i="70"/>
  <c r="I55" i="66"/>
  <c r="E82" i="69"/>
  <c r="G82" i="69" s="1"/>
  <c r="H82" i="69" s="1"/>
  <c r="E81" i="69"/>
  <c r="G81" i="69" s="1"/>
  <c r="H81" i="69" s="1"/>
  <c r="E80" i="69"/>
  <c r="G80" i="69" s="1"/>
  <c r="H80" i="69" s="1"/>
  <c r="E79" i="69"/>
  <c r="G79" i="69" s="1"/>
  <c r="H79" i="69" s="1"/>
  <c r="E78" i="69"/>
  <c r="G78" i="69" s="1"/>
  <c r="H78" i="69" s="1"/>
  <c r="E77" i="69"/>
  <c r="G77" i="69" s="1"/>
  <c r="H77" i="69" s="1"/>
  <c r="E76" i="69"/>
  <c r="G76" i="69" s="1"/>
  <c r="H76" i="69" s="1"/>
  <c r="E75" i="69"/>
  <c r="G75" i="69" s="1"/>
  <c r="H75" i="69" s="1"/>
  <c r="E74" i="69"/>
  <c r="G74" i="69" s="1"/>
  <c r="H74" i="69" s="1"/>
  <c r="E73" i="69"/>
  <c r="G73" i="69" s="1"/>
  <c r="H73" i="69" s="1"/>
  <c r="E72" i="69"/>
  <c r="G72" i="69" s="1"/>
  <c r="H72" i="69" s="1"/>
  <c r="E71" i="69"/>
  <c r="G71" i="69" s="1"/>
  <c r="E66" i="69"/>
  <c r="G66" i="69" s="1"/>
  <c r="H66" i="69" s="1"/>
  <c r="E70" i="69"/>
  <c r="G70" i="69" s="1"/>
  <c r="H70" i="69" s="1"/>
  <c r="E67" i="69"/>
  <c r="G67" i="69" s="1"/>
  <c r="H67" i="69" s="1"/>
  <c r="E69" i="69"/>
  <c r="G69" i="69" s="1"/>
  <c r="H69" i="69" s="1"/>
  <c r="E68" i="69"/>
  <c r="G68" i="69" s="1"/>
  <c r="H68" i="69" s="1"/>
  <c r="C54" i="69"/>
  <c r="D54" i="69" s="1"/>
  <c r="U35" i="79" l="1"/>
  <c r="AB30" i="79"/>
  <c r="AD30" i="79" s="1"/>
  <c r="AC25" i="79" s="1"/>
  <c r="G5" i="67"/>
  <c r="H5" i="67" s="1"/>
  <c r="K5" i="67" s="1"/>
  <c r="L5" i="67" s="1"/>
  <c r="S35" i="67" s="1"/>
  <c r="E65" i="67"/>
  <c r="G65" i="67" s="1"/>
  <c r="H65" i="67" s="1"/>
  <c r="G5" i="25"/>
  <c r="H5" i="25" s="1"/>
  <c r="K5" i="25" s="1"/>
  <c r="L5" i="25" s="1"/>
  <c r="S35" i="25" s="1"/>
  <c r="AB30" i="25" s="1"/>
  <c r="AE30" i="25" s="1"/>
  <c r="AC25" i="25" s="1"/>
  <c r="E65" i="25"/>
  <c r="G65" i="25" s="1"/>
  <c r="H65" i="25" s="1"/>
  <c r="H81" i="16"/>
  <c r="G82" i="21"/>
  <c r="E82" i="21"/>
  <c r="D53" i="31"/>
  <c r="B86" i="31" s="1"/>
  <c r="C104" i="7"/>
  <c r="G90" i="17"/>
  <c r="E90" i="17"/>
  <c r="B62" i="34"/>
  <c r="B74" i="34"/>
  <c r="B88" i="34"/>
  <c r="H81" i="20"/>
  <c r="C81" i="20"/>
  <c r="D54" i="61"/>
  <c r="D54" i="42"/>
  <c r="G88" i="42" s="1"/>
  <c r="C88" i="42" s="1"/>
  <c r="D54" i="41"/>
  <c r="D53" i="32"/>
  <c r="G82" i="32" s="1"/>
  <c r="D55" i="20"/>
  <c r="B62" i="20"/>
  <c r="B105" i="20"/>
  <c r="B84" i="20"/>
  <c r="D54" i="17"/>
  <c r="D54" i="16"/>
  <c r="G81" i="16"/>
  <c r="C81" i="16" s="1"/>
  <c r="D54" i="3"/>
  <c r="E90" i="3"/>
  <c r="G90" i="3" s="1"/>
  <c r="H90" i="3" s="1"/>
  <c r="D53" i="70"/>
  <c r="E84" i="70"/>
  <c r="G84" i="70" s="1"/>
  <c r="H84" i="70" s="1"/>
  <c r="AC30" i="49"/>
  <c r="AB30" i="49"/>
  <c r="E87" i="57"/>
  <c r="G87" i="57"/>
  <c r="B142" i="57"/>
  <c r="J56" i="57"/>
  <c r="D54" i="57"/>
  <c r="G79" i="49"/>
  <c r="E79" i="49"/>
  <c r="G83" i="59"/>
  <c r="E83" i="59"/>
  <c r="C82" i="26"/>
  <c r="H82" i="26"/>
  <c r="G79" i="19"/>
  <c r="E79" i="19"/>
  <c r="D54" i="59"/>
  <c r="E104" i="59"/>
  <c r="G104" i="59" s="1"/>
  <c r="H104" i="59" s="1"/>
  <c r="E105" i="59"/>
  <c r="G105" i="59" s="1"/>
  <c r="H105" i="59" s="1"/>
  <c r="E85" i="49"/>
  <c r="G85" i="49" s="1"/>
  <c r="H85" i="49" s="1"/>
  <c r="D54" i="33"/>
  <c r="E114" i="33"/>
  <c r="G114" i="33" s="1"/>
  <c r="H114" i="33" s="1"/>
  <c r="E113" i="33"/>
  <c r="G113" i="33" s="1"/>
  <c r="H113" i="33" s="1"/>
  <c r="D54" i="28"/>
  <c r="E112" i="28"/>
  <c r="G112" i="28" s="1"/>
  <c r="H112" i="28" s="1"/>
  <c r="E111" i="28"/>
  <c r="G111" i="28" s="1"/>
  <c r="H111" i="28" s="1"/>
  <c r="E75" i="37"/>
  <c r="G75" i="37" s="1"/>
  <c r="H75" i="37" s="1"/>
  <c r="E74" i="37"/>
  <c r="G74" i="37" s="1"/>
  <c r="H74" i="37" s="1"/>
  <c r="E76" i="37"/>
  <c r="G76" i="37" s="1"/>
  <c r="H76" i="37" s="1"/>
  <c r="E72" i="37"/>
  <c r="G72" i="37" s="1"/>
  <c r="H72" i="37" s="1"/>
  <c r="E71" i="37"/>
  <c r="G71" i="37" s="1"/>
  <c r="H71" i="37" s="1"/>
  <c r="AF30" i="17"/>
  <c r="AC25" i="17" s="1"/>
  <c r="D53" i="37"/>
  <c r="U35" i="4"/>
  <c r="AA30" i="4"/>
  <c r="AE30" i="4" s="1"/>
  <c r="AC25" i="4" s="1"/>
  <c r="H54" i="28"/>
  <c r="E65" i="28"/>
  <c r="G65" i="28" s="1"/>
  <c r="H65" i="28" s="1"/>
  <c r="B120" i="48"/>
  <c r="I55" i="48"/>
  <c r="D55" i="4"/>
  <c r="E111" i="4"/>
  <c r="G111" i="4" s="1"/>
  <c r="H111" i="4" s="1"/>
  <c r="E112" i="4"/>
  <c r="G112" i="4" s="1"/>
  <c r="H112" i="4" s="1"/>
  <c r="E113" i="4"/>
  <c r="G113" i="4" s="1"/>
  <c r="H113" i="4" s="1"/>
  <c r="E114" i="4"/>
  <c r="G114" i="4" s="1"/>
  <c r="H114" i="4" s="1"/>
  <c r="AF30" i="53"/>
  <c r="U35" i="53"/>
  <c r="AF30" i="29"/>
  <c r="AC25" i="29" s="1"/>
  <c r="AF30" i="57"/>
  <c r="AC25" i="57" s="1"/>
  <c r="AA30" i="51"/>
  <c r="AC30" i="51" s="1"/>
  <c r="AC25" i="51" s="1"/>
  <c r="T33" i="51"/>
  <c r="AD30" i="46"/>
  <c r="AC25" i="46" s="1"/>
  <c r="S33" i="40"/>
  <c r="AC25" i="40" s="1"/>
  <c r="AB30" i="48"/>
  <c r="AC30" i="48"/>
  <c r="AC25" i="39"/>
  <c r="T34" i="39"/>
  <c r="AC30" i="37"/>
  <c r="AF30" i="37" s="1"/>
  <c r="AC25" i="37" s="1"/>
  <c r="U35" i="37"/>
  <c r="S34" i="55"/>
  <c r="AC30" i="70"/>
  <c r="AD30" i="70"/>
  <c r="AB30" i="70"/>
  <c r="U35" i="70"/>
  <c r="U35" i="69"/>
  <c r="AB30" i="69"/>
  <c r="AF30" i="69" s="1"/>
  <c r="AC25" i="69" s="1"/>
  <c r="AA30" i="66"/>
  <c r="AC30" i="66" s="1"/>
  <c r="AC25" i="66" s="1"/>
  <c r="T33" i="66"/>
  <c r="U35" i="61"/>
  <c r="AB30" i="61"/>
  <c r="AE30" i="61" s="1"/>
  <c r="AC25" i="61" s="1"/>
  <c r="S34" i="54"/>
  <c r="AA30" i="48"/>
  <c r="U35" i="48"/>
  <c r="S34" i="38"/>
  <c r="C81" i="27"/>
  <c r="AB30" i="26"/>
  <c r="AE30" i="26" s="1"/>
  <c r="AC25" i="26" s="1"/>
  <c r="U35" i="26"/>
  <c r="S31" i="24"/>
  <c r="AE30" i="20"/>
  <c r="AC25" i="20" s="1"/>
  <c r="AA31" i="20"/>
  <c r="AC30" i="60"/>
  <c r="S35" i="60"/>
  <c r="AA30" i="19"/>
  <c r="AD30" i="19" s="1"/>
  <c r="AC25" i="19" s="1"/>
  <c r="AA30" i="10"/>
  <c r="AC30" i="10" s="1"/>
  <c r="T33" i="10"/>
  <c r="S33" i="14"/>
  <c r="AD32" i="8"/>
  <c r="AF30" i="8"/>
  <c r="AC25" i="8" s="1"/>
  <c r="S33" i="13"/>
  <c r="AC32" i="3"/>
  <c r="AC32" i="8"/>
  <c r="B112" i="8"/>
  <c r="H89" i="3"/>
  <c r="K5" i="3"/>
  <c r="L5" i="3" s="1"/>
  <c r="S35" i="3" s="1"/>
  <c r="U35" i="3" s="1"/>
  <c r="G87" i="28"/>
  <c r="E87" i="28"/>
  <c r="I55" i="28"/>
  <c r="B142" i="28"/>
  <c r="C85" i="8"/>
  <c r="H85" i="8"/>
  <c r="G110" i="8"/>
  <c r="E110" i="8"/>
  <c r="I55" i="8"/>
  <c r="B135" i="8"/>
  <c r="E120" i="8"/>
  <c r="G120" i="8" s="1"/>
  <c r="H120" i="8" s="1"/>
  <c r="E124" i="8"/>
  <c r="G124" i="8" s="1"/>
  <c r="H124" i="8" s="1"/>
  <c r="E126" i="8"/>
  <c r="G126" i="8" s="1"/>
  <c r="H126" i="8" s="1"/>
  <c r="E129" i="8"/>
  <c r="G129" i="8" s="1"/>
  <c r="H129" i="8" s="1"/>
  <c r="E132" i="8"/>
  <c r="G132" i="8" s="1"/>
  <c r="H132" i="8" s="1"/>
  <c r="E128" i="8"/>
  <c r="G128" i="8" s="1"/>
  <c r="H128" i="8" s="1"/>
  <c r="E131" i="8"/>
  <c r="G131" i="8" s="1"/>
  <c r="H131" i="8" s="1"/>
  <c r="E116" i="8"/>
  <c r="G116" i="8" s="1"/>
  <c r="H116" i="8" s="1"/>
  <c r="E117" i="8"/>
  <c r="G117" i="8" s="1"/>
  <c r="H117" i="8" s="1"/>
  <c r="E118" i="8"/>
  <c r="G118" i="8" s="1"/>
  <c r="H118" i="8" s="1"/>
  <c r="E119" i="8"/>
  <c r="G119" i="8" s="1"/>
  <c r="H119" i="8" s="1"/>
  <c r="E121" i="8"/>
  <c r="G121" i="8" s="1"/>
  <c r="H121" i="8" s="1"/>
  <c r="E122" i="8"/>
  <c r="G122" i="8" s="1"/>
  <c r="H122" i="8" s="1"/>
  <c r="E123" i="8"/>
  <c r="G123" i="8" s="1"/>
  <c r="H123" i="8" s="1"/>
  <c r="E125" i="8"/>
  <c r="G125" i="8" s="1"/>
  <c r="H125" i="8" s="1"/>
  <c r="E127" i="8"/>
  <c r="G127" i="8" s="1"/>
  <c r="H127" i="8" s="1"/>
  <c r="E130" i="8"/>
  <c r="G130" i="8" s="1"/>
  <c r="H130" i="8" s="1"/>
  <c r="E133" i="8"/>
  <c r="G133" i="8" s="1"/>
  <c r="H133" i="8" s="1"/>
  <c r="E80" i="61"/>
  <c r="G80" i="61"/>
  <c r="E79" i="56"/>
  <c r="H79" i="56" s="1"/>
  <c r="G79" i="56"/>
  <c r="G106" i="50"/>
  <c r="E106" i="50"/>
  <c r="E77" i="46"/>
  <c r="H77" i="46" s="1"/>
  <c r="G77" i="46"/>
  <c r="G76" i="41"/>
  <c r="E76" i="41"/>
  <c r="C84" i="3"/>
  <c r="E65" i="60"/>
  <c r="G65" i="60" s="1"/>
  <c r="H65" i="60" s="1"/>
  <c r="H54" i="60"/>
  <c r="E82" i="62"/>
  <c r="G82" i="62"/>
  <c r="D55" i="68"/>
  <c r="H54" i="61"/>
  <c r="H55" i="61" s="1"/>
  <c r="E65" i="61"/>
  <c r="G65" i="61" s="1"/>
  <c r="H65" i="61" s="1"/>
  <c r="D53" i="54"/>
  <c r="G65" i="54"/>
  <c r="H65" i="54" s="1"/>
  <c r="D53" i="53"/>
  <c r="E66" i="53"/>
  <c r="B110" i="50"/>
  <c r="E113" i="50"/>
  <c r="G113" i="50" s="1"/>
  <c r="H113" i="50" s="1"/>
  <c r="D53" i="47"/>
  <c r="E66" i="47"/>
  <c r="G66" i="47" s="1"/>
  <c r="H66" i="47" s="1"/>
  <c r="E80" i="42"/>
  <c r="E81" i="42"/>
  <c r="E82" i="42"/>
  <c r="E83" i="42"/>
  <c r="E84" i="42"/>
  <c r="E85" i="42"/>
  <c r="E86" i="42"/>
  <c r="E79" i="42"/>
  <c r="E67" i="31"/>
  <c r="G67" i="31" s="1"/>
  <c r="H67" i="31" s="1"/>
  <c r="E70" i="31"/>
  <c r="G70" i="31" s="1"/>
  <c r="H70" i="31" s="1"/>
  <c r="E74" i="31"/>
  <c r="G74" i="31" s="1"/>
  <c r="H74" i="31" s="1"/>
  <c r="E77" i="31"/>
  <c r="G77" i="31" s="1"/>
  <c r="H77" i="31" s="1"/>
  <c r="E83" i="31"/>
  <c r="G83" i="31" s="1"/>
  <c r="H83" i="31" s="1"/>
  <c r="E84" i="31"/>
  <c r="G84" i="31" s="1"/>
  <c r="H84" i="31" s="1"/>
  <c r="E69" i="31"/>
  <c r="G69" i="31" s="1"/>
  <c r="H69" i="31" s="1"/>
  <c r="E75" i="31"/>
  <c r="G75" i="31" s="1"/>
  <c r="H75" i="31" s="1"/>
  <c r="E79" i="31"/>
  <c r="G79" i="31" s="1"/>
  <c r="H79" i="31" s="1"/>
  <c r="E66" i="31"/>
  <c r="G66" i="31" s="1"/>
  <c r="H66" i="31" s="1"/>
  <c r="E72" i="31"/>
  <c r="G72" i="31" s="1"/>
  <c r="H72" i="31" s="1"/>
  <c r="E76" i="31"/>
  <c r="G76" i="31" s="1"/>
  <c r="H76" i="31" s="1"/>
  <c r="E80" i="31"/>
  <c r="G80" i="31" s="1"/>
  <c r="H80" i="31" s="1"/>
  <c r="E82" i="31"/>
  <c r="G82" i="31" s="1"/>
  <c r="H82" i="31" s="1"/>
  <c r="E68" i="31"/>
  <c r="G68" i="31" s="1"/>
  <c r="H68" i="31" s="1"/>
  <c r="E71" i="31"/>
  <c r="G71" i="31" s="1"/>
  <c r="H71" i="31" s="1"/>
  <c r="E73" i="31"/>
  <c r="G73" i="31" s="1"/>
  <c r="H73" i="31" s="1"/>
  <c r="E78" i="31"/>
  <c r="G78" i="31" s="1"/>
  <c r="H78" i="31" s="1"/>
  <c r="E81" i="31"/>
  <c r="G81" i="31" s="1"/>
  <c r="H81" i="31" s="1"/>
  <c r="D53" i="38"/>
  <c r="C54" i="38"/>
  <c r="C81" i="7"/>
  <c r="J56" i="7"/>
  <c r="D55" i="7"/>
  <c r="C56" i="7"/>
  <c r="B86" i="7" s="1"/>
  <c r="H83" i="50"/>
  <c r="G88" i="33"/>
  <c r="E88" i="33"/>
  <c r="H88" i="33" s="1"/>
  <c r="E106" i="4"/>
  <c r="G106" i="4" s="1"/>
  <c r="H106" i="4" s="1"/>
  <c r="E105" i="4"/>
  <c r="G105" i="4" s="1"/>
  <c r="H105" i="4" s="1"/>
  <c r="B109" i="50"/>
  <c r="D55" i="50"/>
  <c r="E120" i="50"/>
  <c r="G120" i="50" s="1"/>
  <c r="H120" i="50" s="1"/>
  <c r="E128" i="50"/>
  <c r="G128" i="50" s="1"/>
  <c r="H128" i="50" s="1"/>
  <c r="E121" i="50"/>
  <c r="G121" i="50" s="1"/>
  <c r="H121" i="50" s="1"/>
  <c r="E114" i="50"/>
  <c r="G114" i="50" s="1"/>
  <c r="H114" i="50" s="1"/>
  <c r="E122" i="50"/>
  <c r="G122" i="50" s="1"/>
  <c r="H122" i="50" s="1"/>
  <c r="E115" i="50"/>
  <c r="G115" i="50" s="1"/>
  <c r="H115" i="50" s="1"/>
  <c r="E123" i="50"/>
  <c r="G123" i="50" s="1"/>
  <c r="H123" i="50" s="1"/>
  <c r="E116" i="50"/>
  <c r="G116" i="50" s="1"/>
  <c r="H116" i="50" s="1"/>
  <c r="E124" i="50"/>
  <c r="G124" i="50" s="1"/>
  <c r="H124" i="50" s="1"/>
  <c r="E125" i="50"/>
  <c r="G125" i="50" s="1"/>
  <c r="H125" i="50" s="1"/>
  <c r="E117" i="50"/>
  <c r="G117" i="50" s="1"/>
  <c r="H117" i="50" s="1"/>
  <c r="E118" i="50"/>
  <c r="G118" i="50" s="1"/>
  <c r="H118" i="50" s="1"/>
  <c r="E126" i="50"/>
  <c r="G126" i="50" s="1"/>
  <c r="H126" i="50" s="1"/>
  <c r="E119" i="50"/>
  <c r="G119" i="50" s="1"/>
  <c r="H119" i="50" s="1"/>
  <c r="E127" i="50"/>
  <c r="G127" i="50" s="1"/>
  <c r="H127" i="50" s="1"/>
  <c r="H117" i="3"/>
  <c r="E110" i="4"/>
  <c r="G110" i="4" s="1"/>
  <c r="H110" i="4" s="1"/>
  <c r="C56" i="4"/>
  <c r="G99" i="49"/>
  <c r="E99" i="49"/>
  <c r="G79" i="48"/>
  <c r="E79" i="48"/>
  <c r="H107" i="45"/>
  <c r="C107" i="45"/>
  <c r="G129" i="45"/>
  <c r="E129" i="45"/>
  <c r="I55" i="45"/>
  <c r="B129" i="45"/>
  <c r="E107" i="44"/>
  <c r="G107" i="44"/>
  <c r="E98" i="43"/>
  <c r="G98" i="43"/>
  <c r="G126" i="29"/>
  <c r="E126" i="29"/>
  <c r="E112" i="7"/>
  <c r="G112" i="7" s="1"/>
  <c r="H112" i="7" s="1"/>
  <c r="G107" i="18"/>
  <c r="E107" i="18"/>
  <c r="G101" i="19"/>
  <c r="G123" i="15"/>
  <c r="E123" i="15"/>
  <c r="E123" i="7"/>
  <c r="G123" i="7" s="1"/>
  <c r="H123" i="7" s="1"/>
  <c r="G86" i="6"/>
  <c r="E86" i="6"/>
  <c r="E107" i="4"/>
  <c r="G107" i="4" s="1"/>
  <c r="H107" i="4" s="1"/>
  <c r="E108" i="4"/>
  <c r="G108" i="4" s="1"/>
  <c r="H108" i="4" s="1"/>
  <c r="E109" i="4"/>
  <c r="G109" i="4" s="1"/>
  <c r="H109" i="4" s="1"/>
  <c r="E104" i="4"/>
  <c r="G104" i="4" s="1"/>
  <c r="H104" i="4" s="1"/>
  <c r="D56" i="83"/>
  <c r="E120" i="7"/>
  <c r="G120" i="7" s="1"/>
  <c r="H120" i="7" s="1"/>
  <c r="I55" i="70"/>
  <c r="G108" i="69"/>
  <c r="E108" i="69"/>
  <c r="D53" i="60"/>
  <c r="C54" i="60"/>
  <c r="E106" i="58"/>
  <c r="G106" i="58"/>
  <c r="I55" i="57"/>
  <c r="E99" i="56"/>
  <c r="G99" i="56"/>
  <c r="H54" i="48"/>
  <c r="E65" i="48"/>
  <c r="G65" i="48" s="1"/>
  <c r="H65" i="48" s="1"/>
  <c r="B86" i="27"/>
  <c r="D55" i="27"/>
  <c r="E85" i="23"/>
  <c r="G85" i="23" s="1"/>
  <c r="H85" i="23" s="1"/>
  <c r="H55" i="23"/>
  <c r="E98" i="23"/>
  <c r="G98" i="23" s="1"/>
  <c r="H98" i="23" s="1"/>
  <c r="E90" i="23"/>
  <c r="G90" i="23" s="1"/>
  <c r="H90" i="23" s="1"/>
  <c r="E92" i="23"/>
  <c r="G92" i="23" s="1"/>
  <c r="H92" i="23" s="1"/>
  <c r="E95" i="23"/>
  <c r="G95" i="23" s="1"/>
  <c r="H95" i="23" s="1"/>
  <c r="E87" i="23"/>
  <c r="G87" i="23" s="1"/>
  <c r="H87" i="23" s="1"/>
  <c r="E97" i="23"/>
  <c r="G97" i="23" s="1"/>
  <c r="H97" i="23" s="1"/>
  <c r="E89" i="23"/>
  <c r="G89" i="23" s="1"/>
  <c r="H89" i="23" s="1"/>
  <c r="E94" i="23"/>
  <c r="G94" i="23" s="1"/>
  <c r="H94" i="23" s="1"/>
  <c r="E86" i="23"/>
  <c r="G86" i="23" s="1"/>
  <c r="H86" i="23" s="1"/>
  <c r="E96" i="23"/>
  <c r="G96" i="23" s="1"/>
  <c r="H96" i="23" s="1"/>
  <c r="E91" i="23"/>
  <c r="G91" i="23" s="1"/>
  <c r="H91" i="23" s="1"/>
  <c r="E88" i="23"/>
  <c r="G88" i="23" s="1"/>
  <c r="H88" i="23" s="1"/>
  <c r="E93" i="23"/>
  <c r="G93" i="23" s="1"/>
  <c r="H93" i="23" s="1"/>
  <c r="B87" i="8"/>
  <c r="D55" i="8"/>
  <c r="E117" i="7"/>
  <c r="G117" i="7" s="1"/>
  <c r="H117" i="7" s="1"/>
  <c r="I56" i="4"/>
  <c r="B135" i="4"/>
  <c r="H55" i="66"/>
  <c r="E83" i="66"/>
  <c r="G83" i="66" s="1"/>
  <c r="H83" i="66" s="1"/>
  <c r="E87" i="66"/>
  <c r="G87" i="66" s="1"/>
  <c r="H87" i="66" s="1"/>
  <c r="E86" i="66"/>
  <c r="G86" i="66" s="1"/>
  <c r="H86" i="66" s="1"/>
  <c r="E85" i="66"/>
  <c r="G85" i="66" s="1"/>
  <c r="H85" i="66" s="1"/>
  <c r="E84" i="66"/>
  <c r="G84" i="66" s="1"/>
  <c r="H84" i="66" s="1"/>
  <c r="E81" i="66"/>
  <c r="G81" i="66" s="1"/>
  <c r="H81" i="66" s="1"/>
  <c r="E82" i="66"/>
  <c r="G82" i="66" s="1"/>
  <c r="H82" i="66" s="1"/>
  <c r="E80" i="66"/>
  <c r="G80" i="66" s="1"/>
  <c r="H80" i="66" s="1"/>
  <c r="E88" i="66"/>
  <c r="G88" i="66" s="1"/>
  <c r="H88" i="66" s="1"/>
  <c r="I56" i="66"/>
  <c r="B123" i="66"/>
  <c r="H123" i="66" s="1"/>
  <c r="J57" i="66"/>
  <c r="J58" i="66" s="1"/>
  <c r="H83" i="58"/>
  <c r="C83" i="58"/>
  <c r="I56" i="51"/>
  <c r="H82" i="44"/>
  <c r="C82" i="44"/>
  <c r="H79" i="43"/>
  <c r="C79" i="43"/>
  <c r="C55" i="42"/>
  <c r="H103" i="29"/>
  <c r="C103" i="29"/>
  <c r="E116" i="29"/>
  <c r="G116" i="29" s="1"/>
  <c r="H116" i="29" s="1"/>
  <c r="E105" i="28"/>
  <c r="G105" i="28" s="1"/>
  <c r="H105" i="28" s="1"/>
  <c r="H104" i="27"/>
  <c r="C104" i="27"/>
  <c r="H54" i="25"/>
  <c r="G100" i="23"/>
  <c r="E100" i="23"/>
  <c r="H80" i="23"/>
  <c r="J57" i="23"/>
  <c r="B162" i="23" s="1"/>
  <c r="B142" i="23"/>
  <c r="H103" i="20"/>
  <c r="C103" i="20"/>
  <c r="B106" i="20"/>
  <c r="H82" i="18"/>
  <c r="C82" i="18"/>
  <c r="H91" i="15"/>
  <c r="C91" i="15"/>
  <c r="E111" i="7"/>
  <c r="G111" i="7" s="1"/>
  <c r="H111" i="7" s="1"/>
  <c r="E122" i="7"/>
  <c r="G122" i="7" s="1"/>
  <c r="H122" i="7" s="1"/>
  <c r="E119" i="7"/>
  <c r="G119" i="7" s="1"/>
  <c r="H119" i="7" s="1"/>
  <c r="E116" i="7"/>
  <c r="G116" i="7" s="1"/>
  <c r="H116" i="7" s="1"/>
  <c r="E113" i="7"/>
  <c r="G113" i="7" s="1"/>
  <c r="H113" i="7" s="1"/>
  <c r="E114" i="7"/>
  <c r="G114" i="7" s="1"/>
  <c r="H114" i="7" s="1"/>
  <c r="E110" i="7"/>
  <c r="G110" i="7" s="1"/>
  <c r="H110" i="7" s="1"/>
  <c r="E121" i="7"/>
  <c r="G121" i="7" s="1"/>
  <c r="H121" i="7" s="1"/>
  <c r="E115" i="7"/>
  <c r="G115" i="7" s="1"/>
  <c r="H115" i="7" s="1"/>
  <c r="E118" i="7"/>
  <c r="G118" i="7" s="1"/>
  <c r="H118" i="7" s="1"/>
  <c r="H104" i="7"/>
  <c r="H73" i="6"/>
  <c r="C73" i="6"/>
  <c r="E116" i="4"/>
  <c r="G116" i="4"/>
  <c r="H96" i="4"/>
  <c r="C96" i="4"/>
  <c r="I55" i="3"/>
  <c r="H84" i="3"/>
  <c r="C54" i="55"/>
  <c r="C54" i="54"/>
  <c r="C54" i="31"/>
  <c r="D54" i="31" s="1"/>
  <c r="C71" i="10"/>
  <c r="H71" i="10"/>
  <c r="E82" i="10"/>
  <c r="G82" i="10"/>
  <c r="H54" i="19"/>
  <c r="E87" i="19" s="1"/>
  <c r="G87" i="19" s="1"/>
  <c r="H87" i="19" s="1"/>
  <c r="H55" i="4"/>
  <c r="E89" i="3"/>
  <c r="H55" i="3"/>
  <c r="E117" i="3" s="1"/>
  <c r="B63" i="8"/>
  <c r="B62" i="8"/>
  <c r="B88" i="8"/>
  <c r="H65" i="3"/>
  <c r="C55" i="12"/>
  <c r="D55" i="12" s="1"/>
  <c r="C55" i="46"/>
  <c r="D55" i="46" s="1"/>
  <c r="C54" i="40"/>
  <c r="D54" i="40" s="1"/>
  <c r="C55" i="39"/>
  <c r="D55" i="39" s="1"/>
  <c r="C54" i="24"/>
  <c r="D54" i="24" s="1"/>
  <c r="C54" i="14"/>
  <c r="D54" i="14" s="1"/>
  <c r="C54" i="13"/>
  <c r="D54" i="13" s="1"/>
  <c r="C56" i="82"/>
  <c r="E95" i="16"/>
  <c r="G95" i="16" s="1"/>
  <c r="H95" i="16" s="1"/>
  <c r="E98" i="16"/>
  <c r="G98" i="16" s="1"/>
  <c r="H98" i="16" s="1"/>
  <c r="E99" i="16"/>
  <c r="G99" i="16" s="1"/>
  <c r="H99" i="16" s="1"/>
  <c r="E96" i="16"/>
  <c r="G96" i="16" s="1"/>
  <c r="H96" i="16" s="1"/>
  <c r="E97" i="16"/>
  <c r="G97" i="16" s="1"/>
  <c r="H97" i="16" s="1"/>
  <c r="E68" i="48"/>
  <c r="G68" i="48" s="1"/>
  <c r="H68" i="48" s="1"/>
  <c r="E76" i="48"/>
  <c r="G76" i="48" s="1"/>
  <c r="H76" i="48" s="1"/>
  <c r="E65" i="70"/>
  <c r="G65" i="70" s="1"/>
  <c r="H65" i="70" s="1"/>
  <c r="H54" i="70"/>
  <c r="E75" i="48"/>
  <c r="G75" i="48" s="1"/>
  <c r="H75" i="48" s="1"/>
  <c r="E71" i="48"/>
  <c r="G71" i="48" s="1"/>
  <c r="H71" i="48" s="1"/>
  <c r="E72" i="48"/>
  <c r="G72" i="48" s="1"/>
  <c r="H72" i="48" s="1"/>
  <c r="E67" i="48"/>
  <c r="G67" i="48" s="1"/>
  <c r="H67" i="48" s="1"/>
  <c r="E66" i="48"/>
  <c r="G66" i="48" s="1"/>
  <c r="H66" i="48" s="1"/>
  <c r="E69" i="48"/>
  <c r="G69" i="48" s="1"/>
  <c r="H69" i="48" s="1"/>
  <c r="C54" i="48"/>
  <c r="D54" i="48" s="1"/>
  <c r="E77" i="48"/>
  <c r="G77" i="48" s="1"/>
  <c r="H77" i="48" s="1"/>
  <c r="E73" i="48"/>
  <c r="G73" i="48" s="1"/>
  <c r="H73" i="48" s="1"/>
  <c r="E70" i="48"/>
  <c r="G70" i="48" s="1"/>
  <c r="H70" i="48" s="1"/>
  <c r="E74" i="48"/>
  <c r="G74" i="48" s="1"/>
  <c r="H74" i="48" s="1"/>
  <c r="C55" i="62"/>
  <c r="D55" i="62" s="1"/>
  <c r="E67" i="47"/>
  <c r="G67" i="47" s="1"/>
  <c r="H67" i="47" s="1"/>
  <c r="E68" i="47"/>
  <c r="G68" i="47" s="1"/>
  <c r="H68" i="47" s="1"/>
  <c r="E76" i="47"/>
  <c r="G76" i="47" s="1"/>
  <c r="H76" i="47" s="1"/>
  <c r="C54" i="47"/>
  <c r="D54" i="47" s="1"/>
  <c r="E107" i="47" s="1"/>
  <c r="AC25" i="62"/>
  <c r="E93" i="57"/>
  <c r="G93" i="57" s="1"/>
  <c r="H93" i="57" s="1"/>
  <c r="H55" i="57"/>
  <c r="E73" i="47"/>
  <c r="G73" i="47" s="1"/>
  <c r="H73" i="47" s="1"/>
  <c r="E71" i="47"/>
  <c r="G71" i="47" s="1"/>
  <c r="H71" i="47" s="1"/>
  <c r="E77" i="47"/>
  <c r="G77" i="47" s="1"/>
  <c r="H77" i="47" s="1"/>
  <c r="E70" i="47"/>
  <c r="G70" i="47" s="1"/>
  <c r="H70" i="47" s="1"/>
  <c r="E69" i="47"/>
  <c r="G69" i="47" s="1"/>
  <c r="H69" i="47" s="1"/>
  <c r="E72" i="47"/>
  <c r="G72" i="47" s="1"/>
  <c r="H72" i="47" s="1"/>
  <c r="E81" i="47"/>
  <c r="G81" i="47" s="1"/>
  <c r="H81" i="47" s="1"/>
  <c r="E80" i="47"/>
  <c r="G80" i="47" s="1"/>
  <c r="H80" i="47" s="1"/>
  <c r="E78" i="47"/>
  <c r="G78" i="47" s="1"/>
  <c r="H78" i="47" s="1"/>
  <c r="E74" i="47"/>
  <c r="G74" i="47" s="1"/>
  <c r="H74" i="47" s="1"/>
  <c r="E75" i="47"/>
  <c r="G75" i="47" s="1"/>
  <c r="H75" i="47" s="1"/>
  <c r="E79" i="47"/>
  <c r="G79" i="47" s="1"/>
  <c r="H79" i="47" s="1"/>
  <c r="E84" i="41"/>
  <c r="G84" i="41" s="1"/>
  <c r="H84" i="41" s="1"/>
  <c r="E87" i="41"/>
  <c r="G87" i="41" s="1"/>
  <c r="H87" i="41" s="1"/>
  <c r="E82" i="41"/>
  <c r="G82" i="41" s="1"/>
  <c r="H82" i="41" s="1"/>
  <c r="E85" i="41"/>
  <c r="G85" i="41" s="1"/>
  <c r="H85" i="41" s="1"/>
  <c r="E86" i="41"/>
  <c r="G86" i="41" s="1"/>
  <c r="H86" i="41" s="1"/>
  <c r="E88" i="41"/>
  <c r="G88" i="41" s="1"/>
  <c r="H88" i="41" s="1"/>
  <c r="E89" i="41"/>
  <c r="G89" i="41" s="1"/>
  <c r="H89" i="41" s="1"/>
  <c r="E90" i="41"/>
  <c r="G90" i="41" s="1"/>
  <c r="H90" i="41" s="1"/>
  <c r="E83" i="41"/>
  <c r="G83" i="41" s="1"/>
  <c r="H83" i="41" s="1"/>
  <c r="C55" i="41"/>
  <c r="G67" i="24"/>
  <c r="H67" i="24" s="1"/>
  <c r="G66" i="24"/>
  <c r="H66" i="24" s="1"/>
  <c r="G72" i="24"/>
  <c r="H72" i="24" s="1"/>
  <c r="G71" i="24"/>
  <c r="H71" i="24" s="1"/>
  <c r="G68" i="24"/>
  <c r="H68" i="24" s="1"/>
  <c r="G65" i="24"/>
  <c r="H65" i="24" s="1"/>
  <c r="G69" i="24"/>
  <c r="H69" i="24" s="1"/>
  <c r="G70" i="24"/>
  <c r="H70" i="24" s="1"/>
  <c r="C55" i="61"/>
  <c r="D55" i="61" s="1"/>
  <c r="C55" i="57"/>
  <c r="E108" i="57"/>
  <c r="G108" i="57" s="1"/>
  <c r="H108" i="57" s="1"/>
  <c r="E107" i="57"/>
  <c r="G107" i="57" s="1"/>
  <c r="H107" i="57" s="1"/>
  <c r="E97" i="57"/>
  <c r="G97" i="57" s="1"/>
  <c r="H97" i="57" s="1"/>
  <c r="E101" i="57"/>
  <c r="G101" i="57" s="1"/>
  <c r="H101" i="57" s="1"/>
  <c r="E98" i="57"/>
  <c r="G98" i="57" s="1"/>
  <c r="H98" i="57" s="1"/>
  <c r="E100" i="57"/>
  <c r="G100" i="57" s="1"/>
  <c r="H100" i="57" s="1"/>
  <c r="E103" i="57"/>
  <c r="G103" i="57" s="1"/>
  <c r="H103" i="57" s="1"/>
  <c r="E113" i="57"/>
  <c r="G113" i="57" s="1"/>
  <c r="H113" i="57" s="1"/>
  <c r="E94" i="57"/>
  <c r="G94" i="57" s="1"/>
  <c r="H94" i="57" s="1"/>
  <c r="E105" i="57"/>
  <c r="G105" i="57" s="1"/>
  <c r="H105" i="57" s="1"/>
  <c r="E109" i="57"/>
  <c r="G109" i="57" s="1"/>
  <c r="H109" i="57" s="1"/>
  <c r="E111" i="57"/>
  <c r="G111" i="57" s="1"/>
  <c r="H111" i="57" s="1"/>
  <c r="E106" i="57"/>
  <c r="G106" i="57" s="1"/>
  <c r="H106" i="57" s="1"/>
  <c r="E104" i="57"/>
  <c r="G104" i="57" s="1"/>
  <c r="H104" i="57" s="1"/>
  <c r="E102" i="57"/>
  <c r="G102" i="57" s="1"/>
  <c r="H102" i="57" s="1"/>
  <c r="E96" i="57"/>
  <c r="G96" i="57" s="1"/>
  <c r="H96" i="57" s="1"/>
  <c r="I55" i="20"/>
  <c r="E95" i="57"/>
  <c r="G95" i="57" s="1"/>
  <c r="H95" i="57" s="1"/>
  <c r="E110" i="57"/>
  <c r="G110" i="57" s="1"/>
  <c r="H110" i="57" s="1"/>
  <c r="E112" i="57"/>
  <c r="G112" i="57" s="1"/>
  <c r="H112" i="57" s="1"/>
  <c r="E99" i="57"/>
  <c r="G99" i="57" s="1"/>
  <c r="H99" i="57" s="1"/>
  <c r="E88" i="49"/>
  <c r="G88" i="49" s="1"/>
  <c r="H88" i="49" s="1"/>
  <c r="E97" i="49"/>
  <c r="G97" i="49" s="1"/>
  <c r="H97" i="49" s="1"/>
  <c r="E94" i="49"/>
  <c r="G94" i="49" s="1"/>
  <c r="H94" i="49" s="1"/>
  <c r="E93" i="49"/>
  <c r="G93" i="49" s="1"/>
  <c r="H93" i="49" s="1"/>
  <c r="E92" i="49"/>
  <c r="G92" i="49" s="1"/>
  <c r="H92" i="49" s="1"/>
  <c r="E90" i="49"/>
  <c r="G90" i="49" s="1"/>
  <c r="H90" i="49" s="1"/>
  <c r="E89" i="49"/>
  <c r="G89" i="49" s="1"/>
  <c r="H89" i="49" s="1"/>
  <c r="E96" i="49"/>
  <c r="G96" i="49" s="1"/>
  <c r="H96" i="49" s="1"/>
  <c r="E91" i="49"/>
  <c r="G91" i="49" s="1"/>
  <c r="H91" i="49" s="1"/>
  <c r="H55" i="43"/>
  <c r="H55" i="41"/>
  <c r="H55" i="29"/>
  <c r="E110" i="29" s="1"/>
  <c r="G110" i="29" s="1"/>
  <c r="H110" i="29" s="1"/>
  <c r="C55" i="67"/>
  <c r="D55" i="67" s="1"/>
  <c r="E95" i="49"/>
  <c r="G95" i="49" s="1"/>
  <c r="H95" i="49" s="1"/>
  <c r="E86" i="49"/>
  <c r="G86" i="49" s="1"/>
  <c r="H86" i="49" s="1"/>
  <c r="B75" i="34"/>
  <c r="B89" i="34"/>
  <c r="C55" i="17"/>
  <c r="C55" i="15"/>
  <c r="D55" i="15" s="1"/>
  <c r="E109" i="15"/>
  <c r="G109" i="15" s="1"/>
  <c r="H109" i="15" s="1"/>
  <c r="E116" i="15"/>
  <c r="G116" i="15" s="1"/>
  <c r="H116" i="15" s="1"/>
  <c r="E115" i="15"/>
  <c r="G115" i="15" s="1"/>
  <c r="H115" i="15" s="1"/>
  <c r="E110" i="15"/>
  <c r="G110" i="15" s="1"/>
  <c r="H110" i="15" s="1"/>
  <c r="E105" i="15"/>
  <c r="G105" i="15" s="1"/>
  <c r="H105" i="15" s="1"/>
  <c r="E101" i="15"/>
  <c r="G101" i="15" s="1"/>
  <c r="H101" i="15" s="1"/>
  <c r="E117" i="15"/>
  <c r="G117" i="15" s="1"/>
  <c r="H117" i="15" s="1"/>
  <c r="E104" i="15"/>
  <c r="G104" i="15" s="1"/>
  <c r="H104" i="15" s="1"/>
  <c r="E112" i="15"/>
  <c r="G112" i="15" s="1"/>
  <c r="H112" i="15" s="1"/>
  <c r="E120" i="15"/>
  <c r="G120" i="15" s="1"/>
  <c r="H120" i="15" s="1"/>
  <c r="E108" i="15"/>
  <c r="G108" i="15" s="1"/>
  <c r="H108" i="15" s="1"/>
  <c r="E99" i="15"/>
  <c r="G99" i="15" s="1"/>
  <c r="H99" i="15" s="1"/>
  <c r="E107" i="15"/>
  <c r="G107" i="15" s="1"/>
  <c r="H107" i="15" s="1"/>
  <c r="E102" i="15"/>
  <c r="G102" i="15" s="1"/>
  <c r="H102" i="15" s="1"/>
  <c r="E118" i="15"/>
  <c r="G118" i="15" s="1"/>
  <c r="H118" i="15" s="1"/>
  <c r="E121" i="15"/>
  <c r="G121" i="15" s="1"/>
  <c r="H121" i="15" s="1"/>
  <c r="B62" i="5"/>
  <c r="E97" i="59"/>
  <c r="G97" i="59" s="1"/>
  <c r="H97" i="59" s="1"/>
  <c r="E103" i="59"/>
  <c r="G103" i="59" s="1"/>
  <c r="H103" i="59" s="1"/>
  <c r="E91" i="59"/>
  <c r="G91" i="59" s="1"/>
  <c r="H91" i="59" s="1"/>
  <c r="E92" i="59"/>
  <c r="G92" i="59" s="1"/>
  <c r="H92" i="59" s="1"/>
  <c r="E93" i="59"/>
  <c r="G93" i="59" s="1"/>
  <c r="H93" i="59" s="1"/>
  <c r="E94" i="59"/>
  <c r="G94" i="59" s="1"/>
  <c r="H94" i="59" s="1"/>
  <c r="E95" i="59"/>
  <c r="G95" i="59" s="1"/>
  <c r="H95" i="59" s="1"/>
  <c r="E98" i="59"/>
  <c r="G98" i="59" s="1"/>
  <c r="H98" i="59" s="1"/>
  <c r="E99" i="59"/>
  <c r="G99" i="59" s="1"/>
  <c r="H99" i="59" s="1"/>
  <c r="E100" i="59"/>
  <c r="G100" i="59" s="1"/>
  <c r="H100" i="59" s="1"/>
  <c r="E101" i="59"/>
  <c r="G101" i="59" s="1"/>
  <c r="H101" i="59" s="1"/>
  <c r="E102" i="59"/>
  <c r="G102" i="59" s="1"/>
  <c r="H102" i="59" s="1"/>
  <c r="E90" i="59"/>
  <c r="G90" i="59" s="1"/>
  <c r="H90" i="59" s="1"/>
  <c r="E96" i="59"/>
  <c r="G96" i="59" s="1"/>
  <c r="H96" i="59" s="1"/>
  <c r="C55" i="59"/>
  <c r="D55" i="59" s="1"/>
  <c r="E69" i="53"/>
  <c r="G69" i="53" s="1"/>
  <c r="H69" i="53" s="1"/>
  <c r="E67" i="53"/>
  <c r="G67" i="53" s="1"/>
  <c r="H67" i="53" s="1"/>
  <c r="E68" i="53"/>
  <c r="G68" i="53" s="1"/>
  <c r="H68" i="53" s="1"/>
  <c r="C54" i="53"/>
  <c r="D54" i="53" s="1"/>
  <c r="E87" i="49"/>
  <c r="G87" i="49" s="1"/>
  <c r="H87" i="49" s="1"/>
  <c r="E96" i="34"/>
  <c r="G96" i="34" s="1"/>
  <c r="H96" i="34" s="1"/>
  <c r="E91" i="34"/>
  <c r="G91" i="34" s="1"/>
  <c r="H91" i="34" s="1"/>
  <c r="H56" i="34"/>
  <c r="E95" i="34"/>
  <c r="G95" i="34" s="1"/>
  <c r="H95" i="34" s="1"/>
  <c r="E94" i="34"/>
  <c r="G94" i="34" s="1"/>
  <c r="H94" i="34" s="1"/>
  <c r="B63" i="34"/>
  <c r="E92" i="34"/>
  <c r="G92" i="34" s="1"/>
  <c r="H92" i="34" s="1"/>
  <c r="E93" i="34"/>
  <c r="G93" i="34" s="1"/>
  <c r="H93" i="34" s="1"/>
  <c r="E100" i="18"/>
  <c r="G100" i="18" s="1"/>
  <c r="H100" i="18" s="1"/>
  <c r="E103" i="18"/>
  <c r="G103" i="18" s="1"/>
  <c r="H103" i="18" s="1"/>
  <c r="E92" i="18"/>
  <c r="G92" i="18" s="1"/>
  <c r="H92" i="18" s="1"/>
  <c r="E105" i="18"/>
  <c r="G105" i="18" s="1"/>
  <c r="H105" i="18" s="1"/>
  <c r="E96" i="18"/>
  <c r="G96" i="18" s="1"/>
  <c r="H96" i="18" s="1"/>
  <c r="E99" i="18"/>
  <c r="G99" i="18" s="1"/>
  <c r="H99" i="18" s="1"/>
  <c r="E94" i="18"/>
  <c r="G94" i="18" s="1"/>
  <c r="H94" i="18" s="1"/>
  <c r="E97" i="18"/>
  <c r="G97" i="18" s="1"/>
  <c r="H97" i="18" s="1"/>
  <c r="E101" i="18"/>
  <c r="G101" i="18" s="1"/>
  <c r="H101" i="18" s="1"/>
  <c r="E91" i="18"/>
  <c r="G91" i="18" s="1"/>
  <c r="H91" i="18" s="1"/>
  <c r="E104" i="18"/>
  <c r="G104" i="18" s="1"/>
  <c r="H104" i="18" s="1"/>
  <c r="E93" i="18"/>
  <c r="G93" i="18" s="1"/>
  <c r="H93" i="18" s="1"/>
  <c r="C55" i="18"/>
  <c r="D55" i="18" s="1"/>
  <c r="E100" i="15"/>
  <c r="G100" i="15" s="1"/>
  <c r="H100" i="15" s="1"/>
  <c r="E103" i="15"/>
  <c r="G103" i="15" s="1"/>
  <c r="H103" i="15" s="1"/>
  <c r="E111" i="15"/>
  <c r="G111" i="15" s="1"/>
  <c r="H111" i="15" s="1"/>
  <c r="E119" i="15"/>
  <c r="G119" i="15" s="1"/>
  <c r="H119" i="15" s="1"/>
  <c r="E98" i="15"/>
  <c r="G98" i="15" s="1"/>
  <c r="H98" i="15" s="1"/>
  <c r="E106" i="15"/>
  <c r="G106" i="15" s="1"/>
  <c r="H106" i="15" s="1"/>
  <c r="E114" i="15"/>
  <c r="G114" i="15" s="1"/>
  <c r="H114" i="15" s="1"/>
  <c r="C55" i="69"/>
  <c r="E92" i="16"/>
  <c r="G92" i="16" s="1"/>
  <c r="H92" i="16" s="1"/>
  <c r="AC25" i="59"/>
  <c r="C55" i="49"/>
  <c r="D55" i="49" s="1"/>
  <c r="E113" i="17"/>
  <c r="G113" i="17" s="1"/>
  <c r="H113" i="17" s="1"/>
  <c r="E116" i="17"/>
  <c r="G116" i="17" s="1"/>
  <c r="H116" i="17" s="1"/>
  <c r="E111" i="17"/>
  <c r="G111" i="17" s="1"/>
  <c r="H111" i="17" s="1"/>
  <c r="E97" i="17"/>
  <c r="G97" i="17" s="1"/>
  <c r="H97" i="17" s="1"/>
  <c r="G67" i="17"/>
  <c r="H67" i="17" s="1"/>
  <c r="E91" i="16"/>
  <c r="G91" i="16" s="1"/>
  <c r="H91" i="16" s="1"/>
  <c r="E94" i="16"/>
  <c r="G94" i="16" s="1"/>
  <c r="H94" i="16" s="1"/>
  <c r="E113" i="15"/>
  <c r="G113" i="15" s="1"/>
  <c r="H113" i="15" s="1"/>
  <c r="E96" i="56"/>
  <c r="G96" i="56" s="1"/>
  <c r="H96" i="56" s="1"/>
  <c r="E97" i="56"/>
  <c r="G97" i="56" s="1"/>
  <c r="H97" i="56" s="1"/>
  <c r="E88" i="56"/>
  <c r="G88" i="56" s="1"/>
  <c r="H88" i="56" s="1"/>
  <c r="E89" i="56"/>
  <c r="G89" i="56" s="1"/>
  <c r="H89" i="56" s="1"/>
  <c r="E86" i="56"/>
  <c r="G86" i="56" s="1"/>
  <c r="H86" i="56" s="1"/>
  <c r="E91" i="56"/>
  <c r="G91" i="56" s="1"/>
  <c r="H91" i="56" s="1"/>
  <c r="E94" i="56"/>
  <c r="G94" i="56" s="1"/>
  <c r="H94" i="56" s="1"/>
  <c r="E92" i="56"/>
  <c r="G92" i="56" s="1"/>
  <c r="H92" i="56" s="1"/>
  <c r="E87" i="56"/>
  <c r="G87" i="56" s="1"/>
  <c r="H87" i="56" s="1"/>
  <c r="E93" i="56"/>
  <c r="G93" i="56" s="1"/>
  <c r="H93" i="56" s="1"/>
  <c r="C55" i="56"/>
  <c r="D55" i="56" s="1"/>
  <c r="E95" i="56"/>
  <c r="G95" i="56" s="1"/>
  <c r="H95" i="56" s="1"/>
  <c r="E90" i="56"/>
  <c r="G90" i="56" s="1"/>
  <c r="H90" i="56" s="1"/>
  <c r="E100" i="44"/>
  <c r="G100" i="44" s="1"/>
  <c r="H100" i="44" s="1"/>
  <c r="E103" i="44"/>
  <c r="G103" i="44" s="1"/>
  <c r="H103" i="44" s="1"/>
  <c r="E101" i="44"/>
  <c r="G101" i="44" s="1"/>
  <c r="H101" i="44" s="1"/>
  <c r="E93" i="44"/>
  <c r="G93" i="44" s="1"/>
  <c r="H93" i="44" s="1"/>
  <c r="E105" i="44"/>
  <c r="G105" i="44" s="1"/>
  <c r="H105" i="44" s="1"/>
  <c r="E91" i="44"/>
  <c r="G91" i="44" s="1"/>
  <c r="H91" i="44" s="1"/>
  <c r="E99" i="44"/>
  <c r="G99" i="44" s="1"/>
  <c r="H99" i="44" s="1"/>
  <c r="E98" i="44"/>
  <c r="G98" i="44" s="1"/>
  <c r="H98" i="44" s="1"/>
  <c r="C55" i="44"/>
  <c r="D55" i="44" s="1"/>
  <c r="E94" i="44"/>
  <c r="G94" i="44" s="1"/>
  <c r="H94" i="44" s="1"/>
  <c r="E96" i="44"/>
  <c r="G96" i="44" s="1"/>
  <c r="H96" i="44" s="1"/>
  <c r="E92" i="44"/>
  <c r="G92" i="44" s="1"/>
  <c r="H92" i="44" s="1"/>
  <c r="E95" i="44"/>
  <c r="G95" i="44" s="1"/>
  <c r="H95" i="44" s="1"/>
  <c r="E104" i="44"/>
  <c r="G104" i="44" s="1"/>
  <c r="H104" i="44" s="1"/>
  <c r="E97" i="44"/>
  <c r="G97" i="44" s="1"/>
  <c r="H97" i="44" s="1"/>
  <c r="E102" i="44"/>
  <c r="G102" i="44" s="1"/>
  <c r="H102" i="44" s="1"/>
  <c r="G66" i="42"/>
  <c r="H66" i="42" s="1"/>
  <c r="G70" i="42"/>
  <c r="H70" i="42" s="1"/>
  <c r="G68" i="42"/>
  <c r="H68" i="42" s="1"/>
  <c r="G65" i="42"/>
  <c r="H65" i="42" s="1"/>
  <c r="G71" i="42"/>
  <c r="H71" i="42" s="1"/>
  <c r="G69" i="42"/>
  <c r="H69" i="42" s="1"/>
  <c r="G72" i="42"/>
  <c r="H72" i="42" s="1"/>
  <c r="G67" i="42"/>
  <c r="H67" i="42" s="1"/>
  <c r="T34" i="42"/>
  <c r="AC25" i="42" s="1"/>
  <c r="C55" i="28"/>
  <c r="E93" i="28"/>
  <c r="G93" i="28" s="1"/>
  <c r="H93" i="28" s="1"/>
  <c r="E102" i="28"/>
  <c r="G102" i="28" s="1"/>
  <c r="H102" i="28" s="1"/>
  <c r="E106" i="28"/>
  <c r="G106" i="28" s="1"/>
  <c r="H106" i="28" s="1"/>
  <c r="E98" i="28"/>
  <c r="G98" i="28" s="1"/>
  <c r="H98" i="28" s="1"/>
  <c r="E107" i="28"/>
  <c r="G107" i="28" s="1"/>
  <c r="H107" i="28" s="1"/>
  <c r="E99" i="28"/>
  <c r="G99" i="28" s="1"/>
  <c r="H99" i="28" s="1"/>
  <c r="E97" i="28"/>
  <c r="G97" i="28" s="1"/>
  <c r="H97" i="28" s="1"/>
  <c r="E104" i="28"/>
  <c r="G104" i="28" s="1"/>
  <c r="H104" i="28" s="1"/>
  <c r="C55" i="21"/>
  <c r="E87" i="20"/>
  <c r="G87" i="20" s="1"/>
  <c r="H87" i="20" s="1"/>
  <c r="H55" i="20"/>
  <c r="G90" i="18"/>
  <c r="H90" i="18" s="1"/>
  <c r="H55" i="18"/>
  <c r="E110" i="17"/>
  <c r="G110" i="17" s="1"/>
  <c r="H110" i="17" s="1"/>
  <c r="E100" i="17"/>
  <c r="G100" i="17" s="1"/>
  <c r="H100" i="17" s="1"/>
  <c r="E102" i="17"/>
  <c r="G102" i="17" s="1"/>
  <c r="H102" i="17" s="1"/>
  <c r="C55" i="16"/>
  <c r="E93" i="16"/>
  <c r="G93" i="16" s="1"/>
  <c r="H93" i="16" s="1"/>
  <c r="E90" i="16"/>
  <c r="G90" i="16" s="1"/>
  <c r="H90" i="16" s="1"/>
  <c r="E87" i="16"/>
  <c r="G87" i="16" s="1"/>
  <c r="H87" i="16" s="1"/>
  <c r="E89" i="16"/>
  <c r="G89" i="16" s="1"/>
  <c r="H89" i="16" s="1"/>
  <c r="E88" i="16"/>
  <c r="G88" i="16" s="1"/>
  <c r="H88" i="16" s="1"/>
  <c r="E77" i="10"/>
  <c r="G77" i="10" s="1"/>
  <c r="H77" i="10" s="1"/>
  <c r="E80" i="10"/>
  <c r="G80" i="10" s="1"/>
  <c r="H80" i="10" s="1"/>
  <c r="E76" i="10"/>
  <c r="G76" i="10" s="1"/>
  <c r="H76" i="10" s="1"/>
  <c r="E78" i="10"/>
  <c r="G78" i="10" s="1"/>
  <c r="H78" i="10" s="1"/>
  <c r="E79" i="10"/>
  <c r="G79" i="10" s="1"/>
  <c r="H79" i="10" s="1"/>
  <c r="H55" i="10"/>
  <c r="G71" i="40"/>
  <c r="H71" i="40" s="1"/>
  <c r="G68" i="40"/>
  <c r="H68" i="40" s="1"/>
  <c r="G69" i="40"/>
  <c r="H69" i="40" s="1"/>
  <c r="G73" i="40"/>
  <c r="H73" i="40" s="1"/>
  <c r="G65" i="40"/>
  <c r="H65" i="40" s="1"/>
  <c r="G66" i="40"/>
  <c r="H66" i="40" s="1"/>
  <c r="G70" i="40"/>
  <c r="H70" i="40" s="1"/>
  <c r="G67" i="40"/>
  <c r="H67" i="40" s="1"/>
  <c r="G72" i="40"/>
  <c r="H72" i="40" s="1"/>
  <c r="I55" i="29"/>
  <c r="E95" i="28"/>
  <c r="G95" i="28" s="1"/>
  <c r="H95" i="28" s="1"/>
  <c r="E110" i="28"/>
  <c r="G110" i="28" s="1"/>
  <c r="H110" i="28" s="1"/>
  <c r="E101" i="28"/>
  <c r="G101" i="28" s="1"/>
  <c r="H101" i="28" s="1"/>
  <c r="E96" i="28"/>
  <c r="G96" i="28" s="1"/>
  <c r="H96" i="28" s="1"/>
  <c r="E109" i="28"/>
  <c r="G109" i="28" s="1"/>
  <c r="H109" i="28" s="1"/>
  <c r="E100" i="28"/>
  <c r="G100" i="28" s="1"/>
  <c r="H100" i="28" s="1"/>
  <c r="E103" i="28"/>
  <c r="G103" i="28" s="1"/>
  <c r="H103" i="28" s="1"/>
  <c r="E108" i="28"/>
  <c r="G108" i="28" s="1"/>
  <c r="H108" i="28" s="1"/>
  <c r="E94" i="28"/>
  <c r="G94" i="28" s="1"/>
  <c r="H94" i="28" s="1"/>
  <c r="B63" i="26"/>
  <c r="B63" i="20"/>
  <c r="B85" i="20"/>
  <c r="E102" i="18"/>
  <c r="G102" i="18" s="1"/>
  <c r="H102" i="18" s="1"/>
  <c r="E98" i="18"/>
  <c r="G98" i="18" s="1"/>
  <c r="H98" i="18" s="1"/>
  <c r="E95" i="18"/>
  <c r="G95" i="18" s="1"/>
  <c r="H95" i="18" s="1"/>
  <c r="E105" i="17"/>
  <c r="G105" i="17" s="1"/>
  <c r="H105" i="17" s="1"/>
  <c r="E107" i="17"/>
  <c r="G107" i="17" s="1"/>
  <c r="H107" i="17" s="1"/>
  <c r="E108" i="17"/>
  <c r="G108" i="17" s="1"/>
  <c r="H108" i="17" s="1"/>
  <c r="E103" i="17"/>
  <c r="G103" i="17" s="1"/>
  <c r="H103" i="17" s="1"/>
  <c r="E98" i="17"/>
  <c r="G98" i="17" s="1"/>
  <c r="H98" i="17" s="1"/>
  <c r="E101" i="17"/>
  <c r="G101" i="17" s="1"/>
  <c r="H101" i="17" s="1"/>
  <c r="E117" i="17"/>
  <c r="G117" i="17" s="1"/>
  <c r="H117" i="17" s="1"/>
  <c r="E112" i="17"/>
  <c r="G112" i="17" s="1"/>
  <c r="H112" i="17" s="1"/>
  <c r="E99" i="17"/>
  <c r="G99" i="17" s="1"/>
  <c r="H99" i="17" s="1"/>
  <c r="E119" i="17"/>
  <c r="G119" i="17" s="1"/>
  <c r="H119" i="17" s="1"/>
  <c r="E106" i="17"/>
  <c r="G106" i="17" s="1"/>
  <c r="H106" i="17" s="1"/>
  <c r="E114" i="17"/>
  <c r="G114" i="17" s="1"/>
  <c r="H114" i="17" s="1"/>
  <c r="E109" i="17"/>
  <c r="G109" i="17" s="1"/>
  <c r="H109" i="17" s="1"/>
  <c r="E104" i="17"/>
  <c r="G104" i="17" s="1"/>
  <c r="H104" i="17" s="1"/>
  <c r="E115" i="17"/>
  <c r="G115" i="17" s="1"/>
  <c r="H115" i="17" s="1"/>
  <c r="E118" i="17"/>
  <c r="G118" i="17" s="1"/>
  <c r="H118" i="17" s="1"/>
  <c r="H55" i="8"/>
  <c r="E115" i="8" s="1"/>
  <c r="G115" i="8" s="1"/>
  <c r="H115" i="8" s="1"/>
  <c r="E113" i="29"/>
  <c r="G113" i="29" s="1"/>
  <c r="H113" i="29" s="1"/>
  <c r="B62" i="27"/>
  <c r="C54" i="37"/>
  <c r="D54" i="37" s="1"/>
  <c r="B62" i="26"/>
  <c r="B85" i="27"/>
  <c r="I56" i="23"/>
  <c r="E114" i="20"/>
  <c r="G114" i="20" s="1"/>
  <c r="H114" i="20" s="1"/>
  <c r="E122" i="20"/>
  <c r="G122" i="20" s="1"/>
  <c r="H122" i="20" s="1"/>
  <c r="E110" i="20"/>
  <c r="G110" i="20" s="1"/>
  <c r="H110" i="20" s="1"/>
  <c r="E113" i="20"/>
  <c r="G113" i="20" s="1"/>
  <c r="H113" i="20" s="1"/>
  <c r="E116" i="20"/>
  <c r="G116" i="20" s="1"/>
  <c r="H116" i="20" s="1"/>
  <c r="E117" i="20"/>
  <c r="G117" i="20" s="1"/>
  <c r="H117" i="20" s="1"/>
  <c r="E109" i="20"/>
  <c r="G109" i="20" s="1"/>
  <c r="H109" i="20" s="1"/>
  <c r="E121" i="20"/>
  <c r="G121" i="20" s="1"/>
  <c r="H121" i="20" s="1"/>
  <c r="B63" i="5"/>
  <c r="H55" i="59"/>
  <c r="E89" i="59"/>
  <c r="G89" i="59" s="1"/>
  <c r="H89" i="59" s="1"/>
  <c r="E104" i="58"/>
  <c r="G104" i="58" s="1"/>
  <c r="H104" i="58" s="1"/>
  <c r="E89" i="58"/>
  <c r="G89" i="58" s="1"/>
  <c r="H89" i="58" s="1"/>
  <c r="E94" i="58"/>
  <c r="G94" i="58" s="1"/>
  <c r="H94" i="58" s="1"/>
  <c r="E91" i="58"/>
  <c r="G91" i="58" s="1"/>
  <c r="H91" i="58" s="1"/>
  <c r="E96" i="58"/>
  <c r="G96" i="58" s="1"/>
  <c r="H96" i="58" s="1"/>
  <c r="E92" i="58"/>
  <c r="G92" i="58" s="1"/>
  <c r="H92" i="58" s="1"/>
  <c r="E100" i="58"/>
  <c r="G100" i="58" s="1"/>
  <c r="H100" i="58" s="1"/>
  <c r="E93" i="58"/>
  <c r="G93" i="58" s="1"/>
  <c r="H93" i="58" s="1"/>
  <c r="E98" i="58"/>
  <c r="G98" i="58" s="1"/>
  <c r="H98" i="58" s="1"/>
  <c r="E102" i="58"/>
  <c r="G102" i="58" s="1"/>
  <c r="H102" i="58" s="1"/>
  <c r="E99" i="58"/>
  <c r="G99" i="58" s="1"/>
  <c r="H99" i="58" s="1"/>
  <c r="E101" i="58"/>
  <c r="G101" i="58" s="1"/>
  <c r="H101" i="58" s="1"/>
  <c r="E103" i="58"/>
  <c r="G103" i="58" s="1"/>
  <c r="H103" i="58" s="1"/>
  <c r="E97" i="58"/>
  <c r="G97" i="58" s="1"/>
  <c r="H97" i="58" s="1"/>
  <c r="E95" i="58"/>
  <c r="G95" i="58" s="1"/>
  <c r="H95" i="58" s="1"/>
  <c r="E90" i="58"/>
  <c r="G90" i="58" s="1"/>
  <c r="H90" i="58" s="1"/>
  <c r="C55" i="58"/>
  <c r="D55" i="58" s="1"/>
  <c r="E5" i="56"/>
  <c r="G5" i="56" s="1"/>
  <c r="H5" i="56" s="1"/>
  <c r="K5" i="56" s="1"/>
  <c r="L5" i="56" s="1"/>
  <c r="S35" i="56" s="1"/>
  <c r="H53" i="56"/>
  <c r="E65" i="56" s="1"/>
  <c r="G65" i="56" s="1"/>
  <c r="H65" i="56" s="1"/>
  <c r="E5" i="58"/>
  <c r="G5" i="58" s="1"/>
  <c r="H5" i="58" s="1"/>
  <c r="K5" i="58" s="1"/>
  <c r="L5" i="58" s="1"/>
  <c r="S35" i="58" s="1"/>
  <c r="AA30" i="58" s="1"/>
  <c r="AD30" i="58" s="1"/>
  <c r="H53" i="58"/>
  <c r="E65" i="58" s="1"/>
  <c r="G65" i="58" s="1"/>
  <c r="H65" i="58" s="1"/>
  <c r="I54" i="47"/>
  <c r="J55" i="47"/>
  <c r="I55" i="47" s="1"/>
  <c r="E5" i="47"/>
  <c r="G5" i="47" s="1"/>
  <c r="H5" i="47" s="1"/>
  <c r="K5" i="47" s="1"/>
  <c r="L5" i="47" s="1"/>
  <c r="S35" i="47" s="1"/>
  <c r="H53" i="47"/>
  <c r="E65" i="47" s="1"/>
  <c r="B63" i="50"/>
  <c r="B62" i="50"/>
  <c r="B86" i="50"/>
  <c r="C55" i="43"/>
  <c r="D55" i="43" s="1"/>
  <c r="E96" i="43"/>
  <c r="G96" i="43" s="1"/>
  <c r="H96" i="43" s="1"/>
  <c r="E94" i="43"/>
  <c r="G94" i="43" s="1"/>
  <c r="H94" i="43" s="1"/>
  <c r="E92" i="43"/>
  <c r="G92" i="43" s="1"/>
  <c r="H92" i="43" s="1"/>
  <c r="E93" i="43"/>
  <c r="G93" i="43" s="1"/>
  <c r="H93" i="43" s="1"/>
  <c r="E85" i="43"/>
  <c r="G85" i="43" s="1"/>
  <c r="H85" i="43" s="1"/>
  <c r="E86" i="43"/>
  <c r="G86" i="43" s="1"/>
  <c r="H86" i="43" s="1"/>
  <c r="E88" i="43"/>
  <c r="G88" i="43" s="1"/>
  <c r="H88" i="43" s="1"/>
  <c r="E90" i="43"/>
  <c r="G90" i="43" s="1"/>
  <c r="H90" i="43" s="1"/>
  <c r="E95" i="43"/>
  <c r="G95" i="43" s="1"/>
  <c r="H95" i="43" s="1"/>
  <c r="E87" i="43"/>
  <c r="G87" i="43" s="1"/>
  <c r="H87" i="43" s="1"/>
  <c r="E89" i="43"/>
  <c r="G89" i="43" s="1"/>
  <c r="H89" i="43" s="1"/>
  <c r="E91" i="43"/>
  <c r="G91" i="43" s="1"/>
  <c r="H91" i="43" s="1"/>
  <c r="AB30" i="32"/>
  <c r="AD30" i="32" s="1"/>
  <c r="AC25" i="32" s="1"/>
  <c r="H55" i="35"/>
  <c r="B87" i="35" s="1"/>
  <c r="C54" i="32"/>
  <c r="E80" i="32"/>
  <c r="G80" i="32" s="1"/>
  <c r="H80" i="32" s="1"/>
  <c r="E79" i="32"/>
  <c r="G79" i="32" s="1"/>
  <c r="H79" i="32" s="1"/>
  <c r="E78" i="32"/>
  <c r="G78" i="32" s="1"/>
  <c r="H78" i="32" s="1"/>
  <c r="E77" i="32"/>
  <c r="G77" i="32" s="1"/>
  <c r="H77" i="32" s="1"/>
  <c r="E76" i="32"/>
  <c r="G76" i="32" s="1"/>
  <c r="H76" i="32" s="1"/>
  <c r="E75" i="32"/>
  <c r="G75" i="32" s="1"/>
  <c r="H75" i="32" s="1"/>
  <c r="E74" i="32"/>
  <c r="G74" i="32" s="1"/>
  <c r="H74" i="32" s="1"/>
  <c r="E73" i="32"/>
  <c r="G73" i="32" s="1"/>
  <c r="H73" i="32" s="1"/>
  <c r="E72" i="32"/>
  <c r="G72" i="32" s="1"/>
  <c r="H72" i="32" s="1"/>
  <c r="E71" i="32"/>
  <c r="G71" i="32" s="1"/>
  <c r="H71" i="32" s="1"/>
  <c r="E70" i="32"/>
  <c r="G70" i="32" s="1"/>
  <c r="H70" i="32" s="1"/>
  <c r="E69" i="32"/>
  <c r="G69" i="32" s="1"/>
  <c r="H69" i="32" s="1"/>
  <c r="E68" i="32"/>
  <c r="G68" i="32" s="1"/>
  <c r="H68" i="32" s="1"/>
  <c r="E67" i="32"/>
  <c r="G67" i="32" s="1"/>
  <c r="H67" i="32" s="1"/>
  <c r="B85" i="29"/>
  <c r="B62" i="29"/>
  <c r="B63" i="29"/>
  <c r="B84" i="29"/>
  <c r="B107" i="29"/>
  <c r="E119" i="29"/>
  <c r="G119" i="29" s="1"/>
  <c r="H119" i="29" s="1"/>
  <c r="E112" i="29"/>
  <c r="G112" i="29" s="1"/>
  <c r="H112" i="29" s="1"/>
  <c r="E121" i="29"/>
  <c r="G121" i="29" s="1"/>
  <c r="H121" i="29" s="1"/>
  <c r="E111" i="29"/>
  <c r="G111" i="29" s="1"/>
  <c r="H111" i="29" s="1"/>
  <c r="E118" i="29"/>
  <c r="G118" i="29" s="1"/>
  <c r="H118" i="29" s="1"/>
  <c r="E122" i="29"/>
  <c r="G122" i="29" s="1"/>
  <c r="H122" i="29" s="1"/>
  <c r="E120" i="29"/>
  <c r="G120" i="29" s="1"/>
  <c r="H120" i="29" s="1"/>
  <c r="E123" i="29"/>
  <c r="G123" i="29" s="1"/>
  <c r="H123" i="29" s="1"/>
  <c r="E115" i="29"/>
  <c r="G115" i="29" s="1"/>
  <c r="H115" i="29" s="1"/>
  <c r="E124" i="29"/>
  <c r="G124" i="29" s="1"/>
  <c r="H124" i="29" s="1"/>
  <c r="E117" i="29"/>
  <c r="G117" i="29" s="1"/>
  <c r="H117" i="29" s="1"/>
  <c r="E114" i="29"/>
  <c r="G114" i="29" s="1"/>
  <c r="H114" i="29" s="1"/>
  <c r="B85" i="50"/>
  <c r="B110" i="45"/>
  <c r="B109" i="45"/>
  <c r="B63" i="45"/>
  <c r="E113" i="45"/>
  <c r="G113" i="45" s="1"/>
  <c r="H113" i="45" s="1"/>
  <c r="E114" i="45"/>
  <c r="G114" i="45" s="1"/>
  <c r="H114" i="45" s="1"/>
  <c r="E115" i="45"/>
  <c r="G115" i="45" s="1"/>
  <c r="H115" i="45" s="1"/>
  <c r="E116" i="45"/>
  <c r="G116" i="45" s="1"/>
  <c r="H116" i="45" s="1"/>
  <c r="E117" i="45"/>
  <c r="G117" i="45" s="1"/>
  <c r="H117" i="45" s="1"/>
  <c r="E118" i="45"/>
  <c r="G118" i="45" s="1"/>
  <c r="H118" i="45" s="1"/>
  <c r="E119" i="45"/>
  <c r="G119" i="45" s="1"/>
  <c r="H119" i="45" s="1"/>
  <c r="E120" i="45"/>
  <c r="G120" i="45" s="1"/>
  <c r="H120" i="45" s="1"/>
  <c r="E121" i="45"/>
  <c r="G121" i="45" s="1"/>
  <c r="H121" i="45" s="1"/>
  <c r="E122" i="45"/>
  <c r="G122" i="45" s="1"/>
  <c r="H122" i="45" s="1"/>
  <c r="E123" i="45"/>
  <c r="G123" i="45" s="1"/>
  <c r="H123" i="45" s="1"/>
  <c r="E124" i="45"/>
  <c r="G124" i="45" s="1"/>
  <c r="H124" i="45" s="1"/>
  <c r="E125" i="45"/>
  <c r="G125" i="45" s="1"/>
  <c r="H125" i="45" s="1"/>
  <c r="E126" i="45"/>
  <c r="G126" i="45" s="1"/>
  <c r="H126" i="45" s="1"/>
  <c r="E127" i="45"/>
  <c r="G127" i="45" s="1"/>
  <c r="H127" i="45" s="1"/>
  <c r="E5" i="33"/>
  <c r="G5" i="33" s="1"/>
  <c r="H5" i="33" s="1"/>
  <c r="K5" i="33" s="1"/>
  <c r="L5" i="33" s="1"/>
  <c r="S35" i="33" s="1"/>
  <c r="H53" i="33"/>
  <c r="E65" i="33" s="1"/>
  <c r="G65" i="33" s="1"/>
  <c r="H65" i="33" s="1"/>
  <c r="E106" i="33"/>
  <c r="G106" i="33" s="1"/>
  <c r="H106" i="33" s="1"/>
  <c r="E97" i="33"/>
  <c r="G97" i="33" s="1"/>
  <c r="H97" i="33" s="1"/>
  <c r="E95" i="33"/>
  <c r="G95" i="33" s="1"/>
  <c r="H95" i="33" s="1"/>
  <c r="E103" i="33"/>
  <c r="E107" i="33"/>
  <c r="G107" i="33" s="1"/>
  <c r="H107" i="33" s="1"/>
  <c r="E96" i="33"/>
  <c r="E104" i="33"/>
  <c r="E108" i="33"/>
  <c r="G108" i="33" s="1"/>
  <c r="H108" i="33" s="1"/>
  <c r="E101" i="33"/>
  <c r="G101" i="33" s="1"/>
  <c r="H101" i="33" s="1"/>
  <c r="E105" i="33"/>
  <c r="E100" i="33"/>
  <c r="G100" i="33" s="1"/>
  <c r="H100" i="33" s="1"/>
  <c r="E109" i="33"/>
  <c r="E94" i="33"/>
  <c r="E102" i="33"/>
  <c r="E99" i="33"/>
  <c r="E112" i="33"/>
  <c r="E110" i="33"/>
  <c r="E98" i="33"/>
  <c r="E111" i="33"/>
  <c r="C55" i="33"/>
  <c r="E112" i="20"/>
  <c r="G112" i="20" s="1"/>
  <c r="H112" i="20" s="1"/>
  <c r="E120" i="20"/>
  <c r="G120" i="20" s="1"/>
  <c r="H120" i="20" s="1"/>
  <c r="E111" i="20"/>
  <c r="G111" i="20" s="1"/>
  <c r="H111" i="20" s="1"/>
  <c r="E115" i="20"/>
  <c r="G115" i="20" s="1"/>
  <c r="H115" i="20" s="1"/>
  <c r="E118" i="20"/>
  <c r="G118" i="20" s="1"/>
  <c r="H118" i="20" s="1"/>
  <c r="E119" i="20"/>
  <c r="G119" i="20" s="1"/>
  <c r="H119" i="20" s="1"/>
  <c r="E94" i="19"/>
  <c r="G94" i="19" s="1"/>
  <c r="H94" i="19" s="1"/>
  <c r="E97" i="19"/>
  <c r="G97" i="19" s="1"/>
  <c r="H97" i="19" s="1"/>
  <c r="E92" i="19"/>
  <c r="G92" i="19" s="1"/>
  <c r="H92" i="19" s="1"/>
  <c r="E95" i="19"/>
  <c r="G95" i="19" s="1"/>
  <c r="H95" i="19" s="1"/>
  <c r="E98" i="19"/>
  <c r="G98" i="19" s="1"/>
  <c r="H98" i="19" s="1"/>
  <c r="E93" i="19"/>
  <c r="G93" i="19" s="1"/>
  <c r="H93" i="19" s="1"/>
  <c r="E91" i="19"/>
  <c r="G91" i="19" s="1"/>
  <c r="H91" i="19" s="1"/>
  <c r="E88" i="19"/>
  <c r="G88" i="19" s="1"/>
  <c r="H88" i="19" s="1"/>
  <c r="E96" i="19"/>
  <c r="G96" i="19" s="1"/>
  <c r="H96" i="19" s="1"/>
  <c r="E99" i="19"/>
  <c r="G99" i="19" s="1"/>
  <c r="H99" i="19" s="1"/>
  <c r="E89" i="19"/>
  <c r="G89" i="19" s="1"/>
  <c r="H89" i="19" s="1"/>
  <c r="C55" i="19"/>
  <c r="D55" i="19" s="1"/>
  <c r="E79" i="6"/>
  <c r="G79" i="6" s="1"/>
  <c r="H79" i="6" s="1"/>
  <c r="E81" i="6"/>
  <c r="G81" i="6" s="1"/>
  <c r="H81" i="6" s="1"/>
  <c r="E80" i="6"/>
  <c r="G80" i="6" s="1"/>
  <c r="H80" i="6" s="1"/>
  <c r="E83" i="6"/>
  <c r="G83" i="6" s="1"/>
  <c r="H83" i="6" s="1"/>
  <c r="E82" i="6"/>
  <c r="G82" i="6" s="1"/>
  <c r="H82" i="6" s="1"/>
  <c r="E84" i="6"/>
  <c r="G84" i="6" s="1"/>
  <c r="H84" i="6" s="1"/>
  <c r="E90" i="19"/>
  <c r="G90" i="19" s="1"/>
  <c r="H90" i="19" s="1"/>
  <c r="G65" i="10"/>
  <c r="H65" i="10" s="1"/>
  <c r="H53" i="7"/>
  <c r="E5" i="7"/>
  <c r="G5" i="7" s="1"/>
  <c r="H5" i="7" s="1"/>
  <c r="K5" i="7" s="1"/>
  <c r="L5" i="7" s="1"/>
  <c r="S35" i="7" s="1"/>
  <c r="I55" i="7"/>
  <c r="H54" i="69"/>
  <c r="E89" i="69" s="1"/>
  <c r="G89" i="69" s="1"/>
  <c r="H89" i="69" s="1"/>
  <c r="B87" i="45"/>
  <c r="B88" i="45"/>
  <c r="B62" i="45"/>
  <c r="E85" i="51"/>
  <c r="G85" i="51" s="1"/>
  <c r="H85" i="51" s="1"/>
  <c r="E86" i="51"/>
  <c r="G86" i="51" s="1"/>
  <c r="H86" i="51" s="1"/>
  <c r="E95" i="51"/>
  <c r="G95" i="51" s="1"/>
  <c r="H95" i="51" s="1"/>
  <c r="E92" i="51"/>
  <c r="G92" i="51" s="1"/>
  <c r="H92" i="51" s="1"/>
  <c r="E90" i="51"/>
  <c r="G90" i="51" s="1"/>
  <c r="H90" i="51" s="1"/>
  <c r="E91" i="51"/>
  <c r="G91" i="51" s="1"/>
  <c r="H91" i="51" s="1"/>
  <c r="E87" i="51"/>
  <c r="G87" i="51" s="1"/>
  <c r="H87" i="51" s="1"/>
  <c r="E84" i="51"/>
  <c r="G84" i="51" s="1"/>
  <c r="H84" i="51" s="1"/>
  <c r="E94" i="51"/>
  <c r="G94" i="51" s="1"/>
  <c r="H94" i="51" s="1"/>
  <c r="E96" i="51"/>
  <c r="G96" i="51" s="1"/>
  <c r="H96" i="51" s="1"/>
  <c r="E88" i="51"/>
  <c r="G88" i="51" s="1"/>
  <c r="H88" i="51" s="1"/>
  <c r="E89" i="51"/>
  <c r="G89" i="51" s="1"/>
  <c r="H89" i="51" s="1"/>
  <c r="E93" i="51"/>
  <c r="G93" i="51" s="1"/>
  <c r="H93" i="51" s="1"/>
  <c r="H55" i="51"/>
  <c r="G67" i="60"/>
  <c r="H67" i="60" s="1"/>
  <c r="E69" i="60"/>
  <c r="G69" i="60" s="1"/>
  <c r="H69" i="60" s="1"/>
  <c r="E75" i="60"/>
  <c r="G75" i="60" s="1"/>
  <c r="H75" i="60" s="1"/>
  <c r="E76" i="60"/>
  <c r="G76" i="60" s="1"/>
  <c r="H76" i="60" s="1"/>
  <c r="E70" i="60"/>
  <c r="G70" i="60" s="1"/>
  <c r="H70" i="60" s="1"/>
  <c r="E68" i="60"/>
  <c r="G68" i="60" s="1"/>
  <c r="H68" i="60" s="1"/>
  <c r="E74" i="60"/>
  <c r="G74" i="60" s="1"/>
  <c r="H74" i="60" s="1"/>
  <c r="E77" i="60"/>
  <c r="G77" i="60" s="1"/>
  <c r="H77" i="60" s="1"/>
  <c r="E73" i="60"/>
  <c r="G73" i="60" s="1"/>
  <c r="H73" i="60" s="1"/>
  <c r="E72" i="60"/>
  <c r="G72" i="60" s="1"/>
  <c r="H72" i="60" s="1"/>
  <c r="E71" i="60"/>
  <c r="G71" i="60" s="1"/>
  <c r="H71" i="60" s="1"/>
  <c r="E66" i="60"/>
  <c r="G66" i="60" s="1"/>
  <c r="H66" i="60" s="1"/>
  <c r="AD30" i="60"/>
  <c r="E76" i="35"/>
  <c r="G76" i="35" s="1"/>
  <c r="H76" i="35" s="1"/>
  <c r="E77" i="35"/>
  <c r="G77" i="35" s="1"/>
  <c r="H77" i="35" s="1"/>
  <c r="E79" i="35"/>
  <c r="G79" i="35" s="1"/>
  <c r="H79" i="35" s="1"/>
  <c r="E78" i="35"/>
  <c r="G78" i="35" s="1"/>
  <c r="H78" i="35" s="1"/>
  <c r="B63" i="27"/>
  <c r="G67" i="55"/>
  <c r="H67" i="55" s="1"/>
  <c r="G66" i="55"/>
  <c r="H66" i="55" s="1"/>
  <c r="G71" i="55"/>
  <c r="H71" i="55" s="1"/>
  <c r="G70" i="55"/>
  <c r="H70" i="55" s="1"/>
  <c r="G68" i="55"/>
  <c r="H68" i="55" s="1"/>
  <c r="G73" i="55"/>
  <c r="H73" i="55" s="1"/>
  <c r="G74" i="55"/>
  <c r="H74" i="55" s="1"/>
  <c r="G69" i="55"/>
  <c r="H69" i="55" s="1"/>
  <c r="G72" i="55"/>
  <c r="H72" i="55" s="1"/>
  <c r="G71" i="54"/>
  <c r="H71" i="54" s="1"/>
  <c r="G70" i="54"/>
  <c r="H70" i="54" s="1"/>
  <c r="G69" i="54"/>
  <c r="H69" i="54" s="1"/>
  <c r="G68" i="54"/>
  <c r="H68" i="54" s="1"/>
  <c r="G67" i="54"/>
  <c r="H67" i="54" s="1"/>
  <c r="G66" i="54"/>
  <c r="H66" i="54" s="1"/>
  <c r="G68" i="38"/>
  <c r="H68" i="38" s="1"/>
  <c r="G67" i="38"/>
  <c r="H67" i="38" s="1"/>
  <c r="G66" i="38"/>
  <c r="H66" i="38" s="1"/>
  <c r="G65" i="38"/>
  <c r="H65" i="38" s="1"/>
  <c r="G71" i="38"/>
  <c r="H71" i="38" s="1"/>
  <c r="G70" i="38"/>
  <c r="H70" i="38" s="1"/>
  <c r="G69" i="38"/>
  <c r="H69" i="38" s="1"/>
  <c r="U35" i="31"/>
  <c r="G66" i="14"/>
  <c r="H66" i="14" s="1"/>
  <c r="G68" i="14"/>
  <c r="H68" i="14" s="1"/>
  <c r="G65" i="14"/>
  <c r="H65" i="14" s="1"/>
  <c r="G71" i="14"/>
  <c r="H71" i="14" s="1"/>
  <c r="G67" i="14"/>
  <c r="H67" i="14" s="1"/>
  <c r="G69" i="14"/>
  <c r="H69" i="14" s="1"/>
  <c r="G70" i="14"/>
  <c r="H70" i="14" s="1"/>
  <c r="G69" i="13"/>
  <c r="H69" i="13" s="1"/>
  <c r="G72" i="13"/>
  <c r="H72" i="13" s="1"/>
  <c r="G67" i="13"/>
  <c r="H67" i="13" s="1"/>
  <c r="G65" i="13"/>
  <c r="H65" i="13" s="1"/>
  <c r="G73" i="13"/>
  <c r="H73" i="13" s="1"/>
  <c r="G70" i="13"/>
  <c r="H70" i="13" s="1"/>
  <c r="G71" i="13"/>
  <c r="H71" i="13" s="1"/>
  <c r="G68" i="13"/>
  <c r="H68" i="13" s="1"/>
  <c r="G66" i="13"/>
  <c r="H66" i="13" s="1"/>
  <c r="E66" i="37"/>
  <c r="G66" i="37" s="1"/>
  <c r="H66" i="37" s="1"/>
  <c r="E69" i="37"/>
  <c r="G69" i="37" s="1"/>
  <c r="H69" i="37" s="1"/>
  <c r="E67" i="37"/>
  <c r="G67" i="37" s="1"/>
  <c r="H67" i="37" s="1"/>
  <c r="E70" i="37"/>
  <c r="G70" i="37" s="1"/>
  <c r="H70" i="37" s="1"/>
  <c r="E68" i="37"/>
  <c r="G68" i="37" s="1"/>
  <c r="H68" i="37" s="1"/>
  <c r="G131" i="16"/>
  <c r="H131" i="16" s="1"/>
  <c r="G130" i="16"/>
  <c r="H130" i="16" s="1"/>
  <c r="E92" i="3"/>
  <c r="G92" i="3" s="1"/>
  <c r="H92" i="3" s="1"/>
  <c r="E98" i="3"/>
  <c r="G98" i="3" s="1"/>
  <c r="H98" i="3" s="1"/>
  <c r="E102" i="3"/>
  <c r="G102" i="3" s="1"/>
  <c r="H102" i="3" s="1"/>
  <c r="E106" i="3"/>
  <c r="G106" i="3" s="1"/>
  <c r="H106" i="3" s="1"/>
  <c r="E93" i="3"/>
  <c r="G93" i="3" s="1"/>
  <c r="H93" i="3" s="1"/>
  <c r="E96" i="3"/>
  <c r="G96" i="3" s="1"/>
  <c r="H96" i="3" s="1"/>
  <c r="E99" i="3"/>
  <c r="G99" i="3" s="1"/>
  <c r="H99" i="3" s="1"/>
  <c r="E97" i="3"/>
  <c r="G97" i="3" s="1"/>
  <c r="H97" i="3" s="1"/>
  <c r="E104" i="3"/>
  <c r="G104" i="3" s="1"/>
  <c r="H104" i="3" s="1"/>
  <c r="E101" i="3"/>
  <c r="G101" i="3" s="1"/>
  <c r="H101" i="3" s="1"/>
  <c r="E103" i="3"/>
  <c r="G103" i="3" s="1"/>
  <c r="H103" i="3" s="1"/>
  <c r="E95" i="3"/>
  <c r="G95" i="3" s="1"/>
  <c r="H95" i="3" s="1"/>
  <c r="E100" i="3"/>
  <c r="G100" i="3" s="1"/>
  <c r="H100" i="3" s="1"/>
  <c r="E94" i="3"/>
  <c r="G94" i="3" s="1"/>
  <c r="H94" i="3" s="1"/>
  <c r="E105" i="3"/>
  <c r="G105" i="3" s="1"/>
  <c r="H105" i="3" s="1"/>
  <c r="E91" i="3"/>
  <c r="G91" i="3" s="1"/>
  <c r="H91" i="3" s="1"/>
  <c r="C55" i="3"/>
  <c r="D55" i="3" s="1"/>
  <c r="R48" i="3" s="1"/>
  <c r="C55" i="6"/>
  <c r="E80" i="70"/>
  <c r="G80" i="70" s="1"/>
  <c r="H80" i="70" s="1"/>
  <c r="E79" i="70"/>
  <c r="G79" i="70" s="1"/>
  <c r="H79" i="70" s="1"/>
  <c r="E78" i="70"/>
  <c r="G78" i="70" s="1"/>
  <c r="H78" i="70" s="1"/>
  <c r="E75" i="70"/>
  <c r="G75" i="70" s="1"/>
  <c r="H75" i="70" s="1"/>
  <c r="E74" i="70"/>
  <c r="G74" i="70" s="1"/>
  <c r="H74" i="70" s="1"/>
  <c r="E69" i="70"/>
  <c r="G69" i="70" s="1"/>
  <c r="H69" i="70" s="1"/>
  <c r="E68" i="70"/>
  <c r="G68" i="70" s="1"/>
  <c r="H68" i="70" s="1"/>
  <c r="E67" i="70"/>
  <c r="G67" i="70" s="1"/>
  <c r="H67" i="70" s="1"/>
  <c r="E83" i="70"/>
  <c r="G83" i="70" s="1"/>
  <c r="H83" i="70" s="1"/>
  <c r="E77" i="70"/>
  <c r="G77" i="70" s="1"/>
  <c r="H77" i="70" s="1"/>
  <c r="E76" i="70"/>
  <c r="G76" i="70" s="1"/>
  <c r="H76" i="70" s="1"/>
  <c r="E73" i="70"/>
  <c r="G73" i="70" s="1"/>
  <c r="H73" i="70" s="1"/>
  <c r="E72" i="70"/>
  <c r="G72" i="70" s="1"/>
  <c r="H72" i="70" s="1"/>
  <c r="E71" i="70"/>
  <c r="G71" i="70" s="1"/>
  <c r="H71" i="70" s="1"/>
  <c r="E66" i="70"/>
  <c r="G66" i="70" s="1"/>
  <c r="H66" i="70" s="1"/>
  <c r="E82" i="70"/>
  <c r="G82" i="70" s="1"/>
  <c r="H82" i="70" s="1"/>
  <c r="E81" i="70"/>
  <c r="G81" i="70" s="1"/>
  <c r="H81" i="70" s="1"/>
  <c r="E70" i="70"/>
  <c r="G70" i="70" s="1"/>
  <c r="H70" i="70" s="1"/>
  <c r="C54" i="70"/>
  <c r="E106" i="69"/>
  <c r="G106" i="69" s="1"/>
  <c r="H106" i="69" s="1"/>
  <c r="E105" i="69"/>
  <c r="G105" i="69" s="1"/>
  <c r="H105" i="69" s="1"/>
  <c r="E104" i="69"/>
  <c r="G104" i="69" s="1"/>
  <c r="H104" i="69" s="1"/>
  <c r="E103" i="69"/>
  <c r="G103" i="69" s="1"/>
  <c r="H103" i="69" s="1"/>
  <c r="E102" i="69"/>
  <c r="G102" i="69" s="1"/>
  <c r="H102" i="69" s="1"/>
  <c r="E101" i="69"/>
  <c r="G101" i="69" s="1"/>
  <c r="H101" i="69" s="1"/>
  <c r="E99" i="69"/>
  <c r="G99" i="69" s="1"/>
  <c r="H99" i="69" s="1"/>
  <c r="E98" i="69"/>
  <c r="G98" i="69" s="1"/>
  <c r="H98" i="69" s="1"/>
  <c r="E92" i="69"/>
  <c r="G92" i="69" s="1"/>
  <c r="H92" i="69" s="1"/>
  <c r="E91" i="69"/>
  <c r="G91" i="69" s="1"/>
  <c r="H91" i="69" s="1"/>
  <c r="E90" i="69"/>
  <c r="G90" i="69" s="1"/>
  <c r="H90" i="69" s="1"/>
  <c r="E94" i="69"/>
  <c r="G94" i="69" s="1"/>
  <c r="H94" i="69" s="1"/>
  <c r="E96" i="69"/>
  <c r="G96" i="69" s="1"/>
  <c r="H96" i="69" s="1"/>
  <c r="E95" i="69"/>
  <c r="G95" i="69" s="1"/>
  <c r="E100" i="69"/>
  <c r="G100" i="69" s="1"/>
  <c r="H100" i="69" s="1"/>
  <c r="E97" i="69"/>
  <c r="G97" i="69" s="1"/>
  <c r="H97" i="69" s="1"/>
  <c r="E93" i="69"/>
  <c r="G93" i="69" s="1"/>
  <c r="H93" i="69" s="1"/>
  <c r="U35" i="67" l="1"/>
  <c r="AA30" i="67"/>
  <c r="AE30" i="67" s="1"/>
  <c r="AC25" i="67" s="1"/>
  <c r="U35" i="25"/>
  <c r="C100" i="23"/>
  <c r="B62" i="4"/>
  <c r="B119" i="4"/>
  <c r="H82" i="21"/>
  <c r="C82" i="21"/>
  <c r="B80" i="4"/>
  <c r="B100" i="4"/>
  <c r="B63" i="31"/>
  <c r="B64" i="31"/>
  <c r="H90" i="17"/>
  <c r="C90" i="17"/>
  <c r="E101" i="16"/>
  <c r="H101" i="16" s="1"/>
  <c r="G101" i="16"/>
  <c r="E92" i="41"/>
  <c r="G92" i="41"/>
  <c r="E121" i="17"/>
  <c r="G121" i="17"/>
  <c r="B63" i="61"/>
  <c r="B62" i="61"/>
  <c r="E82" i="32"/>
  <c r="B91" i="42"/>
  <c r="B62" i="42"/>
  <c r="B76" i="42"/>
  <c r="D55" i="41"/>
  <c r="B78" i="41"/>
  <c r="B62" i="41"/>
  <c r="G78" i="37"/>
  <c r="E78" i="37"/>
  <c r="D54" i="32"/>
  <c r="E103" i="32" s="1"/>
  <c r="D55" i="21"/>
  <c r="B62" i="21"/>
  <c r="E124" i="20"/>
  <c r="H124" i="20" s="1"/>
  <c r="G124" i="20"/>
  <c r="B94" i="17"/>
  <c r="B62" i="17"/>
  <c r="B93" i="17"/>
  <c r="D55" i="16"/>
  <c r="B63" i="16"/>
  <c r="G108" i="3"/>
  <c r="E108" i="3"/>
  <c r="B83" i="16"/>
  <c r="B105" i="16"/>
  <c r="E86" i="70"/>
  <c r="G86" i="70"/>
  <c r="D54" i="70"/>
  <c r="E110" i="70"/>
  <c r="G110" i="70" s="1"/>
  <c r="H110" i="70" s="1"/>
  <c r="AD30" i="49"/>
  <c r="AC25" i="49" s="1"/>
  <c r="H87" i="57"/>
  <c r="C87" i="57"/>
  <c r="E115" i="57"/>
  <c r="G115" i="57"/>
  <c r="C56" i="57"/>
  <c r="E153" i="57" s="1"/>
  <c r="G153" i="57" s="1"/>
  <c r="H153" i="57" s="1"/>
  <c r="B145" i="57"/>
  <c r="B169" i="57"/>
  <c r="I56" i="57"/>
  <c r="E120" i="57"/>
  <c r="G120" i="57" s="1"/>
  <c r="H120" i="57" s="1"/>
  <c r="H56" i="57"/>
  <c r="E147" i="57" s="1"/>
  <c r="G147" i="57" s="1"/>
  <c r="H147" i="57" s="1"/>
  <c r="D55" i="57"/>
  <c r="B144" i="57"/>
  <c r="C79" i="19"/>
  <c r="H79" i="19"/>
  <c r="H83" i="59"/>
  <c r="C83" i="59"/>
  <c r="E107" i="59"/>
  <c r="G107" i="59"/>
  <c r="H79" i="49"/>
  <c r="C79" i="49"/>
  <c r="E116" i="33"/>
  <c r="G116" i="33"/>
  <c r="G114" i="28"/>
  <c r="E114" i="28"/>
  <c r="B83" i="49"/>
  <c r="B63" i="49"/>
  <c r="B82" i="49"/>
  <c r="B62" i="49"/>
  <c r="D55" i="28"/>
  <c r="E140" i="28"/>
  <c r="G140" i="28" s="1"/>
  <c r="H140" i="28" s="1"/>
  <c r="E139" i="28"/>
  <c r="G139" i="28" s="1"/>
  <c r="H139" i="28" s="1"/>
  <c r="B85" i="19"/>
  <c r="B63" i="19"/>
  <c r="B84" i="19"/>
  <c r="B62" i="19"/>
  <c r="B87" i="59"/>
  <c r="B86" i="59"/>
  <c r="B62" i="59"/>
  <c r="B63" i="59"/>
  <c r="AE30" i="48"/>
  <c r="AC25" i="48" s="1"/>
  <c r="H55" i="28"/>
  <c r="E120" i="28" s="1"/>
  <c r="G120" i="28" s="1"/>
  <c r="H120" i="28" s="1"/>
  <c r="E92" i="28"/>
  <c r="G92" i="28" s="1"/>
  <c r="H92" i="28" s="1"/>
  <c r="E133" i="4"/>
  <c r="G133" i="4" s="1"/>
  <c r="H133" i="4" s="1"/>
  <c r="E130" i="4"/>
  <c r="G130" i="4" s="1"/>
  <c r="H130" i="4" s="1"/>
  <c r="E131" i="4"/>
  <c r="G131" i="4" s="1"/>
  <c r="H131" i="4" s="1"/>
  <c r="E132" i="4"/>
  <c r="G132" i="4" s="1"/>
  <c r="H132" i="4" s="1"/>
  <c r="T33" i="40"/>
  <c r="T31" i="24"/>
  <c r="AC25" i="24"/>
  <c r="AF30" i="70"/>
  <c r="AC25" i="70" s="1"/>
  <c r="AC25" i="54"/>
  <c r="T34" i="54"/>
  <c r="T34" i="38"/>
  <c r="AC25" i="38"/>
  <c r="AC25" i="55"/>
  <c r="T34" i="55"/>
  <c r="U35" i="60"/>
  <c r="AB30" i="60"/>
  <c r="AF30" i="60" s="1"/>
  <c r="AC25" i="60" s="1"/>
  <c r="U35" i="58"/>
  <c r="AC25" i="58"/>
  <c r="AB30" i="56"/>
  <c r="AE30" i="56" s="1"/>
  <c r="AC25" i="56" s="1"/>
  <c r="U35" i="56"/>
  <c r="U35" i="47"/>
  <c r="AA30" i="47"/>
  <c r="AD30" i="47" s="1"/>
  <c r="AC25" i="47" s="1"/>
  <c r="AA30" i="33"/>
  <c r="AD30" i="33" s="1"/>
  <c r="AC25" i="33" s="1"/>
  <c r="U35" i="33"/>
  <c r="C77" i="46"/>
  <c r="B63" i="17"/>
  <c r="B62" i="43"/>
  <c r="AC25" i="14"/>
  <c r="T33" i="14"/>
  <c r="AC25" i="13"/>
  <c r="T33" i="13"/>
  <c r="AB30" i="3"/>
  <c r="AF30" i="3" s="1"/>
  <c r="AC25" i="3" s="1"/>
  <c r="AA30" i="7"/>
  <c r="U35" i="7"/>
  <c r="V48" i="3"/>
  <c r="Y48" i="3" s="1"/>
  <c r="W48" i="3"/>
  <c r="AC25" i="53"/>
  <c r="H106" i="50"/>
  <c r="C106" i="50"/>
  <c r="H87" i="28"/>
  <c r="C87" i="28"/>
  <c r="E123" i="28"/>
  <c r="G123" i="28" s="1"/>
  <c r="H123" i="28" s="1"/>
  <c r="E127" i="28"/>
  <c r="G127" i="28" s="1"/>
  <c r="H127" i="28" s="1"/>
  <c r="E130" i="28"/>
  <c r="G130" i="28" s="1"/>
  <c r="H130" i="28" s="1"/>
  <c r="E135" i="28"/>
  <c r="G135" i="28" s="1"/>
  <c r="H135" i="28" s="1"/>
  <c r="E138" i="28"/>
  <c r="G138" i="28" s="1"/>
  <c r="H138" i="28" s="1"/>
  <c r="E124" i="28"/>
  <c r="G124" i="28" s="1"/>
  <c r="H124" i="28" s="1"/>
  <c r="E126" i="28"/>
  <c r="G126" i="28" s="1"/>
  <c r="H126" i="28" s="1"/>
  <c r="E129" i="28"/>
  <c r="G129" i="28" s="1"/>
  <c r="H129" i="28" s="1"/>
  <c r="E132" i="28"/>
  <c r="G132" i="28" s="1"/>
  <c r="H132" i="28" s="1"/>
  <c r="E136" i="28"/>
  <c r="G136" i="28" s="1"/>
  <c r="H136" i="28" s="1"/>
  <c r="E121" i="28"/>
  <c r="G121" i="28" s="1"/>
  <c r="H121" i="28" s="1"/>
  <c r="E128" i="28"/>
  <c r="G128" i="28" s="1"/>
  <c r="H128" i="28" s="1"/>
  <c r="E133" i="28"/>
  <c r="G133" i="28" s="1"/>
  <c r="H133" i="28" s="1"/>
  <c r="E122" i="28"/>
  <c r="G122" i="28" s="1"/>
  <c r="H122" i="28" s="1"/>
  <c r="E125" i="28"/>
  <c r="G125" i="28" s="1"/>
  <c r="H125" i="28" s="1"/>
  <c r="E131" i="28"/>
  <c r="G131" i="28" s="1"/>
  <c r="H131" i="28" s="1"/>
  <c r="E134" i="28"/>
  <c r="G134" i="28" s="1"/>
  <c r="H134" i="28" s="1"/>
  <c r="E137" i="28"/>
  <c r="G137" i="28" s="1"/>
  <c r="H137" i="28" s="1"/>
  <c r="B118" i="28"/>
  <c r="B117" i="28"/>
  <c r="C79" i="56"/>
  <c r="H110" i="8"/>
  <c r="C110" i="8"/>
  <c r="G135" i="8"/>
  <c r="E135" i="8"/>
  <c r="H80" i="61"/>
  <c r="C80" i="61"/>
  <c r="H76" i="41"/>
  <c r="C76" i="41"/>
  <c r="D55" i="69"/>
  <c r="B62" i="69"/>
  <c r="C82" i="62"/>
  <c r="H82" i="62"/>
  <c r="E84" i="60"/>
  <c r="G84" i="60" s="1"/>
  <c r="H84" i="60" s="1"/>
  <c r="H55" i="60"/>
  <c r="D54" i="60"/>
  <c r="E85" i="60"/>
  <c r="G85" i="60" s="1"/>
  <c r="H85" i="60" s="1"/>
  <c r="D54" i="54"/>
  <c r="G73" i="53"/>
  <c r="E73" i="53"/>
  <c r="G83" i="47"/>
  <c r="E83" i="47"/>
  <c r="D55" i="42"/>
  <c r="G103" i="42" s="1"/>
  <c r="C103" i="42" s="1"/>
  <c r="B63" i="42"/>
  <c r="B77" i="42"/>
  <c r="B92" i="42"/>
  <c r="E95" i="42"/>
  <c r="G95" i="42" s="1"/>
  <c r="H95" i="42" s="1"/>
  <c r="E96" i="42"/>
  <c r="G96" i="42" s="1"/>
  <c r="H96" i="42" s="1"/>
  <c r="E97" i="42"/>
  <c r="G97" i="42" s="1"/>
  <c r="H97" i="42" s="1"/>
  <c r="E98" i="42"/>
  <c r="G98" i="42" s="1"/>
  <c r="H98" i="42" s="1"/>
  <c r="E99" i="42"/>
  <c r="G99" i="42" s="1"/>
  <c r="H99" i="42" s="1"/>
  <c r="E100" i="42"/>
  <c r="G100" i="42" s="1"/>
  <c r="H100" i="42" s="1"/>
  <c r="E101" i="42"/>
  <c r="G101" i="42" s="1"/>
  <c r="H101" i="42" s="1"/>
  <c r="E94" i="42"/>
  <c r="G94" i="42" s="1"/>
  <c r="H94" i="42" s="1"/>
  <c r="B111" i="31"/>
  <c r="E93" i="31"/>
  <c r="G93" i="31" s="1"/>
  <c r="H93" i="31" s="1"/>
  <c r="E100" i="31"/>
  <c r="G100" i="31" s="1"/>
  <c r="H100" i="31" s="1"/>
  <c r="E105" i="31"/>
  <c r="G105" i="31" s="1"/>
  <c r="H105" i="31" s="1"/>
  <c r="E106" i="31"/>
  <c r="G106" i="31" s="1"/>
  <c r="H106" i="31" s="1"/>
  <c r="E108" i="31"/>
  <c r="G108" i="31" s="1"/>
  <c r="H108" i="31" s="1"/>
  <c r="E109" i="31"/>
  <c r="G109" i="31" s="1"/>
  <c r="H109" i="31" s="1"/>
  <c r="E92" i="31"/>
  <c r="G92" i="31" s="1"/>
  <c r="H92" i="31" s="1"/>
  <c r="E94" i="31"/>
  <c r="G94" i="31" s="1"/>
  <c r="H94" i="31" s="1"/>
  <c r="E95" i="31"/>
  <c r="G95" i="31" s="1"/>
  <c r="H95" i="31" s="1"/>
  <c r="E96" i="31"/>
  <c r="G96" i="31" s="1"/>
  <c r="H96" i="31" s="1"/>
  <c r="E98" i="31"/>
  <c r="G98" i="31" s="1"/>
  <c r="H98" i="31" s="1"/>
  <c r="E99" i="31"/>
  <c r="G99" i="31" s="1"/>
  <c r="H99" i="31" s="1"/>
  <c r="E102" i="31"/>
  <c r="G102" i="31" s="1"/>
  <c r="H102" i="31" s="1"/>
  <c r="E104" i="31"/>
  <c r="G104" i="31" s="1"/>
  <c r="H104" i="31" s="1"/>
  <c r="E107" i="31"/>
  <c r="G107" i="31" s="1"/>
  <c r="H107" i="31" s="1"/>
  <c r="E91" i="31"/>
  <c r="G91" i="31" s="1"/>
  <c r="H91" i="31" s="1"/>
  <c r="E97" i="31"/>
  <c r="G97" i="31" s="1"/>
  <c r="H97" i="31" s="1"/>
  <c r="E101" i="31"/>
  <c r="G101" i="31" s="1"/>
  <c r="H101" i="31" s="1"/>
  <c r="E103" i="31"/>
  <c r="G103" i="31" s="1"/>
  <c r="H103" i="31" s="1"/>
  <c r="C55" i="55"/>
  <c r="D54" i="55"/>
  <c r="C55" i="38"/>
  <c r="D54" i="38"/>
  <c r="B63" i="4"/>
  <c r="B120" i="4"/>
  <c r="E125" i="7"/>
  <c r="H125" i="7" s="1"/>
  <c r="G125" i="7"/>
  <c r="B87" i="69"/>
  <c r="B86" i="69"/>
  <c r="C88" i="33"/>
  <c r="B129" i="7"/>
  <c r="B106" i="7"/>
  <c r="B63" i="7"/>
  <c r="E138" i="7"/>
  <c r="G138" i="7" s="1"/>
  <c r="H138" i="7" s="1"/>
  <c r="E146" i="7"/>
  <c r="G146" i="7" s="1"/>
  <c r="H146" i="7" s="1"/>
  <c r="E143" i="7"/>
  <c r="G143" i="7" s="1"/>
  <c r="H143" i="7" s="1"/>
  <c r="E137" i="7"/>
  <c r="G137" i="7" s="1"/>
  <c r="H137" i="7" s="1"/>
  <c r="E145" i="7"/>
  <c r="G145" i="7" s="1"/>
  <c r="H145" i="7" s="1"/>
  <c r="E139" i="7"/>
  <c r="G139" i="7" s="1"/>
  <c r="H139" i="7" s="1"/>
  <c r="E133" i="7"/>
  <c r="G133" i="7" s="1"/>
  <c r="H133" i="7" s="1"/>
  <c r="D56" i="7"/>
  <c r="E134" i="7"/>
  <c r="G134" i="7" s="1"/>
  <c r="H134" i="7" s="1"/>
  <c r="E142" i="7"/>
  <c r="G142" i="7" s="1"/>
  <c r="H142" i="7" s="1"/>
  <c r="E140" i="7"/>
  <c r="G140" i="7" s="1"/>
  <c r="H140" i="7" s="1"/>
  <c r="E141" i="7"/>
  <c r="G141" i="7" s="1"/>
  <c r="H141" i="7" s="1"/>
  <c r="E144" i="7"/>
  <c r="G144" i="7" s="1"/>
  <c r="H144" i="7" s="1"/>
  <c r="E135" i="7"/>
  <c r="G135" i="7" s="1"/>
  <c r="H135" i="7" s="1"/>
  <c r="E136" i="7"/>
  <c r="G136" i="7" s="1"/>
  <c r="H136" i="7" s="1"/>
  <c r="I56" i="7"/>
  <c r="B148" i="7"/>
  <c r="B62" i="7"/>
  <c r="B107" i="7"/>
  <c r="B130" i="7"/>
  <c r="B85" i="7"/>
  <c r="E124" i="4"/>
  <c r="G124" i="4" s="1"/>
  <c r="H124" i="4" s="1"/>
  <c r="D56" i="4"/>
  <c r="E135" i="4"/>
  <c r="H135" i="4" s="1"/>
  <c r="E126" i="4"/>
  <c r="G126" i="4" s="1"/>
  <c r="H126" i="4" s="1"/>
  <c r="E127" i="4"/>
  <c r="G127" i="4" s="1"/>
  <c r="H127" i="4" s="1"/>
  <c r="B81" i="4"/>
  <c r="E129" i="4"/>
  <c r="G129" i="4" s="1"/>
  <c r="H129" i="4" s="1"/>
  <c r="B101" i="4"/>
  <c r="E125" i="4"/>
  <c r="G125" i="4" s="1"/>
  <c r="H125" i="4" s="1"/>
  <c r="E123" i="4"/>
  <c r="G123" i="4" s="1"/>
  <c r="H123" i="4" s="1"/>
  <c r="E128" i="4"/>
  <c r="G128" i="4" s="1"/>
  <c r="H128" i="4" s="1"/>
  <c r="G130" i="50"/>
  <c r="E130" i="50"/>
  <c r="B63" i="69"/>
  <c r="C129" i="45"/>
  <c r="H129" i="45"/>
  <c r="G135" i="4"/>
  <c r="G101" i="48"/>
  <c r="E101" i="48"/>
  <c r="G136" i="3"/>
  <c r="E136" i="3"/>
  <c r="E122" i="23"/>
  <c r="G122" i="23"/>
  <c r="E120" i="23"/>
  <c r="G120" i="23" s="1"/>
  <c r="H120" i="23" s="1"/>
  <c r="E108" i="23"/>
  <c r="G108" i="23" s="1"/>
  <c r="H108" i="23" s="1"/>
  <c r="G79" i="60"/>
  <c r="E79" i="60"/>
  <c r="H55" i="48"/>
  <c r="E106" i="48" s="1"/>
  <c r="G106" i="48" s="1"/>
  <c r="H106" i="48" s="1"/>
  <c r="E87" i="48"/>
  <c r="G87" i="48" s="1"/>
  <c r="H87" i="48" s="1"/>
  <c r="G107" i="47"/>
  <c r="B90" i="33"/>
  <c r="D55" i="33"/>
  <c r="E118" i="23"/>
  <c r="G118" i="23" s="1"/>
  <c r="H118" i="23" s="1"/>
  <c r="E111" i="23"/>
  <c r="G111" i="23" s="1"/>
  <c r="H111" i="23" s="1"/>
  <c r="H56" i="23"/>
  <c r="E107" i="23"/>
  <c r="G107" i="23" s="1"/>
  <c r="H107" i="23" s="1"/>
  <c r="E115" i="23"/>
  <c r="G115" i="23" s="1"/>
  <c r="H115" i="23" s="1"/>
  <c r="E113" i="23"/>
  <c r="G113" i="23" s="1"/>
  <c r="H113" i="23" s="1"/>
  <c r="E110" i="23"/>
  <c r="G110" i="23" s="1"/>
  <c r="H110" i="23" s="1"/>
  <c r="E116" i="23"/>
  <c r="G116" i="23" s="1"/>
  <c r="H116" i="23" s="1"/>
  <c r="E119" i="23"/>
  <c r="G119" i="23" s="1"/>
  <c r="H119" i="23" s="1"/>
  <c r="E117" i="23"/>
  <c r="G117" i="23" s="1"/>
  <c r="H117" i="23" s="1"/>
  <c r="E114" i="23"/>
  <c r="G114" i="23" s="1"/>
  <c r="H114" i="23" s="1"/>
  <c r="E109" i="23"/>
  <c r="G109" i="23" s="1"/>
  <c r="H109" i="23" s="1"/>
  <c r="E112" i="23"/>
  <c r="G112" i="23" s="1"/>
  <c r="H112" i="23" s="1"/>
  <c r="I57" i="23"/>
  <c r="D55" i="17"/>
  <c r="B75" i="6"/>
  <c r="D55" i="6"/>
  <c r="E103" i="66"/>
  <c r="G103" i="66" s="1"/>
  <c r="H103" i="66" s="1"/>
  <c r="E97" i="66"/>
  <c r="G97" i="66" s="1"/>
  <c r="H97" i="66" s="1"/>
  <c r="H56" i="66"/>
  <c r="E99" i="66"/>
  <c r="G99" i="66" s="1"/>
  <c r="H99" i="66" s="1"/>
  <c r="E105" i="66"/>
  <c r="G105" i="66" s="1"/>
  <c r="H105" i="66" s="1"/>
  <c r="E102" i="66"/>
  <c r="G102" i="66" s="1"/>
  <c r="H102" i="66" s="1"/>
  <c r="E104" i="66"/>
  <c r="G104" i="66" s="1"/>
  <c r="H104" i="66" s="1"/>
  <c r="E101" i="66"/>
  <c r="G101" i="66" s="1"/>
  <c r="H101" i="66" s="1"/>
  <c r="E100" i="66"/>
  <c r="G100" i="66" s="1"/>
  <c r="H100" i="66" s="1"/>
  <c r="E98" i="66"/>
  <c r="G98" i="66" s="1"/>
  <c r="H98" i="66" s="1"/>
  <c r="H108" i="69"/>
  <c r="C108" i="69"/>
  <c r="B155" i="66"/>
  <c r="H155" i="66" s="1"/>
  <c r="I58" i="66"/>
  <c r="B139" i="66"/>
  <c r="H139" i="66" s="1"/>
  <c r="I57" i="66"/>
  <c r="H106" i="58"/>
  <c r="C106" i="58"/>
  <c r="B62" i="57"/>
  <c r="H99" i="56"/>
  <c r="C99" i="56"/>
  <c r="G66" i="53"/>
  <c r="H66" i="53" s="1"/>
  <c r="H99" i="49"/>
  <c r="C99" i="49"/>
  <c r="H79" i="48"/>
  <c r="C79" i="48"/>
  <c r="H107" i="44"/>
  <c r="C107" i="44"/>
  <c r="H98" i="43"/>
  <c r="C98" i="43"/>
  <c r="H126" i="29"/>
  <c r="C126" i="29"/>
  <c r="B108" i="29" s="1"/>
  <c r="H55" i="25"/>
  <c r="H100" i="23"/>
  <c r="H107" i="18"/>
  <c r="C107" i="18"/>
  <c r="C101" i="19"/>
  <c r="B106" i="16"/>
  <c r="H123" i="15"/>
  <c r="C123" i="15"/>
  <c r="H86" i="6"/>
  <c r="C86" i="6"/>
  <c r="H116" i="4"/>
  <c r="C116" i="4"/>
  <c r="B63" i="3"/>
  <c r="C55" i="54"/>
  <c r="D55" i="54" s="1"/>
  <c r="C55" i="31"/>
  <c r="D55" i="31" s="1"/>
  <c r="H82" i="10"/>
  <c r="C82" i="10"/>
  <c r="E95" i="10"/>
  <c r="G95" i="10"/>
  <c r="H55" i="19"/>
  <c r="H56" i="4"/>
  <c r="E122" i="4" s="1"/>
  <c r="G122" i="4" s="1"/>
  <c r="H122" i="4" s="1"/>
  <c r="E103" i="4"/>
  <c r="G103" i="4" s="1"/>
  <c r="H103" i="4" s="1"/>
  <c r="B62" i="46"/>
  <c r="B63" i="46"/>
  <c r="C55" i="40"/>
  <c r="D55" i="40" s="1"/>
  <c r="C56" i="39"/>
  <c r="D56" i="39" s="1"/>
  <c r="C55" i="24"/>
  <c r="C55" i="14"/>
  <c r="D55" i="14" s="1"/>
  <c r="C55" i="13"/>
  <c r="D55" i="13" s="1"/>
  <c r="D56" i="82"/>
  <c r="E117" i="16"/>
  <c r="G117" i="16" s="1"/>
  <c r="H117" i="16" s="1"/>
  <c r="E118" i="16"/>
  <c r="G118" i="16" s="1"/>
  <c r="H118" i="16" s="1"/>
  <c r="E119" i="16"/>
  <c r="G119" i="16" s="1"/>
  <c r="H119" i="16" s="1"/>
  <c r="E120" i="16"/>
  <c r="G120" i="16" s="1"/>
  <c r="H120" i="16" s="1"/>
  <c r="E121" i="16"/>
  <c r="G121" i="16" s="1"/>
  <c r="H121" i="16" s="1"/>
  <c r="E115" i="16"/>
  <c r="G115" i="16" s="1"/>
  <c r="H115" i="16" s="1"/>
  <c r="E114" i="16"/>
  <c r="G114" i="16" s="1"/>
  <c r="H114" i="16" s="1"/>
  <c r="E116" i="16"/>
  <c r="G116" i="16" s="1"/>
  <c r="H116" i="16" s="1"/>
  <c r="B84" i="16"/>
  <c r="B64" i="16"/>
  <c r="B79" i="41"/>
  <c r="B63" i="41"/>
  <c r="H55" i="70"/>
  <c r="E118" i="70" s="1"/>
  <c r="G118" i="70" s="1"/>
  <c r="H118" i="70" s="1"/>
  <c r="E91" i="70"/>
  <c r="G91" i="70" s="1"/>
  <c r="H91" i="70" s="1"/>
  <c r="B90" i="57"/>
  <c r="E98" i="48"/>
  <c r="G98" i="48" s="1"/>
  <c r="H98" i="48" s="1"/>
  <c r="C55" i="48"/>
  <c r="D55" i="48" s="1"/>
  <c r="E88" i="48"/>
  <c r="G88" i="48" s="1"/>
  <c r="H88" i="48" s="1"/>
  <c r="E93" i="48"/>
  <c r="G93" i="48" s="1"/>
  <c r="H93" i="48" s="1"/>
  <c r="E92" i="48"/>
  <c r="G92" i="48" s="1"/>
  <c r="H92" i="48" s="1"/>
  <c r="E97" i="48"/>
  <c r="G97" i="48" s="1"/>
  <c r="H97" i="48" s="1"/>
  <c r="E90" i="48"/>
  <c r="G90" i="48" s="1"/>
  <c r="H90" i="48" s="1"/>
  <c r="E94" i="48"/>
  <c r="G94" i="48" s="1"/>
  <c r="H94" i="48" s="1"/>
  <c r="E89" i="48"/>
  <c r="G89" i="48" s="1"/>
  <c r="H89" i="48" s="1"/>
  <c r="E99" i="48"/>
  <c r="G99" i="48" s="1"/>
  <c r="H99" i="48" s="1"/>
  <c r="E91" i="48"/>
  <c r="G91" i="48" s="1"/>
  <c r="H91" i="48" s="1"/>
  <c r="E96" i="48"/>
  <c r="G96" i="48" s="1"/>
  <c r="H96" i="48" s="1"/>
  <c r="E95" i="48"/>
  <c r="G95" i="48" s="1"/>
  <c r="H95" i="48" s="1"/>
  <c r="B63" i="62"/>
  <c r="B62" i="62"/>
  <c r="E100" i="47"/>
  <c r="G100" i="47" s="1"/>
  <c r="H100" i="47" s="1"/>
  <c r="E93" i="47"/>
  <c r="G93" i="47" s="1"/>
  <c r="H93" i="47" s="1"/>
  <c r="E91" i="47"/>
  <c r="G91" i="47" s="1"/>
  <c r="H91" i="47" s="1"/>
  <c r="E97" i="47"/>
  <c r="G97" i="47" s="1"/>
  <c r="H97" i="47" s="1"/>
  <c r="E103" i="47"/>
  <c r="G103" i="47" s="1"/>
  <c r="H103" i="47" s="1"/>
  <c r="E99" i="47"/>
  <c r="G99" i="47" s="1"/>
  <c r="H99" i="47" s="1"/>
  <c r="E95" i="47"/>
  <c r="G95" i="47" s="1"/>
  <c r="H95" i="47" s="1"/>
  <c r="E102" i="47"/>
  <c r="G102" i="47" s="1"/>
  <c r="H102" i="47" s="1"/>
  <c r="E96" i="47"/>
  <c r="G96" i="47" s="1"/>
  <c r="H96" i="47" s="1"/>
  <c r="E94" i="47"/>
  <c r="G94" i="47" s="1"/>
  <c r="H94" i="47" s="1"/>
  <c r="E105" i="47"/>
  <c r="G105" i="47" s="1"/>
  <c r="H105" i="47" s="1"/>
  <c r="E98" i="47"/>
  <c r="G98" i="47" s="1"/>
  <c r="H98" i="47" s="1"/>
  <c r="E101" i="47"/>
  <c r="G101" i="47" s="1"/>
  <c r="H101" i="47" s="1"/>
  <c r="E92" i="47"/>
  <c r="G92" i="47" s="1"/>
  <c r="H92" i="47" s="1"/>
  <c r="E90" i="47"/>
  <c r="G90" i="47" s="1"/>
  <c r="H90" i="47" s="1"/>
  <c r="E104" i="47"/>
  <c r="G104" i="47" s="1"/>
  <c r="H104" i="47" s="1"/>
  <c r="C55" i="47"/>
  <c r="D55" i="47" s="1"/>
  <c r="B63" i="28"/>
  <c r="B62" i="28"/>
  <c r="B89" i="28"/>
  <c r="B90" i="28"/>
  <c r="E136" i="57"/>
  <c r="G136" i="57" s="1"/>
  <c r="H136" i="57" s="1"/>
  <c r="E124" i="57"/>
  <c r="G124" i="57" s="1"/>
  <c r="H124" i="57" s="1"/>
  <c r="E123" i="57"/>
  <c r="G123" i="57" s="1"/>
  <c r="H123" i="57" s="1"/>
  <c r="E132" i="57"/>
  <c r="G132" i="57" s="1"/>
  <c r="H132" i="57" s="1"/>
  <c r="B63" i="15"/>
  <c r="B95" i="15"/>
  <c r="B94" i="15"/>
  <c r="B63" i="57"/>
  <c r="B91" i="57"/>
  <c r="B117" i="57"/>
  <c r="B118" i="57"/>
  <c r="E134" i="57"/>
  <c r="G134" i="57" s="1"/>
  <c r="H134" i="57" s="1"/>
  <c r="E138" i="57"/>
  <c r="G138" i="57" s="1"/>
  <c r="H138" i="57" s="1"/>
  <c r="E137" i="57"/>
  <c r="G137" i="57" s="1"/>
  <c r="H137" i="57" s="1"/>
  <c r="E140" i="57"/>
  <c r="G140" i="57" s="1"/>
  <c r="H140" i="57" s="1"/>
  <c r="E122" i="57"/>
  <c r="G122" i="57" s="1"/>
  <c r="H122" i="57" s="1"/>
  <c r="E130" i="57"/>
  <c r="G130" i="57" s="1"/>
  <c r="H130" i="57" s="1"/>
  <c r="E133" i="57"/>
  <c r="G133" i="57" s="1"/>
  <c r="H133" i="57" s="1"/>
  <c r="E127" i="57"/>
  <c r="G127" i="57" s="1"/>
  <c r="H127" i="57" s="1"/>
  <c r="E135" i="57"/>
  <c r="G135" i="57" s="1"/>
  <c r="H135" i="57" s="1"/>
  <c r="E121" i="57"/>
  <c r="G121" i="57" s="1"/>
  <c r="H121" i="57" s="1"/>
  <c r="E125" i="57"/>
  <c r="G125" i="57" s="1"/>
  <c r="H125" i="57" s="1"/>
  <c r="E131" i="57"/>
  <c r="G131" i="57" s="1"/>
  <c r="H131" i="57" s="1"/>
  <c r="E128" i="57"/>
  <c r="G128" i="57" s="1"/>
  <c r="H128" i="57" s="1"/>
  <c r="E129" i="57"/>
  <c r="G129" i="57" s="1"/>
  <c r="H129" i="57" s="1"/>
  <c r="E139" i="57"/>
  <c r="G139" i="57" s="1"/>
  <c r="H139" i="57" s="1"/>
  <c r="E126" i="57"/>
  <c r="G126" i="57" s="1"/>
  <c r="H126" i="57" s="1"/>
  <c r="G81" i="42"/>
  <c r="H81" i="42" s="1"/>
  <c r="G86" i="42"/>
  <c r="H86" i="42" s="1"/>
  <c r="G85" i="42"/>
  <c r="H85" i="42" s="1"/>
  <c r="G79" i="42"/>
  <c r="H79" i="42" s="1"/>
  <c r="G80" i="42"/>
  <c r="H80" i="42" s="1"/>
  <c r="G82" i="42"/>
  <c r="H82" i="42" s="1"/>
  <c r="G83" i="42"/>
  <c r="H83" i="42" s="1"/>
  <c r="G84" i="42"/>
  <c r="H84" i="42" s="1"/>
  <c r="B62" i="15"/>
  <c r="B85" i="58"/>
  <c r="B86" i="58"/>
  <c r="B63" i="58"/>
  <c r="B82" i="56"/>
  <c r="C55" i="53"/>
  <c r="B82" i="43"/>
  <c r="B81" i="43"/>
  <c r="B63" i="43"/>
  <c r="B87" i="18"/>
  <c r="B62" i="18"/>
  <c r="B63" i="18"/>
  <c r="B88" i="18"/>
  <c r="B83" i="56"/>
  <c r="B62" i="44"/>
  <c r="B63" i="21"/>
  <c r="E112" i="16"/>
  <c r="G112" i="16" s="1"/>
  <c r="H112" i="16" s="1"/>
  <c r="E109" i="16"/>
  <c r="G109" i="16" s="1"/>
  <c r="H109" i="16" s="1"/>
  <c r="E110" i="16"/>
  <c r="G110" i="16" s="1"/>
  <c r="H110" i="16" s="1"/>
  <c r="E111" i="16"/>
  <c r="G111" i="16" s="1"/>
  <c r="H111" i="16" s="1"/>
  <c r="E113" i="16"/>
  <c r="G113" i="16" s="1"/>
  <c r="H113" i="16" s="1"/>
  <c r="B127" i="16"/>
  <c r="B62" i="56"/>
  <c r="B63" i="56"/>
  <c r="H56" i="51"/>
  <c r="B62" i="51" s="1"/>
  <c r="B63" i="44"/>
  <c r="B87" i="44"/>
  <c r="B88" i="44"/>
  <c r="E108" i="20"/>
  <c r="E90" i="10"/>
  <c r="G90" i="10" s="1"/>
  <c r="H90" i="10" s="1"/>
  <c r="E91" i="10"/>
  <c r="G91" i="10" s="1"/>
  <c r="H91" i="10" s="1"/>
  <c r="E92" i="10"/>
  <c r="G92" i="10" s="1"/>
  <c r="H92" i="10" s="1"/>
  <c r="E89" i="10"/>
  <c r="G89" i="10" s="1"/>
  <c r="H89" i="10" s="1"/>
  <c r="E93" i="10"/>
  <c r="G93" i="10" s="1"/>
  <c r="H93" i="10" s="1"/>
  <c r="H56" i="10"/>
  <c r="C55" i="37"/>
  <c r="D55" i="37" s="1"/>
  <c r="B63" i="35"/>
  <c r="E93" i="35"/>
  <c r="G93" i="35" s="1"/>
  <c r="H93" i="35" s="1"/>
  <c r="B73" i="35"/>
  <c r="E92" i="35"/>
  <c r="G92" i="35" s="1"/>
  <c r="H92" i="35" s="1"/>
  <c r="E90" i="35"/>
  <c r="G90" i="35" s="1"/>
  <c r="H90" i="35" s="1"/>
  <c r="B87" i="3"/>
  <c r="E89" i="35"/>
  <c r="G89" i="35" s="1"/>
  <c r="H89" i="35" s="1"/>
  <c r="B62" i="35"/>
  <c r="E91" i="35"/>
  <c r="G91" i="35" s="1"/>
  <c r="H91" i="35" s="1"/>
  <c r="B74" i="35"/>
  <c r="B86" i="35"/>
  <c r="B63" i="33"/>
  <c r="B62" i="33"/>
  <c r="B89" i="31"/>
  <c r="B88" i="31"/>
  <c r="B76" i="6"/>
  <c r="B62" i="3"/>
  <c r="B115" i="3"/>
  <c r="B114" i="3"/>
  <c r="B62" i="58"/>
  <c r="H54" i="56"/>
  <c r="E85" i="56" s="1"/>
  <c r="G85" i="56" s="1"/>
  <c r="H85" i="56" s="1"/>
  <c r="H54" i="58"/>
  <c r="E88" i="58" s="1"/>
  <c r="G88" i="58" s="1"/>
  <c r="H88" i="58" s="1"/>
  <c r="G65" i="47"/>
  <c r="H65" i="47" s="1"/>
  <c r="H54" i="47"/>
  <c r="E89" i="47" s="1"/>
  <c r="G89" i="47" s="1"/>
  <c r="H89" i="47" s="1"/>
  <c r="E101" i="32"/>
  <c r="G101" i="32" s="1"/>
  <c r="H101" i="32" s="1"/>
  <c r="E96" i="32"/>
  <c r="G96" i="32" s="1"/>
  <c r="H96" i="32" s="1"/>
  <c r="E95" i="32"/>
  <c r="G95" i="32" s="1"/>
  <c r="H95" i="32" s="1"/>
  <c r="E94" i="32"/>
  <c r="G94" i="32" s="1"/>
  <c r="H94" i="32" s="1"/>
  <c r="E93" i="32"/>
  <c r="G93" i="32" s="1"/>
  <c r="H93" i="32" s="1"/>
  <c r="E92" i="32"/>
  <c r="G92" i="32" s="1"/>
  <c r="H92" i="32" s="1"/>
  <c r="E90" i="32"/>
  <c r="G90" i="32" s="1"/>
  <c r="H90" i="32" s="1"/>
  <c r="E89" i="32"/>
  <c r="G89" i="32" s="1"/>
  <c r="H89" i="32" s="1"/>
  <c r="G87" i="32"/>
  <c r="H87" i="32" s="1"/>
  <c r="E100" i="32"/>
  <c r="G100" i="32" s="1"/>
  <c r="H100" i="32" s="1"/>
  <c r="E91" i="32"/>
  <c r="G91" i="32" s="1"/>
  <c r="H91" i="32" s="1"/>
  <c r="E88" i="32"/>
  <c r="G88" i="32" s="1"/>
  <c r="H88" i="32" s="1"/>
  <c r="E97" i="32"/>
  <c r="G97" i="32" s="1"/>
  <c r="H97" i="32" s="1"/>
  <c r="C55" i="32"/>
  <c r="B84" i="32" s="1"/>
  <c r="E99" i="32"/>
  <c r="G99" i="32" s="1"/>
  <c r="H99" i="32" s="1"/>
  <c r="E98" i="32"/>
  <c r="G98" i="32" s="1"/>
  <c r="H98" i="32" s="1"/>
  <c r="H54" i="33"/>
  <c r="E93" i="33" s="1"/>
  <c r="G93" i="33" s="1"/>
  <c r="H93" i="33" s="1"/>
  <c r="B91" i="33"/>
  <c r="G105" i="33"/>
  <c r="H105" i="33" s="1"/>
  <c r="G94" i="33"/>
  <c r="H94" i="33" s="1"/>
  <c r="G104" i="33"/>
  <c r="H104" i="33" s="1"/>
  <c r="G98" i="33"/>
  <c r="H98" i="33" s="1"/>
  <c r="G96" i="33"/>
  <c r="H96" i="33" s="1"/>
  <c r="G99" i="33"/>
  <c r="H99" i="33" s="1"/>
  <c r="G103" i="33"/>
  <c r="H103" i="33" s="1"/>
  <c r="G112" i="33"/>
  <c r="H112" i="33" s="1"/>
  <c r="G102" i="33"/>
  <c r="H102" i="33" s="1"/>
  <c r="G111" i="33"/>
  <c r="H111" i="33" s="1"/>
  <c r="G109" i="33"/>
  <c r="H109" i="33" s="1"/>
  <c r="G110" i="33"/>
  <c r="H110" i="33" s="1"/>
  <c r="E65" i="7"/>
  <c r="D65" i="7"/>
  <c r="H54" i="7"/>
  <c r="H55" i="69"/>
  <c r="E105" i="51"/>
  <c r="G105" i="51" s="1"/>
  <c r="H105" i="51" s="1"/>
  <c r="E113" i="51"/>
  <c r="G113" i="51" s="1"/>
  <c r="H113" i="51" s="1"/>
  <c r="E115" i="51"/>
  <c r="G115" i="51" s="1"/>
  <c r="H115" i="51" s="1"/>
  <c r="E106" i="51"/>
  <c r="G106" i="51" s="1"/>
  <c r="H106" i="51" s="1"/>
  <c r="E114" i="51"/>
  <c r="G114" i="51" s="1"/>
  <c r="H114" i="51" s="1"/>
  <c r="E116" i="51"/>
  <c r="G116" i="51" s="1"/>
  <c r="H116" i="51" s="1"/>
  <c r="E109" i="51"/>
  <c r="G109" i="51" s="1"/>
  <c r="H109" i="51" s="1"/>
  <c r="E117" i="51"/>
  <c r="G117" i="51" s="1"/>
  <c r="H117" i="51" s="1"/>
  <c r="E110" i="51"/>
  <c r="G110" i="51" s="1"/>
  <c r="H110" i="51" s="1"/>
  <c r="E107" i="51"/>
  <c r="G107" i="51" s="1"/>
  <c r="H107" i="51" s="1"/>
  <c r="E111" i="51"/>
  <c r="G111" i="51" s="1"/>
  <c r="H111" i="51" s="1"/>
  <c r="E112" i="51"/>
  <c r="G112" i="51" s="1"/>
  <c r="H112" i="51" s="1"/>
  <c r="E108" i="51"/>
  <c r="G108" i="51" s="1"/>
  <c r="H108" i="51" s="1"/>
  <c r="E94" i="60"/>
  <c r="G94" i="60" s="1"/>
  <c r="H94" i="60" s="1"/>
  <c r="E96" i="60"/>
  <c r="G96" i="60" s="1"/>
  <c r="H96" i="60" s="1"/>
  <c r="E87" i="60"/>
  <c r="G87" i="60" s="1"/>
  <c r="H87" i="60" s="1"/>
  <c r="E86" i="60"/>
  <c r="G86" i="60" s="1"/>
  <c r="H86" i="60" s="1"/>
  <c r="E91" i="60"/>
  <c r="G91" i="60" s="1"/>
  <c r="H91" i="60" s="1"/>
  <c r="E90" i="60"/>
  <c r="G90" i="60" s="1"/>
  <c r="H90" i="60" s="1"/>
  <c r="E92" i="60"/>
  <c r="G92" i="60" s="1"/>
  <c r="H92" i="60" s="1"/>
  <c r="E95" i="60"/>
  <c r="G95" i="60" s="1"/>
  <c r="H95" i="60" s="1"/>
  <c r="E93" i="60"/>
  <c r="G93" i="60" s="1"/>
  <c r="H93" i="60" s="1"/>
  <c r="E88" i="60"/>
  <c r="G88" i="60" s="1"/>
  <c r="H88" i="60" s="1"/>
  <c r="E89" i="60"/>
  <c r="G89" i="60" s="1"/>
  <c r="H89" i="60" s="1"/>
  <c r="C55" i="60"/>
  <c r="D55" i="60" s="1"/>
  <c r="E118" i="3"/>
  <c r="G118" i="3" s="1"/>
  <c r="H118" i="3" s="1"/>
  <c r="E129" i="3"/>
  <c r="G129" i="3" s="1"/>
  <c r="H129" i="3" s="1"/>
  <c r="E127" i="3"/>
  <c r="G127" i="3" s="1"/>
  <c r="H127" i="3" s="1"/>
  <c r="E123" i="3"/>
  <c r="G123" i="3" s="1"/>
  <c r="H123" i="3" s="1"/>
  <c r="E133" i="3"/>
  <c r="G133" i="3" s="1"/>
  <c r="H133" i="3" s="1"/>
  <c r="E120" i="3"/>
  <c r="G120" i="3" s="1"/>
  <c r="H120" i="3" s="1"/>
  <c r="E122" i="3"/>
  <c r="G122" i="3" s="1"/>
  <c r="H122" i="3" s="1"/>
  <c r="E126" i="3"/>
  <c r="G126" i="3" s="1"/>
  <c r="H126" i="3" s="1"/>
  <c r="E121" i="3"/>
  <c r="G121" i="3" s="1"/>
  <c r="H121" i="3" s="1"/>
  <c r="E134" i="3"/>
  <c r="G134" i="3" s="1"/>
  <c r="H134" i="3" s="1"/>
  <c r="E132" i="3"/>
  <c r="G132" i="3" s="1"/>
  <c r="H132" i="3" s="1"/>
  <c r="E125" i="3"/>
  <c r="G125" i="3" s="1"/>
  <c r="H125" i="3" s="1"/>
  <c r="E124" i="3"/>
  <c r="G124" i="3" s="1"/>
  <c r="H124" i="3" s="1"/>
  <c r="E128" i="3"/>
  <c r="G128" i="3" s="1"/>
  <c r="H128" i="3" s="1"/>
  <c r="E131" i="3"/>
  <c r="G131" i="3" s="1"/>
  <c r="H131" i="3" s="1"/>
  <c r="E119" i="3"/>
  <c r="G119" i="3" s="1"/>
  <c r="H119" i="3" s="1"/>
  <c r="E130" i="3"/>
  <c r="G130" i="3" s="1"/>
  <c r="H130" i="3" s="1"/>
  <c r="B86" i="3"/>
  <c r="B63" i="6"/>
  <c r="B62" i="6"/>
  <c r="E96" i="70"/>
  <c r="G96" i="70" s="1"/>
  <c r="H96" i="70" s="1"/>
  <c r="E104" i="70"/>
  <c r="G104" i="70" s="1"/>
  <c r="H104" i="70" s="1"/>
  <c r="E108" i="70"/>
  <c r="G108" i="70" s="1"/>
  <c r="H108" i="70" s="1"/>
  <c r="E109" i="70"/>
  <c r="G109" i="70" s="1"/>
  <c r="H109" i="70" s="1"/>
  <c r="E99" i="70"/>
  <c r="G99" i="70" s="1"/>
  <c r="H99" i="70" s="1"/>
  <c r="E101" i="70"/>
  <c r="G101" i="70" s="1"/>
  <c r="H101" i="70" s="1"/>
  <c r="E93" i="70"/>
  <c r="G93" i="70" s="1"/>
  <c r="H93" i="70" s="1"/>
  <c r="E94" i="70"/>
  <c r="G94" i="70" s="1"/>
  <c r="H94" i="70" s="1"/>
  <c r="E102" i="70"/>
  <c r="G102" i="70" s="1"/>
  <c r="H102" i="70" s="1"/>
  <c r="E105" i="70"/>
  <c r="G105" i="70" s="1"/>
  <c r="H105" i="70" s="1"/>
  <c r="E92" i="70"/>
  <c r="G92" i="70" s="1"/>
  <c r="H92" i="70" s="1"/>
  <c r="E103" i="70"/>
  <c r="G103" i="70" s="1"/>
  <c r="H103" i="70" s="1"/>
  <c r="E98" i="70"/>
  <c r="G98" i="70" s="1"/>
  <c r="H98" i="70" s="1"/>
  <c r="E100" i="70"/>
  <c r="G100" i="70" s="1"/>
  <c r="H100" i="70" s="1"/>
  <c r="E107" i="70"/>
  <c r="G107" i="70" s="1"/>
  <c r="H107" i="70" s="1"/>
  <c r="E95" i="70"/>
  <c r="G95" i="70" s="1"/>
  <c r="H95" i="70" s="1"/>
  <c r="E106" i="70"/>
  <c r="G106" i="70" s="1"/>
  <c r="H106" i="70" s="1"/>
  <c r="E97" i="70"/>
  <c r="G97" i="70" s="1"/>
  <c r="H97" i="70" s="1"/>
  <c r="C55" i="70"/>
  <c r="C73" i="53" l="1"/>
  <c r="C122" i="23"/>
  <c r="C101" i="16"/>
  <c r="H121" i="17"/>
  <c r="C121" i="17"/>
  <c r="C92" i="41"/>
  <c r="H92" i="41"/>
  <c r="H82" i="32"/>
  <c r="C82" i="32"/>
  <c r="C124" i="20"/>
  <c r="E123" i="16"/>
  <c r="G123" i="16"/>
  <c r="B102" i="51"/>
  <c r="B81" i="51"/>
  <c r="B121" i="51"/>
  <c r="G103" i="32"/>
  <c r="C103" i="32" s="1"/>
  <c r="B63" i="32"/>
  <c r="C78" i="37"/>
  <c r="H78" i="37"/>
  <c r="C108" i="3"/>
  <c r="H108" i="3"/>
  <c r="C86" i="70"/>
  <c r="H86" i="70"/>
  <c r="E112" i="70"/>
  <c r="G112" i="70"/>
  <c r="D55" i="70"/>
  <c r="E137" i="70"/>
  <c r="G137" i="70" s="1"/>
  <c r="H137" i="70" s="1"/>
  <c r="E152" i="57"/>
  <c r="G152" i="57" s="1"/>
  <c r="H152" i="57" s="1"/>
  <c r="H115" i="57"/>
  <c r="C115" i="57"/>
  <c r="E150" i="57"/>
  <c r="G150" i="57" s="1"/>
  <c r="H150" i="57" s="1"/>
  <c r="E164" i="57"/>
  <c r="G164" i="57" s="1"/>
  <c r="H164" i="57" s="1"/>
  <c r="E167" i="57"/>
  <c r="G167" i="57" s="1"/>
  <c r="H167" i="57" s="1"/>
  <c r="E163" i="57"/>
  <c r="G163" i="57" s="1"/>
  <c r="H163" i="57" s="1"/>
  <c r="E161" i="57"/>
  <c r="G161" i="57" s="1"/>
  <c r="H161" i="57" s="1"/>
  <c r="E158" i="57"/>
  <c r="G158" i="57" s="1"/>
  <c r="H158" i="57" s="1"/>
  <c r="E149" i="57"/>
  <c r="G149" i="57" s="1"/>
  <c r="H149" i="57" s="1"/>
  <c r="D56" i="57"/>
  <c r="E162" i="57"/>
  <c r="G162" i="57" s="1"/>
  <c r="H162" i="57" s="1"/>
  <c r="E151" i="57"/>
  <c r="G151" i="57" s="1"/>
  <c r="H151" i="57" s="1"/>
  <c r="E160" i="57"/>
  <c r="G160" i="57" s="1"/>
  <c r="H160" i="57" s="1"/>
  <c r="E155" i="57"/>
  <c r="G155" i="57" s="1"/>
  <c r="H155" i="57" s="1"/>
  <c r="E156" i="57"/>
  <c r="G156" i="57" s="1"/>
  <c r="H156" i="57" s="1"/>
  <c r="E159" i="57"/>
  <c r="G159" i="57" s="1"/>
  <c r="H159" i="57" s="1"/>
  <c r="E166" i="57"/>
  <c r="G166" i="57" s="1"/>
  <c r="H166" i="57" s="1"/>
  <c r="E154" i="57"/>
  <c r="G154" i="57" s="1"/>
  <c r="H154" i="57" s="1"/>
  <c r="E165" i="57"/>
  <c r="G165" i="57" s="1"/>
  <c r="H165" i="57" s="1"/>
  <c r="E148" i="57"/>
  <c r="G148" i="57" s="1"/>
  <c r="H148" i="57" s="1"/>
  <c r="E157" i="57"/>
  <c r="G157" i="57" s="1"/>
  <c r="H157" i="57" s="1"/>
  <c r="E142" i="57"/>
  <c r="G142" i="57"/>
  <c r="H114" i="28"/>
  <c r="C114" i="28"/>
  <c r="H107" i="59"/>
  <c r="C107" i="59"/>
  <c r="H116" i="33"/>
  <c r="C116" i="33"/>
  <c r="AB31" i="3"/>
  <c r="G142" i="28"/>
  <c r="E142" i="28"/>
  <c r="H142" i="28" s="1"/>
  <c r="H135" i="8"/>
  <c r="C135" i="8"/>
  <c r="E98" i="60"/>
  <c r="G98" i="60"/>
  <c r="H73" i="53"/>
  <c r="D55" i="55"/>
  <c r="H83" i="47"/>
  <c r="C83" i="47"/>
  <c r="C125" i="7"/>
  <c r="D55" i="38"/>
  <c r="C135" i="4"/>
  <c r="G148" i="7"/>
  <c r="E148" i="7"/>
  <c r="C130" i="50"/>
  <c r="H130" i="50"/>
  <c r="H122" i="23"/>
  <c r="G120" i="48"/>
  <c r="E120" i="48"/>
  <c r="E142" i="23"/>
  <c r="G142" i="23"/>
  <c r="E127" i="23"/>
  <c r="G127" i="23" s="1"/>
  <c r="H127" i="23" s="1"/>
  <c r="E140" i="23"/>
  <c r="G140" i="23" s="1"/>
  <c r="H140" i="23" s="1"/>
  <c r="E128" i="23"/>
  <c r="G128" i="23" s="1"/>
  <c r="H128" i="23" s="1"/>
  <c r="E131" i="23"/>
  <c r="G131" i="23" s="1"/>
  <c r="H131" i="23" s="1"/>
  <c r="E132" i="23"/>
  <c r="G132" i="23" s="1"/>
  <c r="H132" i="23" s="1"/>
  <c r="E134" i="23"/>
  <c r="G134" i="23" s="1"/>
  <c r="H134" i="23" s="1"/>
  <c r="E136" i="23"/>
  <c r="G136" i="23" s="1"/>
  <c r="H136" i="23" s="1"/>
  <c r="E137" i="23"/>
  <c r="G137" i="23" s="1"/>
  <c r="H137" i="23" s="1"/>
  <c r="E138" i="23"/>
  <c r="G138" i="23" s="1"/>
  <c r="H138" i="23" s="1"/>
  <c r="E139" i="23"/>
  <c r="G139" i="23" s="1"/>
  <c r="H139" i="23" s="1"/>
  <c r="E129" i="23"/>
  <c r="G129" i="23" s="1"/>
  <c r="H129" i="23" s="1"/>
  <c r="H79" i="60"/>
  <c r="C79" i="60"/>
  <c r="B62" i="53"/>
  <c r="D55" i="53"/>
  <c r="D55" i="32"/>
  <c r="D55" i="24"/>
  <c r="H57" i="23"/>
  <c r="B62" i="23" s="1"/>
  <c r="E135" i="23"/>
  <c r="G135" i="23" s="1"/>
  <c r="H135" i="23" s="1"/>
  <c r="E130" i="23"/>
  <c r="G130" i="23" s="1"/>
  <c r="H130" i="23" s="1"/>
  <c r="E133" i="23"/>
  <c r="G133" i="23" s="1"/>
  <c r="H133" i="23" s="1"/>
  <c r="E113" i="66"/>
  <c r="G113" i="66" s="1"/>
  <c r="H113" i="66" s="1"/>
  <c r="E116" i="66"/>
  <c r="G116" i="66" s="1"/>
  <c r="H116" i="66" s="1"/>
  <c r="E114" i="66"/>
  <c r="G114" i="66" s="1"/>
  <c r="H114" i="66" s="1"/>
  <c r="E117" i="66"/>
  <c r="G117" i="66" s="1"/>
  <c r="H117" i="66" s="1"/>
  <c r="E118" i="66"/>
  <c r="G118" i="66" s="1"/>
  <c r="H118" i="66" s="1"/>
  <c r="E119" i="66"/>
  <c r="G119" i="66" s="1"/>
  <c r="H119" i="66" s="1"/>
  <c r="E115" i="66"/>
  <c r="G115" i="66" s="1"/>
  <c r="H115" i="66" s="1"/>
  <c r="E120" i="66"/>
  <c r="G120" i="66" s="1"/>
  <c r="H120" i="66" s="1"/>
  <c r="E121" i="66"/>
  <c r="G121" i="66" s="1"/>
  <c r="H121" i="66" s="1"/>
  <c r="H57" i="66"/>
  <c r="B62" i="48"/>
  <c r="H101" i="48"/>
  <c r="C101" i="48"/>
  <c r="B84" i="48"/>
  <c r="H107" i="47"/>
  <c r="C107" i="47"/>
  <c r="H103" i="32"/>
  <c r="H136" i="3"/>
  <c r="C136" i="3"/>
  <c r="C56" i="54"/>
  <c r="D56" i="54" s="1"/>
  <c r="C95" i="10"/>
  <c r="H95" i="10"/>
  <c r="E106" i="10"/>
  <c r="E102" i="10"/>
  <c r="G102" i="10" s="1"/>
  <c r="H102" i="10" s="1"/>
  <c r="G106" i="10"/>
  <c r="E101" i="10"/>
  <c r="G101" i="10" s="1"/>
  <c r="H101" i="10" s="1"/>
  <c r="E104" i="10"/>
  <c r="G104" i="10" s="1"/>
  <c r="H104" i="10" s="1"/>
  <c r="E103" i="10"/>
  <c r="G103" i="10" s="1"/>
  <c r="H103" i="10" s="1"/>
  <c r="E100" i="10"/>
  <c r="G100" i="10" s="1"/>
  <c r="H100" i="10" s="1"/>
  <c r="B63" i="53"/>
  <c r="B73" i="10"/>
  <c r="B63" i="60"/>
  <c r="B63" i="10"/>
  <c r="B74" i="10"/>
  <c r="B62" i="10"/>
  <c r="C57" i="39"/>
  <c r="D57" i="39" s="1"/>
  <c r="C56" i="38"/>
  <c r="C56" i="14"/>
  <c r="D56" i="14" s="1"/>
  <c r="B115" i="14" s="1"/>
  <c r="B85" i="48"/>
  <c r="B63" i="48"/>
  <c r="B104" i="48"/>
  <c r="E110" i="48"/>
  <c r="G110" i="48" s="1"/>
  <c r="H110" i="48" s="1"/>
  <c r="E114" i="48"/>
  <c r="G114" i="48" s="1"/>
  <c r="H114" i="48" s="1"/>
  <c r="E116" i="48"/>
  <c r="G116" i="48" s="1"/>
  <c r="H116" i="48" s="1"/>
  <c r="E118" i="48"/>
  <c r="G118" i="48" s="1"/>
  <c r="H118" i="48" s="1"/>
  <c r="E113" i="48"/>
  <c r="G113" i="48" s="1"/>
  <c r="H113" i="48" s="1"/>
  <c r="E112" i="48"/>
  <c r="G112" i="48" s="1"/>
  <c r="H112" i="48" s="1"/>
  <c r="E115" i="48"/>
  <c r="G115" i="48" s="1"/>
  <c r="H115" i="48" s="1"/>
  <c r="E108" i="48"/>
  <c r="G108" i="48" s="1"/>
  <c r="H108" i="48" s="1"/>
  <c r="E111" i="48"/>
  <c r="G111" i="48" s="1"/>
  <c r="H111" i="48" s="1"/>
  <c r="E109" i="48"/>
  <c r="G109" i="48" s="1"/>
  <c r="H109" i="48" s="1"/>
  <c r="B103" i="48"/>
  <c r="E117" i="48"/>
  <c r="G117" i="48" s="1"/>
  <c r="H117" i="48" s="1"/>
  <c r="E107" i="48"/>
  <c r="G107" i="48" s="1"/>
  <c r="H107" i="48" s="1"/>
  <c r="B63" i="47"/>
  <c r="B62" i="47"/>
  <c r="B86" i="47"/>
  <c r="B87" i="47"/>
  <c r="B62" i="37"/>
  <c r="B63" i="37"/>
  <c r="B82" i="60"/>
  <c r="B103" i="51"/>
  <c r="B82" i="51"/>
  <c r="B122" i="51"/>
  <c r="B63" i="51"/>
  <c r="B88" i="70"/>
  <c r="B62" i="60"/>
  <c r="B81" i="60"/>
  <c r="B86" i="10"/>
  <c r="B97" i="10"/>
  <c r="B98" i="10"/>
  <c r="E132" i="51"/>
  <c r="G132" i="51" s="1"/>
  <c r="H132" i="51" s="1"/>
  <c r="E136" i="51"/>
  <c r="G136" i="51" s="1"/>
  <c r="H136" i="51" s="1"/>
  <c r="E134" i="51"/>
  <c r="G134" i="51" s="1"/>
  <c r="H134" i="51" s="1"/>
  <c r="E124" i="51"/>
  <c r="G124" i="51" s="1"/>
  <c r="H124" i="51" s="1"/>
  <c r="E135" i="51"/>
  <c r="G135" i="51" s="1"/>
  <c r="H135" i="51" s="1"/>
  <c r="E133" i="51"/>
  <c r="G133" i="51" s="1"/>
  <c r="H133" i="51" s="1"/>
  <c r="E131" i="51"/>
  <c r="G131" i="51" s="1"/>
  <c r="H131" i="51" s="1"/>
  <c r="E130" i="51"/>
  <c r="G130" i="51" s="1"/>
  <c r="H130" i="51" s="1"/>
  <c r="E129" i="51"/>
  <c r="G129" i="51" s="1"/>
  <c r="H129" i="51" s="1"/>
  <c r="E128" i="51"/>
  <c r="G128" i="51" s="1"/>
  <c r="H128" i="51" s="1"/>
  <c r="E127" i="51"/>
  <c r="G127" i="51" s="1"/>
  <c r="H127" i="51" s="1"/>
  <c r="E126" i="51"/>
  <c r="G126" i="51" s="1"/>
  <c r="H126" i="51" s="1"/>
  <c r="E125" i="51"/>
  <c r="G125" i="51" s="1"/>
  <c r="H125" i="51" s="1"/>
  <c r="G108" i="20"/>
  <c r="H108" i="20" s="1"/>
  <c r="B87" i="10"/>
  <c r="B85" i="32"/>
  <c r="B64" i="32"/>
  <c r="H55" i="58"/>
  <c r="H55" i="56"/>
  <c r="B63" i="70"/>
  <c r="B115" i="70"/>
  <c r="B116" i="70"/>
  <c r="B89" i="70"/>
  <c r="B62" i="70"/>
  <c r="H55" i="47"/>
  <c r="H55" i="33"/>
  <c r="G65" i="7"/>
  <c r="H65" i="7" s="1"/>
  <c r="D88" i="7"/>
  <c r="E88" i="7"/>
  <c r="H55" i="7"/>
  <c r="E134" i="70"/>
  <c r="G134" i="70" s="1"/>
  <c r="H134" i="70" s="1"/>
  <c r="E132" i="70"/>
  <c r="G132" i="70" s="1"/>
  <c r="H132" i="70" s="1"/>
  <c r="E131" i="70"/>
  <c r="G131" i="70" s="1"/>
  <c r="H131" i="70" s="1"/>
  <c r="E125" i="70"/>
  <c r="G125" i="70" s="1"/>
  <c r="H125" i="70" s="1"/>
  <c r="E136" i="70"/>
  <c r="G136" i="70" s="1"/>
  <c r="H136" i="70" s="1"/>
  <c r="E128" i="70"/>
  <c r="G128" i="70" s="1"/>
  <c r="H128" i="70" s="1"/>
  <c r="E127" i="70"/>
  <c r="G127" i="70" s="1"/>
  <c r="H127" i="70" s="1"/>
  <c r="E119" i="70"/>
  <c r="G119" i="70" s="1"/>
  <c r="H119" i="70" s="1"/>
  <c r="E133" i="70"/>
  <c r="G133" i="70" s="1"/>
  <c r="H133" i="70" s="1"/>
  <c r="E123" i="70"/>
  <c r="G123" i="70" s="1"/>
  <c r="H123" i="70" s="1"/>
  <c r="E122" i="70"/>
  <c r="G122" i="70" s="1"/>
  <c r="H122" i="70" s="1"/>
  <c r="E130" i="70"/>
  <c r="G130" i="70" s="1"/>
  <c r="H130" i="70" s="1"/>
  <c r="E124" i="70"/>
  <c r="G124" i="70" s="1"/>
  <c r="H124" i="70" s="1"/>
  <c r="E129" i="70"/>
  <c r="G129" i="70" s="1"/>
  <c r="H129" i="70" s="1"/>
  <c r="E121" i="70"/>
  <c r="G121" i="70" s="1"/>
  <c r="H121" i="70" s="1"/>
  <c r="E126" i="70"/>
  <c r="G126" i="70" s="1"/>
  <c r="H126" i="70" s="1"/>
  <c r="E135" i="70"/>
  <c r="G135" i="70" s="1"/>
  <c r="H135" i="70" s="1"/>
  <c r="E120" i="70"/>
  <c r="G120" i="70" s="1"/>
  <c r="H120" i="70" s="1"/>
  <c r="H123" i="16" l="1"/>
  <c r="C123" i="16"/>
  <c r="B124" i="23"/>
  <c r="B104" i="23"/>
  <c r="B82" i="23"/>
  <c r="B144" i="23"/>
  <c r="H112" i="70"/>
  <c r="C112" i="70"/>
  <c r="G139" i="70"/>
  <c r="E139" i="70"/>
  <c r="G169" i="57"/>
  <c r="E169" i="57"/>
  <c r="H142" i="57"/>
  <c r="C142" i="57"/>
  <c r="AF31" i="3"/>
  <c r="C142" i="28"/>
  <c r="C148" i="7"/>
  <c r="H98" i="60"/>
  <c r="C98" i="60"/>
  <c r="C57" i="38"/>
  <c r="D56" i="38"/>
  <c r="H148" i="7"/>
  <c r="E109" i="7"/>
  <c r="G109" i="7" s="1"/>
  <c r="H109" i="7" s="1"/>
  <c r="H56" i="7"/>
  <c r="E132" i="7" s="1"/>
  <c r="G132" i="7" s="1"/>
  <c r="H132" i="7" s="1"/>
  <c r="H142" i="23"/>
  <c r="C142" i="23"/>
  <c r="B145" i="23"/>
  <c r="B63" i="23"/>
  <c r="B125" i="23"/>
  <c r="B105" i="23"/>
  <c r="B83" i="23"/>
  <c r="E147" i="23"/>
  <c r="G147" i="23" s="1"/>
  <c r="H147" i="23" s="1"/>
  <c r="E152" i="23"/>
  <c r="G152" i="23" s="1"/>
  <c r="H152" i="23" s="1"/>
  <c r="E150" i="23"/>
  <c r="G150" i="23" s="1"/>
  <c r="H150" i="23" s="1"/>
  <c r="E151" i="23"/>
  <c r="G151" i="23" s="1"/>
  <c r="H151" i="23" s="1"/>
  <c r="E160" i="23"/>
  <c r="G160" i="23" s="1"/>
  <c r="H160" i="23" s="1"/>
  <c r="G162" i="23"/>
  <c r="E162" i="23"/>
  <c r="E148" i="23"/>
  <c r="G148" i="23" s="1"/>
  <c r="H148" i="23" s="1"/>
  <c r="E154" i="23"/>
  <c r="G154" i="23" s="1"/>
  <c r="H154" i="23" s="1"/>
  <c r="E155" i="23"/>
  <c r="G155" i="23" s="1"/>
  <c r="H155" i="23" s="1"/>
  <c r="E157" i="23"/>
  <c r="G157" i="23" s="1"/>
  <c r="H157" i="23" s="1"/>
  <c r="E159" i="23"/>
  <c r="G159" i="23" s="1"/>
  <c r="H159" i="23" s="1"/>
  <c r="E153" i="23"/>
  <c r="G153" i="23" s="1"/>
  <c r="H153" i="23" s="1"/>
  <c r="E156" i="23"/>
  <c r="G156" i="23" s="1"/>
  <c r="H156" i="23" s="1"/>
  <c r="E158" i="23"/>
  <c r="G158" i="23" s="1"/>
  <c r="H158" i="23" s="1"/>
  <c r="E149" i="23"/>
  <c r="G149" i="23" s="1"/>
  <c r="H149" i="23" s="1"/>
  <c r="E130" i="66"/>
  <c r="G130" i="66" s="1"/>
  <c r="H130" i="66" s="1"/>
  <c r="E137" i="66"/>
  <c r="G137" i="66" s="1"/>
  <c r="H137" i="66" s="1"/>
  <c r="H58" i="66"/>
  <c r="B110" i="66" s="1"/>
  <c r="E131" i="66"/>
  <c r="G131" i="66" s="1"/>
  <c r="H131" i="66" s="1"/>
  <c r="E132" i="66"/>
  <c r="G132" i="66" s="1"/>
  <c r="H132" i="66" s="1"/>
  <c r="E133" i="66"/>
  <c r="G133" i="66" s="1"/>
  <c r="H133" i="66" s="1"/>
  <c r="E134" i="66"/>
  <c r="G134" i="66" s="1"/>
  <c r="H134" i="66" s="1"/>
  <c r="E135" i="66"/>
  <c r="G135" i="66" s="1"/>
  <c r="H135" i="66" s="1"/>
  <c r="E136" i="66"/>
  <c r="G136" i="66" s="1"/>
  <c r="H136" i="66" s="1"/>
  <c r="E129" i="66"/>
  <c r="G129" i="66" s="1"/>
  <c r="H129" i="66" s="1"/>
  <c r="H120" i="48"/>
  <c r="C120" i="48"/>
  <c r="C57" i="54"/>
  <c r="C106" i="10"/>
  <c r="H106" i="10"/>
  <c r="C57" i="14"/>
  <c r="E109" i="14"/>
  <c r="G109" i="14" s="1"/>
  <c r="H109" i="14" s="1"/>
  <c r="E107" i="14"/>
  <c r="G107" i="14" s="1"/>
  <c r="H107" i="14" s="1"/>
  <c r="E112" i="14"/>
  <c r="G112" i="14" s="1"/>
  <c r="H112" i="14" s="1"/>
  <c r="E111" i="14"/>
  <c r="G111" i="14" s="1"/>
  <c r="H111" i="14" s="1"/>
  <c r="E110" i="14"/>
  <c r="G110" i="14" s="1"/>
  <c r="H110" i="14" s="1"/>
  <c r="E113" i="14"/>
  <c r="G113" i="14" s="1"/>
  <c r="H113" i="14" s="1"/>
  <c r="E108" i="14"/>
  <c r="G108" i="14" s="1"/>
  <c r="H108" i="14" s="1"/>
  <c r="G88" i="7"/>
  <c r="H88" i="7" s="1"/>
  <c r="B95" i="66" l="1"/>
  <c r="B142" i="66"/>
  <c r="B62" i="66"/>
  <c r="B77" i="66"/>
  <c r="B126" i="66"/>
  <c r="B94" i="66"/>
  <c r="H139" i="70"/>
  <c r="C139" i="70"/>
  <c r="H169" i="57"/>
  <c r="C169" i="57"/>
  <c r="D57" i="54"/>
  <c r="C58" i="38"/>
  <c r="D57" i="38"/>
  <c r="D57" i="14"/>
  <c r="B128" i="14" s="1"/>
  <c r="B78" i="66"/>
  <c r="B143" i="66"/>
  <c r="B127" i="66"/>
  <c r="B111" i="66"/>
  <c r="H162" i="23"/>
  <c r="C162" i="23"/>
  <c r="B63" i="66"/>
  <c r="E145" i="66"/>
  <c r="G145" i="66" s="1"/>
  <c r="H145" i="66" s="1"/>
  <c r="E149" i="66"/>
  <c r="G149" i="66" s="1"/>
  <c r="H149" i="66" s="1"/>
  <c r="E151" i="66"/>
  <c r="G151" i="66" s="1"/>
  <c r="H151" i="66" s="1"/>
  <c r="E153" i="66"/>
  <c r="G153" i="66" s="1"/>
  <c r="H153" i="66" s="1"/>
  <c r="E146" i="66"/>
  <c r="G146" i="66" s="1"/>
  <c r="H146" i="66" s="1"/>
  <c r="E152" i="66"/>
  <c r="G152" i="66" s="1"/>
  <c r="H152" i="66" s="1"/>
  <c r="E147" i="66"/>
  <c r="G147" i="66" s="1"/>
  <c r="H147" i="66" s="1"/>
  <c r="E150" i="66"/>
  <c r="G150" i="66" s="1"/>
  <c r="H150" i="66" s="1"/>
  <c r="E148" i="66"/>
  <c r="G148" i="66" s="1"/>
  <c r="H148" i="66" s="1"/>
  <c r="E121" i="14"/>
  <c r="G121" i="14" s="1"/>
  <c r="H121" i="14" s="1"/>
  <c r="E124" i="14"/>
  <c r="G124" i="14" s="1"/>
  <c r="H124" i="14" s="1"/>
  <c r="E125" i="14"/>
  <c r="G125" i="14" s="1"/>
  <c r="H125" i="14" s="1"/>
  <c r="E126" i="14"/>
  <c r="G126" i="14" s="1"/>
  <c r="H126" i="14" s="1"/>
  <c r="E122" i="14"/>
  <c r="G122" i="14" s="1"/>
  <c r="H122" i="14" s="1"/>
  <c r="E123" i="14"/>
  <c r="G123" i="14" s="1"/>
  <c r="H123" i="14" s="1"/>
  <c r="E120" i="14"/>
  <c r="G120" i="14" s="1"/>
  <c r="H120" i="14" s="1"/>
  <c r="D65" i="45"/>
  <c r="H52" i="45"/>
  <c r="C59" i="38" l="1"/>
  <c r="D58" i="38"/>
  <c r="G5" i="45"/>
  <c r="H5" i="45" s="1"/>
  <c r="K5" i="45" s="1"/>
  <c r="L5" i="45" s="1"/>
  <c r="S35" i="45" s="1"/>
  <c r="U35" i="45" s="1"/>
  <c r="H53" i="45"/>
  <c r="H54" i="45" l="1"/>
  <c r="E65" i="45"/>
  <c r="G65" i="45" s="1"/>
  <c r="H65" i="45" s="1"/>
  <c r="D59" i="38"/>
  <c r="AA30" i="45"/>
  <c r="D65" i="27"/>
  <c r="E90" i="45" l="1"/>
  <c r="G90" i="45" s="1"/>
  <c r="H90" i="45" s="1"/>
  <c r="H55" i="45"/>
  <c r="E112" i="45" s="1"/>
  <c r="G112" i="45" s="1"/>
  <c r="H112" i="45" s="1"/>
  <c r="H52" i="27"/>
  <c r="H53" i="27" s="1"/>
  <c r="E65" i="27" s="1"/>
  <c r="G65" i="27" s="1"/>
  <c r="H65" i="27" s="1"/>
  <c r="H54" i="27" l="1"/>
  <c r="H52" i="15"/>
  <c r="D65" i="15"/>
  <c r="D97" i="15"/>
  <c r="H55" i="27" l="1"/>
  <c r="E88" i="27"/>
  <c r="G88" i="27" s="1"/>
  <c r="H88" i="27" s="1"/>
  <c r="H53" i="15"/>
  <c r="E5" i="15"/>
  <c r="G5" i="15" s="1"/>
  <c r="H5" i="15" s="1"/>
  <c r="K5" i="15" s="1"/>
  <c r="E65" i="15" l="1"/>
  <c r="H54" i="15"/>
  <c r="E97" i="15" s="1"/>
  <c r="L5" i="15"/>
  <c r="S35" i="15" s="1"/>
  <c r="U35" i="15" s="1"/>
  <c r="G65" i="15" l="1"/>
  <c r="H65" i="15" s="1"/>
  <c r="G97" i="15"/>
  <c r="H97" i="15" s="1"/>
  <c r="H55" i="15"/>
  <c r="AB30" i="15"/>
  <c r="AF30" i="15" s="1"/>
  <c r="AC25" i="15" s="1"/>
  <c r="H51" i="6"/>
  <c r="D78" i="6"/>
  <c r="H52" i="6"/>
  <c r="H53" i="6" s="1"/>
  <c r="D65" i="6"/>
  <c r="H54" i="6" l="1"/>
  <c r="E5" i="6"/>
  <c r="G5" i="6" s="1"/>
  <c r="H5" i="6" s="1"/>
  <c r="K5" i="6" s="1"/>
  <c r="L5" i="6" s="1"/>
  <c r="S35" i="6" s="1"/>
  <c r="E65" i="6"/>
  <c r="G65" i="6" s="1"/>
  <c r="H65" i="6" s="1"/>
  <c r="AB30" i="6" l="1"/>
  <c r="U35" i="6"/>
  <c r="E78" i="6"/>
  <c r="G78" i="6" s="1"/>
  <c r="H78" i="6" s="1"/>
  <c r="H55" i="6"/>
  <c r="AF30" i="6" l="1"/>
  <c r="AC25" i="6" s="1"/>
  <c r="AB31" i="6"/>
  <c r="AC25" i="10"/>
  <c r="AA29" i="16" l="1"/>
  <c r="AC30" i="16" s="1"/>
  <c r="AC25" i="16" s="1"/>
  <c r="AC29" i="16" l="1"/>
  <c r="AE28" i="7"/>
  <c r="AC29" i="7" s="1"/>
  <c r="AB29" i="7" l="1"/>
  <c r="AE29" i="7"/>
  <c r="AA29" i="7"/>
  <c r="T32" i="30"/>
  <c r="E1" i="30" s="1"/>
  <c r="U32" i="30"/>
  <c r="AE30" i="30" s="1"/>
  <c r="AE30" i="7" l="1"/>
  <c r="AC25" i="7" s="1"/>
  <c r="G1" i="30"/>
  <c r="I1" i="30" s="1"/>
  <c r="C52" i="30" s="1"/>
  <c r="D52" i="30"/>
  <c r="E7" i="30" l="1"/>
  <c r="G7" i="30" s="1"/>
  <c r="H7" i="30" s="1"/>
  <c r="K7" i="30" s="1"/>
  <c r="L7" i="30" s="1"/>
  <c r="E8" i="30"/>
  <c r="G8" i="30" s="1"/>
  <c r="H8" i="30" s="1"/>
  <c r="K8" i="30" s="1"/>
  <c r="L8" i="30" s="1"/>
  <c r="E12" i="30"/>
  <c r="G12" i="30" s="1"/>
  <c r="H12" i="30" s="1"/>
  <c r="K12" i="30" s="1"/>
  <c r="L12" i="30" s="1"/>
  <c r="E13" i="30"/>
  <c r="G13" i="30" s="1"/>
  <c r="H13" i="30" s="1"/>
  <c r="K13" i="30" s="1"/>
  <c r="L13" i="30" s="1"/>
  <c r="E9" i="30"/>
  <c r="G9" i="30" s="1"/>
  <c r="H9" i="30" s="1"/>
  <c r="K9" i="30" s="1"/>
  <c r="L9" i="30" s="1"/>
  <c r="E10" i="30"/>
  <c r="G10" i="30" s="1"/>
  <c r="H10" i="30" s="1"/>
  <c r="K10" i="30" s="1"/>
  <c r="L10" i="30" s="1"/>
  <c r="E11" i="30"/>
  <c r="G11" i="30" s="1"/>
  <c r="H11" i="30" s="1"/>
  <c r="K11" i="30" s="1"/>
  <c r="L11" i="30" s="1"/>
  <c r="E6" i="30"/>
  <c r="G6" i="30" s="1"/>
  <c r="H6" i="30" s="1"/>
  <c r="K6" i="30" s="1"/>
  <c r="L6" i="30" s="1"/>
  <c r="C53" i="30"/>
  <c r="T35" i="30" l="1"/>
  <c r="E70" i="30"/>
  <c r="G70" i="30" s="1"/>
  <c r="H70" i="30" s="1"/>
  <c r="E66" i="30"/>
  <c r="G66" i="30" s="1"/>
  <c r="H66" i="30" s="1"/>
  <c r="E72" i="30"/>
  <c r="G72" i="30" s="1"/>
  <c r="H72" i="30" s="1"/>
  <c r="D53" i="30"/>
  <c r="E69" i="30"/>
  <c r="G69" i="30" s="1"/>
  <c r="H69" i="30" s="1"/>
  <c r="E68" i="30"/>
  <c r="G68" i="30" s="1"/>
  <c r="H68" i="30" s="1"/>
  <c r="E67" i="30"/>
  <c r="G67" i="30" s="1"/>
  <c r="H67" i="30" s="1"/>
  <c r="E71" i="30"/>
  <c r="G71" i="30" s="1"/>
  <c r="H71" i="30" s="1"/>
  <c r="E73" i="30"/>
  <c r="G73" i="30" s="1"/>
  <c r="H73" i="30" s="1"/>
  <c r="C54" i="30"/>
  <c r="AD30" i="30" l="1"/>
  <c r="U35" i="30"/>
  <c r="AC30" i="30"/>
  <c r="E87" i="30"/>
  <c r="G87" i="30" s="1"/>
  <c r="H87" i="30" s="1"/>
  <c r="E86" i="30"/>
  <c r="G86" i="30" s="1"/>
  <c r="H86" i="30" s="1"/>
  <c r="E82" i="30"/>
  <c r="G82" i="30" s="1"/>
  <c r="H82" i="30" s="1"/>
  <c r="E88" i="30"/>
  <c r="G88" i="30" s="1"/>
  <c r="H88" i="30" s="1"/>
  <c r="E84" i="30"/>
  <c r="G84" i="30" s="1"/>
  <c r="H84" i="30" s="1"/>
  <c r="E85" i="30"/>
  <c r="G85" i="30" s="1"/>
  <c r="H85" i="30" s="1"/>
  <c r="E81" i="30"/>
  <c r="G81" i="30" s="1"/>
  <c r="H81" i="30" s="1"/>
  <c r="D54" i="30"/>
  <c r="E83" i="30"/>
  <c r="G83" i="30" s="1"/>
  <c r="H83" i="30" s="1"/>
  <c r="G75" i="30"/>
  <c r="E75" i="30"/>
  <c r="C55" i="30"/>
  <c r="B62" i="30" s="1"/>
  <c r="B78" i="30" l="1"/>
  <c r="B63" i="30"/>
  <c r="B77" i="30"/>
  <c r="AD31" i="30"/>
  <c r="AF30" i="30"/>
  <c r="AC25" i="30" s="1"/>
  <c r="D55" i="30"/>
  <c r="C75" i="30"/>
  <c r="H75" i="30"/>
  <c r="G90" i="30"/>
  <c r="E90" i="30"/>
  <c r="C90" i="30" l="1"/>
  <c r="H90" i="30"/>
  <c r="AC29" i="10"/>
  <c r="AB29" i="27" l="1"/>
  <c r="AC29" i="27"/>
  <c r="AA29" i="27"/>
  <c r="AC30" i="27" l="1"/>
  <c r="AC25" i="27" s="1"/>
  <c r="AC29" i="43"/>
  <c r="AD29" i="43"/>
  <c r="AB29" i="43"/>
  <c r="AF29" i="43"/>
  <c r="AF30" i="43" l="1"/>
  <c r="AC25" i="43" s="1"/>
  <c r="AB29" i="45"/>
  <c r="AA29" i="45"/>
  <c r="AC30" i="45" s="1"/>
  <c r="AC25" i="45" s="1"/>
  <c r="AC29" i="45"/>
  <c r="AC29" i="50"/>
  <c r="AB29" i="50"/>
  <c r="AA29" i="50"/>
  <c r="AC30" i="50" s="1"/>
  <c r="AC25" i="50" s="1"/>
  <c r="S28" i="52"/>
  <c r="S32" i="52" s="1"/>
  <c r="B70" i="52" s="1"/>
  <c r="D1" i="52" l="1"/>
  <c r="F1" i="52" s="1"/>
  <c r="H1" i="52" s="1"/>
  <c r="E7" i="52" l="1"/>
  <c r="E9" i="52"/>
  <c r="E8" i="52"/>
  <c r="E6" i="52"/>
  <c r="G6" i="52" l="1"/>
  <c r="H6" i="52" s="1"/>
  <c r="K6" i="52" s="1"/>
  <c r="L6" i="52" s="1"/>
  <c r="E65" i="52"/>
  <c r="G65" i="52" s="1"/>
  <c r="H65" i="52" s="1"/>
  <c r="G8" i="52"/>
  <c r="H8" i="52" s="1"/>
  <c r="K8" i="52" s="1"/>
  <c r="L8" i="52" s="1"/>
  <c r="E67" i="52"/>
  <c r="G67" i="52" s="1"/>
  <c r="H67" i="52" s="1"/>
  <c r="G9" i="52"/>
  <c r="H9" i="52" s="1"/>
  <c r="K9" i="52" s="1"/>
  <c r="L9" i="52" s="1"/>
  <c r="E68" i="52"/>
  <c r="G68" i="52" s="1"/>
  <c r="H68" i="52" s="1"/>
  <c r="G7" i="52"/>
  <c r="H7" i="52" s="1"/>
  <c r="K7" i="52" s="1"/>
  <c r="L7" i="52" s="1"/>
  <c r="E66" i="52"/>
  <c r="G66" i="52" s="1"/>
  <c r="H66" i="52" s="1"/>
  <c r="AC29" i="65"/>
  <c r="AA29" i="65"/>
  <c r="AB29" i="65"/>
  <c r="S35" i="52" l="1"/>
  <c r="U35" i="52" s="1"/>
  <c r="AC25" i="52" l="1"/>
  <c r="S32" i="65"/>
  <c r="J52" i="65" s="1"/>
  <c r="B81" i="65" s="1"/>
  <c r="R20" i="65"/>
  <c r="U32" i="65" l="1"/>
  <c r="J53" i="65"/>
  <c r="T32" i="65"/>
  <c r="U28" i="64"/>
  <c r="I52" i="65"/>
  <c r="H52" i="65" s="1"/>
  <c r="E1" i="65" l="1"/>
  <c r="G1" i="65" s="1"/>
  <c r="D52" i="65"/>
  <c r="H53" i="65"/>
  <c r="E5" i="65"/>
  <c r="U34" i="64"/>
  <c r="T22" i="64"/>
  <c r="U32" i="64"/>
  <c r="T28" i="64"/>
  <c r="T32" i="64" s="1"/>
  <c r="E1" i="64" s="1"/>
  <c r="I53" i="65"/>
  <c r="J54" i="65"/>
  <c r="I54" i="65" s="1"/>
  <c r="G5" i="65" l="1"/>
  <c r="H5" i="65" s="1"/>
  <c r="K5" i="65" s="1"/>
  <c r="L5" i="65" s="1"/>
  <c r="S35" i="65" s="1"/>
  <c r="AA30" i="65" s="1"/>
  <c r="E65" i="65"/>
  <c r="G65" i="65" s="1"/>
  <c r="H65" i="65" s="1"/>
  <c r="G81" i="65"/>
  <c r="E81" i="65"/>
  <c r="E14" i="65"/>
  <c r="E11" i="65"/>
  <c r="E18" i="65"/>
  <c r="E8" i="65"/>
  <c r="E16" i="65"/>
  <c r="E6" i="65"/>
  <c r="E12" i="65"/>
  <c r="E17" i="65"/>
  <c r="E9" i="65"/>
  <c r="E7" i="65"/>
  <c r="E15" i="65"/>
  <c r="E19" i="65"/>
  <c r="I1" i="65"/>
  <c r="C52" i="65" s="1"/>
  <c r="E10" i="65"/>
  <c r="E13" i="65"/>
  <c r="G1" i="64"/>
  <c r="D52" i="64"/>
  <c r="H75" i="64" s="1"/>
  <c r="H54" i="65"/>
  <c r="H55" i="65" s="1"/>
  <c r="J55" i="65"/>
  <c r="I55" i="65" s="1"/>
  <c r="G9" i="65" l="1"/>
  <c r="H9" i="65" s="1"/>
  <c r="K9" i="65" s="1"/>
  <c r="L9" i="65" s="1"/>
  <c r="E69" i="65"/>
  <c r="G69" i="65" s="1"/>
  <c r="H69" i="65" s="1"/>
  <c r="G16" i="65"/>
  <c r="H16" i="65" s="1"/>
  <c r="K16" i="65" s="1"/>
  <c r="L16" i="65" s="1"/>
  <c r="E76" i="65"/>
  <c r="G76" i="65" s="1"/>
  <c r="H76" i="65" s="1"/>
  <c r="G13" i="65"/>
  <c r="H13" i="65" s="1"/>
  <c r="K13" i="65" s="1"/>
  <c r="L13" i="65" s="1"/>
  <c r="E73" i="65"/>
  <c r="G73" i="65" s="1"/>
  <c r="H73" i="65" s="1"/>
  <c r="G19" i="65"/>
  <c r="H19" i="65" s="1"/>
  <c r="K19" i="65" s="1"/>
  <c r="L19" i="65" s="1"/>
  <c r="E79" i="65"/>
  <c r="G79" i="65" s="1"/>
  <c r="H79" i="65" s="1"/>
  <c r="G8" i="65"/>
  <c r="H8" i="65" s="1"/>
  <c r="K8" i="65" s="1"/>
  <c r="L8" i="65" s="1"/>
  <c r="E68" i="65"/>
  <c r="G68" i="65" s="1"/>
  <c r="H68" i="65" s="1"/>
  <c r="G10" i="65"/>
  <c r="H10" i="65" s="1"/>
  <c r="K10" i="65" s="1"/>
  <c r="L10" i="65" s="1"/>
  <c r="E70" i="65"/>
  <c r="G70" i="65" s="1"/>
  <c r="H70" i="65" s="1"/>
  <c r="G15" i="65"/>
  <c r="H15" i="65" s="1"/>
  <c r="K15" i="65" s="1"/>
  <c r="L15" i="65" s="1"/>
  <c r="E75" i="65"/>
  <c r="G75" i="65" s="1"/>
  <c r="H75" i="65" s="1"/>
  <c r="G6" i="65"/>
  <c r="H6" i="65" s="1"/>
  <c r="K6" i="65" s="1"/>
  <c r="L6" i="65" s="1"/>
  <c r="E66" i="65"/>
  <c r="G66" i="65" s="1"/>
  <c r="H66" i="65" s="1"/>
  <c r="G7" i="65"/>
  <c r="H7" i="65" s="1"/>
  <c r="K7" i="65" s="1"/>
  <c r="L7" i="65" s="1"/>
  <c r="E67" i="65"/>
  <c r="G67" i="65" s="1"/>
  <c r="H67" i="65" s="1"/>
  <c r="G17" i="65"/>
  <c r="H17" i="65" s="1"/>
  <c r="K17" i="65" s="1"/>
  <c r="L17" i="65" s="1"/>
  <c r="E77" i="65"/>
  <c r="G77" i="65" s="1"/>
  <c r="H77" i="65" s="1"/>
  <c r="G12" i="65"/>
  <c r="H12" i="65" s="1"/>
  <c r="K12" i="65" s="1"/>
  <c r="L12" i="65" s="1"/>
  <c r="E72" i="65"/>
  <c r="G72" i="65" s="1"/>
  <c r="H72" i="65" s="1"/>
  <c r="G18" i="65"/>
  <c r="H18" i="65" s="1"/>
  <c r="K18" i="65" s="1"/>
  <c r="L18" i="65" s="1"/>
  <c r="E78" i="65"/>
  <c r="G78" i="65" s="1"/>
  <c r="H78" i="65" s="1"/>
  <c r="G11" i="65"/>
  <c r="H11" i="65" s="1"/>
  <c r="K11" i="65" s="1"/>
  <c r="L11" i="65" s="1"/>
  <c r="E71" i="65"/>
  <c r="G71" i="65" s="1"/>
  <c r="H71" i="65" s="1"/>
  <c r="G14" i="65"/>
  <c r="H14" i="65" s="1"/>
  <c r="K14" i="65" s="1"/>
  <c r="L14" i="65" s="1"/>
  <c r="E74" i="65"/>
  <c r="G74" i="65" s="1"/>
  <c r="H74" i="65" s="1"/>
  <c r="C81" i="65"/>
  <c r="H81" i="65"/>
  <c r="E65" i="64"/>
  <c r="G65" i="64" s="1"/>
  <c r="H65" i="64" s="1"/>
  <c r="B75" i="64" s="1"/>
  <c r="E73" i="64"/>
  <c r="G73" i="64" s="1"/>
  <c r="H73" i="64" s="1"/>
  <c r="E66" i="64"/>
  <c r="G66" i="64" s="1"/>
  <c r="H66" i="64" s="1"/>
  <c r="E71" i="64"/>
  <c r="G71" i="64" s="1"/>
  <c r="H71" i="64" s="1"/>
  <c r="E69" i="64"/>
  <c r="G69" i="64" s="1"/>
  <c r="H69" i="64" s="1"/>
  <c r="E72" i="64"/>
  <c r="G72" i="64" s="1"/>
  <c r="H72" i="64" s="1"/>
  <c r="E70" i="64"/>
  <c r="G70" i="64" s="1"/>
  <c r="H70" i="64" s="1"/>
  <c r="E67" i="64"/>
  <c r="G67" i="64" s="1"/>
  <c r="H67" i="64" s="1"/>
  <c r="E68" i="64"/>
  <c r="G68" i="64" s="1"/>
  <c r="H68" i="64" s="1"/>
  <c r="E9" i="64"/>
  <c r="G9" i="64" s="1"/>
  <c r="H9" i="64" s="1"/>
  <c r="K9" i="64" s="1"/>
  <c r="L9" i="64" s="1"/>
  <c r="E5" i="64"/>
  <c r="G5" i="64" s="1"/>
  <c r="H5" i="64" s="1"/>
  <c r="K5" i="64" s="1"/>
  <c r="L5" i="64" s="1"/>
  <c r="E11" i="64"/>
  <c r="G11" i="64" s="1"/>
  <c r="H11" i="64" s="1"/>
  <c r="K11" i="64" s="1"/>
  <c r="L11" i="64" s="1"/>
  <c r="I1" i="64"/>
  <c r="C52" i="64" s="1"/>
  <c r="E7" i="64"/>
  <c r="G7" i="64" s="1"/>
  <c r="H7" i="64" s="1"/>
  <c r="K7" i="64" s="1"/>
  <c r="L7" i="64" s="1"/>
  <c r="E8" i="64"/>
  <c r="G8" i="64" s="1"/>
  <c r="H8" i="64" s="1"/>
  <c r="K8" i="64" s="1"/>
  <c r="L8" i="64" s="1"/>
  <c r="E13" i="64"/>
  <c r="G13" i="64" s="1"/>
  <c r="H13" i="64" s="1"/>
  <c r="K13" i="64" s="1"/>
  <c r="L13" i="64" s="1"/>
  <c r="E6" i="64"/>
  <c r="G6" i="64" s="1"/>
  <c r="H6" i="64" s="1"/>
  <c r="K6" i="64" s="1"/>
  <c r="L6" i="64" s="1"/>
  <c r="E12" i="64"/>
  <c r="G12" i="64" s="1"/>
  <c r="H12" i="64" s="1"/>
  <c r="K12" i="64" s="1"/>
  <c r="L12" i="64" s="1"/>
  <c r="E10" i="64"/>
  <c r="G10" i="64" s="1"/>
  <c r="H10" i="64" s="1"/>
  <c r="K10" i="64" s="1"/>
  <c r="L10" i="64" s="1"/>
  <c r="J56" i="65"/>
  <c r="H56" i="65"/>
  <c r="H57" i="65" s="1"/>
  <c r="C53" i="65"/>
  <c r="D53" i="65" s="1"/>
  <c r="T35" i="65" l="1"/>
  <c r="AB30" i="65" s="1"/>
  <c r="AC30" i="65" s="1"/>
  <c r="AC25" i="65" s="1"/>
  <c r="I56" i="65"/>
  <c r="J57" i="65"/>
  <c r="I57" i="65" s="1"/>
  <c r="C54" i="65"/>
  <c r="C53" i="64"/>
  <c r="D53" i="64" s="1"/>
  <c r="G75" i="64" s="1"/>
  <c r="T35" i="64"/>
  <c r="U35" i="65" l="1"/>
  <c r="D54" i="65"/>
  <c r="C55" i="65"/>
  <c r="C54" i="64"/>
  <c r="D54" i="64" s="1"/>
  <c r="U35" i="64"/>
  <c r="AC25" i="64"/>
  <c r="D55" i="65" l="1"/>
  <c r="C56" i="65"/>
  <c r="D56" i="65" s="1"/>
  <c r="C55" i="64"/>
  <c r="D55" i="64" s="1"/>
  <c r="C56" i="64" l="1"/>
  <c r="D56" i="64" l="1"/>
  <c r="C57" i="64"/>
  <c r="D57" i="64" l="1"/>
  <c r="C58" i="64"/>
  <c r="D58" i="64" l="1"/>
  <c r="C59" i="64"/>
  <c r="D59" i="64" s="1"/>
  <c r="W35" i="28" l="1"/>
  <c r="U35" i="28" s="1"/>
  <c r="AE30" i="28" s="1"/>
  <c r="AF30" i="28" s="1"/>
  <c r="AC25"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tc={1DC842B1-13E5-4C73-8113-AF5C0DA1D93B}</author>
    <author>tc={44D9B5F2-A946-4132-B746-CFB757F18171}</author>
    <author>tc={3011D849-562F-4B14-BFB9-F1AD0C7CEDA5}</author>
  </authors>
  <commentList>
    <comment ref="K1" authorId="0" shapeId="0" xr:uid="{00000000-0006-0000-02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t>
        </r>
      </text>
    </comment>
    <comment ref="AC25" authorId="1" shapeId="0" xr:uid="{1DC842B1-13E5-4C73-8113-AF5C0DA1D93B}">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0200-000002000000}">
      <text>
        <r>
          <rPr>
            <sz val="11"/>
            <color theme="1"/>
            <rFont val="Arial"/>
            <family val="2"/>
          </rPr>
          <t>HP:
thr Protine is total / 1.3</t>
        </r>
      </text>
    </comment>
    <comment ref="AF28" authorId="2" shapeId="0" xr:uid="{44D9B5F2-A946-4132-B746-CFB757F18171}">
      <text>
        <t>[Threaded comment]
Your version of Excel allows you to read this threaded comment; however, any edits to it will get removed if the file is opened in a newer version of Excel. Learn more: https://go.microsoft.com/fwlink/?linkid=870924
Comment:
    If the Equation is correct, you will have the total of Protein + Mix + Topping = to the total in the Blue Table</t>
      </text>
    </comment>
    <comment ref="T29" authorId="0" shapeId="0" xr:uid="{00000000-0006-0000-0200-000003000000}">
      <text>
        <r>
          <rPr>
            <sz val="11"/>
            <color theme="1"/>
            <rFont val="Arial"/>
            <family val="2"/>
          </rPr>
          <t xml:space="preserve">0.15 of total quantity, 25gm for the 150gm plate
</t>
        </r>
      </text>
    </comment>
    <comment ref="AA30" authorId="3" shapeId="0" xr:uid="{3011D849-562F-4B14-BFB9-F1AD0C7CEDA5}">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300-000001000000}">
      <text>
        <r>
          <rPr>
            <sz val="11"/>
            <color theme="1"/>
            <rFont val="Arial"/>
            <family val="2"/>
          </rPr>
          <t>HP:
thr Protine is total / 1.3</t>
        </r>
      </text>
    </comment>
    <comment ref="T29" authorId="0" shapeId="0" xr:uid="{00000000-0006-0000-0300-000002000000}">
      <text>
        <r>
          <rPr>
            <sz val="11"/>
            <color theme="1"/>
            <rFont val="Arial"/>
            <family val="2"/>
          </rPr>
          <t>HP:1/3 of total quantity, 50gm for the 150gm plate
+ 
buffer as some Sauce will Stick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tc={081DAECB-E080-489B-8A34-165D790BF053}</author>
  </authors>
  <commentList>
    <comment ref="R17" authorId="0" shapeId="0" xr:uid="{00000000-0006-0000-05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A30" authorId="1" shapeId="0" xr:uid="{081DAECB-E080-489B-8A34-165D790BF053}">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400-000001000000}">
      <text>
        <r>
          <rPr>
            <sz val="11"/>
            <color theme="1"/>
            <rFont val="Arial"/>
            <family val="2"/>
          </rPr>
          <t>HP:
thr Protine is total / 1.3</t>
        </r>
      </text>
    </comment>
    <comment ref="T28" authorId="0" shapeId="0" xr:uid="{00000000-0006-0000-0400-000002000000}">
      <text>
        <r>
          <rPr>
            <sz val="11"/>
            <color theme="1"/>
            <rFont val="Arial"/>
            <family val="2"/>
          </rPr>
          <t>HP:
we want to allow the chicken to be self saturated after it absorb the Saucr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K1" authorId="0" shapeId="0" xr:uid="{00000000-0006-0000-07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
</t>
        </r>
      </text>
    </comment>
    <comment ref="R23" authorId="0" shapeId="0" xr:uid="{00000000-0006-0000-0700-000002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0700-000003000000}">
      <text>
        <r>
          <rPr>
            <sz val="11"/>
            <color theme="1"/>
            <rFont val="Arial"/>
            <family val="2"/>
          </rPr>
          <t>HP:
thr Protine is total / 1.3</t>
        </r>
      </text>
    </comment>
    <comment ref="T29" authorId="0" shapeId="0" xr:uid="{00000000-0006-0000-0700-000004000000}">
      <text>
        <r>
          <rPr>
            <sz val="11"/>
            <color theme="1"/>
            <rFont val="Arial"/>
            <family val="2"/>
          </rPr>
          <t>we will treat it as Rich Meal (30% Topping + 10% Buffer)
buffer as some Sauce will Stick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800-000001000000}">
      <text>
        <r>
          <rPr>
            <sz val="11"/>
            <color theme="1"/>
            <rFont val="Arial"/>
            <family val="2"/>
          </rPr>
          <t>HP:
This is a pure Protine Play</t>
        </r>
      </text>
    </comment>
    <comment ref="T29" authorId="0" shapeId="0" xr:uid="{00000000-0006-0000-0800-000002000000}">
      <text>
        <r>
          <rPr>
            <sz val="11"/>
            <color theme="1"/>
            <rFont val="Arial"/>
            <family val="2"/>
          </rPr>
          <t>HP:1/3 of total quantity, 50gm for the 150gm plate
+ 
buffer as some Sauce will Stick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0A00-000001000000}">
      <text>
        <r>
          <rPr>
            <sz val="11"/>
            <color theme="1"/>
            <rFont val="Arial"/>
            <family val="2"/>
          </rPr>
          <t>HP:1/3 of total quantity, 50gm for the 150gm plate
+ 
buffer as some Sauce will Stick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AE986694-E05A-4D27-BDA3-C387AEEF91BD}">
      <text>
        <r>
          <rPr>
            <sz val="11"/>
            <color theme="1"/>
            <rFont val="Arial"/>
            <family val="2"/>
          </rPr>
          <t>HP:1/3 of total quantity, 50gm for the 150gm plate
+ 
buffer as some Sauce will Stick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900-000001000000}">
      <text>
        <r>
          <rPr>
            <sz val="11"/>
            <color theme="1"/>
            <rFont val="Arial"/>
            <family val="2"/>
          </rPr>
          <t xml:space="preserve">HP:
total in the update is Protine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E00-000001000000}">
      <text>
        <r>
          <rPr>
            <sz val="11"/>
            <color theme="1"/>
            <rFont val="Arial"/>
            <family val="2"/>
          </rPr>
          <t>HP:
thr Protine is total / 1.3</t>
        </r>
      </text>
    </comment>
    <comment ref="T29" authorId="0" shapeId="0" xr:uid="{00000000-0006-0000-0E00-000002000000}">
      <text>
        <r>
          <rPr>
            <sz val="11"/>
            <color theme="1"/>
            <rFont val="Arial"/>
            <family val="2"/>
          </rPr>
          <t>HP:1/3 of total quantity, 50gm for the 150gm plate
+ 
buffer as some Sauce will Stick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B62E42E-93FE-4609-8091-18A67A9DF972}">
      <text>
        <r>
          <rPr>
            <sz val="11"/>
            <color theme="1"/>
            <rFont val="Arial"/>
            <family val="2"/>
          </rPr>
          <t>HP:
thr Protine is total / 1.3</t>
        </r>
      </text>
    </comment>
    <comment ref="S30" authorId="0" shapeId="0" xr:uid="{5A4ACB2E-1972-4D28-9F49-3B46FA8EB138}">
      <text>
        <r>
          <rPr>
            <sz val="11"/>
            <color theme="1"/>
            <rFont val="Arial"/>
            <family val="2"/>
          </rPr>
          <t>HP:
thr Protine is total / 1.3</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C2EC025F-199C-47E9-81AB-BAE83119F327}">
      <text>
        <r>
          <rPr>
            <sz val="11"/>
            <color theme="1"/>
            <rFont val="Arial"/>
            <family val="2"/>
          </rPr>
          <t xml:space="preserve">HP:
total in the update is Protine </t>
        </r>
      </text>
    </comment>
    <comment ref="T28" authorId="0" shapeId="0" xr:uid="{E22EB556-9B01-4677-9EF9-9B9A16B29222}">
      <text>
        <r>
          <rPr>
            <sz val="11"/>
            <color theme="1"/>
            <rFont val="Arial"/>
            <family val="2"/>
          </rPr>
          <t>for every 1 KG protine we will create 100 gm Sauce (10%)</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tc={04D417F9-FD80-4CA6-9AC1-BA13ED0B4C6D}</author>
    <author>Unknown Author</author>
  </authors>
  <commentList>
    <comment ref="AC25" authorId="0" shapeId="0" xr:uid="{04D417F9-FD80-4CA6-9AC1-BA13ED0B4C6D}">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000-000001000000}">
      <text>
        <r>
          <rPr>
            <sz val="11"/>
            <color theme="1"/>
            <rFont val="Arial"/>
            <family val="2"/>
          </rPr>
          <t>HP:
thr Protine is total / 1.3</t>
        </r>
      </text>
    </comment>
    <comment ref="T29" authorId="1" shapeId="0" xr:uid="{00000000-0006-0000-1000-000002000000}">
      <text>
        <r>
          <rPr>
            <sz val="11"/>
            <color theme="1"/>
            <rFont val="Arial"/>
            <family val="2"/>
          </rPr>
          <t>HP:1/3 of total quantity, 50gm for the 150gm plate
+ 
buffer as some Sauce will Stick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100-000001000000}">
      <text>
        <r>
          <rPr>
            <sz val="11"/>
            <color theme="1"/>
            <rFont val="Arial"/>
            <family val="2"/>
          </rPr>
          <t>HP:
thr Protine is total / 1.3</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400-000001000000}">
      <text>
        <r>
          <rPr>
            <sz val="11"/>
            <color theme="1"/>
            <rFont val="Arial"/>
            <family val="2"/>
          </rPr>
          <t>HP:
thr Protine is total / 1.3</t>
        </r>
      </text>
    </comment>
    <comment ref="T29" authorId="0" shapeId="0" xr:uid="{00000000-0006-0000-1400-000002000000}">
      <text>
        <r>
          <rPr>
            <sz val="11"/>
            <color theme="1"/>
            <rFont val="Arial"/>
            <family val="2"/>
          </rPr>
          <t>HP:1/3 of total quantity, 50gm for the 150gm plate
+ 
buffer as some Sauce will Stick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97BBCA8F-74EB-421D-9400-730122D86D22}">
      <text>
        <r>
          <rPr>
            <sz val="11"/>
            <color theme="1"/>
            <rFont val="Arial"/>
            <family val="2"/>
          </rPr>
          <t>HP:1/3 of total quantity, 50gm for the 150gm plate
+ 
buffer as some Sauce will Stick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656868B3-E960-49D7-B847-4DFBAB9DBBC6}">
      <text>
        <r>
          <rPr>
            <sz val="11"/>
            <color theme="1"/>
            <rFont val="Arial"/>
            <family val="2"/>
          </rPr>
          <t>HP:1/3 of total quantity, 50gm for the 150gm plate
+ 
buffer as some Sauce will Stick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600-000001000000}">
      <text>
        <r>
          <rPr>
            <sz val="11"/>
            <color theme="1"/>
            <rFont val="Arial"/>
            <family val="2"/>
          </rPr>
          <t xml:space="preserve">HP:
total in the update is Protine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tc={D1EFD38B-F35F-4F53-829B-6B853CA5068A}</author>
    <author>tc={DFDC8677-3B46-4597-A78A-89DFD78B19A4}</author>
    <author>tc={AFA68A81-CD12-4647-8026-78AC98878D42}</author>
  </authors>
  <commentList>
    <comment ref="I1" authorId="0" shapeId="0" xr:uid="{D1EFD38B-F35F-4F53-829B-6B853CA5068A}">
      <text>
        <t xml:space="preserve">[Threaded comment]
Your version of Excel allows you to read this threaded comment; however, any edits to it will get removed if the file is opened in a newer version of Excel. Learn more: https://go.microsoft.com/fwlink/?linkid=870924
Comment:
    There is no weight correction. For coating as it doesn’t lose weight
</t>
      </text>
    </comment>
    <comment ref="K1" authorId="1" shapeId="0" xr:uid="{DFDC8677-3B46-4597-A78A-89DFD78B19A4}">
      <text>
        <t>[Threaded comment]
Your version of Excel allows you to read this threaded comment; however, any edits to it will get removed if the file is opened in a newer version of Excel. Learn more: https://go.microsoft.com/fwlink/?linkid=870924
Comment:
    The coating will never lose weight during cooking; however there will be loses as it will not stick to the chicken , get burned, and 75% is high efficiency coating</t>
      </text>
    </comment>
    <comment ref="AC25" authorId="2" shapeId="0" xr:uid="{AFA68A81-CD12-4647-8026-78AC98878D4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tc={ADAC1321-0D8E-452C-AD0E-7D9D38F2ED51}</author>
    <author>Unknown Author</author>
  </authors>
  <commentList>
    <comment ref="AC25" authorId="0" shapeId="0" xr:uid="{ADAC1321-0D8E-452C-AD0E-7D9D38F2ED51}">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900-000001000000}">
      <text>
        <r>
          <rPr>
            <sz val="11"/>
            <color theme="1"/>
            <rFont val="Arial"/>
            <family val="2"/>
          </rPr>
          <t>HP:
thr Protine is total / 1.3</t>
        </r>
      </text>
    </comment>
    <comment ref="T29" authorId="1" shapeId="0" xr:uid="{00000000-0006-0000-1900-000002000000}">
      <text>
        <r>
          <rPr>
            <sz val="11"/>
            <color theme="1"/>
            <rFont val="Arial"/>
            <family val="2"/>
          </rPr>
          <t>HP:1/3 of total quantity, 50gm for the 150gm plate
+ 
buffer as some Sauce will Stick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3D84EAD8-7983-4FD4-9054-0C9850C20D11}">
      <text>
        <r>
          <rPr>
            <sz val="11"/>
            <color theme="1"/>
            <rFont val="Arial"/>
            <family val="2"/>
          </rPr>
          <t>HP:
thr Protine is total / 1.3</t>
        </r>
      </text>
    </comment>
    <comment ref="T29" authorId="0" shapeId="0" xr:uid="{00000000-0006-0000-1A00-000002000000}">
      <text>
        <r>
          <rPr>
            <sz val="11"/>
            <color theme="1"/>
            <rFont val="Arial"/>
            <family val="2"/>
          </rPr>
          <t>HP:1/3 of total quantity, 50gm for the 150gm plate
+ 
buffer as some Sauce will Stick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tc={80258C01-47E0-4C6A-B5D0-A8F68454EA8E}</author>
    <author>Unknown Author</author>
  </authors>
  <commentList>
    <comment ref="AC25" authorId="0" shapeId="0" xr:uid="{80258C01-47E0-4C6A-B5D0-A8F68454EA8E}">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2E00-000001000000}">
      <text>
        <r>
          <rPr>
            <sz val="11"/>
            <color theme="1"/>
            <rFont val="Arial"/>
            <family val="2"/>
          </rPr>
          <t>HP:
thr Protein is total / 1.3</t>
        </r>
      </text>
    </comment>
    <comment ref="T29" authorId="1" shapeId="0" xr:uid="{00000000-0006-0000-2E00-000002000000}">
      <text>
        <r>
          <rPr>
            <sz val="11"/>
            <color theme="1"/>
            <rFont val="Arial"/>
            <family val="2"/>
          </rPr>
          <t>HP:1/3 of total quantity, 50gm for the 150gm plate
+ 
buffer as some Sauce will Stick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tc={003E98E4-44CF-43F4-8018-2B4370DD5EF7}</author>
    <author>Unknown Author</author>
  </authors>
  <commentList>
    <comment ref="AC25" authorId="0" shapeId="0" xr:uid="{003E98E4-44CF-43F4-8018-2B4370DD5E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C00-000001000000}">
      <text>
        <r>
          <rPr>
            <sz val="11"/>
            <color theme="1"/>
            <rFont val="Arial"/>
            <family val="2"/>
          </rPr>
          <t xml:space="preserve">HP:
total in the update is Protine </t>
        </r>
      </text>
    </comment>
    <comment ref="T28" authorId="1" shapeId="0" xr:uid="{00000000-0006-0000-1C00-000002000000}">
      <text>
        <r>
          <rPr>
            <sz val="11"/>
            <color theme="1"/>
            <rFont val="Arial"/>
            <family val="2"/>
          </rPr>
          <t xml:space="preserve">HP:There is no Mixing Sauce
</t>
        </r>
      </text>
    </comment>
    <comment ref="T29" authorId="1" shapeId="0" xr:uid="{00000000-0006-0000-1C00-000003000000}">
      <text>
        <r>
          <rPr>
            <sz val="11"/>
            <color theme="1"/>
            <rFont val="Arial"/>
            <family val="2"/>
          </rPr>
          <t xml:space="preserve">HP:
Sauce is 50% of pure protein and we buffer 10%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R19" authorId="0" shapeId="0" xr:uid="{00000000-0006-0000-1D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1D00-000002000000}">
      <text>
        <r>
          <rPr>
            <sz val="11"/>
            <color theme="1"/>
            <rFont val="Arial"/>
            <family val="2"/>
          </rPr>
          <t xml:space="preserve">HP:
total in the update is Protine </t>
        </r>
      </text>
    </comment>
    <comment ref="T28" authorId="0" shapeId="0" xr:uid="{00000000-0006-0000-1D00-000003000000}">
      <text>
        <r>
          <rPr>
            <sz val="11"/>
            <color theme="1"/>
            <rFont val="Arial"/>
            <family val="2"/>
          </rPr>
          <t xml:space="preserve">HP:There is no Mixing Sauce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E00-000001000000}">
      <text>
        <r>
          <rPr>
            <sz val="11"/>
            <color theme="1"/>
            <rFont val="Arial"/>
            <family val="2"/>
          </rPr>
          <t>HP:
thr Protine is total / 1.3</t>
        </r>
      </text>
    </comment>
    <comment ref="T29" authorId="0" shapeId="0" xr:uid="{00000000-0006-0000-1E00-000002000000}">
      <text>
        <r>
          <rPr>
            <sz val="11"/>
            <color theme="1"/>
            <rFont val="Arial"/>
            <family val="2"/>
          </rPr>
          <t>HP:1/3 of total quantity, 50gm for the 150gm plate
+ 
buffer as some Sauce will Stick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F00-000001000000}">
      <text>
        <r>
          <rPr>
            <sz val="11"/>
            <color theme="1"/>
            <rFont val="Arial"/>
            <family val="2"/>
          </rPr>
          <t>HP:
thr Protine is total / 1.3</t>
        </r>
      </text>
    </comment>
    <comment ref="T29" authorId="0" shapeId="0" xr:uid="{00000000-0006-0000-1F00-000003000000}">
      <text>
        <r>
          <rPr>
            <sz val="11"/>
            <color theme="1"/>
            <rFont val="Arial"/>
            <family val="2"/>
          </rPr>
          <t>HP:1/3 of total quantity, 50gm for the 150gm plate
+ 
buffer as some Sauce will Stick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000-000001000000}">
      <text>
        <r>
          <rPr>
            <sz val="11"/>
            <color theme="1"/>
            <rFont val="Arial"/>
            <family val="2"/>
          </rPr>
          <t>HP:
thr Protine is total / 1.3</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100-000001000000}">
      <text>
        <r>
          <rPr>
            <sz val="11"/>
            <color theme="1"/>
            <rFont val="Arial"/>
            <family val="2"/>
          </rPr>
          <t xml:space="preserve">HP:
total in the update is Protine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200-000001000000}">
      <text>
        <r>
          <rPr>
            <sz val="11"/>
            <color theme="1"/>
            <rFont val="Arial"/>
            <family val="2"/>
          </rPr>
          <t xml:space="preserve">HP:
total in the update is Protine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2300-000001000000}">
      <text>
        <r>
          <rPr>
            <sz val="11"/>
            <color theme="1"/>
            <rFont val="Arial"/>
            <family val="2"/>
          </rPr>
          <t>HP:1/3 of total quantity, 50gm for the 150gm plate
+ 
buffer as some Sauce will Stick</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2388FE13-583C-4B70-A2DC-FA70ECC7BDC4}">
      <text>
        <r>
          <rPr>
            <sz val="11"/>
            <color theme="1"/>
            <rFont val="Arial"/>
            <family val="2"/>
          </rPr>
          <t>HP:1/3 of total quantity, 50gm for the 150gm plate
+ 
buffer as some Sauce will Stick</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400-000001000000}">
      <text>
        <r>
          <rPr>
            <sz val="11"/>
            <color theme="1"/>
            <rFont val="Arial"/>
            <family val="2"/>
          </rPr>
          <t>HP:
thr Protine is total / 1.3</t>
        </r>
      </text>
    </comment>
    <comment ref="T29" authorId="0" shapeId="0" xr:uid="{00000000-0006-0000-2400-000002000000}">
      <text>
        <r>
          <rPr>
            <sz val="11"/>
            <color theme="1"/>
            <rFont val="Arial"/>
            <family val="2"/>
          </rPr>
          <t>HP:1/3 of total quantity, 50gm for the 150gm plate
+ 
buffer as some Sauce will Stick</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8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800-000002000000}">
      <text>
        <r>
          <rPr>
            <sz val="11"/>
            <color theme="1"/>
            <rFont val="Arial"/>
            <family val="2"/>
          </rPr>
          <t xml:space="preserve">HP:
total in the update is Protine </t>
        </r>
      </text>
    </comment>
    <comment ref="T28" authorId="0" shapeId="0" xr:uid="{00000000-0006-0000-2800-000003000000}">
      <text>
        <r>
          <rPr>
            <sz val="11"/>
            <color theme="1"/>
            <rFont val="Arial"/>
            <family val="2"/>
          </rPr>
          <t xml:space="preserve">HP:There is no Mixing Sauce
</t>
        </r>
      </text>
    </comment>
    <comment ref="T29" authorId="0" shapeId="0" xr:uid="{00000000-0006-0000-2800-000004000000}">
      <text>
        <r>
          <rPr>
            <sz val="11"/>
            <color theme="1"/>
            <rFont val="Arial"/>
            <family val="2"/>
          </rPr>
          <t xml:space="preserve">HP:
Sauce is 50% of pure protein and we buffer 10%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9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900-000002000000}">
      <text>
        <r>
          <rPr>
            <sz val="11"/>
            <color theme="1"/>
            <rFont val="Arial"/>
            <family val="2"/>
          </rPr>
          <t xml:space="preserve">HP:There is no Mixing Sauce
</t>
        </r>
      </text>
    </comment>
    <comment ref="S29" authorId="0" shapeId="0" xr:uid="{00000000-0006-0000-2900-000003000000}">
      <text>
        <r>
          <rPr>
            <sz val="11"/>
            <color theme="1"/>
            <rFont val="Arial"/>
            <family val="2"/>
          </rPr>
          <t xml:space="preserve">HP:
Sauce is 50% of pure protein and we buffer 10%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Unknown Author</author>
    <author>tc={2ECC9FD7-3B29-4CC2-9BE8-C4E5CF01D92F}</author>
  </authors>
  <commentList>
    <comment ref="R23" authorId="0" shapeId="0" xr:uid="{00000000-0006-0000-2A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C25" authorId="1" shapeId="0" xr:uid="{2ECC9FD7-3B29-4CC2-9BE8-C4E5CF01D92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2A00-000002000000}">
      <text>
        <r>
          <rPr>
            <sz val="11"/>
            <color theme="1"/>
            <rFont val="Arial"/>
            <family val="2"/>
          </rPr>
          <t xml:space="preserve">HP:
total in the update is Protine </t>
        </r>
      </text>
    </comment>
    <comment ref="T28" authorId="0" shapeId="0" xr:uid="{00000000-0006-0000-2A00-000003000000}">
      <text>
        <r>
          <rPr>
            <sz val="11"/>
            <color theme="1"/>
            <rFont val="Arial"/>
            <family val="2"/>
          </rPr>
          <t>HP:
No Mixing Sauce</t>
        </r>
      </text>
    </comment>
    <comment ref="T29" authorId="0" shapeId="0" xr:uid="{00000000-0006-0000-2A00-000004000000}">
      <text>
        <r>
          <rPr>
            <sz val="11"/>
            <color theme="1"/>
            <rFont val="Arial"/>
            <family val="2"/>
          </rPr>
          <t xml:space="preserve">HP:
Sauce is 50% of pure protein and we buffer 10%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B00-000001000000}">
      <text>
        <r>
          <rPr>
            <sz val="11"/>
            <color theme="1"/>
            <rFont val="Arial"/>
            <family val="2"/>
          </rPr>
          <t>HP:
thr Protine is total / 1.3</t>
        </r>
      </text>
    </comment>
    <comment ref="T29" authorId="0" shapeId="0" xr:uid="{00000000-0006-0000-2B00-000002000000}">
      <text>
        <r>
          <rPr>
            <sz val="11"/>
            <color theme="1"/>
            <rFont val="Arial"/>
            <family val="2"/>
          </rPr>
          <t>HP:1/3 of total quantity, 50gm for the 150gm plate
+ 
buffer as some Sauce will Stick</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C00-000001000000}">
      <text>
        <r>
          <rPr>
            <sz val="11"/>
            <color theme="1"/>
            <rFont val="Arial"/>
            <family val="2"/>
          </rPr>
          <t>HP:
thr Protine is total / 1.3</t>
        </r>
      </text>
    </comment>
    <comment ref="T29" authorId="0" shapeId="0" xr:uid="{00000000-0006-0000-2C00-000002000000}">
      <text>
        <r>
          <rPr>
            <sz val="11"/>
            <color theme="1"/>
            <rFont val="Arial"/>
            <family val="2"/>
          </rPr>
          <t>HP:1/3 of total quantity, 50gm for the 150gm plate
+ 
buffer as some Sauce will Stick</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D00-000001000000}">
      <text>
        <r>
          <rPr>
            <sz val="11"/>
            <color theme="1"/>
            <rFont val="Arial"/>
            <family val="2"/>
          </rPr>
          <t>HP:
thr Protine is total / 1.3</t>
        </r>
      </text>
    </comment>
    <comment ref="T29" authorId="0" shapeId="0" xr:uid="{00000000-0006-0000-2D00-000002000000}">
      <text>
        <r>
          <rPr>
            <sz val="11"/>
            <color theme="1"/>
            <rFont val="Arial"/>
            <family val="2"/>
          </rPr>
          <t>HP:1/3 of total quantity, 50gm for the 150gm plate
+ 
buffer as some Sauce will Stick</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B00-000001000000}">
      <text>
        <r>
          <rPr>
            <sz val="11"/>
            <color theme="1"/>
            <rFont val="Arial"/>
            <family val="2"/>
          </rPr>
          <t>HP:
thr Protine is total / 1.3</t>
        </r>
      </text>
    </comment>
    <comment ref="T29" authorId="0" shapeId="0" xr:uid="{00000000-0006-0000-1B00-000002000000}">
      <text>
        <r>
          <rPr>
            <sz val="11"/>
            <color theme="1"/>
            <rFont val="Arial"/>
            <family val="2"/>
          </rPr>
          <t>HP:1/3 of total quantity, 50gm for the 150gm plate
+ 
buffer as some Sauce will Stick</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F00-000001000000}">
      <text>
        <r>
          <rPr>
            <sz val="11"/>
            <color theme="1"/>
            <rFont val="Arial"/>
            <family val="2"/>
          </rPr>
          <t xml:space="preserve">HP:
total in the update is Protine </t>
        </r>
      </text>
    </comment>
    <comment ref="U28" authorId="0" shapeId="0" xr:uid="{00000000-0006-0000-2F00-000002000000}">
      <text>
        <r>
          <rPr>
            <sz val="11"/>
            <color theme="1"/>
            <rFont val="Arial"/>
            <family val="2"/>
          </rPr>
          <t xml:space="preserve">HP:
total in the update is Protine </t>
        </r>
      </text>
    </comment>
    <comment ref="T29" authorId="0" shapeId="0" xr:uid="{00000000-0006-0000-2F00-000003000000}">
      <text>
        <r>
          <rPr>
            <sz val="11"/>
            <color theme="1"/>
            <rFont val="Arial"/>
            <family val="2"/>
          </rPr>
          <t xml:space="preserve">HP:
Sauce is 50% of pure protein and we buffer 10%
</t>
        </r>
      </text>
    </comment>
    <comment ref="U29" authorId="0" shapeId="0" xr:uid="{00000000-0006-0000-2F00-000004000000}">
      <text>
        <r>
          <rPr>
            <sz val="11"/>
            <color theme="1"/>
            <rFont val="Arial"/>
            <family val="2"/>
          </rPr>
          <t xml:space="preserve">HP:
Sauce is 50% of pure protein and we buffer 10%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2E925B6A-E1A9-432D-AC7C-A071247B79C0}">
      <text>
        <r>
          <rPr>
            <sz val="11"/>
            <color theme="1"/>
            <rFont val="Arial"/>
            <family val="2"/>
          </rPr>
          <t xml:space="preserve">HP:
total in the update is Protine </t>
        </r>
      </text>
    </comment>
    <comment ref="T28" authorId="0" shapeId="0" xr:uid="{7A614CDC-5FF4-49C6-9EDF-65E018849EC3}">
      <text>
        <r>
          <rPr>
            <sz val="11"/>
            <color theme="1"/>
            <rFont val="Arial"/>
            <family val="2"/>
          </rPr>
          <t>for every 1 KG protine we will create 100 gm Sauce (10%)</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tc={15FBDEDA-BE01-4524-AC62-958B07B425D9}</author>
    <author>Unknown Author</author>
  </authors>
  <commentList>
    <comment ref="AC25" authorId="0" shapeId="0" xr:uid="{15FBDEDA-BE01-4524-AC62-958B07B425D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C84A9BC4-1D33-4348-ADFC-F9A92CBC2463}">
      <text>
        <r>
          <rPr>
            <sz val="11"/>
            <color theme="1"/>
            <rFont val="Arial"/>
            <family val="2"/>
          </rPr>
          <t>HP:
thr Protine is total / 1.3</t>
        </r>
      </text>
    </comment>
    <comment ref="T29" authorId="1" shapeId="0" xr:uid="{57D006D7-57B0-4BF1-B862-8EE97074B3D0}">
      <text>
        <r>
          <rPr>
            <sz val="11"/>
            <color theme="1"/>
            <rFont val="Arial"/>
            <family val="2"/>
          </rPr>
          <t>HP:1/3 of total quantity, 50gm for the 150gm plate
+ 
buffer as some Sauce will Stick</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200-000001000000}">
      <text>
        <r>
          <rPr>
            <sz val="11"/>
            <color theme="1"/>
            <rFont val="Arial"/>
            <family val="2"/>
          </rPr>
          <t xml:space="preserve">HP:
total in the update is Protine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300-000001000000}">
      <text>
        <r>
          <rPr>
            <sz val="11"/>
            <color theme="1"/>
            <rFont val="Arial"/>
            <family val="2"/>
          </rPr>
          <t xml:space="preserve">HP:
total in the update is Protine </t>
        </r>
      </text>
    </comment>
    <comment ref="T28" authorId="0" shapeId="0" xr:uid="{00000000-0006-0000-3300-000002000000}">
      <text>
        <r>
          <rPr>
            <sz val="11"/>
            <color theme="1"/>
            <rFont val="Arial"/>
            <family val="2"/>
          </rPr>
          <t>HP:
Sauce is 50% of Chicken Quantity, we buffered 10%</t>
        </r>
      </text>
    </comment>
    <comment ref="U28" authorId="0" shapeId="0" xr:uid="{00000000-0006-0000-3300-000003000000}">
      <text>
        <r>
          <rPr>
            <sz val="11"/>
            <color theme="1"/>
            <rFont val="Arial"/>
            <family val="2"/>
          </rPr>
          <t xml:space="preserve">HP:
total in the update is Protine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400-000001000000}">
      <text>
        <r>
          <rPr>
            <sz val="11"/>
            <color theme="1"/>
            <rFont val="Arial"/>
            <family val="2"/>
          </rPr>
          <t>HP:
thr Protine is total / 1.3</t>
        </r>
      </text>
    </comment>
    <comment ref="T29" authorId="0" shapeId="0" xr:uid="{00000000-0006-0000-3400-000002000000}">
      <text>
        <r>
          <rPr>
            <sz val="11"/>
            <color theme="1"/>
            <rFont val="Arial"/>
            <family val="2"/>
          </rPr>
          <t>HP:1/3 of total quantity, 50gm for the 150gm plate
+ 
buffer as some Sauce will Stick</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8F6CB722-E593-43E3-9839-4D5AD43024E8}">
      <text>
        <r>
          <rPr>
            <sz val="11"/>
            <color theme="1"/>
            <rFont val="Arial"/>
            <family val="2"/>
          </rPr>
          <t>HP:1/3 of total quantity, 50gm for the 150gm plate
+ 
buffer as some Sauce will Stick</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5286BF27-E739-4D26-934D-19A4FF307667}">
      <text>
        <r>
          <rPr>
            <sz val="11"/>
            <color theme="1"/>
            <rFont val="Arial"/>
            <family val="2"/>
          </rPr>
          <t>HP:
This is a pure Protine Play</t>
        </r>
      </text>
    </comment>
    <comment ref="T29" authorId="0" shapeId="0" xr:uid="{4927B4FE-2501-460E-AE7F-D15435B0DBA8}">
      <text>
        <r>
          <rPr>
            <sz val="11"/>
            <color theme="1"/>
            <rFont val="Arial"/>
            <family val="2"/>
          </rPr>
          <t>HP:1/3 of total quantity, 50gm for the 150gm plate
+ 
buffer as some Sauce will Stick</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tc={2A66C493-8FD3-43DA-9452-DAC88E320BF7}</author>
    <author>Unknown Author</author>
  </authors>
  <commentList>
    <comment ref="AC25" authorId="0" shapeId="0" xr:uid="{2A66C493-8FD3-43DA-9452-DAC88E320B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700-000001000000}">
      <text>
        <r>
          <rPr>
            <sz val="11"/>
            <color theme="1"/>
            <rFont val="Arial"/>
            <family val="2"/>
          </rPr>
          <t>HP:
thr Protine is total / 1.3</t>
        </r>
      </text>
    </comment>
    <comment ref="T28" authorId="1" shapeId="0" xr:uid="{00000000-0006-0000-3700-000002000000}">
      <text>
        <r>
          <rPr>
            <sz val="11"/>
            <color theme="1"/>
            <rFont val="Arial"/>
            <family val="2"/>
          </rPr>
          <t>HP:
we want to allow the chicken to be self saturated after it absorb the Saucr</t>
        </r>
      </text>
    </comment>
    <comment ref="T29" authorId="1" shapeId="0" xr:uid="{00000000-0006-0000-3700-000003000000}">
      <text>
        <r>
          <rPr>
            <sz val="11"/>
            <color theme="1"/>
            <rFont val="Arial"/>
            <family val="2"/>
          </rPr>
          <t>HP:1/3 of total quantity, 50gm for the 150gm plate
+ 
buffer as some Sauce will Stick</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tc={3359F034-9006-4058-909C-6311A4116AA2}</author>
    <author>Unknown Author</author>
  </authors>
  <commentList>
    <comment ref="AC25" authorId="0" shapeId="0" xr:uid="{3359F034-9006-4058-909C-6311A4116AA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T29" authorId="1" shapeId="0" xr:uid="{00000000-0006-0000-3800-000001000000}">
      <text>
        <r>
          <rPr>
            <sz val="11"/>
            <color theme="1"/>
            <rFont val="Arial"/>
            <family val="2"/>
          </rPr>
          <t>HP:1/3 of total quantity, 50gm for the 150gm plate
+ 
buffer as some Sauce will Stick</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tc={608F1BEB-2EAE-4E5E-8748-AE7646B10B4F}</author>
    <author>Unknown Author</author>
  </authors>
  <commentList>
    <comment ref="AC25" authorId="0" shapeId="0" xr:uid="{608F1BEB-2EAE-4E5E-8748-AE7646B10B4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900-000001000000}">
      <text>
        <r>
          <rPr>
            <sz val="11"/>
            <color theme="1"/>
            <rFont val="Arial"/>
            <family val="2"/>
          </rPr>
          <t xml:space="preserve">HP:
total in the update is Protine </t>
        </r>
      </text>
    </comment>
    <comment ref="T29" authorId="1" shapeId="0" xr:uid="{00000000-0006-0000-3900-000002000000}">
      <text>
        <r>
          <rPr>
            <sz val="11"/>
            <color theme="1"/>
            <rFont val="Arial"/>
            <family val="2"/>
          </rPr>
          <t>HP:
buttom Sauce is 40% of Quantity, and topping Sauce is 5%</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7591983B-544B-4908-A35C-D31B2A3A7B81}">
      <text>
        <r>
          <rPr>
            <sz val="11"/>
            <color theme="1"/>
            <rFont val="Arial"/>
            <family val="2"/>
          </rPr>
          <t xml:space="preserve">HP:
total in the update is Protine </t>
        </r>
      </text>
    </comment>
    <comment ref="T28" authorId="0" shapeId="0" xr:uid="{C03E687A-EA17-4602-8067-E5E0C0A1DA60}">
      <text>
        <r>
          <rPr>
            <sz val="11"/>
            <color theme="1"/>
            <rFont val="Arial"/>
            <family val="2"/>
          </rPr>
          <t>for every 1 KG protine we will create 100 gm Sauce (10%)</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B00-000001000000}">
      <text>
        <r>
          <rPr>
            <sz val="11"/>
            <color theme="1"/>
            <rFont val="Arial"/>
            <family val="2"/>
          </rPr>
          <t xml:space="preserve">HP:
total in the update is Protine </t>
        </r>
      </text>
    </comment>
    <comment ref="T28" authorId="0" shapeId="0" xr:uid="{00000000-0006-0000-3B00-000002000000}">
      <text>
        <r>
          <rPr>
            <sz val="11"/>
            <color theme="1"/>
            <rFont val="Arial"/>
            <family val="2"/>
          </rPr>
          <t xml:space="preserve">HP:There is no Mixing Sauce
</t>
        </r>
      </text>
    </comment>
    <comment ref="T29" authorId="0" shapeId="0" xr:uid="{00000000-0006-0000-3B00-000003000000}">
      <text>
        <r>
          <rPr>
            <sz val="11"/>
            <color theme="1"/>
            <rFont val="Arial"/>
            <family val="2"/>
          </rPr>
          <t xml:space="preserve">HP:
Sauce is 50% of pure protein and we buffer 10%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tc={9BD9F61B-E342-45B6-BB85-2CCCD1168FA6}</author>
    <author>Unknown Author</author>
  </authors>
  <commentList>
    <comment ref="AC25" authorId="0" shapeId="0" xr:uid="{9BD9F61B-E342-45B6-BB85-2CCCD1168FA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C00-000001000000}">
      <text>
        <r>
          <rPr>
            <sz val="11"/>
            <color theme="1"/>
            <rFont val="Arial"/>
            <family val="2"/>
          </rPr>
          <t>HP:
thr Protine is total / 1.3</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D00-000001000000}">
      <text>
        <r>
          <rPr>
            <sz val="11"/>
            <color theme="1"/>
            <rFont val="Arial"/>
            <family val="2"/>
          </rPr>
          <t>HP:
thr Protine is total / 1.3</t>
        </r>
      </text>
    </comment>
    <comment ref="U28" authorId="0" shapeId="0" xr:uid="{00000000-0006-0000-3D00-000002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In this meal, the sauce is cooked with the protein and the final weight will be both mixed and not each separated then mixed  </t>
        </r>
      </text>
    </comment>
    <comment ref="T29" authorId="0" shapeId="0" xr:uid="{00000000-0006-0000-3D00-000003000000}">
      <text>
        <r>
          <rPr>
            <sz val="11"/>
            <color theme="1"/>
            <rFont val="Arial"/>
            <family val="2"/>
          </rPr>
          <t>HP:1/3 of total quantity, 50gm for the 150gm plate
+ 
buffer as some Sauce will Stick</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F00-000001000000}">
      <text>
        <r>
          <rPr>
            <sz val="11"/>
            <color theme="1"/>
            <rFont val="Arial"/>
            <family val="2"/>
          </rPr>
          <t>HP:
thr Protine is total / 1.3</t>
        </r>
      </text>
    </comment>
    <comment ref="T29" authorId="0" shapeId="0" xr:uid="{00000000-0006-0000-3F00-000002000000}">
      <text>
        <r>
          <rPr>
            <sz val="11"/>
            <color theme="1"/>
            <rFont val="Arial"/>
            <family val="2"/>
          </rPr>
          <t>HP:1/3 of total quantity, 50gm for the 150gm plate
+ 
buffer as some Sauce will Stick</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000-000001000000}">
      <text>
        <r>
          <rPr>
            <sz val="11"/>
            <color theme="1"/>
            <rFont val="Arial"/>
            <family val="2"/>
          </rPr>
          <t>HP:
thr Protine is total / 1.3</t>
        </r>
      </text>
    </comment>
    <comment ref="T29" authorId="0" shapeId="0" xr:uid="{00000000-0006-0000-4000-000002000000}">
      <text>
        <r>
          <rPr>
            <sz val="11"/>
            <color theme="1"/>
            <rFont val="Arial"/>
            <family val="2"/>
          </rPr>
          <t>HP:1/3 of total quantity, 50gm for the 150gm plate
+ 
buffer as some Sauce will Stick</t>
        </r>
      </text>
    </comment>
    <comment ref="S30" authorId="0" shapeId="0" xr:uid="{00000000-0006-0000-4000-000003000000}">
      <text>
        <r>
          <rPr>
            <sz val="11"/>
            <color theme="1"/>
            <rFont val="Arial"/>
            <family val="2"/>
          </rPr>
          <t>HP:
thr Protine is total / 1.3</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A66C0727-FD49-4EA7-A226-6303CD6B43D3}">
      <text>
        <r>
          <rPr>
            <sz val="11"/>
            <color theme="1"/>
            <rFont val="Arial"/>
            <family val="2"/>
          </rPr>
          <t>HP:1/3 of total quantity, 50gm for the 150gm plate
+ 
buffer as some Sauce will Stick</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E198F40-5979-4134-9C33-16BB8484BD3C}">
      <text>
        <r>
          <rPr>
            <sz val="11"/>
            <color theme="1"/>
            <rFont val="Arial"/>
            <family val="2"/>
          </rPr>
          <t>HP:
This is a pure Protine Play</t>
        </r>
      </text>
    </comment>
    <comment ref="T29" authorId="0" shapeId="0" xr:uid="{0C6E5856-C0D3-451F-B0CF-A3E630F0047A}">
      <text>
        <r>
          <rPr>
            <sz val="11"/>
            <color theme="1"/>
            <rFont val="Arial"/>
            <family val="2"/>
          </rPr>
          <t>HP:1/3 of total quantity, 50gm for the 150gm plate
+ 
buffer as some Sauce will Stick</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100-000001000000}">
      <text>
        <r>
          <rPr>
            <sz val="11"/>
            <color theme="1"/>
            <rFont val="Arial"/>
            <family val="2"/>
          </rPr>
          <t xml:space="preserve">HP:
total in the update is Protine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200-000001000000}">
      <text>
        <r>
          <rPr>
            <sz val="11"/>
            <color theme="1"/>
            <rFont val="Arial"/>
            <family val="2"/>
          </rPr>
          <t>HP:
thr Protine is total / 1.3</t>
        </r>
      </text>
    </comment>
    <comment ref="T29" authorId="0" shapeId="0" xr:uid="{00000000-0006-0000-4200-000002000000}">
      <text>
        <r>
          <rPr>
            <sz val="11"/>
            <color theme="1"/>
            <rFont val="Arial"/>
            <family val="2"/>
          </rPr>
          <t>HP:1/3 of total quantity, 50gm for the 150gm plate
+ 
buffer as some Sauce will Stick</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tc={986678C2-DF96-4A70-B0ED-C8D57D89417A}</author>
    <author>Unknown Author</author>
  </authors>
  <commentList>
    <comment ref="AC25" authorId="0" shapeId="0" xr:uid="{986678C2-DF96-4A70-B0ED-C8D57D89417A}">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400-000001000000}">
      <text>
        <r>
          <rPr>
            <sz val="11"/>
            <color theme="1"/>
            <rFont val="Arial"/>
            <family val="2"/>
          </rPr>
          <t>HP:
thr Protine is total / 1.3</t>
        </r>
      </text>
    </comment>
    <comment ref="T29" authorId="1" shapeId="0" xr:uid="{00000000-0006-0000-4400-000002000000}">
      <text>
        <r>
          <rPr>
            <sz val="11"/>
            <color theme="1"/>
            <rFont val="Arial"/>
            <family val="2"/>
          </rPr>
          <t>HP:1/3 of total quantity, 50gm for the 150gm plate
+ 
buffer as some Sauce will Stick</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tc={5FBD50BE-A056-49D3-90B4-CFD6B8C9DAA9}</author>
    <author>Unknown Author</author>
  </authors>
  <commentList>
    <comment ref="AC25" authorId="0" shapeId="0" xr:uid="{5FBD50BE-A056-49D3-90B4-CFD6B8C9DAA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500-000001000000}">
      <text>
        <r>
          <rPr>
            <sz val="11"/>
            <color theme="1"/>
            <rFont val="Arial"/>
            <family val="2"/>
          </rPr>
          <t>HP:
thr Protine is total / 1.3</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Unknown Author</author>
    <author>tc={B18422E9-EF47-49B9-B040-569F9006BEC9}</author>
  </authors>
  <commentList>
    <comment ref="K1" authorId="0" shapeId="0" xr:uid="{5A8E5DE7-7D30-4A6F-9465-27CA9A6720CA}">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The 4.6 batch came as 4.2 with given a factor of 0.91. let’s keep a healthy Safety Factor till we verify
Reply:
    Bilal said make it 0.95 and will check next when cooked
Reply:
    Actuals weighted to be 0.99
</t>
        </r>
      </text>
    </comment>
    <comment ref="AC25" authorId="1" shapeId="0" xr:uid="{B18422E9-EF47-49B9-B040-569F9006BEC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92F5F22B-17BB-4949-9812-9D40102723C9}">
      <text>
        <r>
          <rPr>
            <sz val="11"/>
            <color theme="1"/>
            <rFont val="Arial"/>
            <family val="2"/>
          </rPr>
          <t xml:space="preserve">HP:
total in the update is Protine </t>
        </r>
      </text>
    </comment>
    <comment ref="U28" authorId="0" shapeId="0" xr:uid="{1EE92D8D-C437-4CAA-9C5B-12EAE2E33ED2}">
      <text>
        <r>
          <rPr>
            <sz val="11"/>
            <color theme="1"/>
            <rFont val="Arial"/>
            <family val="2"/>
          </rPr>
          <t xml:space="preserve">HP:
total in the update is Protine </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tc={508C95CA-FC6A-4A11-86DD-9F0D520525D6}</author>
    <author>Unknown Author</author>
  </authors>
  <commentList>
    <comment ref="AC25" authorId="0" shapeId="0" xr:uid="{508C95CA-FC6A-4A11-86DD-9F0D520525D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F2AA3126-0F2B-4784-A83B-3D87BE007857}">
      <text>
        <r>
          <rPr>
            <sz val="11"/>
            <color theme="1"/>
            <rFont val="Arial"/>
            <family val="2"/>
          </rPr>
          <t>HP:
thr Protine is total / 1.3</t>
        </r>
      </text>
    </comment>
    <comment ref="T29" authorId="1" shapeId="0" xr:uid="{E79AE413-7861-4AAD-A0DF-08787A1D2751}">
      <text>
        <r>
          <rPr>
            <sz val="11"/>
            <color theme="1"/>
            <rFont val="Arial"/>
            <family val="2"/>
          </rPr>
          <t>HP:1/3 of total quantity, 50gm for the 150gm plate
+ 
buffer as some Sauce will Stick</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tc={E72FB9AB-5619-4FD9-B5C3-28CC1DEC8507}</author>
    <author>Unknown Author</author>
  </authors>
  <commentList>
    <comment ref="AC25" authorId="0" shapeId="0" xr:uid="{E72FB9AB-5619-4FD9-B5C3-28CC1DEC850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F62E00D9-4253-4B2C-8583-965F59E90FD4}">
      <text>
        <r>
          <rPr>
            <sz val="11"/>
            <color theme="1"/>
            <rFont val="Arial"/>
            <family val="2"/>
          </rPr>
          <t xml:space="preserve">HP:
total in the update is Protine </t>
        </r>
      </text>
    </comment>
    <comment ref="T28" authorId="1" shapeId="0" xr:uid="{5F5E7E0C-4A3C-4CC6-92D8-111E5BFAA2FF}">
      <text>
        <r>
          <rPr>
            <sz val="11"/>
            <color theme="1"/>
            <rFont val="Arial"/>
            <family val="2"/>
          </rPr>
          <t>for every 1 KG protine we will create 100 gm Sauce (10%)</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tc={3BE16D37-795B-43AD-8E50-87BBD5FAF9BC}</author>
    <author>Unknown Author</author>
  </authors>
  <commentList>
    <comment ref="AC25" authorId="0" shapeId="0" xr:uid="{3BE16D37-795B-43AD-8E50-87BBD5FAF9BC}">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404F05D0-0ED1-4DF8-8C0A-4529427A6BB4}">
      <text>
        <r>
          <rPr>
            <sz val="11"/>
            <color theme="1"/>
            <rFont val="Arial"/>
            <family val="2"/>
          </rPr>
          <t xml:space="preserve">HP:
total in the update is Protine </t>
        </r>
      </text>
    </comment>
    <comment ref="T28" authorId="1" shapeId="0" xr:uid="{F554A7DE-55B6-437B-9DF7-35EA240F1F24}">
      <text>
        <r>
          <rPr>
            <sz val="11"/>
            <color theme="1"/>
            <rFont val="Arial"/>
            <family val="2"/>
          </rPr>
          <t>HP:
Sauce is 50% of Chicken Quantity, we buffered 10%</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5" authorId="0" shapeId="0" xr:uid="{6F23044D-EB49-47D2-B210-38DE24AC7D7D}">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This sandwich is 80% pure beef ad 20% Fat</t>
        </r>
      </text>
    </comment>
    <comment ref="D65" authorId="0" shapeId="0" xr:uid="{737568A0-1094-4F43-9127-57F189C36378}">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This sandwich is 80% pure beef ad 20% Fat</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DD92E473-4EB1-41D5-8EA7-7B9F0CF28EE5}">
      <text>
        <r>
          <rPr>
            <sz val="11"/>
            <color theme="1"/>
            <rFont val="Arial"/>
            <family val="2"/>
          </rPr>
          <t>HP:1/3 of total quantity, 50gm for the 150gm plate
+ 
buffer as some Sauce will Stick</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9D6DB91A-C1FB-4E49-AD7F-0B36B052E361}">
      <text>
        <r>
          <rPr>
            <sz val="11"/>
            <color theme="1"/>
            <rFont val="Arial"/>
            <family val="2"/>
          </rPr>
          <t xml:space="preserve">HP:
total in the update is Protine </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0F96305-EEC9-4DC1-AD5F-3D8C76E33F75}">
      <text>
        <r>
          <rPr>
            <sz val="11"/>
            <color theme="1"/>
            <rFont val="Arial"/>
            <family val="2"/>
          </rPr>
          <t xml:space="preserve">HP:
total in the update is Protine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<sst xmlns="http://schemas.openxmlformats.org/spreadsheetml/2006/main" count="17190" uniqueCount="1017">
  <si>
    <t>ITEMS</t>
  </si>
  <si>
    <t>Category</t>
  </si>
  <si>
    <t>Unit</t>
  </si>
  <si>
    <t>Daily Weight</t>
  </si>
  <si>
    <t>Day</t>
  </si>
  <si>
    <t>Weekly Weight</t>
  </si>
  <si>
    <t>Yield</t>
  </si>
  <si>
    <t>Order Unit</t>
  </si>
  <si>
    <t>Weekly Order</t>
  </si>
  <si>
    <t>Daily Order</t>
  </si>
  <si>
    <t>Weekly Price</t>
  </si>
  <si>
    <t>Daily Price</t>
  </si>
  <si>
    <t>Onion - بصل</t>
  </si>
  <si>
    <t>خضروات</t>
  </si>
  <si>
    <t>gm</t>
  </si>
  <si>
    <t>kg</t>
  </si>
  <si>
    <t>Curry Chicken</t>
  </si>
  <si>
    <t>Tomato - طماطم</t>
  </si>
  <si>
    <t>Kabsa Lahm</t>
  </si>
  <si>
    <t>Carrot - جزر</t>
  </si>
  <si>
    <t>Beef Chilli Dry</t>
  </si>
  <si>
    <t>Potato - بطاطس</t>
  </si>
  <si>
    <t>Pan Fried Fish</t>
  </si>
  <si>
    <t>Eggplant - باذنجان</t>
  </si>
  <si>
    <t>Meat with Bamiya</t>
  </si>
  <si>
    <t>8 Kg / Carton</t>
  </si>
  <si>
    <t>Carton</t>
  </si>
  <si>
    <t>Chinese Chicken</t>
  </si>
  <si>
    <t xml:space="preserve">Red Bell Pepper - فلفل أحمر </t>
  </si>
  <si>
    <t>Herbal Chicken</t>
  </si>
  <si>
    <t xml:space="preserve">Yellow Bell Pepper - فلفل أصفر </t>
  </si>
  <si>
    <t>Chicken Mandi (1)</t>
  </si>
  <si>
    <t>Green Bell Pepper - فلفل أخضر رومى</t>
  </si>
  <si>
    <t>Asian Chicken Sandwich</t>
  </si>
  <si>
    <t>Green Chilli Pepper - فلفل أخضر حار</t>
  </si>
  <si>
    <t>Herbal Potato Wedges</t>
  </si>
  <si>
    <t>250 g / Box</t>
  </si>
  <si>
    <t>Box</t>
  </si>
  <si>
    <t>Sautee Vegetables (1)</t>
  </si>
  <si>
    <t>Mached Potato(1)</t>
  </si>
  <si>
    <t>Green Onion - بصل أخضر</t>
  </si>
  <si>
    <t>1350 g / Pack</t>
  </si>
  <si>
    <t>Pack</t>
  </si>
  <si>
    <t>Chicken Alfredo</t>
  </si>
  <si>
    <t>Fettuccine Pasta Sauce</t>
  </si>
  <si>
    <t>Kg</t>
  </si>
  <si>
    <t>Coconut Chicken</t>
  </si>
  <si>
    <t>Zucchini - كوسة</t>
  </si>
  <si>
    <t>Chicken 65</t>
  </si>
  <si>
    <t>Orange - برتقال</t>
  </si>
  <si>
    <t>Chinese Cabbage - ملفوف صيني</t>
  </si>
  <si>
    <t>Mkhtoum Lahm</t>
  </si>
  <si>
    <t>135 g / Box</t>
  </si>
  <si>
    <t>BBQ Chicken Skewers</t>
  </si>
  <si>
    <t>Ginger - زنجبيل</t>
  </si>
  <si>
    <t>منكهات</t>
  </si>
  <si>
    <t>Beef Zurbian</t>
  </si>
  <si>
    <t>Grilled Vegetables(2)</t>
  </si>
  <si>
    <t>Almond Chicken</t>
  </si>
  <si>
    <t>Chicken Pasta with Vegetable</t>
  </si>
  <si>
    <t>Coriander Leaves - كزبرة خضراء</t>
  </si>
  <si>
    <t>أعشاب طازجة</t>
  </si>
  <si>
    <t>825 g / Pack</t>
  </si>
  <si>
    <t>Pasta with Vegetable(Pasta)</t>
  </si>
  <si>
    <t>Parsley - بقدونس</t>
  </si>
  <si>
    <t>Changezi Chicken</t>
  </si>
  <si>
    <t>100 g/Pack</t>
  </si>
  <si>
    <t>Daoud Basha</t>
  </si>
  <si>
    <t>Mint Leaves - نعناع طازج</t>
  </si>
  <si>
    <t>900 g / Pack</t>
  </si>
  <si>
    <t>Dill Leaves - شبت</t>
  </si>
  <si>
    <t>1000 g /Pack</t>
  </si>
  <si>
    <t>Moussaka Vegi</t>
  </si>
  <si>
    <t>Moussaka Meat</t>
  </si>
  <si>
    <t>Laham Oriental</t>
  </si>
  <si>
    <t>Curry Leaves - أوراق الكاري</t>
  </si>
  <si>
    <t>Chicken Saleeq (3)</t>
  </si>
  <si>
    <t>Chicken Mandi (3)</t>
  </si>
  <si>
    <t>Chicken Caesar Salad</t>
  </si>
  <si>
    <t>Dry Thyme - زعتر مجفف</t>
  </si>
  <si>
    <t>أعشاب مجففة</t>
  </si>
  <si>
    <t>Chicken Fajita</t>
  </si>
  <si>
    <t>Dry Oregano - أوريجانو مجفف</t>
  </si>
  <si>
    <t>Mached Potato(3)</t>
  </si>
  <si>
    <t>Dry Basil - ريحان مجفف</t>
  </si>
  <si>
    <t>142 g / Pack</t>
  </si>
  <si>
    <t>Potato Wedges</t>
  </si>
  <si>
    <t>Dried Mint Leaves - نعناع مجفف</t>
  </si>
  <si>
    <t>200 g / Pack</t>
  </si>
  <si>
    <t>Oven Vegetables (3)</t>
  </si>
  <si>
    <t>Bay Leaf - ورق غار</t>
  </si>
  <si>
    <t>Chicken Steak Sauce</t>
  </si>
  <si>
    <t>Chicken Steak Topping</t>
  </si>
  <si>
    <t>Salt - ملح</t>
  </si>
  <si>
    <t>توابل</t>
  </si>
  <si>
    <t>50 Kg</t>
  </si>
  <si>
    <t>Chicken Mushroom</t>
  </si>
  <si>
    <t>Black Pepper Whole - فلفل أسود حب</t>
  </si>
  <si>
    <t>Stroganoff Beef</t>
  </si>
  <si>
    <t>Black Pepper Powder - فلفل أسود مطحون</t>
  </si>
  <si>
    <t>Stroganoff pasta</t>
  </si>
  <si>
    <t>White Pepper - فلفل أبيض</t>
  </si>
  <si>
    <t>Beef Amansi</t>
  </si>
  <si>
    <t>Cumin Whole - كمون حب</t>
  </si>
  <si>
    <t>Chicken Tikka</t>
  </si>
  <si>
    <t>Cumin Powder - كمون مطحون</t>
  </si>
  <si>
    <t>Lahm Fasooliya</t>
  </si>
  <si>
    <t>Coriander Powder - كزبرة مطحونة</t>
  </si>
  <si>
    <t>Curry Powder - كاري بودرة</t>
  </si>
  <si>
    <t>Orzo Pasta</t>
  </si>
  <si>
    <t>Paprika Powder - بابريكا مطحون</t>
  </si>
  <si>
    <t>2724 gram/Carton</t>
  </si>
  <si>
    <t>Chicken Makloba</t>
  </si>
  <si>
    <t>Red Chilli Powder - شطة حمراء مطحونة</t>
  </si>
  <si>
    <t>Makloba Veggi</t>
  </si>
  <si>
    <t>Kashmiri Red Chilli Whole - فلفل كشميري أحمر كامل</t>
  </si>
  <si>
    <t>10 Kg / Carton</t>
  </si>
  <si>
    <t>BBQ Chicken</t>
  </si>
  <si>
    <t>Turmeric - كركم</t>
  </si>
  <si>
    <t>Mached Potato(4)</t>
  </si>
  <si>
    <t>Cinnamon Whole - قرفة أعواد</t>
  </si>
  <si>
    <t>Sautee Vegetables (4)</t>
  </si>
  <si>
    <t>Cinnamon Powder - قرفة مطحونة</t>
  </si>
  <si>
    <t>Sriracha Chicken</t>
  </si>
  <si>
    <t>Cloves Whole - قرنفل حب</t>
  </si>
  <si>
    <t>Butter Chicken</t>
  </si>
  <si>
    <t>Cardamom Whole - هيل حب</t>
  </si>
  <si>
    <t>Meat Kebab</t>
  </si>
  <si>
    <t>Cardamom Powder - هيل مطحون</t>
  </si>
  <si>
    <t>Star Anise - ينسون نجمي</t>
  </si>
  <si>
    <t>Kebab Hindi</t>
  </si>
  <si>
    <t>Fennel Seeds - شمر حب</t>
  </si>
  <si>
    <t>Pizziola Chicken</t>
  </si>
  <si>
    <t>50 gram</t>
  </si>
  <si>
    <t>Lahm Bolognese</t>
  </si>
  <si>
    <t>Biryani Masala - بهارات برياني</t>
  </si>
  <si>
    <t>Kabsa Spices Powder - توابل كبسة بودر</t>
  </si>
  <si>
    <t>200 gram</t>
  </si>
  <si>
    <t>Lasagne Bachamel</t>
  </si>
  <si>
    <t>Maggi Cubes - مكعبات ماجي</t>
  </si>
  <si>
    <t>Beef Lasagne Sauce</t>
  </si>
  <si>
    <t>Italian Seasoning - توابل إيطالية</t>
  </si>
  <si>
    <t>34 g</t>
  </si>
  <si>
    <t>Beef Bokhary</t>
  </si>
  <si>
    <t>Ginger Powder - زنجبيل مطحون</t>
  </si>
  <si>
    <t>Beef philly cheese steak</t>
  </si>
  <si>
    <t>Onion Powder - بصل بودرة</t>
  </si>
  <si>
    <t>Grilled Vegetables(5)</t>
  </si>
  <si>
    <t>Pink Chicken</t>
  </si>
  <si>
    <t>Garlic Powder - ثوم بودرة</t>
  </si>
  <si>
    <t>Ginger Chicken</t>
  </si>
  <si>
    <t>French Meatball</t>
  </si>
  <si>
    <t>Butter - زبدة</t>
  </si>
  <si>
    <t>منتجات ألبان</t>
  </si>
  <si>
    <t>25 Kg</t>
  </si>
  <si>
    <t>Singapore Chicken</t>
  </si>
  <si>
    <t>Ghee - سمن</t>
  </si>
  <si>
    <t>9.6 Kg / Carton</t>
  </si>
  <si>
    <t>Fish with Shabat and Lemon</t>
  </si>
  <si>
    <t>Milk - حليب</t>
  </si>
  <si>
    <t>ml</t>
  </si>
  <si>
    <t>12 L / Carton</t>
  </si>
  <si>
    <t>Chicken Molokeya</t>
  </si>
  <si>
    <t>Yogurt - زبادي</t>
  </si>
  <si>
    <t>10 Kg</t>
  </si>
  <si>
    <t>Beef Kebab Sandwich</t>
  </si>
  <si>
    <t>Cooking Cream - كريمة طبخ</t>
  </si>
  <si>
    <t>Beef Kabli</t>
  </si>
  <si>
    <t>Labneh - لبنة</t>
  </si>
  <si>
    <t>11 Kg / Carton</t>
  </si>
  <si>
    <t>Chicken Saleeq (6)</t>
  </si>
  <si>
    <t>Oven Vegetables (6)</t>
  </si>
  <si>
    <t>Mozzarella Cheese - جبنة موتزاريلا</t>
  </si>
  <si>
    <t>9.2 Kg / Carton</t>
  </si>
  <si>
    <t>Coconut Milk - حليب جوز الهند</t>
  </si>
  <si>
    <t>9.6 Kg/Carton</t>
  </si>
  <si>
    <t>Almond Whole - لوز كامل</t>
  </si>
  <si>
    <t>مكسرات</t>
  </si>
  <si>
    <t>Cashew Nut - كاجو</t>
  </si>
  <si>
    <t>Sugar - سكر</t>
  </si>
  <si>
    <t>محليات</t>
  </si>
  <si>
    <t>Brown Sugar - سكر بني</t>
  </si>
  <si>
    <t>20 Kg</t>
  </si>
  <si>
    <t>Honey - عسل</t>
  </si>
  <si>
    <t>Raisin - زبيب</t>
  </si>
  <si>
    <t>Flour - دقيق</t>
  </si>
  <si>
    <t>حبوب ودقيق</t>
  </si>
  <si>
    <t>Corn Starch - نشا ذرة</t>
  </si>
  <si>
    <t>Bread Crumbs - فتات الخبز (بقسماط)</t>
  </si>
  <si>
    <t>BBQ Sauce - صوص باربيكيو</t>
  </si>
  <si>
    <t>صوصات ومنكهات</t>
  </si>
  <si>
    <t>15.16 L / Carton</t>
  </si>
  <si>
    <t>Sriracha Sauce - صوص سريراتشا</t>
  </si>
  <si>
    <t>Light Soy Sauce - صويا صوص خفيف</t>
  </si>
  <si>
    <t>Sweet Soy Sauce - صويا صوص حلو</t>
  </si>
  <si>
    <t>7.5 L / Carton</t>
  </si>
  <si>
    <t>Oyster Sauce - صوص محار</t>
  </si>
  <si>
    <t>7.2 L / Carton</t>
  </si>
  <si>
    <t>Tomato Ketchup - كاتشب طماطم</t>
  </si>
  <si>
    <t>20 Kg / Carton</t>
  </si>
  <si>
    <t>Demi Glaze Sauce - صوص ديمي غلاز</t>
  </si>
  <si>
    <t>4.5 Kg / Carton</t>
  </si>
  <si>
    <t>Mustard - خردل</t>
  </si>
  <si>
    <t>Water - ماء</t>
  </si>
  <si>
    <t>سوائل ومرق</t>
  </si>
  <si>
    <t>L</t>
  </si>
  <si>
    <t>Rose Water - ماء الورد</t>
  </si>
  <si>
    <t>Beef Stock - مرق لحم بقري</t>
  </si>
  <si>
    <t>Vinegar - خل</t>
  </si>
  <si>
    <t>Balsamic Vinegar - خل بلسميك</t>
  </si>
  <si>
    <t>6 L / Carton</t>
  </si>
  <si>
    <t>Olive Oil - زيت زيتون</t>
  </si>
  <si>
    <t>Lemon Juice - عصير ليمون</t>
  </si>
  <si>
    <t>ألوان وإضافات</t>
  </si>
  <si>
    <t>Orange Color - لون برتقالي</t>
  </si>
  <si>
    <t>Brown Color - لون بني</t>
  </si>
  <si>
    <t>Soda Bi Carb - بيكربونات الصوديوم</t>
  </si>
  <si>
    <t>Charcoal - فحم</t>
  </si>
  <si>
    <t>12.75 Kg / Carton</t>
  </si>
  <si>
    <t>White Beans - فاصوليا بيضاء</t>
  </si>
  <si>
    <t>Chicken - دجاج</t>
  </si>
  <si>
    <t>بروتين</t>
  </si>
  <si>
    <t>Meat Fat - دهن لحم</t>
  </si>
  <si>
    <t>Indian Meat Alana  - لحم هندى ألانا</t>
  </si>
  <si>
    <t>18 Kg / Carton</t>
  </si>
  <si>
    <t>Fillet Fish - سمك فيليه</t>
  </si>
  <si>
    <t>Indian Meat Tammam Mafroom - مفروم هندى</t>
  </si>
  <si>
    <t>KG</t>
  </si>
  <si>
    <t>Sheet Name</t>
  </si>
  <si>
    <t>Egg - بيضة</t>
  </si>
  <si>
    <t>Piece</t>
  </si>
  <si>
    <t>Base Recipe (1kg Yield)</t>
  </si>
  <si>
    <t xml:space="preserve">Required Quantity </t>
  </si>
  <si>
    <t>Conversion Factor</t>
  </si>
  <si>
    <t>Corrected Conversion Factor</t>
  </si>
  <si>
    <t>Weight Correction</t>
  </si>
  <si>
    <t>Protine Cooking Method</t>
  </si>
  <si>
    <t>Grill &amp; Oven</t>
  </si>
  <si>
    <t>Protine Cooking Yield</t>
  </si>
  <si>
    <t>Marination Factor</t>
  </si>
  <si>
    <t xml:space="preserve">Curry Chicken </t>
  </si>
  <si>
    <t>Ingredient</t>
  </si>
  <si>
    <t xml:space="preserve">Unit </t>
  </si>
  <si>
    <t>Scaling Factor 
(1-10KG)</t>
  </si>
  <si>
    <t xml:space="preserve">Linear Scaled Amount </t>
  </si>
  <si>
    <t>Scaled Amount Post Conversion Factor 
كميات التحضير من فريق طوكيو</t>
  </si>
  <si>
    <t>PreCooking Yield</t>
  </si>
  <si>
    <t>Price Per KG or L</t>
  </si>
  <si>
    <t>Ordering quantity (KG or L)</t>
  </si>
  <si>
    <t>Cost</t>
  </si>
  <si>
    <t>Base Recipe (10kg Yield)</t>
  </si>
  <si>
    <t>Curry chicken دجاج بالكارى</t>
  </si>
  <si>
    <t>Size</t>
  </si>
  <si>
    <t>Rich Meal</t>
  </si>
  <si>
    <t xml:space="preserve">Actuals </t>
  </si>
  <si>
    <t xml:space="preserve">Chicken </t>
  </si>
  <si>
    <t>Sauce</t>
  </si>
  <si>
    <t xml:space="preserve">Total </t>
  </si>
  <si>
    <t>Meal Mix</t>
  </si>
  <si>
    <t>Pure Protine</t>
  </si>
  <si>
    <t>Mixing Sauce</t>
  </si>
  <si>
    <t>Topping Sauce</t>
  </si>
  <si>
    <t>Total</t>
  </si>
  <si>
    <t>Mixed</t>
  </si>
  <si>
    <t>Topping</t>
  </si>
  <si>
    <t xml:space="preserve">Safty </t>
  </si>
  <si>
    <t>Cost/gram</t>
  </si>
  <si>
    <t>Total Without Safty Factor</t>
  </si>
  <si>
    <t>Actuals (To be Filled automatically)</t>
  </si>
  <si>
    <t>Extra Quantity vs Actuals</t>
  </si>
  <si>
    <t>Protine Out of (Protine + Mixing Sauce)</t>
  </si>
  <si>
    <t>Mixing Sauce Out of (Protine + Mixing Sauce)</t>
  </si>
  <si>
    <t>Total Batch</t>
  </si>
  <si>
    <t>Total Sauce</t>
  </si>
  <si>
    <t xml:space="preserve">Mixing % </t>
  </si>
  <si>
    <t>Topping %</t>
  </si>
  <si>
    <t xml:space="preserve">Mixing KG </t>
  </si>
  <si>
    <t>Topping KG</t>
  </si>
  <si>
    <t>Protine Cooked for 10 KG Sauce Batch</t>
  </si>
  <si>
    <t>Final KG</t>
  </si>
  <si>
    <t>Protine Batches</t>
  </si>
  <si>
    <t>Un Cooked Protine</t>
  </si>
  <si>
    <t>Cooked Protine</t>
  </si>
  <si>
    <t>For 10KG Sauce output</t>
  </si>
  <si>
    <t>Batch 1</t>
  </si>
  <si>
    <t>Batch 2</t>
  </si>
  <si>
    <t>Batch 3</t>
  </si>
  <si>
    <t>Protein</t>
  </si>
  <si>
    <t>Mix</t>
  </si>
  <si>
    <t>Boil</t>
  </si>
  <si>
    <t xml:space="preserve">Kabsah Laham </t>
  </si>
  <si>
    <t>Dry Meal</t>
  </si>
  <si>
    <t>Laham</t>
  </si>
  <si>
    <t>Batch 4</t>
  </si>
  <si>
    <t>Beef Chili Dry</t>
  </si>
  <si>
    <t>بيف شيلى دراى  Beef Chilli Dry</t>
  </si>
  <si>
    <t>Self Saturated Meal</t>
  </si>
  <si>
    <t>Beef</t>
  </si>
  <si>
    <t>Oven</t>
  </si>
  <si>
    <t xml:space="preserve">This Meal is Pure Protine with no Mixxing, only Topping </t>
  </si>
  <si>
    <t>For Every 150 gm we Add on top ???</t>
  </si>
  <si>
    <t>بان فرايد فيش  Pan Fried Fish</t>
  </si>
  <si>
    <t xml:space="preserve">Fish </t>
  </si>
  <si>
    <t>Bamiah Laham</t>
  </si>
  <si>
    <t>Edam Meal</t>
  </si>
  <si>
    <t xml:space="preserve">Laham </t>
  </si>
  <si>
    <t>Protine Uncooked For 10 KG Sauce Batch</t>
  </si>
  <si>
    <t>for every 1 scaling factor you get 0.85KG</t>
  </si>
  <si>
    <t xml:space="preserve">For Every 150 gm we Add on top 50gm </t>
  </si>
  <si>
    <t xml:space="preserve"> </t>
  </si>
  <si>
    <t>دجاج بالأعشاب  Herbal Chicken</t>
  </si>
  <si>
    <t xml:space="preserve">Marination </t>
  </si>
  <si>
    <t>Requirered P</t>
  </si>
  <si>
    <t>Zurbian</t>
  </si>
  <si>
    <t>Totavl Conversion Factor</t>
  </si>
  <si>
    <t>Chicken Mandi - مندي دجاج</t>
  </si>
  <si>
    <t>Unit  الوحدة</t>
  </si>
  <si>
    <t>Base Recipe (1 kg Yield) — الوصفة الأساسية (إنتاج 1 كجم)</t>
  </si>
  <si>
    <t>Corrected Conversion Factor — معامل التحويل المصحح</t>
  </si>
  <si>
    <t>Scaling Factor — معامل القياس</t>
  </si>
  <si>
    <t>Linear Scaled Amount — الكمية المعدلة حسابياً</t>
  </si>
  <si>
    <t>Scaled Amount Post Conversion Factor — الكمية المعدلة بعد معامل التحويل</t>
  </si>
  <si>
    <t>For 15KG Protine output</t>
  </si>
  <si>
    <t>Saudi Cuisine</t>
  </si>
  <si>
    <t xml:space="preserve"> الوزن المطلوب</t>
  </si>
  <si>
    <t>Safty - كمية للأمان</t>
  </si>
  <si>
    <t>Total - الوزن النهائي</t>
  </si>
  <si>
    <t>Protine Out of Total</t>
  </si>
  <si>
    <t>Protine Cooked for 15 KG Sauce Batch</t>
  </si>
  <si>
    <t>Scaling Factor 
(1-15KG)</t>
  </si>
  <si>
    <t>Base Recipe (1 Portion )</t>
  </si>
  <si>
    <t>Charcol &amp; Oven</t>
  </si>
  <si>
    <t>Filling</t>
  </si>
  <si>
    <t>Asian Chicken Sandwich - ساندوتش الدجاج الاسيوي</t>
  </si>
  <si>
    <t>Scaled Amount Post Conversion Factor</t>
  </si>
  <si>
    <t>Veggi &amp; Cheese</t>
  </si>
  <si>
    <t xml:space="preserve">Potato Wedges - بطاطس ويدجز </t>
  </si>
  <si>
    <t xml:space="preserve">Edam Vegetables  </t>
  </si>
  <si>
    <t>Vegetables (Edam)</t>
  </si>
  <si>
    <t>Sat - Tues</t>
  </si>
  <si>
    <t>Steam Vegetables</t>
  </si>
  <si>
    <t xml:space="preserve">Sautee Vegetables - خضار سوتيه </t>
  </si>
  <si>
    <t>Mached Potato</t>
  </si>
  <si>
    <t>Batch 5</t>
  </si>
  <si>
    <t xml:space="preserve">Mached Potato  - بطاطس مهروسة </t>
  </si>
  <si>
    <t>بطاطس مهروسة   4/ 4</t>
  </si>
  <si>
    <t>Mached Potato 4 / 4</t>
  </si>
  <si>
    <t>بطاطس مهروسة   5/ 5</t>
  </si>
  <si>
    <t>Mached Potato 5 / 5</t>
  </si>
  <si>
    <t>Ingredient+A4:E27</t>
  </si>
  <si>
    <t>دجاج الفريدو  Chicken Alfredo</t>
  </si>
  <si>
    <t>Pasta</t>
  </si>
  <si>
    <t>update</t>
  </si>
  <si>
    <t>دجاج بجوز الهند  Chicken Coconut</t>
  </si>
  <si>
    <t>Chicken</t>
  </si>
  <si>
    <t xml:space="preserve">  Chicken 65</t>
  </si>
  <si>
    <t>Self Saturated</t>
  </si>
  <si>
    <t>3 KG mixed bel pepper</t>
  </si>
  <si>
    <t>100 gm butter</t>
  </si>
  <si>
    <t>اسياخ دجاج الباربكيو BBQ Chicken Skewers</t>
  </si>
  <si>
    <t>piece</t>
  </si>
  <si>
    <t>Sun - Wed</t>
  </si>
  <si>
    <t>Grilled Vegetables</t>
  </si>
  <si>
    <t xml:space="preserve">Grilled Vegetables - خضار مشوية </t>
  </si>
  <si>
    <t>coating</t>
  </si>
  <si>
    <t>Total Uncooked</t>
  </si>
  <si>
    <t>Total Cooked</t>
  </si>
  <si>
    <t>coating 30% of chicken</t>
  </si>
  <si>
    <t>Coating</t>
  </si>
  <si>
    <t>دجاج بالوز Almond Chicken</t>
  </si>
  <si>
    <t>دجاج مكروني بالخضار Chicken Pasta with Vegetables</t>
  </si>
  <si>
    <t>مكروني بالخضار Pasta with Vegetables</t>
  </si>
  <si>
    <t>باستا مكروني بالخضار  Pasta with Vegetables</t>
  </si>
  <si>
    <t xml:space="preserve"> دجاج تشانجيزي  Changezi Chicken</t>
  </si>
  <si>
    <t>داوود باشا  Daoud Basha</t>
  </si>
  <si>
    <t>Meat</t>
  </si>
  <si>
    <t xml:space="preserve">Moussaka Vegetables - خضار المسقعة </t>
  </si>
  <si>
    <t>meat before cooking</t>
  </si>
  <si>
    <t>meat after cooking</t>
  </si>
  <si>
    <t>meat after sauce</t>
  </si>
  <si>
    <t xml:space="preserve">Sauce of Moussaka Meat - صوص لحم المسقعة </t>
  </si>
  <si>
    <t>لحم اوريانتل   Laham Oriental</t>
  </si>
  <si>
    <t>This Meal need more Sauce than the 1/3 Rule</t>
  </si>
  <si>
    <t>Dipping Sauce</t>
  </si>
  <si>
    <t>Saleeq</t>
  </si>
  <si>
    <t>Filling gm</t>
  </si>
  <si>
    <t xml:space="preserve">تشيكن سيزر - Chicken Caesar Salad  </t>
  </si>
  <si>
    <t xml:space="preserve">تشيكن سيزر - Chicken Caesar Salad </t>
  </si>
  <si>
    <t xml:space="preserve"> ساندوتش تشيكن فاهيتا - Chicken Fajita Sandwitch</t>
  </si>
  <si>
    <t>Mon - Thursd</t>
  </si>
  <si>
    <t>Oven Vegetables</t>
  </si>
  <si>
    <t xml:space="preserve">Oven Vegetables - خضار بالفرن </t>
  </si>
  <si>
    <t>Chicken Steak mixing</t>
  </si>
  <si>
    <t xml:space="preserve">This Meal follow the 1/1.15 Rule </t>
  </si>
  <si>
    <t>ستيك دجاج  Chicken Steak</t>
  </si>
  <si>
    <t>chicken</t>
  </si>
  <si>
    <t xml:space="preserve">Chicken Mushroom </t>
  </si>
  <si>
    <t xml:space="preserve">For Every 150 gm we Add on top 75gm </t>
  </si>
  <si>
    <t>Pure Protein Play - Rich Meal</t>
  </si>
  <si>
    <t>Mashroom</t>
  </si>
  <si>
    <t>Stroganoff Pasta for Beef</t>
  </si>
  <si>
    <t xml:space="preserve">Stroganoff Beef - ستروغانوف لحم </t>
  </si>
  <si>
    <t xml:space="preserve">Self Saturated </t>
  </si>
  <si>
    <t>Stroganoff sauce for pasta</t>
  </si>
  <si>
    <t>Pasta fusilli - مكرونة مبرومة</t>
  </si>
  <si>
    <t xml:space="preserve">Stroganoff Pasta -ستروغانوف باستا </t>
  </si>
  <si>
    <t xml:space="preserve"> Self Saturated </t>
  </si>
  <si>
    <t xml:space="preserve">Beef Amansi بيف امانسي   </t>
  </si>
  <si>
    <t xml:space="preserve">Chicken Tikka دجاج تكا </t>
  </si>
  <si>
    <t xml:space="preserve">Safety </t>
  </si>
  <si>
    <t>Total Without Safety Factor</t>
  </si>
  <si>
    <t>when we mix thr meet with the sauce it absorb it</t>
  </si>
  <si>
    <t xml:space="preserve">Laham Fasooliya  فاصوليا لحم </t>
  </si>
  <si>
    <t>Edam</t>
  </si>
  <si>
    <t>Orzo Pasta أورزو باستا</t>
  </si>
  <si>
    <t>Zucchini Cooking Yield</t>
  </si>
  <si>
    <t>Potato Cooking Yield</t>
  </si>
  <si>
    <t>Carrot Cooking Yield</t>
  </si>
  <si>
    <t>Maklouba Veggi - خضار مقلوبة</t>
  </si>
  <si>
    <t>Cooking</t>
  </si>
  <si>
    <t>Before</t>
  </si>
  <si>
    <t>After</t>
  </si>
  <si>
    <t>For 1 KG Out Put</t>
  </si>
  <si>
    <t>كمية غرف الخضار للمقلوبة</t>
  </si>
  <si>
    <t>Maklouba - مقلوبة</t>
  </si>
  <si>
    <t>Veggi</t>
  </si>
  <si>
    <t>الوزن بدون كمية الأمان</t>
  </si>
  <si>
    <t>140 gm</t>
  </si>
  <si>
    <t xml:space="preserve"> ساندوتش تشيكن باربيكيو - BBQ Chicken Sandwitch</t>
  </si>
  <si>
    <t>Sriracha Chicken دجاج سيراتشا</t>
  </si>
  <si>
    <t>Extra Self Saturated Meal</t>
  </si>
  <si>
    <t xml:space="preserve">Butter Chicken دجاج هندي بالزبدة </t>
  </si>
  <si>
    <t xml:space="preserve">Meat Kebab كباب اللحم </t>
  </si>
  <si>
    <t>The Sauce will be counted for each of (upper) and (Lower) Sauce</t>
  </si>
  <si>
    <t>Kebab Hindi كباب هندى</t>
  </si>
  <si>
    <t>Kebab</t>
  </si>
  <si>
    <t xml:space="preserve">topping </t>
  </si>
  <si>
    <t>4kg Chicken</t>
  </si>
  <si>
    <t>1.50 KG cheddar</t>
  </si>
  <si>
    <t xml:space="preserve">Lahm Bolognese لحم بولونيز </t>
  </si>
  <si>
    <t>صوص بشاميل لازانيا - Lasagne Bachamel</t>
  </si>
  <si>
    <t>Pasta Lasagna Sheets - شرائح لازانيا باستا</t>
  </si>
  <si>
    <t>Batch 6</t>
  </si>
  <si>
    <t>Batch 7</t>
  </si>
  <si>
    <t>Update</t>
  </si>
  <si>
    <t>Beef Lasagne  - لحم لازانيا</t>
  </si>
  <si>
    <t>Safty</t>
  </si>
  <si>
    <t>Beef Lasagne  -  لحم لازانيا</t>
  </si>
  <si>
    <t>Biukhary</t>
  </si>
  <si>
    <t>For 10KG Protine output</t>
  </si>
  <si>
    <t>Beef Philly Cheesesteak - ساندوتش فيلادلفيا لحم</t>
  </si>
  <si>
    <t>Vegetables</t>
  </si>
  <si>
    <t>Pink Chicken دجاج بكريمة الطماطم</t>
  </si>
  <si>
    <t xml:space="preserve">Ginger Chicken </t>
  </si>
  <si>
    <t>Ginger Chicken دجاج بالزنجبيل</t>
  </si>
  <si>
    <t>PreCooked Quantity  (1kg Yield)</t>
  </si>
  <si>
    <t>Linear Scaled Amount - Precooked quantity</t>
  </si>
  <si>
    <t>French Meatball كرات اللحم الفرنسية</t>
  </si>
  <si>
    <t>Singapore Chicken  دجاج سنغافورى</t>
  </si>
  <si>
    <t>Fish with Shabat and Lemon   سمك بالشبت و الليمون</t>
  </si>
  <si>
    <t>Fish</t>
  </si>
  <si>
    <t>Chicken Molokeya ملوخية دجاج</t>
  </si>
  <si>
    <t>Charcol</t>
  </si>
  <si>
    <t xml:space="preserve">Beef Kebab sandwich  - ساندوتش كباب لحم </t>
  </si>
  <si>
    <t>Beef Count</t>
  </si>
  <si>
    <t>Beef Kabli- كابلي لحم</t>
  </si>
  <si>
    <t>Octa Poki Bowl</t>
  </si>
  <si>
    <t>Octa Poki Bowl -  أوكتا بوكى بول</t>
  </si>
  <si>
    <t>Octa Poki Bowl - أوكتا بوكى بول</t>
  </si>
  <si>
    <t>Frozen Green Peas - بازلاء خضراء مجمده</t>
  </si>
  <si>
    <t>معلبات و مجمدات</t>
  </si>
  <si>
    <t>Red Cabbage - ملفوف أحمر</t>
  </si>
  <si>
    <t>Carrot Cooking Method</t>
  </si>
  <si>
    <t>Base Recipe  1 Sandwich</t>
  </si>
  <si>
    <t>Total Chicken - الدجاج الكلي</t>
  </si>
  <si>
    <t>Chicken 65 - دجاج 65</t>
  </si>
  <si>
    <t>Total beef - اللحم الكلي</t>
  </si>
  <si>
    <t>Worcestershire sauce - صوص الورشيستر</t>
  </si>
  <si>
    <t>Top Side - توب سايد مفروم</t>
  </si>
  <si>
    <t>Octa Poki Bowl- اوكتا بوكى بول</t>
  </si>
  <si>
    <t>Pizza Chicken دجاج بيتزا</t>
  </si>
  <si>
    <t>Butchery Protein Order — Auto-Generated</t>
  </si>
  <si>
    <t>Meal Name</t>
  </si>
  <si>
    <t>Protein Ingredient</t>
  </si>
  <si>
    <t>Weight (grams)</t>
  </si>
  <si>
    <t>Weight (KG)</t>
  </si>
  <si>
    <t>Kabsah Laham</t>
  </si>
  <si>
    <t>تشيكن سيزر - Chicken Caesar Salad</t>
  </si>
  <si>
    <t>PROTEIN SUMMARY</t>
  </si>
  <si>
    <t>Total KG Needed</t>
  </si>
  <si>
    <t>22 Packet pasta = 9900</t>
  </si>
  <si>
    <t>after boiling 30800</t>
  </si>
  <si>
    <t>update = 36460</t>
  </si>
  <si>
    <t>Total Beef - اللحم الكلي</t>
  </si>
  <si>
    <t>Total Fish - السمك الكلي</t>
  </si>
  <si>
    <t>Chinese Chicken - دجاج صيني</t>
  </si>
  <si>
    <t>Cooked Pasta</t>
  </si>
  <si>
    <t>Un Cooked Pasta</t>
  </si>
  <si>
    <t>Pasta Cooked for 10 KG Sauce Batch</t>
  </si>
  <si>
    <t>Butchery</t>
  </si>
  <si>
    <t>Fettuccine Pasta - مكرونة فيتوتشيني</t>
  </si>
  <si>
    <t>Rice GM</t>
  </si>
  <si>
    <t xml:space="preserve">Required </t>
  </si>
  <si>
    <r>
      <t xml:space="preserve">Scaled Amount Post Conversion Factor 
</t>
    </r>
    <r>
      <rPr>
        <b/>
        <sz val="12"/>
        <color rgb="FFFFFFFF"/>
        <rFont val="Calibri"/>
        <family val="2"/>
        <scheme val="minor"/>
      </rPr>
      <t>كميات التحضير من فريق طوكيو</t>
    </r>
  </si>
  <si>
    <t>Pasta Cooking Yield</t>
  </si>
  <si>
    <t>Pasta Penne - مكرونة أقلام</t>
  </si>
  <si>
    <t>Pasta Orzo - مكرونة لسان عصفور</t>
  </si>
  <si>
    <t xml:space="preserve">Spaghetti pasta - مكرونة إسباكتينى </t>
  </si>
  <si>
    <t>Pasta Spaghettini  - مكرونة اسباجيتي</t>
  </si>
  <si>
    <t>Spaghetti pasta - مكرونة سباجتى</t>
  </si>
  <si>
    <t xml:space="preserve">Chicken Mushroom دجاج بالفطر   </t>
  </si>
  <si>
    <t>Spaghetti pasta</t>
  </si>
  <si>
    <t>Spaghetti pasta (2)</t>
  </si>
  <si>
    <t>Spaghetti pasta (3)</t>
  </si>
  <si>
    <t>Coating efficiency</t>
  </si>
  <si>
    <t>مكرونة</t>
  </si>
  <si>
    <t>Sweet Corn - ذرة حلوة</t>
  </si>
  <si>
    <t>Red Kidney Beans - فاصوليا حمراء</t>
  </si>
  <si>
    <t>Conv. Factor</t>
  </si>
  <si>
    <t>Base (5kg)</t>
  </si>
  <si>
    <t>Mexican Vegetables - خضار مكسيكي</t>
  </si>
  <si>
    <t>Base Recipe (5kg Yield)</t>
  </si>
  <si>
    <t>7 KG output</t>
  </si>
  <si>
    <t>Chicken Stock - مرق دجاج</t>
  </si>
  <si>
    <t>Green Beans - فاصوليا خضراء</t>
  </si>
  <si>
    <t xml:space="preserve">Sigapore Vegetables Rice   -  خضار رز سنغافورى </t>
  </si>
  <si>
    <t>Total veggi</t>
  </si>
  <si>
    <t>Jollof Sauce - صوص جولوف</t>
  </si>
  <si>
    <t xml:space="preserve">  </t>
  </si>
  <si>
    <t>Total Count</t>
  </si>
  <si>
    <t>Jollof Sauce</t>
  </si>
  <si>
    <t>Sigapore Vegetables</t>
  </si>
  <si>
    <t>Mexican Vegetables</t>
  </si>
  <si>
    <t xml:space="preserve">   </t>
  </si>
  <si>
    <t>Total (KG)</t>
  </si>
  <si>
    <t>Base Recipe (15kg Yield)</t>
  </si>
  <si>
    <t xml:space="preserve">Filling and sauce </t>
  </si>
  <si>
    <t>Count</t>
  </si>
  <si>
    <t>Pasta GM</t>
  </si>
  <si>
    <t>Indian Meat Alana - لحم هندي ألانا</t>
  </si>
  <si>
    <t>Indian Meat Tammam Mafroom - مفروم هندي</t>
  </si>
  <si>
    <t>.</t>
  </si>
  <si>
    <t>Update Weight</t>
  </si>
  <si>
    <t>Day No.</t>
  </si>
  <si>
    <t>Safthy</t>
  </si>
  <si>
    <t>دجاج بالكاري</t>
  </si>
  <si>
    <t>المكرونة</t>
  </si>
  <si>
    <t>خضار سوتيه</t>
  </si>
  <si>
    <t>كبسة لحم</t>
  </si>
  <si>
    <t>-</t>
  </si>
  <si>
    <t>بيف شيلي دراي</t>
  </si>
  <si>
    <t>خضار سوتيه 🌶</t>
  </si>
  <si>
    <t>البطاطس المهروسة 🌶</t>
  </si>
  <si>
    <t>بان فرايد فش</t>
  </si>
  <si>
    <t>أرز الصيادية</t>
  </si>
  <si>
    <t>بامية لحم</t>
  </si>
  <si>
    <t>الأرز بالزعفران</t>
  </si>
  <si>
    <t>دجاج صيني</t>
  </si>
  <si>
    <t>الأرز الأبيض</t>
  </si>
  <si>
    <t>دجاج بالأعشاب</t>
  </si>
  <si>
    <t>البطاطا</t>
  </si>
  <si>
    <t>مندي دجاج</t>
  </si>
  <si>
    <t>ساندوتش الدجاج الآسيوي بخبز الشوفان</t>
  </si>
  <si>
    <t>دجاج ألفريدو</t>
  </si>
  <si>
    <t>دجاج 65 الهندي الحار</t>
  </si>
  <si>
    <t>الأرز الأبيض 🌶</t>
  </si>
  <si>
    <t>مختوم لحم</t>
  </si>
  <si>
    <t>أسياخ دجاج الباربكيو</t>
  </si>
  <si>
    <t>أرز جولوف</t>
  </si>
  <si>
    <t>دجاج بكريمة جوز الهند</t>
  </si>
  <si>
    <t>زربيان لحم</t>
  </si>
  <si>
    <t>ساندوتش الدجاج بالفلفل الرومي</t>
  </si>
  <si>
    <t>دجاج باللوز في الفرن</t>
  </si>
  <si>
    <t>بطاطس ويدجز</t>
  </si>
  <si>
    <t>دجاج مكروني بالخضار</t>
  </si>
  <si>
    <t>دجاج تشانجيزي</t>
  </si>
  <si>
    <t>داوود باشا</t>
  </si>
  <si>
    <t>بطاطس مهروسة</t>
  </si>
  <si>
    <t>مسقعة اللحم عالية البروتين</t>
  </si>
  <si>
    <t>لحم أوريانتل</t>
  </si>
  <si>
    <t>الأرز بالمكسرات</t>
  </si>
  <si>
    <t>سليق دجاج</t>
  </si>
  <si>
    <t>ساندوتش فاهيتا الدجاج بخبز الشوفان</t>
  </si>
  <si>
    <t>ساندوتش الدجاج المشوي</t>
  </si>
  <si>
    <t>ستيك دجاج</t>
  </si>
  <si>
    <t>البطاطس المهروسة</t>
  </si>
  <si>
    <t>دجاج بالفطر</t>
  </si>
  <si>
    <t>ستروجانوف باستا</t>
  </si>
  <si>
    <t>بيف أمانسي</t>
  </si>
  <si>
    <t>دجاج تكا</t>
  </si>
  <si>
    <t>الأرز البرياني</t>
  </si>
  <si>
    <t>فاصولياء بيضاء باللحم</t>
  </si>
  <si>
    <t>لسان العصفور</t>
  </si>
  <si>
    <t>أوكتا بوكي بول الدجاج</t>
  </si>
  <si>
    <t>الأرز المصري بالزعفران</t>
  </si>
  <si>
    <t>مقلوبة دجاج</t>
  </si>
  <si>
    <t>ساندوتش الدجاج بالباربيكيو بخبز الشيباتا</t>
  </si>
  <si>
    <t>ساندوتش اللحم الكلاسيكي</t>
  </si>
  <si>
    <t>دجاج سيراتشا</t>
  </si>
  <si>
    <t>الأرز بالخضار 🌶</t>
  </si>
  <si>
    <t>دجاج هندي بالزبدة</t>
  </si>
  <si>
    <t>دجاج البيتزا</t>
  </si>
  <si>
    <t>الأرز بالزعفران🌶</t>
  </si>
  <si>
    <t>كباب اللحم</t>
  </si>
  <si>
    <t>الأرز المشكل</t>
  </si>
  <si>
    <t>كباب هندي</t>
  </si>
  <si>
    <t>لازانيا لحم عالية البروتين</t>
  </si>
  <si>
    <t>لحم بولونيز</t>
  </si>
  <si>
    <t>بخاري لحم</t>
  </si>
  <si>
    <t>ساندوتش فيلادلفيا لحم بخبز الشوفان</t>
  </si>
  <si>
    <t>Quantity for 1 Portion - الكمية للصحن</t>
  </si>
  <si>
    <t xml:space="preserve">Count - العدد </t>
  </si>
  <si>
    <t>كميات التحضير من فريق طوكيو-Tokyo Amount need</t>
  </si>
  <si>
    <t xml:space="preserve">Beef Zurbian Garnish - الزينة لحم زربيان </t>
  </si>
  <si>
    <t xml:space="preserve">Chinese Chicken Garnish - الزينة دجاج صيني   </t>
  </si>
  <si>
    <t>الزينة دجاج بالأعشاب Garnish Herbal Chicken</t>
  </si>
  <si>
    <t>Garnish Chicken Mandi - الزينة مندي دجاج</t>
  </si>
  <si>
    <t>Garnish Curry chicken الزينة دجاج بالكارى</t>
  </si>
  <si>
    <t>الزينة بان فرايد فيش  Garnish Pan Fried Fish</t>
  </si>
  <si>
    <t>الزينة بيف شيلى دراى  Garnish Beef Chilli Dry</t>
  </si>
  <si>
    <t>الزينة بامية لحم  Garnish Meat with Bamiya</t>
  </si>
  <si>
    <t>بامية لحم  Meat with Bamiya</t>
  </si>
  <si>
    <t>الزينة دجاج الفريدو  Garnish Chicken Alfredo</t>
  </si>
  <si>
    <t>الزينة دجاج 65 - Garnish Chicken 65</t>
  </si>
  <si>
    <t>Garnish Almond Chicken - الزينة دجاج اللوز</t>
  </si>
  <si>
    <t>الزينة دجاج تشانجيزى - Garnish Changezi chicken</t>
  </si>
  <si>
    <t>Garnish Daoud Basha - الزينة داوود باشا</t>
  </si>
  <si>
    <t>Garnish Moussaka - الزينة مسقعة</t>
  </si>
  <si>
    <t>الزينة لحم أورينتال - Garnish Lahm Oriental</t>
  </si>
  <si>
    <t>ساندوتش دجاج أوصال</t>
  </si>
  <si>
    <t>Total Grams</t>
  </si>
  <si>
    <t>Meal name</t>
  </si>
  <si>
    <t>ساندوتش الكباب</t>
  </si>
  <si>
    <t>دجاج بكريمة الطماطم</t>
  </si>
  <si>
    <t>الأرز المكسيكي</t>
  </si>
  <si>
    <t>دجاج بالزنجبيل</t>
  </si>
  <si>
    <t>كرات اللحم الفرنسية</t>
  </si>
  <si>
    <t>مكرونة سباغيتي</t>
  </si>
  <si>
    <t>دجاج سنغافوري</t>
  </si>
  <si>
    <t>الأرز بالخضار</t>
  </si>
  <si>
    <t>سمك بالشبت والليمون</t>
  </si>
  <si>
    <t>ملوخية الدجاج</t>
  </si>
  <si>
    <t>كابلي لحم</t>
  </si>
  <si>
    <t>ساندوتش كباب لحم</t>
  </si>
  <si>
    <t>سلطة السيزر</t>
  </si>
  <si>
    <t>Garnish Mandi - الزينة مندى</t>
  </si>
  <si>
    <t>الزينة دجاج ستيك - Garnish Chicken Steak</t>
  </si>
  <si>
    <t>Garnich Chicken Muchroom - الزينة دجاج مشروم</t>
  </si>
  <si>
    <t>الزينة ستوغانوف بيف - Garnish Stroganoff Beef</t>
  </si>
  <si>
    <t>Garnish Beef Amansi - الزينة بيف امانسي</t>
  </si>
  <si>
    <t>الزينة دجاج تيكا - Garnish Chicken Tikka</t>
  </si>
  <si>
    <t>Garnish Lahm Fasooliya - الزينة لحم فاصوليا</t>
  </si>
  <si>
    <t xml:space="preserve">Garnish Sriracha Chicken - الزينة دجاج سيراتشا </t>
  </si>
  <si>
    <t xml:space="preserve">الزينة دجاج هندى بالزبدة - Garnish butter Chicken </t>
  </si>
  <si>
    <t>الزينة كباب هندى - Garnish Kabab Hindi</t>
  </si>
  <si>
    <t>Garnish Lahm Bolognese - الزينة لحم بولونيز</t>
  </si>
  <si>
    <t>الزينة لحم بخارى - Garnish Beef Boukhary</t>
  </si>
  <si>
    <t>Garnish Pink Chicken - الزينة لدجاج بالكريمه</t>
  </si>
  <si>
    <t>الزينة لدجاج بالزنجبيل - Garnish Ginger Chicken</t>
  </si>
  <si>
    <t>Garnish French Meat Balls - الزينة لكرات اللحم الفرنسيه</t>
  </si>
  <si>
    <t>الزينة دجاج سنغافورى - Garnish Singapore Chicken</t>
  </si>
  <si>
    <t>Protein + Mix</t>
  </si>
  <si>
    <t>one boiing and one for sauce we  merge them - it cotains ingredient of boiling and sauce</t>
  </si>
  <si>
    <t>Boiling</t>
  </si>
  <si>
    <t>Pasta + Mix</t>
  </si>
  <si>
    <t>الزينة أوكتا بوكي بول - Garnish Poki Bowl</t>
  </si>
  <si>
    <t>Curly Parsley - بقدونس مجعد</t>
  </si>
  <si>
    <t>Ingredient - الأصناف</t>
  </si>
  <si>
    <t>Asian Potato Cubes</t>
  </si>
  <si>
    <t>Base Recipe (30kg Yield)</t>
  </si>
  <si>
    <t>Oriental Beef for Rice - صوص لحمة شرقية</t>
  </si>
  <si>
    <t>Base Recipe (5kg Yield) — الوصفة الأساسية (إنتاج 5 كجم)</t>
  </si>
  <si>
    <t>Oriental Beef Rice -  صوص لحمة شرقية</t>
  </si>
  <si>
    <t>Rice Percent</t>
  </si>
  <si>
    <t xml:space="preserve">الزينة دجاج مكرونى بالخضار Garnish Chicken Pasta with Vegetables </t>
  </si>
  <si>
    <t>Beef Oriental rice</t>
  </si>
  <si>
    <t>Hummus Peas - حمص</t>
  </si>
  <si>
    <t>Nigella Seeds - حبة البركة</t>
  </si>
  <si>
    <t>Tomato Paste - صلصة طماطم</t>
  </si>
  <si>
    <t>Frozen Molokeya - ملوخية مجمدة</t>
  </si>
  <si>
    <t>Frozen Okra - بامية مجمدة</t>
  </si>
  <si>
    <t>Pine Nuts - صنوبر</t>
  </si>
  <si>
    <t>Total Pasta</t>
  </si>
  <si>
    <t xml:space="preserve">Total Potato </t>
  </si>
  <si>
    <t>Total Veggi</t>
  </si>
  <si>
    <t>Total Potato</t>
  </si>
  <si>
    <t>Total Veggie</t>
  </si>
  <si>
    <t xml:space="preserve">Asian Potato Cubes - بطاطس مكعبات الآسيوي </t>
  </si>
  <si>
    <t>Total Potatos</t>
  </si>
  <si>
    <t>Order Base Unit وحدة الطلب الأساسية</t>
  </si>
  <si>
    <t>Order Unit وحدة الطلب</t>
  </si>
  <si>
    <t>Price of ordering unit سعر وحدة الطلب</t>
  </si>
  <si>
    <t>Cost Per KG or L السعر للكيلو او للتر</t>
  </si>
  <si>
    <t>2400 gram</t>
  </si>
  <si>
    <t>1600 Kg / Can</t>
  </si>
  <si>
    <t>2724 Kg / Carton</t>
  </si>
  <si>
    <t>كلوب ساندوتش بالدجاج</t>
  </si>
  <si>
    <t>Saturday</t>
  </si>
  <si>
    <t>Sunday</t>
  </si>
  <si>
    <t>Monday</t>
  </si>
  <si>
    <t>Tuesday</t>
  </si>
  <si>
    <t>Wednesday</t>
  </si>
  <si>
    <t>Thursday</t>
  </si>
  <si>
    <t>Kasuri Methi - ورق حلبة مجففة</t>
  </si>
  <si>
    <t>BBQ seasoning – توابل المشويات</t>
  </si>
  <si>
    <t>Parmesan Cheese Powder - بديل البارميزان</t>
  </si>
  <si>
    <t>Garlic - ثوم مقشر</t>
  </si>
  <si>
    <t>Fresh Coconut - جوز هند طازج</t>
  </si>
  <si>
    <t>Fresh Thyme - بذور الزعتر</t>
  </si>
  <si>
    <t>Basil - ريحان</t>
  </si>
  <si>
    <t>100 gm/Can</t>
  </si>
  <si>
    <t>12000 ML/Cartoon</t>
  </si>
  <si>
    <t>16650 L</t>
  </si>
  <si>
    <t>4800 Kg / Carton</t>
  </si>
  <si>
    <t>9600 Kg / Carton</t>
  </si>
  <si>
    <t>5448 KG/Carton</t>
  </si>
  <si>
    <t>10800 KG/Carton</t>
  </si>
  <si>
    <t>9600 KG/Carton</t>
  </si>
  <si>
    <t>2130 ml / Carton</t>
  </si>
  <si>
    <t>3108 ml /Carton</t>
  </si>
  <si>
    <t>15.12 L / Carton</t>
  </si>
  <si>
    <t>3540 ML/Carton</t>
  </si>
  <si>
    <t>8000 KG/Carton</t>
  </si>
  <si>
    <t>10,000 KG/Bag</t>
  </si>
  <si>
    <t>10,000 KG/Bundle</t>
  </si>
  <si>
    <t>12 Kg/Carton</t>
  </si>
  <si>
    <t>2400 Kg/Carton</t>
  </si>
  <si>
    <t>6480 L/Carton</t>
  </si>
  <si>
    <t>10,000 KG/Can</t>
  </si>
  <si>
    <t>905 g / Pack</t>
  </si>
  <si>
    <t>360 Egg/Carton</t>
  </si>
  <si>
    <t>Fresh Baby Spinach - سبانخ هولندي</t>
  </si>
  <si>
    <t>125 g / Box</t>
  </si>
  <si>
    <t>Mushroom - مشروم ابيض</t>
  </si>
  <si>
    <t>100 g/ pack</t>
  </si>
  <si>
    <t>Rosemary - روزميري مستورد</t>
  </si>
  <si>
    <t xml:space="preserve">Lemon Grass - ليمون جراس </t>
  </si>
  <si>
    <t xml:space="preserve">Kaffir Lime Leaves - ورق الليمون  </t>
  </si>
  <si>
    <t>Protein - بروتين</t>
  </si>
  <si>
    <t>Signature - التوقع</t>
  </si>
  <si>
    <t>الوحده - Unit</t>
  </si>
  <si>
    <t xml:space="preserve">الكميه - Quantity </t>
  </si>
  <si>
    <t>100 gm/Carton</t>
  </si>
  <si>
    <t>10 Kg / bag</t>
  </si>
  <si>
    <t>Can</t>
  </si>
  <si>
    <t>bag</t>
  </si>
  <si>
    <t>Marination</t>
  </si>
  <si>
    <t xml:space="preserve">خضار مشوية </t>
  </si>
  <si>
    <t xml:space="preserve">Grilled Vegetables </t>
  </si>
  <si>
    <t xml:space="preserve"> مكرونة سباجتى</t>
  </si>
  <si>
    <t xml:space="preserve">Spaghetti pasta </t>
  </si>
  <si>
    <t>Saftey</t>
  </si>
  <si>
    <t>Safty KG</t>
  </si>
  <si>
    <t>Garnishing</t>
  </si>
  <si>
    <t>Bread</t>
  </si>
  <si>
    <t xml:space="preserve">Protine Filling </t>
  </si>
  <si>
    <t>Cost/Unit</t>
  </si>
  <si>
    <t xml:space="preserve">Filling Others </t>
  </si>
  <si>
    <t># Unit</t>
  </si>
  <si>
    <t>Filling Others</t>
  </si>
  <si>
    <t>بطاطس ويدجز  بالأعشاب</t>
  </si>
  <si>
    <t>خضار بالبخار</t>
  </si>
  <si>
    <t>بطاطس مكعبات الآسيوى</t>
  </si>
  <si>
    <t>خضار مشوى</t>
  </si>
  <si>
    <t>Potato wedges</t>
  </si>
  <si>
    <t>خضار بالفرن</t>
  </si>
  <si>
    <t>Breads</t>
  </si>
  <si>
    <t>Other Filling</t>
  </si>
  <si>
    <t>Edam Meat  - Self Saturated</t>
  </si>
  <si>
    <t xml:space="preserve">Mashrom </t>
  </si>
  <si>
    <t>Protine</t>
  </si>
  <si>
    <t xml:space="preserve"> GM</t>
  </si>
  <si>
    <t>الزينة ساندويتش كباب - Garnish Beef Kebab</t>
  </si>
  <si>
    <t>2 Kg extra Protein</t>
  </si>
  <si>
    <t>Garnish Pizza Chicken - الزينة دجاج بيتزا</t>
  </si>
  <si>
    <t>Whole Wheat Burger Buns 70gm - خبز برجر بني</t>
  </si>
  <si>
    <t>($R$22*0.512)*$R$1</t>
  </si>
  <si>
    <t>($T$22*0.512)*$R$1</t>
  </si>
  <si>
    <t>مخبوزات</t>
  </si>
  <si>
    <t>Cooking Method</t>
  </si>
  <si>
    <t>Cooking yield</t>
  </si>
  <si>
    <t>120 Piece / Carton</t>
  </si>
  <si>
    <t>Blankwet Fish</t>
  </si>
  <si>
    <t>سمك بلانكويت  Blankwet Fish</t>
  </si>
  <si>
    <t>سمك بالسبانخ والليمون</t>
  </si>
  <si>
    <t>سمك بلانكويت</t>
  </si>
  <si>
    <t>سمك بالكاري والكريمة</t>
  </si>
  <si>
    <t>Lemon Fish</t>
  </si>
  <si>
    <t>Curry Fish</t>
  </si>
  <si>
    <t>الزينة سمك بلانكويت  Garnish Blankwet Fish</t>
  </si>
  <si>
    <t xml:space="preserve">Lemon Fish -سمك بالسبانخ و الليمون </t>
  </si>
  <si>
    <t>الزينة سمك بالسبانخ و الليمون - Garnish Lemon Fish</t>
  </si>
  <si>
    <t>Curry Fish سمك بالكارى</t>
  </si>
  <si>
    <t>Garnish Curry Fish - الزينة سمك بالكارى</t>
  </si>
  <si>
    <t>Fish with cream</t>
  </si>
  <si>
    <t>سمك بالكريمة و البازلاء  Fish with cream</t>
  </si>
  <si>
    <t>سمك بالكريمة</t>
  </si>
  <si>
    <t xml:space="preserve">Garnish Fish with Cream - الزينة سمك بالكريمة </t>
  </si>
  <si>
    <t>Sliced cheese - جبنة شرائح</t>
  </si>
  <si>
    <t>Saffron yellow color powder - لون صفار زعفران بودر</t>
  </si>
  <si>
    <t>Whole Wheat Oat Sub Roll - صامولي اسمر شوفان 16 سم</t>
  </si>
  <si>
    <t>Whole Wheat Oat Ciabatta - شيباتا اسمر شوفان</t>
  </si>
  <si>
    <t>Meat 80%</t>
  </si>
  <si>
    <t>Fat 20%</t>
  </si>
  <si>
    <t>Beef Kebab sandwich  - ساندوتش كباب لحم</t>
  </si>
  <si>
    <t>56.5 KG</t>
  </si>
  <si>
    <t>Beef Burger (Arabic) - برجر لحم عربي</t>
  </si>
  <si>
    <t>Sliced tomato - طماطم شرائح</t>
  </si>
  <si>
    <t>Beef Burger Arabic</t>
  </si>
  <si>
    <t>برجر اللحم العربي</t>
  </si>
  <si>
    <t>Smoky BBQ Chicken Burger- برجر الدجاج بصلصة الباربكيو المدخنة</t>
  </si>
  <si>
    <t>Smoked Paprika Powder - بابريكا مدخنة مطحونة</t>
  </si>
  <si>
    <t>Oriental Chicken  - دجاج أورينتال</t>
  </si>
  <si>
    <t xml:space="preserve">الزينة دجاج اورينتال  Garnish Oriental Chicken </t>
  </si>
  <si>
    <t>Oriental Chicken</t>
  </si>
  <si>
    <t>دجاج أوريانتل</t>
  </si>
  <si>
    <t>برجر باربكيو الدجاج</t>
  </si>
  <si>
    <t>7200gm / Carton</t>
  </si>
  <si>
    <t xml:space="preserve"> BBQ Chicken Burger- برجر الدجاج بصلصة الباربكيو </t>
  </si>
  <si>
    <t>BBQ Chicken Burger- برجر الدجاج بصلصة الباربكيو</t>
  </si>
  <si>
    <t>Chicken Burger BBQ</t>
  </si>
  <si>
    <t>Chicken Minced - دجاج مفروم</t>
  </si>
  <si>
    <t>Arabic Chicken Burger - برجر الدجاج العربي</t>
  </si>
  <si>
    <t>Arabic Chicken Burger - برجر دجاج العربى</t>
  </si>
  <si>
    <t>Cucumber - خيار</t>
  </si>
  <si>
    <t>Lemon - ليمون</t>
  </si>
  <si>
    <t>(Lemon zest - برش ليمون)gm</t>
  </si>
  <si>
    <t>Arabic Chicken Burger</t>
  </si>
  <si>
    <t>برجر الدجاج العربي</t>
  </si>
  <si>
    <t>Ice Water - ماء مثلج</t>
  </si>
  <si>
    <t>شرائح اللحم مع المشروم  Meat Steak muchroom sauce</t>
  </si>
  <si>
    <t>Garnish Meat with Mashroom  - الزينة لحم بالمشروم</t>
  </si>
  <si>
    <t>Beef Burger (BBQ) - برجر لحم باربكيو</t>
  </si>
  <si>
    <t>Honey Mustard Chicken Burger - برجر الدجاج بالعسل والخردل</t>
  </si>
  <si>
    <t xml:space="preserve">Meat Mashroom </t>
  </si>
  <si>
    <t>Beef Burger BBQ</t>
  </si>
  <si>
    <t>Honey Chicken Burger</t>
  </si>
  <si>
    <t>لحم بالمشروم</t>
  </si>
  <si>
    <t>الارز الابيض</t>
  </si>
  <si>
    <t>برجر باربكيو اللحم</t>
  </si>
  <si>
    <t>برجر الدجاج بالهني ماسترد</t>
  </si>
  <si>
    <t>برجر سموكي لحم</t>
  </si>
  <si>
    <t>Beef Burger (Smoky) - برجر لحم مدخن</t>
  </si>
  <si>
    <t>Smoky Beef Burger</t>
  </si>
  <si>
    <t>نودلز الدجاج و الخضار</t>
  </si>
  <si>
    <t>برجر الدجاج الكلاسيكي</t>
  </si>
  <si>
    <t>Classic Chicken Burger - برجر الدجاج الكلاسيكي</t>
  </si>
  <si>
    <t>Chicken Noodles - دجاج بالنودلز</t>
  </si>
  <si>
    <t xml:space="preserve">الزينة دجاج النودلز  Garnish Chicken Noodles </t>
  </si>
  <si>
    <t>Sesame seeds - بذور سمسم</t>
  </si>
  <si>
    <t>Noodels Cooking Yield</t>
  </si>
  <si>
    <t>Noodles - نودلز</t>
  </si>
  <si>
    <t>on gas</t>
  </si>
  <si>
    <t>Noodles Veggie</t>
  </si>
  <si>
    <t>Chicken Stock Powder - بودرة مرق دجاج</t>
  </si>
  <si>
    <t>White Cabbage - ملفوف أبيض</t>
  </si>
  <si>
    <t xml:space="preserve">Noodles Vegetables - خضار نودلز </t>
  </si>
  <si>
    <t>خضار النودلز</t>
  </si>
  <si>
    <t>Noodles Vegetables</t>
  </si>
  <si>
    <t>Classic Chicken Burger</t>
  </si>
  <si>
    <t>Chicken Noodles</t>
  </si>
  <si>
    <t>Noodles</t>
  </si>
  <si>
    <t xml:space="preserve">Oriental Vegetables Rice   -  خضار رز أورينتال </t>
  </si>
  <si>
    <t>Oriental Vegetables</t>
  </si>
  <si>
    <t>Cutting Method</t>
  </si>
  <si>
    <t>مكرونة فيتوتشيني  Fettuccine Pasta Sauce</t>
  </si>
  <si>
    <t>شرائح رقيقة جوليان</t>
  </si>
  <si>
    <t>أعواد  جوليان</t>
  </si>
  <si>
    <t>مهروس</t>
  </si>
  <si>
    <t>مقطع ناعم</t>
  </si>
  <si>
    <t>أرباع ويدجز</t>
  </si>
  <si>
    <t>Cutting - التقطيع</t>
  </si>
  <si>
    <t>Cube - مكعبات</t>
  </si>
  <si>
    <t>Sliced - شرائح</t>
  </si>
  <si>
    <t>Whole Breast - صدر كامل</t>
  </si>
  <si>
    <t>Fillet - فيليه</t>
  </si>
  <si>
    <t>Small Cube  - مكعبات صغيرة</t>
  </si>
  <si>
    <t>Big Cube  - مكعبات كبيرة</t>
  </si>
  <si>
    <t>Sliced breast - صدور شرائح</t>
  </si>
  <si>
    <t>Meat Mashroom</t>
  </si>
  <si>
    <t>جوليان</t>
  </si>
  <si>
    <t>جوانح جوليان</t>
  </si>
  <si>
    <t>دوائر</t>
  </si>
  <si>
    <t>بورية معجون</t>
  </si>
  <si>
    <t>تنضيف</t>
  </si>
  <si>
    <t>شرائح نصف قمر</t>
  </si>
  <si>
    <t>اعواد جوليان</t>
  </si>
  <si>
    <t>شرائط</t>
  </si>
  <si>
    <t>شرائح</t>
  </si>
  <si>
    <t>شرائح نص القمر</t>
  </si>
  <si>
    <t>مكعبات</t>
  </si>
  <si>
    <t>Meat ball - كرات لحم</t>
  </si>
  <si>
    <t>Grind - مطحون</t>
  </si>
  <si>
    <t>Fillet breast - صدور فيليه</t>
  </si>
  <si>
    <t xml:space="preserve"> Oven</t>
  </si>
  <si>
    <t>Base Recipe Per Portion</t>
  </si>
  <si>
    <t>مناقيش لحمة وجبنة</t>
  </si>
  <si>
    <t>Minced - مفروم</t>
  </si>
  <si>
    <t>Julienne - جوليان</t>
  </si>
  <si>
    <t>Slices - شرائح</t>
  </si>
  <si>
    <t>Chrepped - شعيرات</t>
  </si>
  <si>
    <t>Thin Long Strips - شرائح طويلة رفيعه</t>
  </si>
  <si>
    <t>On gas</t>
  </si>
  <si>
    <t>Cinnamon whole - قرفة أعواد</t>
  </si>
  <si>
    <t>454 g</t>
  </si>
  <si>
    <t xml:space="preserve">Soy Sauce - صلصة الصويا  </t>
  </si>
  <si>
    <t>Chopped - مفروم</t>
  </si>
  <si>
    <t xml:space="preserve"> 3540 ml /Carton</t>
  </si>
  <si>
    <t xml:space="preserve">Scaling Factor 
</t>
  </si>
  <si>
    <t>لحم مختومMkhtoum Lahm</t>
  </si>
  <si>
    <t>الزينة لحم مختومGarnish Mkhtoum Lahm</t>
  </si>
  <si>
    <t>Beef Zurbian - لحم زربيان</t>
  </si>
  <si>
    <t>دجاج باللوز Almond Chicken</t>
  </si>
  <si>
    <t xml:space="preserve">ستيك دجاج الاضافي  Chicken Steak Topping </t>
  </si>
  <si>
    <t>Chicken Makloba - دجاج مقلوبة</t>
  </si>
  <si>
    <t>Pizza Chicken</t>
  </si>
  <si>
    <t>Beef Boukhary - لحم بخاري</t>
  </si>
  <si>
    <t>Garnish Beef Kabli - الزينة كابلي لحم</t>
  </si>
  <si>
    <t>Chicken Saleeq - سليق دجاج</t>
  </si>
  <si>
    <t>Sheet name</t>
  </si>
  <si>
    <t>مستطيل جوليان</t>
  </si>
  <si>
    <t>مستطيل</t>
  </si>
  <si>
    <t xml:space="preserve">مبشور </t>
  </si>
  <si>
    <t>دائري نص قمر</t>
  </si>
  <si>
    <t>Bell Pepper mix - فلفل رومي ألوان</t>
  </si>
  <si>
    <t>شرائح رفيعه</t>
  </si>
  <si>
    <t>Arugula - جرجير</t>
  </si>
  <si>
    <t xml:space="preserve">مفروم </t>
  </si>
  <si>
    <t>Garnish Kabsa Lahm - الزينة لحم كبسة</t>
  </si>
  <si>
    <t>قطع مستطيل</t>
  </si>
  <si>
    <t>مبشور</t>
  </si>
  <si>
    <t>دائري</t>
  </si>
  <si>
    <t>قطع عشوائي</t>
  </si>
  <si>
    <t>Protine + Mixing</t>
  </si>
  <si>
    <t>Ginger Chicken - دجاج بالزنجبيل</t>
  </si>
  <si>
    <t>Singapore Chicken - دجاج سنغافوري</t>
  </si>
  <si>
    <t>Chicken Saleeq - دجاج سليق</t>
  </si>
  <si>
    <t>Chicken Club Sandwich - ساندوتش كلوب الدجاج</t>
  </si>
  <si>
    <t>French Meatball - كرات لحم فرنسية</t>
  </si>
  <si>
    <t>Beef Kebab Sandwich - ساندوتش كباب اللحم</t>
  </si>
  <si>
    <t>Beef Kabli - لحم كابلي</t>
  </si>
  <si>
    <t>Fish with Shabat and Lemon - سمك بالشبت والليمون</t>
  </si>
  <si>
    <t>Beef Burger Arabic - برجر لحم عربي</t>
  </si>
  <si>
    <t>Pink Chicken - دجاج بالكريمة</t>
  </si>
  <si>
    <t>Chicken Molokeya - ملوخية دجاج</t>
  </si>
  <si>
    <t>ارباع ويدجز</t>
  </si>
  <si>
    <t>مقطع صغير ناعم</t>
  </si>
  <si>
    <t>مفروم</t>
  </si>
  <si>
    <t>Feta cheese - جبنة فيتا</t>
  </si>
  <si>
    <t>Fresh Cream (Qishta) - قشطة</t>
  </si>
  <si>
    <t>Fresh Oregano - اوريغيانو هولندي</t>
  </si>
  <si>
    <t>Iceberg Lettuce - خس مدور أمريكى</t>
  </si>
  <si>
    <t>Sliced almond - لوز شرائح</t>
  </si>
  <si>
    <t>Curry Chicken - دجاج بالكاري</t>
  </si>
  <si>
    <t>Herbal Chicken - دجاج بالأعشاب</t>
  </si>
  <si>
    <t>Asian Chicken Sandwich - ساندوتش دجاج آسيوي</t>
  </si>
  <si>
    <t>Chicken Mandi - دجاج مندي</t>
  </si>
  <si>
    <t>Arabic Chicken Burger - برجر دجاج عربي</t>
  </si>
  <si>
    <t>Kabsah Laham - كبسة لحم</t>
  </si>
  <si>
    <t>Meat with Bamiya - لحم بالبامية</t>
  </si>
  <si>
    <t>Beef Chili Dry - بيف شيلي دراي</t>
  </si>
  <si>
    <t xml:space="preserve">Pan Fried Fish - سمك مقلي </t>
  </si>
  <si>
    <t>Meat and cheese mankosha pie - مناقيش لحمة</t>
  </si>
  <si>
    <t>Chicken Alfredo - دجاج ألفريدو</t>
  </si>
  <si>
    <t>Coconut Chicken - دجاج بجوز الهند</t>
  </si>
  <si>
    <t>BBQ Chicken Skewers - أسياخ دجاج باربكيو</t>
  </si>
  <si>
    <t>Honey Chicken Burger - برجر دجاج بالعسل</t>
  </si>
  <si>
    <t>Mkhtoum Lahm - لحم مختوم</t>
  </si>
  <si>
    <t>Meat Mushroom - لحم بالمشروم</t>
  </si>
  <si>
    <t>Beef Burger BBQ - برجر لحم باربكيو</t>
  </si>
  <si>
    <t>Blankwet Fish - سمك بلانكويت</t>
  </si>
  <si>
    <t>Almond Chicken - دجاج باللوز</t>
  </si>
  <si>
    <t>Chicken Pasta with Vegetable - باستا بالدجاج والخضار</t>
  </si>
  <si>
    <t>Changezi Chicken - دجاج تشانغزي</t>
  </si>
  <si>
    <t>Chicken Caesar Salad - سلطة سيزر بالدجاج</t>
  </si>
  <si>
    <t>Chicken Fajita - دجاج فاهيتا</t>
  </si>
  <si>
    <t>Daoud Basha - داود باشا</t>
  </si>
  <si>
    <t>Moussaka Meat - مسقعة باللحم</t>
  </si>
  <si>
    <t>Meat and Cheese Mankosha Pie -  مناقيش باللحم والجبنة</t>
  </si>
  <si>
    <t>Fish with Cream - سمك بالكريمة</t>
  </si>
  <si>
    <t>Smoky Beef Burger - برجر لحم مدخن</t>
  </si>
  <si>
    <t>Laham Oriental - لحم أورينتال</t>
  </si>
  <si>
    <t>Chicken Mushroom - دجاج بالمشروم</t>
  </si>
  <si>
    <t>Chicken Tikka - دجاج تيكا</t>
  </si>
  <si>
    <t>Octa Poki Bowl - طبق أوكتا بوكي</t>
  </si>
  <si>
    <t>Chicken Makloba - مقلوبة الدجاج</t>
  </si>
  <si>
    <t>BBQ Chicken - دجاج باربكيو</t>
  </si>
  <si>
    <t>Classic Chicken Burger - برجر دجاج كلاسيك</t>
  </si>
  <si>
    <t>Chicken Noodles - نودلز بالدجاج</t>
  </si>
  <si>
    <t>Lemon Fish - سمك بالليمون</t>
  </si>
  <si>
    <t>Stroganoff Beef - لحم ستروجانوف</t>
  </si>
  <si>
    <t>Beef Amansi - لحم أمانسي</t>
  </si>
  <si>
    <t>Lahm Fasooliya - لحم بالفاصوليا</t>
  </si>
  <si>
    <t>Sriracha Chicken - دجاج سريراتشا</t>
  </si>
  <si>
    <t>Butter Chicken - دجاج بالزبدة</t>
  </si>
  <si>
    <t>Pizza Chicken - دجاج بالبيتزا</t>
  </si>
  <si>
    <t>Chicken Burger BBQ - برجر دجاج باربكيو</t>
  </si>
  <si>
    <t>Curry Fish - سمك بالكاري</t>
  </si>
  <si>
    <t>Meat Kebab - كباب لحم</t>
  </si>
  <si>
    <t>Lahm Bolognese - لحم بولونيز</t>
  </si>
  <si>
    <t>Beef Lasagne Sauce - صوص لازانيا اللحم</t>
  </si>
  <si>
    <t>Beef Philly Cheese Steak - ستيك لحم فيلي بالجبنة</t>
  </si>
  <si>
    <t>Kebab Hindi - كباب هندي</t>
  </si>
  <si>
    <t>Beef Bokhary - لحم بخاري</t>
  </si>
  <si>
    <t>6000 gram/Carton</t>
  </si>
  <si>
    <t xml:space="preserve"> مفروم</t>
  </si>
  <si>
    <t xml:space="preserve"> شعيرات</t>
  </si>
  <si>
    <t xml:space="preserve"> جوليان</t>
  </si>
  <si>
    <t xml:space="preserve"> شرائح</t>
  </si>
  <si>
    <t>Chicken Steak - ستيك الدجاج</t>
  </si>
  <si>
    <t>Beef Oriental Rice - أرز أورينتال باللحم</t>
  </si>
  <si>
    <t>Oriental Chicken - دجاج أورينتال</t>
  </si>
  <si>
    <t>Hot Section Automated</t>
  </si>
  <si>
    <t>Hot Section+ Breakfast</t>
  </si>
  <si>
    <t>Manual</t>
  </si>
  <si>
    <t>Instant Marination</t>
  </si>
  <si>
    <t>الزينة لازانيا - Garnish Lasagne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</si>
</sst>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3">
    <numFmt numFmtId="43" formatCode="_(* #,##0.00_);_(* \(#,##0.00\);_(* &quot;-&quot;??_);_(@_)"/>
    <numFmt numFmtId="164" formatCode="_-* #,##0.00_-;\-* #,##0.00_-;_-* &quot;-&quot;??_-;_-@_-"/>
    <numFmt numFmtId="165" formatCode="_ * #,##0_ ;_ * \-#,##0_ ;_ * \-??_ ;_ @_ "/>
    <numFmt numFmtId="166" formatCode="_ * #,##0.00_ ;_ * \-#,##0.00_ ;_ * \-??_ ;_ @_ "/>
    <numFmt numFmtId="167" formatCode="_ * #,##0.0000_ ;_ * \-#,##0.0000_ ;_ * \-??_ ;_ @_ "/>
    <numFmt numFmtId="168" formatCode="0.0"/>
    <numFmt numFmtId="169" formatCode="_(* #,##0.00_);_(* \(#,##0.00\);_(* \-??_);_(@_)"/>
    <numFmt numFmtId="170" formatCode="0.000"/>
    <numFmt numFmtId="171" formatCode="0.0000"/>
    <numFmt numFmtId="172" formatCode="0.000%"/>
    <numFmt numFmtId="173" formatCode="_(* #,##0.000_);_(* \(#,##0.000\);_(* \-??_);_(@_)"/>
    <numFmt numFmtId="174" formatCode="0.0000%"/>
    <numFmt numFmtId="175" formatCode="_ * #,##0.000_ ;_ * \-#,##0.000_ ;_ * \-??_ ;_ @_ "/>
    <numFmt numFmtId="176" formatCode="_(* #,##0_);_(* \(#,##0\);_(* \-???_);_(@_)"/>
    <numFmt numFmtId="177" formatCode="_(* #,##0.000_);_(* \(#,##0.000\);_(* \-???_);_(@_)"/>
    <numFmt numFmtId="178" formatCode="_-* #,##0.00_-;\-* #,##0.00_-;_-* \-??_-;_-@_-"/>
    <numFmt numFmtId="179" formatCode="_(* #,##0.0_);_(* \(#,##0.0\);_(* \-??_);_(@_)"/>
    <numFmt numFmtId="180" formatCode="_(* #,##0.0_);_(* \(#,##0.0\);_(* \-?_);_(@_)"/>
    <numFmt numFmtId="181" formatCode="_(* #,##0_);_(* \(#,##0\);_(* \-??_);_(@_)"/>
    <numFmt numFmtId="182" formatCode="0.0%"/>
    <numFmt numFmtId="183" formatCode="_ * #,##0.0_ ;_ * \-#,##0.0_ ;_ * \-??_ ;_ @_ "/>
    <numFmt numFmtId="184" formatCode="0.00000%"/>
    <numFmt numFmtId="185" formatCode="0.000000%"/>
    <numFmt numFmtId="186" formatCode="#,##0.000"/>
    <numFmt numFmtId="187" formatCode="_ * #,##0_ ;_ * \-#,##0_ ;_ * &quot;-&quot;??_ ;_ @_ "/>
    <numFmt numFmtId="188" formatCode="_ * #,##0.000_ ;_ * \-#,##0.000_ ;_ * &quot;-&quot;??_ ;_ @_ "/>
    <numFmt numFmtId="189" formatCode="_ * #,##0.00_ ;_ * \-#,##0.00_ ;_ * &quot;-&quot;??_ ;_ @_ "/>
    <numFmt numFmtId="190" formatCode="_-* #,##0.000_-;\-* #,##0.000_-;_-* &quot;-&quot;???_-;_-@_-"/>
    <numFmt numFmtId="191" formatCode="_(* #,##0.0000_);_(* \(#,##0.0000\);_(* \-??_);_(@_)"/>
    <numFmt numFmtId="192" formatCode="_(* #,##0.0_);_(* \(#,##0.0\);_(* \-???_);_(@_)"/>
    <numFmt numFmtId="193" formatCode="_-* #,##0_-;\-* #,##0_-;_-* &quot;-&quot;??_-;_-@_-"/>
    <numFmt numFmtId="194" formatCode="_(* #,##0.0000_);_(* \(#,##0.0000\);_(* &quot;-&quot;??_);_(@_)"/>
    <numFmt numFmtId="195" formatCode="_(* #,##0_);_(* \(#,##0\);_(* &quot;-&quot;??_);_(@_)"/>
    <numFmt numFmtId="196" formatCode="_-* #,##0.0_-;\-* #,##0.0_-;_-* &quot;-&quot;?_-;_-@_-"/>
    <numFmt numFmtId="197" formatCode="0.000000"/>
    <numFmt numFmtId="198" formatCode="0.00000"/>
    <numFmt numFmtId="199" formatCode="_(* #,##0.000_);_(* \(#,##0.000\);_(* &quot;-&quot;???_);_(@_)"/>
    <numFmt numFmtId="200" formatCode="_(* #,##0.0_);_(* \(#,##0.0\);_(* &quot;-&quot;?_);_(@_)"/>
    <numFmt numFmtId="201" formatCode="0.0000000000"/>
    <numFmt numFmtId="202" formatCode="_(* #,##0.000000_);_(* \(#,##0.000000\);_(* \-??_);_(@_)"/>
    <numFmt numFmtId="203" formatCode="_(* #,##0.00000_);_(* \(#,##0.00000\);_(* &quot;-&quot;??_);_(@_)"/>
    <numFmt numFmtId="204" formatCode="0.00000000"/>
    <numFmt numFmtId="205" formatCode="_ * #,##0.00000_ ;_ * \-#,##0.00000_ ;_ * \-??_ ;_ @_ "/>
  </numFmts>
  <fonts count="88"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00"/>
      <name val="Arial"/>
      <family val="2"/>
    </font>
    <font>
      <sz val="10"/>
      <color rgb="FF000000"/>
      <name val="Arial"/>
      <family val="2"/>
      <charset val="1"/>
    </font>
    <font>
      <sz val="11"/>
      <color theme="1"/>
      <name val="Arial"/>
      <family val="2"/>
      <charset val="1"/>
    </font>
    <font>
      <b/>
      <sz val="11"/>
      <color theme="1"/>
      <name val="Arial"/>
      <family val="2"/>
    </font>
    <font>
      <b/>
      <sz val="16"/>
      <color rgb="FFFF99CC"/>
      <name val="ADLaM Display"/>
    </font>
    <font>
      <b/>
      <sz val="11"/>
      <name val="Arial"/>
      <family val="2"/>
    </font>
    <font>
      <b/>
      <sz val="11"/>
      <color theme="0"/>
      <name val="Arial"/>
      <family val="2"/>
    </font>
    <font>
      <sz val="11"/>
      <color theme="0"/>
      <name val="Arial"/>
      <family val="2"/>
    </font>
    <font>
      <sz val="10"/>
      <color theme="1"/>
      <name val="Arial"/>
      <family val="2"/>
    </font>
    <font>
      <sz val="11"/>
      <color rgb="FFFF0000"/>
      <name val="Arial"/>
      <family val="2"/>
    </font>
    <font>
      <b/>
      <sz val="11"/>
      <color theme="1"/>
      <name val="Arial"/>
      <family val="2"/>
      <charset val="1"/>
    </font>
    <font>
      <b/>
      <sz val="11"/>
      <name val="Arial"/>
      <family val="2"/>
      <charset val="1"/>
    </font>
    <font>
      <sz val="11"/>
      <color theme="0"/>
      <name val="Arial"/>
      <family val="2"/>
      <charset val="1"/>
    </font>
    <font>
      <b/>
      <sz val="11"/>
      <color rgb="FF000000"/>
      <name val="Arial"/>
      <family val="2"/>
    </font>
    <font>
      <sz val="10"/>
      <color theme="0"/>
      <name val="Arial"/>
      <family val="2"/>
    </font>
    <font>
      <b/>
      <sz val="10"/>
      <color theme="1"/>
      <name val="Arial"/>
      <family val="2"/>
    </font>
    <font>
      <b/>
      <sz val="10"/>
      <color theme="0"/>
      <name val="Arial"/>
      <family val="2"/>
    </font>
    <font>
      <b/>
      <sz val="12"/>
      <color theme="0"/>
      <name val="Arial"/>
      <family val="2"/>
    </font>
    <font>
      <b/>
      <sz val="10"/>
      <color rgb="FF000000"/>
      <name val="Arial"/>
      <family val="2"/>
    </font>
    <font>
      <sz val="10"/>
      <name val="Arial"/>
      <family val="2"/>
    </font>
    <font>
      <sz val="10"/>
      <color rgb="FFFF0000"/>
      <name val="Arial"/>
      <family val="2"/>
    </font>
    <font>
      <b/>
      <sz val="14"/>
      <color rgb="FFFFFFFF"/>
      <name val="Arial"/>
      <family val="2"/>
    </font>
    <font>
      <b/>
      <sz val="16"/>
      <color theme="1"/>
      <name val="Arial"/>
      <family val="2"/>
    </font>
    <font>
      <b/>
      <sz val="14"/>
      <color theme="0"/>
      <name val="Arial"/>
      <family val="2"/>
    </font>
    <font>
      <sz val="11"/>
      <name val="Arial"/>
      <family val="2"/>
    </font>
    <font>
      <b/>
      <sz val="8"/>
      <color theme="0"/>
      <name val="Arial"/>
      <family val="2"/>
    </font>
    <font>
      <sz val="8"/>
      <color theme="0"/>
      <name val="Arial"/>
      <family val="2"/>
    </font>
    <font>
      <b/>
      <sz val="8"/>
      <color rgb="FF000000"/>
      <name val="Arial"/>
      <family val="2"/>
    </font>
    <font>
      <b/>
      <sz val="10"/>
      <color rgb="FFFF0000"/>
      <name val="Arial"/>
      <family val="2"/>
    </font>
    <font>
      <sz val="18"/>
      <color rgb="FF000000"/>
      <name val="Arial"/>
      <family val="2"/>
    </font>
    <font>
      <sz val="11"/>
      <color theme="1"/>
      <name val="Arial"/>
      <family val="2"/>
    </font>
    <font>
      <b/>
      <sz val="13"/>
      <color theme="1"/>
      <name val="Arial"/>
      <family val="2"/>
    </font>
    <font>
      <sz val="10"/>
      <color rgb="FF000000"/>
      <name val="Calibri"/>
      <family val="2"/>
      <scheme val="minor"/>
    </font>
    <font>
      <sz val="10"/>
      <color theme="1"/>
      <name val="Calibri"/>
      <family val="2"/>
      <scheme val="minor"/>
    </font>
    <font>
      <b/>
      <sz val="12"/>
      <color theme="0"/>
      <name val="Calibri"/>
      <family val="2"/>
      <scheme val="minor"/>
    </font>
    <font>
      <b/>
      <sz val="10"/>
      <color theme="1"/>
      <name val="Calibri"/>
      <family val="2"/>
      <scheme val="minor"/>
    </font>
    <font>
      <b/>
      <sz val="10"/>
      <color rgb="FF000000"/>
      <name val="Calibri"/>
      <family val="2"/>
      <scheme val="minor"/>
    </font>
    <font>
      <sz val="11"/>
      <color theme="0"/>
      <name val="Calibri"/>
      <family val="2"/>
      <scheme val="minor"/>
    </font>
    <font>
      <b/>
      <sz val="12"/>
      <color rgb="FFFFFFFF"/>
      <name val="Calibri"/>
      <family val="2"/>
      <scheme val="minor"/>
    </font>
    <font>
      <sz val="10"/>
      <color rgb="FFFF0000"/>
      <name val="Calibri"/>
      <family val="2"/>
      <scheme val="minor"/>
    </font>
    <font>
      <sz val="10"/>
      <color theme="1" tint="0.499984740745262"/>
      <name val="Arial"/>
      <family val="2"/>
      <charset val="1"/>
    </font>
    <font>
      <sz val="10"/>
      <color theme="1"/>
      <name val="Arial"/>
      <family val="2"/>
      <charset val="1"/>
    </font>
    <font>
      <b/>
      <sz val="10"/>
      <color rgb="FF000000"/>
      <name val="Arial"/>
      <family val="2"/>
      <charset val="1"/>
    </font>
    <font>
      <b/>
      <sz val="14"/>
      <color rgb="FFFFFFFF"/>
      <name val="Arial"/>
      <family val="2"/>
      <charset val="1"/>
    </font>
    <font>
      <b/>
      <sz val="10"/>
      <color theme="1" tint="0.499984740745262"/>
      <name val="Arial"/>
      <family val="2"/>
      <charset val="1"/>
    </font>
    <font>
      <b/>
      <sz val="10"/>
      <color theme="1"/>
      <name val="Arial"/>
      <family val="2"/>
      <charset val="1"/>
    </font>
    <font>
      <b/>
      <sz val="11"/>
      <color rgb="FFFFFFFF"/>
      <name val="Arial"/>
      <family val="2"/>
    </font>
    <font>
      <sz val="10"/>
      <color rgb="FFFF0000"/>
      <name val="Arial"/>
      <family val="2"/>
      <charset val="1"/>
    </font>
    <font>
      <sz val="10"/>
      <color theme="1"/>
      <name val="Calibri"/>
      <family val="2"/>
      <scheme val="minor"/>
    </font>
    <font>
      <sz val="10"/>
      <color rgb="FF000000"/>
      <name val="Calibri"/>
      <family val="2"/>
      <scheme val="minor"/>
    </font>
    <font>
      <b/>
      <sz val="10"/>
      <color theme="1"/>
      <name val="Calibri"/>
      <family val="2"/>
      <scheme val="minor"/>
    </font>
    <font>
      <b/>
      <sz val="10"/>
      <color rgb="FF000000"/>
      <name val="Calibri"/>
      <family val="2"/>
      <scheme val="minor"/>
    </font>
    <font>
      <b/>
      <sz val="12"/>
      <color theme="0"/>
      <name val="Arial"/>
      <family val="2"/>
      <charset val="1"/>
    </font>
    <font>
      <b/>
      <sz val="11"/>
      <color theme="1"/>
      <name val="Calibri"/>
      <family val="2"/>
      <scheme val="minor"/>
    </font>
    <font>
      <sz val="11"/>
      <color theme="1"/>
      <name val="Calibri"/>
      <family val="2"/>
      <charset val="1"/>
    </font>
    <font>
      <sz val="11"/>
      <color rgb="FFFFFF00"/>
      <name val="Arial"/>
      <family val="2"/>
    </font>
    <font>
      <sz val="8"/>
      <name val="Arial"/>
      <family val="2"/>
    </font>
    <font>
      <b/>
      <sz val="10"/>
      <name val="Arial"/>
      <family val="2"/>
    </font>
    <font>
      <sz val="11"/>
      <color theme="1"/>
      <name val="Calibri"/>
      <family val="2"/>
      <charset val="178"/>
      <scheme val="minor"/>
    </font>
    <font>
      <sz val="12"/>
      <color theme="1"/>
      <name val="Calibri"/>
      <family val="2"/>
      <scheme val="minor"/>
    </font>
    <font>
      <b/>
      <sz val="10"/>
      <color rgb="FF7030A0"/>
      <name val="Arial"/>
      <family val="2"/>
    </font>
    <font>
      <b/>
      <sz val="11"/>
      <color rgb="FF7030A0"/>
      <name val="Arial"/>
      <family val="2"/>
    </font>
    <font>
      <b/>
      <sz val="12"/>
      <color theme="1"/>
      <name val="Arial"/>
      <family val="2"/>
    </font>
    <font>
      <b/>
      <sz val="16"/>
      <color theme="1"/>
      <name val="Calibri Light"/>
      <family val="1"/>
      <scheme val="major"/>
    </font>
    <font>
      <sz val="11"/>
      <color theme="1"/>
      <name val="Calibri"/>
      <family val="2"/>
      <charset val="178"/>
      <scheme val="minor"/>
    </font>
    <font>
      <sz val="12"/>
      <color theme="1"/>
      <name val="Calibri"/>
      <family val="2"/>
      <scheme val="minor"/>
    </font>
    <font>
      <sz val="11"/>
      <color rgb="FF000000"/>
      <name val="Aptos Narrow"/>
      <family val="2"/>
    </font>
    <font>
      <sz val="11"/>
      <color rgb="FFC00000"/>
      <name val="Arial"/>
      <family val="2"/>
    </font>
    <font>
      <b/>
      <sz val="11"/>
      <color rgb="FFFF0000"/>
      <name val="Arial"/>
      <family val="2"/>
    </font>
    <font>
      <sz val="10"/>
      <color rgb="FF000000"/>
      <name val="Calibri"/>
      <family val="2"/>
    </font>
    <font>
      <sz val="10"/>
      <color theme="0"/>
      <name val="Calibri"/>
      <family val="2"/>
      <scheme val="minor"/>
    </font>
    <font>
      <sz val="10"/>
      <color theme="0"/>
      <name val="Arial"/>
      <family val="2"/>
      <charset val="1"/>
    </font>
    <font>
      <sz val="11"/>
      <name val="Arial"/>
      <family val="2"/>
      <charset val="1"/>
    </font>
    <font>
      <sz val="10"/>
      <name val="Calibri"/>
      <family val="2"/>
      <scheme val="minor"/>
    </font>
    <font>
      <b/>
      <sz val="18"/>
      <color theme="1"/>
      <name val="Arial"/>
      <family val="2"/>
      <charset val="1"/>
    </font>
    <font>
      <sz val="11"/>
      <color rgb="FF000000"/>
      <name val="Arial"/>
      <family val="2"/>
    </font>
    <font>
      <b/>
      <sz val="14"/>
      <color theme="0"/>
      <name val="Arial"/>
      <family val="2"/>
      <charset val="1"/>
    </font>
    <font>
      <sz val="10"/>
      <color rgb="FF000000"/>
      <name val="Lato"/>
      <family val="2"/>
    </font>
    <font>
      <sz val="11"/>
      <color rgb="FF000000"/>
      <name val="Arial"/>
      <family val="2"/>
      <charset val="1"/>
    </font>
    <font>
      <b/>
      <sz val="9"/>
      <color theme="1"/>
      <name val="Arial"/>
      <family val="2"/>
    </font>
    <font>
      <sz val="14"/>
      <color theme="1"/>
      <name val="Arial"/>
      <family val="2"/>
    </font>
    <font>
      <b/>
      <sz val="11"/>
      <color theme="1"/>
      <name val="Calibri"/>
      <family val="2"/>
      <scheme val="minor"/>
    </font>
  </fonts>
  <fills count="116">
    <fill>
      <patternFill patternType="none"/>
    </fill>
    <fill>
      <patternFill patternType="gray125"/>
    </fill>
    <fill>
      <patternFill patternType="solid">
        <fgColor theme="2"/>
        <bgColor rgb="FFDEEBF7"/>
      </patternFill>
    </fill>
    <fill>
      <patternFill patternType="solid">
        <fgColor rgb="FF7030A0"/>
        <bgColor rgb="FF800080"/>
      </patternFill>
    </fill>
    <fill>
      <patternFill patternType="solid">
        <fgColor theme="7" tint="0.59987182226020086"/>
        <bgColor rgb="FFFFF2CC"/>
      </patternFill>
    </fill>
    <fill>
      <patternFill patternType="solid">
        <fgColor theme="3" tint="0.59987182226020086"/>
        <bgColor rgb="FF9DC3E6"/>
      </patternFill>
    </fill>
    <fill>
      <patternFill patternType="solid">
        <fgColor theme="5" tint="0.39988402966399123"/>
        <bgColor rgb="FFF8CBAD"/>
      </patternFill>
    </fill>
    <fill>
      <patternFill patternType="solid">
        <fgColor rgb="FFFF99CC"/>
        <bgColor rgb="FFF4B183"/>
      </patternFill>
    </fill>
    <fill>
      <patternFill patternType="solid">
        <fgColor rgb="FFFFCCFF"/>
        <bgColor rgb="FFFBE5D6"/>
      </patternFill>
    </fill>
    <fill>
      <patternFill patternType="solid">
        <fgColor theme="7" tint="0.79989013336588644"/>
        <bgColor rgb="FFFBE5D6"/>
      </patternFill>
    </fill>
    <fill>
      <patternFill patternType="solid">
        <fgColor theme="3" tint="0.79989013336588644"/>
        <bgColor rgb="FFDAE3F3"/>
      </patternFill>
    </fill>
    <fill>
      <patternFill patternType="solid">
        <fgColor theme="9" tint="0.39988402966399123"/>
        <bgColor rgb="FFC5E0B4"/>
      </patternFill>
    </fill>
    <fill>
      <patternFill patternType="solid">
        <fgColor theme="4" tint="0.59987182226020086"/>
        <bgColor rgb="FF9DC3E6"/>
      </patternFill>
    </fill>
    <fill>
      <patternFill patternType="solid">
        <fgColor rgb="FF92D050"/>
        <bgColor rgb="FFA9D18E"/>
      </patternFill>
    </fill>
    <fill>
      <patternFill patternType="solid">
        <fgColor theme="5" tint="0.59987182226020086"/>
        <bgColor rgb="FFFFE699"/>
      </patternFill>
    </fill>
    <fill>
      <patternFill patternType="solid">
        <fgColor rgb="FFFFFF00"/>
        <bgColor rgb="FFFFC000"/>
      </patternFill>
    </fill>
    <fill>
      <patternFill patternType="solid">
        <fgColor rgb="FFC00000"/>
        <bgColor rgb="FFFF0000"/>
      </patternFill>
    </fill>
    <fill>
      <patternFill patternType="solid">
        <fgColor theme="5"/>
        <bgColor rgb="FFBF9000"/>
      </patternFill>
    </fill>
    <fill>
      <patternFill patternType="solid">
        <fgColor theme="5" tint="0.79989013336588644"/>
        <bgColor rgb="FFFFF2CC"/>
      </patternFill>
    </fill>
    <fill>
      <patternFill patternType="solid">
        <fgColor theme="5" tint="-0.499984740745262"/>
        <bgColor rgb="FF833C0C"/>
      </patternFill>
    </fill>
    <fill>
      <patternFill patternType="solid">
        <fgColor rgb="FF00B050"/>
        <bgColor rgb="FF008080"/>
      </patternFill>
    </fill>
    <fill>
      <patternFill patternType="solid">
        <fgColor theme="0"/>
        <bgColor rgb="FFF2F2F2"/>
      </patternFill>
    </fill>
    <fill>
      <patternFill patternType="solid">
        <fgColor rgb="FFFFC000"/>
        <bgColor rgb="FFF4B183"/>
      </patternFill>
    </fill>
    <fill>
      <patternFill patternType="solid">
        <fgColor theme="4" tint="-0.499984740745262"/>
        <bgColor rgb="FF333F50"/>
      </patternFill>
    </fill>
    <fill>
      <patternFill patternType="solid">
        <fgColor theme="8" tint="0.39988402966399123"/>
        <bgColor rgb="FFB4C7E7"/>
      </patternFill>
    </fill>
    <fill>
      <patternFill patternType="solid">
        <fgColor rgb="FF002060"/>
        <bgColor rgb="FF203864"/>
      </patternFill>
    </fill>
    <fill>
      <patternFill patternType="solid">
        <fgColor theme="4" tint="-0.249977111117893"/>
        <bgColor rgb="FF2E75B6"/>
      </patternFill>
    </fill>
    <fill>
      <patternFill patternType="solid">
        <fgColor theme="1" tint="4.9897762993255407E-2"/>
        <bgColor rgb="FF000000"/>
      </patternFill>
    </fill>
    <fill>
      <patternFill patternType="solid">
        <fgColor theme="1"/>
        <bgColor rgb="FF0D0D0D"/>
      </patternFill>
    </fill>
    <fill>
      <patternFill patternType="solid">
        <fgColor rgb="FF833C0C"/>
        <bgColor rgb="FF843C0B"/>
      </patternFill>
    </fill>
    <fill>
      <patternFill patternType="solid">
        <fgColor rgb="FF9966FF"/>
        <bgColor rgb="FF7C7C7C"/>
      </patternFill>
    </fill>
    <fill>
      <patternFill patternType="solid">
        <fgColor theme="0" tint="-0.34998626667073579"/>
        <bgColor rgb="FFAFABAB"/>
      </patternFill>
    </fill>
    <fill>
      <patternFill patternType="solid">
        <fgColor theme="1" tint="0.3498947111423078"/>
        <bgColor rgb="FF333F50"/>
      </patternFill>
    </fill>
    <fill>
      <patternFill patternType="solid">
        <fgColor theme="9" tint="0.59987182226020086"/>
        <bgColor rgb="FFD6DCE5"/>
      </patternFill>
    </fill>
    <fill>
      <patternFill patternType="solid">
        <fgColor theme="6" tint="0.39988402966399123"/>
        <bgColor rgb="FFB4C7E7"/>
      </patternFill>
    </fill>
    <fill>
      <patternFill patternType="solid">
        <fgColor theme="0" tint="-4.9989318521683403E-2"/>
        <bgColor rgb="FFE7E6E6"/>
      </patternFill>
    </fill>
    <fill>
      <patternFill patternType="solid">
        <fgColor rgb="FFFFFF00"/>
        <bgColor indexed="64"/>
      </patternFill>
    </fill>
    <fill>
      <patternFill patternType="solid">
        <fgColor rgb="FFFF0000"/>
        <bgColor indexed="64"/>
      </patternFill>
    </fill>
    <fill>
      <patternFill patternType="solid">
        <fgColor rgb="FFC65911"/>
        <bgColor indexed="64"/>
      </patternFill>
    </fill>
    <fill>
      <patternFill patternType="solid">
        <fgColor rgb="FFF2F2F2"/>
        <bgColor indexed="64"/>
      </patternFill>
    </fill>
    <fill>
      <patternFill patternType="solid">
        <fgColor rgb="FF00B050"/>
        <bgColor rgb="FFBF9000"/>
      </patternFill>
    </fill>
    <fill>
      <patternFill patternType="solid">
        <fgColor theme="5" tint="-0.499984740745262"/>
        <bgColor indexed="64"/>
      </patternFill>
    </fill>
    <fill>
      <patternFill patternType="solid">
        <fgColor theme="5"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rgb="FF002060"/>
        <bgColor indexed="64"/>
      </patternFill>
    </fill>
    <fill>
      <patternFill patternType="solid">
        <fgColor rgb="FF002060"/>
        <bgColor rgb="FF1B3A5C"/>
      </patternFill>
    </fill>
    <fill>
      <patternFill patternType="solid">
        <fgColor rgb="FFFFFF00"/>
        <bgColor rgb="FFFFFF00"/>
      </patternFill>
    </fill>
    <fill>
      <patternFill patternType="solid">
        <fgColor rgb="FFFFC000"/>
        <bgColor indexed="64"/>
      </patternFill>
    </fill>
    <fill>
      <patternFill patternType="solid">
        <fgColor rgb="FFFFFFFF"/>
        <bgColor rgb="FFF5F5F5"/>
      </patternFill>
    </fill>
    <fill>
      <patternFill patternType="solid">
        <fgColor theme="5" tint="0.59987182226020086"/>
        <bgColor rgb="FFBDBDBD"/>
      </patternFill>
    </fill>
    <fill>
      <patternFill patternType="solid">
        <fgColor theme="0" tint="-0.34998626667073579"/>
        <bgColor indexed="64"/>
      </patternFill>
    </fill>
    <fill>
      <patternFill patternType="solid">
        <fgColor theme="2" tint="-0.249977111117893"/>
        <bgColor indexed="64"/>
      </patternFill>
    </fill>
    <fill>
      <patternFill patternType="solid">
        <fgColor theme="0"/>
        <bgColor rgb="FFFFC000"/>
      </patternFill>
    </fill>
    <fill>
      <patternFill patternType="solid">
        <fgColor theme="0" tint="-0.249977111117893"/>
        <bgColor indexed="64"/>
      </patternFill>
    </fill>
    <fill>
      <patternFill patternType="solid">
        <fgColor rgb="FF9DC3E6"/>
      </patternFill>
    </fill>
    <fill>
      <patternFill patternType="solid">
        <fgColor theme="0"/>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14999847407452621"/>
        <bgColor indexed="64"/>
      </patternFill>
    </fill>
    <fill>
      <patternFill patternType="solid">
        <fgColor rgb="FFFF7C80"/>
        <bgColor indexed="64"/>
      </patternFill>
    </fill>
    <fill>
      <patternFill patternType="solid">
        <fgColor rgb="FFFF7C80"/>
        <bgColor rgb="FFFFE699"/>
      </patternFill>
    </fill>
    <fill>
      <patternFill patternType="solid">
        <fgColor theme="0" tint="-0.14999847407452621"/>
        <bgColor theme="0" tint="-0.14999847407452621"/>
      </patternFill>
    </fill>
    <fill>
      <patternFill patternType="solid">
        <fgColor theme="1"/>
        <bgColor indexed="64"/>
      </patternFill>
    </fill>
    <fill>
      <patternFill patternType="solid">
        <fgColor theme="0"/>
        <bgColor rgb="FFF5F5F5"/>
      </patternFill>
    </fill>
    <fill>
      <patternFill patternType="solid">
        <fgColor rgb="FFFF7C80"/>
        <bgColor rgb="FF7C7C7C"/>
      </patternFill>
    </fill>
    <fill>
      <patternFill patternType="solid">
        <fgColor theme="0"/>
        <bgColor rgb="FF7C7C7C"/>
      </patternFill>
    </fill>
    <fill>
      <patternFill patternType="solid">
        <fgColor theme="0"/>
        <bgColor rgb="FFAFABAB"/>
      </patternFill>
    </fill>
    <fill>
      <patternFill patternType="solid">
        <fgColor rgb="FF833C0C"/>
        <bgColor rgb="FF833C0C"/>
      </patternFill>
    </fill>
    <fill>
      <patternFill patternType="solid">
        <fgColor rgb="FFFFFFFF"/>
        <bgColor indexed="64"/>
      </patternFill>
    </fill>
    <fill>
      <patternFill patternType="solid">
        <fgColor theme="8" tint="0.39997558519241921"/>
        <bgColor indexed="64"/>
      </patternFill>
    </fill>
    <fill>
      <patternFill patternType="solid">
        <fgColor theme="2"/>
        <bgColor indexed="64"/>
      </patternFill>
    </fill>
    <fill>
      <patternFill patternType="solid">
        <fgColor theme="5"/>
        <bgColor rgb="FFDEEBF7"/>
      </patternFill>
    </fill>
    <fill>
      <patternFill patternType="solid">
        <fgColor theme="7"/>
        <bgColor rgb="FFF8CBAD"/>
      </patternFill>
    </fill>
    <fill>
      <patternFill patternType="solid">
        <fgColor theme="7"/>
        <bgColor rgb="FFFFF2CC"/>
      </patternFill>
    </fill>
    <fill>
      <patternFill patternType="solid">
        <fgColor theme="7" tint="0.59999389629810485"/>
        <bgColor rgb="FFDAE3F3"/>
      </patternFill>
    </fill>
    <fill>
      <patternFill patternType="solid">
        <fgColor theme="7" tint="0.59999389629810485"/>
        <bgColor rgb="FFFFF2CC"/>
      </patternFill>
    </fill>
    <fill>
      <patternFill patternType="solid">
        <fgColor theme="4" tint="0.59999389629810485"/>
        <bgColor rgb="FFFFF2CC"/>
      </patternFill>
    </fill>
    <fill>
      <patternFill patternType="solid">
        <fgColor theme="4" tint="0.39997558519241921"/>
        <bgColor rgb="FFF8CBAD"/>
      </patternFill>
    </fill>
    <fill>
      <patternFill patternType="solid">
        <fgColor theme="6" tint="0.79998168889431442"/>
        <bgColor rgb="FFA6A6A6"/>
      </patternFill>
    </fill>
    <fill>
      <patternFill patternType="solid">
        <fgColor theme="0"/>
        <bgColor rgb="FFDEEBF7"/>
      </patternFill>
    </fill>
    <fill>
      <patternFill patternType="solid">
        <fgColor theme="6" tint="0.79998168889431442"/>
        <bgColor rgb="FFF8CBAD"/>
      </patternFill>
    </fill>
    <fill>
      <patternFill patternType="solid">
        <fgColor theme="6" tint="0.79998168889431442"/>
        <bgColor rgb="FF9DC3E6"/>
      </patternFill>
    </fill>
    <fill>
      <patternFill patternType="solid">
        <fgColor theme="5" tint="0.39997558519241921"/>
        <bgColor rgb="FFFBE5D6"/>
      </patternFill>
    </fill>
    <fill>
      <patternFill patternType="solid">
        <fgColor theme="9" tint="0.39997558519241921"/>
        <bgColor rgb="FFFFF2CC"/>
      </patternFill>
    </fill>
    <fill>
      <patternFill patternType="solid">
        <fgColor theme="9" tint="0.79998168889431442"/>
        <bgColor rgb="FFC5E0B4"/>
      </patternFill>
    </fill>
    <fill>
      <patternFill patternType="solid">
        <fgColor theme="2" tint="-0.249977111117893"/>
        <bgColor rgb="FFA9D18E"/>
      </patternFill>
    </fill>
    <fill>
      <patternFill patternType="solid">
        <fgColor rgb="FFFFC000"/>
        <bgColor rgb="FF9DC3E6"/>
      </patternFill>
    </fill>
    <fill>
      <patternFill patternType="solid">
        <fgColor theme="4" tint="-0.499984740745262"/>
        <bgColor indexed="64"/>
      </patternFill>
    </fill>
    <fill>
      <patternFill patternType="solid">
        <fgColor theme="9" tint="0.39997558519241921"/>
        <bgColor rgb="FFE7E6E6"/>
      </patternFill>
    </fill>
    <fill>
      <patternFill patternType="solid">
        <fgColor theme="9" tint="0.39997558519241921"/>
        <bgColor rgb="FFDEEBF7"/>
      </patternFill>
    </fill>
    <fill>
      <patternFill patternType="solid">
        <fgColor theme="0" tint="-0.499984740745262"/>
        <bgColor rgb="FFFFC000"/>
      </patternFill>
    </fill>
    <fill>
      <patternFill patternType="solid">
        <fgColor theme="0" tint="-0.499984740745262"/>
        <bgColor indexed="64"/>
      </patternFill>
    </fill>
    <fill>
      <patternFill patternType="solid">
        <fgColor rgb="FF002060"/>
        <bgColor rgb="FFF2F2F2"/>
      </patternFill>
    </fill>
    <fill>
      <patternFill patternType="solid">
        <fgColor theme="0"/>
        <bgColor rgb="FF843C0B"/>
      </patternFill>
    </fill>
    <fill>
      <patternFill patternType="solid">
        <fgColor theme="0"/>
        <bgColor rgb="FFFFE699"/>
      </patternFill>
    </fill>
    <fill>
      <patternFill patternType="solid">
        <fgColor theme="0"/>
        <bgColor rgb="FF000000"/>
      </patternFill>
    </fill>
    <fill>
      <patternFill patternType="solid">
        <fgColor theme="0"/>
        <bgColor rgb="FF008080"/>
      </patternFill>
    </fill>
    <fill>
      <patternFill patternType="solid">
        <fgColor rgb="FF00B050"/>
        <bgColor rgb="FFF2F2F2"/>
      </patternFill>
    </fill>
    <fill>
      <patternFill patternType="solid">
        <fgColor rgb="FF002060"/>
        <bgColor rgb="FF333F50"/>
      </patternFill>
    </fill>
    <fill>
      <patternFill patternType="solid">
        <fgColor theme="5"/>
        <bgColor indexed="64"/>
      </patternFill>
    </fill>
    <fill>
      <patternFill patternType="solid">
        <fgColor rgb="FFED7D31"/>
        <bgColor rgb="FF000000"/>
      </patternFill>
    </fill>
    <fill>
      <patternFill patternType="solid">
        <fgColor theme="0"/>
        <bgColor rgb="FFFFFF00"/>
      </patternFill>
    </fill>
    <fill>
      <patternFill patternType="solid">
        <fgColor rgb="FFFFFFFF"/>
        <bgColor rgb="FF000000"/>
      </patternFill>
    </fill>
    <fill>
      <patternFill patternType="solid">
        <fgColor theme="7" tint="0.59999389629810485"/>
        <bgColor indexed="64"/>
      </patternFill>
    </fill>
    <fill>
      <patternFill patternType="solid">
        <fgColor theme="9" tint="0.39997558519241921"/>
        <bgColor rgb="FFC5E0B4"/>
      </patternFill>
    </fill>
    <fill>
      <patternFill patternType="solid">
        <fgColor theme="0"/>
        <bgColor rgb="FF833C0C"/>
      </patternFill>
    </fill>
    <fill>
      <patternFill patternType="solid">
        <fgColor rgb="FFFF0000"/>
        <bgColor rgb="FFC00000"/>
      </patternFill>
    </fill>
    <fill>
      <patternFill patternType="solid">
        <fgColor theme="9" tint="0.59987182226020086"/>
        <bgColor rgb="FFD9D9D9"/>
      </patternFill>
    </fill>
    <fill>
      <patternFill patternType="solid">
        <fgColor theme="5" tint="0.59978026673177287"/>
        <bgColor rgb="FFFFE699"/>
      </patternFill>
    </fill>
    <fill>
      <patternFill patternType="solid">
        <fgColor theme="5" tint="-0.499984740745262"/>
        <bgColor rgb="FFF2F2F2"/>
      </patternFill>
    </fill>
  </fills>
  <borders count="52">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style="medium">
        <color auto="1"/>
      </left>
      <right/>
      <top style="medium">
        <color auto="1"/>
      </top>
      <bottom style="medium">
        <color auto="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7030A0"/>
      </left>
      <right style="thin">
        <color rgb="FF7030A0"/>
      </right>
      <top style="thin">
        <color rgb="FF7030A0"/>
      </top>
      <bottom style="thin">
        <color rgb="FF7030A0"/>
      </bottom>
      <diagonal/>
    </border>
    <border>
      <left style="thin">
        <color rgb="FF7030A0"/>
      </left>
      <right style="thin">
        <color rgb="FF7030A0"/>
      </right>
      <top/>
      <bottom style="thin">
        <color rgb="FF7030A0"/>
      </bottom>
      <diagonal/>
    </border>
    <border>
      <left/>
      <right style="thin">
        <color rgb="FF7030A0"/>
      </right>
      <top/>
      <bottom style="thin">
        <color rgb="FF7030A0"/>
      </bottom>
      <diagonal/>
    </border>
    <border>
      <left/>
      <right style="thin">
        <color rgb="FF000000"/>
      </right>
      <top style="thin">
        <color auto="1"/>
      </top>
      <bottom/>
      <diagonal/>
    </border>
    <border>
      <left/>
      <right style="medium">
        <color auto="1"/>
      </right>
      <top style="medium">
        <color auto="1"/>
      </top>
      <bottom style="medium">
        <color auto="1"/>
      </bottom>
      <diagonal/>
    </border>
    <border>
      <left style="thin">
        <color rgb="FF7F7F7F"/>
      </left>
      <right style="thin">
        <color rgb="FF7F7F7F"/>
      </right>
      <top style="thin">
        <color rgb="FF7F7F7F"/>
      </top>
      <bottom style="thin">
        <color rgb="FF7F7F7F"/>
      </bottom>
      <diagonal/>
    </border>
    <border>
      <left/>
      <right style="thin">
        <color rgb="FF7030A0"/>
      </right>
      <top style="thin">
        <color rgb="FF7030A0"/>
      </top>
      <bottom style="thin">
        <color rgb="FF7030A0"/>
      </bottom>
      <diagonal/>
    </border>
    <border>
      <left style="thin">
        <color rgb="FF7F7F7F"/>
      </left>
      <right/>
      <top style="thin">
        <color rgb="FF7F7F7F"/>
      </top>
      <bottom style="thin">
        <color rgb="FF7F7F7F"/>
      </bottom>
      <diagonal/>
    </border>
    <border>
      <left/>
      <right/>
      <top style="thin">
        <color rgb="FF7030A0"/>
      </top>
      <bottom style="thin">
        <color rgb="FF7030A0"/>
      </bottom>
      <diagonal/>
    </border>
    <border>
      <left style="thin">
        <color rgb="FF7030A0"/>
      </left>
      <right style="thin">
        <color rgb="FF7030A0"/>
      </right>
      <top/>
      <bottom/>
      <diagonal/>
    </border>
    <border>
      <left style="thin">
        <color rgb="FF7030A0"/>
      </left>
      <right style="thin">
        <color rgb="FF7030A0"/>
      </right>
      <top style="thin">
        <color rgb="FF7030A0"/>
      </top>
      <bottom/>
      <diagonal/>
    </border>
    <border>
      <left/>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rgb="FF7F7F7F"/>
      </left>
      <right style="thin">
        <color rgb="FF7F7F7F"/>
      </right>
      <top style="thin">
        <color rgb="FF7F7F7F"/>
      </top>
      <bottom/>
      <diagonal/>
    </border>
    <border>
      <left style="hair">
        <color auto="1"/>
      </left>
      <right style="hair">
        <color auto="1"/>
      </right>
      <top style="hair">
        <color auto="1"/>
      </top>
      <bottom/>
      <diagonal/>
    </border>
    <border>
      <left/>
      <right style="thin">
        <color rgb="FF7F7F7F"/>
      </right>
      <top style="thin">
        <color rgb="FF7F7F7F"/>
      </top>
      <bottom style="thin">
        <color rgb="FF7F7F7F"/>
      </bottom>
      <diagonal/>
    </border>
    <border>
      <left/>
      <right/>
      <top/>
      <bottom style="thin">
        <color rgb="FF7F7F7F"/>
      </bottom>
      <diagonal/>
    </border>
    <border>
      <left/>
      <right style="thin">
        <color rgb="FF7F7F7F"/>
      </right>
      <top/>
      <bottom style="thin">
        <color rgb="FF7F7F7F"/>
      </bottom>
      <diagonal/>
    </border>
  </borders>
  <cellStyleXfs count="32">
    <xf numFmtId="0" fontId="0" fillId="0" borderId="0"/>
    <xf numFmtId="0" fontId="6" fillId="0" borderId="0"/>
    <xf numFmtId="0" fontId="6" fillId="0" borderId="0"/>
    <xf numFmtId="0" fontId="6" fillId="0" borderId="0"/>
    <xf numFmtId="0" fontId="7" fillId="0" borderId="0"/>
    <xf numFmtId="0" fontId="7" fillId="0" borderId="0"/>
    <xf numFmtId="0" fontId="6" fillId="0" borderId="0"/>
    <xf numFmtId="0" fontId="7" fillId="0" borderId="0"/>
    <xf numFmtId="0" fontId="7" fillId="0" borderId="0"/>
    <xf numFmtId="0" fontId="8" fillId="0" borderId="0"/>
    <xf numFmtId="9" fontId="36" fillId="0" borderId="0" applyFont="0" applyFill="0" applyBorder="0" applyAlignment="0" applyProtection="0"/>
    <xf numFmtId="166" fontId="8" fillId="0" borderId="0"/>
    <xf numFmtId="164" fontId="36" fillId="0" borderId="0" applyFont="0" applyFill="0" applyBorder="0" applyAlignment="0" applyProtection="0"/>
    <xf numFmtId="0" fontId="38" fillId="0" borderId="0"/>
    <xf numFmtId="0" fontId="38" fillId="0" borderId="0"/>
    <xf numFmtId="0" fontId="5" fillId="0" borderId="0"/>
    <xf numFmtId="189" fontId="5" fillId="0" borderId="0" applyFont="0" applyFill="0" applyBorder="0" applyAlignment="0" applyProtection="0"/>
    <xf numFmtId="0" fontId="4" fillId="0" borderId="0"/>
    <xf numFmtId="189" fontId="4" fillId="0" borderId="0" applyFont="0" applyFill="0" applyBorder="0" applyAlignment="0" applyProtection="0"/>
    <xf numFmtId="0" fontId="55" fillId="0" borderId="0"/>
    <xf numFmtId="0" fontId="60" fillId="0" borderId="0"/>
    <xf numFmtId="0" fontId="3" fillId="0" borderId="0"/>
    <xf numFmtId="0" fontId="64" fillId="0" borderId="0"/>
    <xf numFmtId="0" fontId="65" fillId="0" borderId="0"/>
    <xf numFmtId="0" fontId="70" fillId="0" borderId="0"/>
    <xf numFmtId="0" fontId="71" fillId="0" borderId="0"/>
    <xf numFmtId="0" fontId="3" fillId="0" borderId="0"/>
    <xf numFmtId="189" fontId="3" fillId="0" borderId="0" applyFont="0" applyFill="0" applyBorder="0" applyAlignment="0" applyProtection="0"/>
    <xf numFmtId="0" fontId="2" fillId="0" borderId="0"/>
    <xf numFmtId="0" fontId="2" fillId="0" borderId="0"/>
    <xf numFmtId="189" fontId="2" fillId="0" borderId="0" applyFont="0" applyFill="0" applyBorder="0" applyAlignment="0" applyProtection="0"/>
    <xf numFmtId="0" fontId="8" fillId="0" borderId="0"/>
  </cellStyleXfs>
  <cellXfs count="1912">
    <xf numFmtId="0" fontId="0" fillId="0" borderId="0" xfId="0"/>
    <xf numFmtId="0" fontId="9" fillId="0" borderId="0" xfId="0" applyFont="1"/>
    <xf numFmtId="0" fontId="9" fillId="0" borderId="0" xfId="0" applyFont="1" applyAlignment="1">
      <alignment horizontal="center"/>
    </xf>
    <xf numFmtId="0" fontId="0" fillId="0" borderId="0" xfId="0" applyAlignment="1">
      <alignment horizontal="center"/>
    </xf>
    <xf numFmtId="2" fontId="0" fillId="0" borderId="0" xfId="0" applyNumberFormat="1"/>
    <xf numFmtId="166" fontId="0" fillId="0" borderId="0" xfId="0" applyNumberFormat="1"/>
    <xf numFmtId="0" fontId="9" fillId="2" borderId="0" xfId="0" applyFont="1" applyFill="1" applyAlignment="1">
      <alignment horizontal="center" vertical="center"/>
    </xf>
    <xf numFmtId="0" fontId="9" fillId="2" borderId="0" xfId="0" applyFont="1" applyFill="1" applyAlignment="1">
      <alignment horizontal="center" vertical="center" wrapText="1"/>
    </xf>
    <xf numFmtId="0" fontId="10" fillId="3" borderId="1" xfId="0" applyFont="1" applyFill="1" applyBorder="1" applyAlignment="1">
      <alignment horizontal="center" vertical="center"/>
    </xf>
    <xf numFmtId="0" fontId="12" fillId="0" borderId="0" xfId="0" applyFont="1"/>
    <xf numFmtId="0" fontId="12" fillId="0" borderId="0" xfId="0" applyFont="1" applyAlignment="1">
      <alignment horizontal="center"/>
    </xf>
    <xf numFmtId="0" fontId="13" fillId="0" borderId="0" xfId="0" applyFont="1" applyAlignment="1">
      <alignment horizontal="center"/>
    </xf>
    <xf numFmtId="165" fontId="12" fillId="0" borderId="0" xfId="0" applyNumberFormat="1" applyFont="1"/>
    <xf numFmtId="165" fontId="13" fillId="0" borderId="0" xfId="0" applyNumberFormat="1" applyFont="1"/>
    <xf numFmtId="0" fontId="6" fillId="0" borderId="0" xfId="0" applyFont="1"/>
    <xf numFmtId="0" fontId="9" fillId="5" borderId="0" xfId="0" applyFont="1" applyFill="1"/>
    <xf numFmtId="0" fontId="9" fillId="5" borderId="0" xfId="0" applyFont="1" applyFill="1" applyAlignment="1">
      <alignment horizontal="center"/>
    </xf>
    <xf numFmtId="1" fontId="9" fillId="5" borderId="0" xfId="0" applyNumberFormat="1" applyFont="1" applyFill="1" applyAlignment="1">
      <alignment horizontal="center"/>
    </xf>
    <xf numFmtId="165" fontId="9" fillId="5" borderId="0" xfId="0" applyNumberFormat="1" applyFont="1" applyFill="1"/>
    <xf numFmtId="166" fontId="9" fillId="5" borderId="0" xfId="0" applyNumberFormat="1" applyFont="1" applyFill="1"/>
    <xf numFmtId="0" fontId="9" fillId="6" borderId="0" xfId="0" applyFont="1" applyFill="1"/>
    <xf numFmtId="0" fontId="9" fillId="6" borderId="0" xfId="0" applyFont="1" applyFill="1" applyAlignment="1">
      <alignment horizontal="center"/>
    </xf>
    <xf numFmtId="1" fontId="9" fillId="6" borderId="0" xfId="0" applyNumberFormat="1" applyFont="1" applyFill="1" applyAlignment="1">
      <alignment horizontal="center"/>
    </xf>
    <xf numFmtId="165" fontId="9" fillId="6" borderId="0" xfId="0" applyNumberFormat="1" applyFont="1" applyFill="1"/>
    <xf numFmtId="166" fontId="9" fillId="6" borderId="0" xfId="0" applyNumberFormat="1" applyFont="1" applyFill="1"/>
    <xf numFmtId="1" fontId="14" fillId="0" borderId="0" xfId="0" applyNumberFormat="1" applyFont="1" applyAlignment="1">
      <alignment horizontal="left" vertical="center" wrapText="1"/>
    </xf>
    <xf numFmtId="0" fontId="6" fillId="0" borderId="0" xfId="0" applyFont="1" applyAlignment="1">
      <alignment horizontal="left"/>
    </xf>
    <xf numFmtId="0" fontId="9" fillId="7" borderId="0" xfId="0" applyFont="1" applyFill="1"/>
    <xf numFmtId="0" fontId="9" fillId="7" borderId="0" xfId="0" applyFont="1" applyFill="1" applyAlignment="1">
      <alignment horizontal="center"/>
    </xf>
    <xf numFmtId="1" fontId="9" fillId="7" borderId="0" xfId="0" applyNumberFormat="1" applyFont="1" applyFill="1" applyAlignment="1">
      <alignment horizontal="center" vertical="center"/>
    </xf>
    <xf numFmtId="165" fontId="9" fillId="7" borderId="0" xfId="0" applyNumberFormat="1" applyFont="1" applyFill="1"/>
    <xf numFmtId="2" fontId="9" fillId="7" borderId="0" xfId="0" applyNumberFormat="1" applyFont="1" applyFill="1" applyAlignment="1">
      <alignment horizontal="center" vertical="center"/>
    </xf>
    <xf numFmtId="165" fontId="9" fillId="7" borderId="0" xfId="0" applyNumberFormat="1" applyFont="1" applyFill="1" applyAlignment="1">
      <alignment horizontal="center" vertical="center"/>
    </xf>
    <xf numFmtId="0" fontId="9" fillId="8" borderId="0" xfId="0" applyFont="1" applyFill="1"/>
    <xf numFmtId="0" fontId="9" fillId="8" borderId="0" xfId="0" applyFont="1" applyFill="1" applyAlignment="1">
      <alignment horizontal="center"/>
    </xf>
    <xf numFmtId="1" fontId="9" fillId="8" borderId="0" xfId="0" applyNumberFormat="1" applyFont="1" applyFill="1" applyAlignment="1">
      <alignment horizontal="center" vertical="center"/>
    </xf>
    <xf numFmtId="165" fontId="9" fillId="8" borderId="0" xfId="0" applyNumberFormat="1" applyFont="1" applyFill="1"/>
    <xf numFmtId="2" fontId="9" fillId="8" borderId="0" xfId="0" applyNumberFormat="1" applyFont="1" applyFill="1" applyAlignment="1">
      <alignment horizontal="center" vertical="center"/>
    </xf>
    <xf numFmtId="165" fontId="9" fillId="8" borderId="0" xfId="0" applyNumberFormat="1" applyFont="1" applyFill="1" applyAlignment="1">
      <alignment horizontal="center" vertical="center"/>
    </xf>
    <xf numFmtId="167" fontId="9" fillId="8" borderId="0" xfId="0" applyNumberFormat="1" applyFont="1" applyFill="1" applyAlignment="1">
      <alignment horizontal="center" vertical="center"/>
    </xf>
    <xf numFmtId="0" fontId="9" fillId="9" borderId="0" xfId="0" applyFont="1" applyFill="1"/>
    <xf numFmtId="0" fontId="9" fillId="9" borderId="0" xfId="0" applyFont="1" applyFill="1" applyAlignment="1">
      <alignment horizontal="center"/>
    </xf>
    <xf numFmtId="1" fontId="9" fillId="9" borderId="0" xfId="0" applyNumberFormat="1" applyFont="1" applyFill="1" applyAlignment="1">
      <alignment horizontal="center" vertical="center"/>
    </xf>
    <xf numFmtId="165" fontId="9" fillId="9" borderId="0" xfId="0" applyNumberFormat="1" applyFont="1" applyFill="1"/>
    <xf numFmtId="2" fontId="9" fillId="9" borderId="0" xfId="0" applyNumberFormat="1" applyFont="1" applyFill="1" applyAlignment="1">
      <alignment horizontal="center" vertical="center"/>
    </xf>
    <xf numFmtId="165" fontId="9" fillId="9" borderId="0" xfId="0" applyNumberFormat="1" applyFont="1" applyFill="1" applyAlignment="1">
      <alignment horizontal="center" vertical="center"/>
    </xf>
    <xf numFmtId="0" fontId="9" fillId="11" borderId="0" xfId="0" applyFont="1" applyFill="1"/>
    <xf numFmtId="0" fontId="9" fillId="11" borderId="0" xfId="0" applyFont="1" applyFill="1" applyAlignment="1">
      <alignment horizontal="center"/>
    </xf>
    <xf numFmtId="1" fontId="9" fillId="11" borderId="0" xfId="0" applyNumberFormat="1" applyFont="1" applyFill="1" applyAlignment="1">
      <alignment horizontal="center" vertical="center"/>
    </xf>
    <xf numFmtId="165" fontId="9" fillId="11" borderId="0" xfId="0" applyNumberFormat="1" applyFont="1" applyFill="1"/>
    <xf numFmtId="2" fontId="9" fillId="11" borderId="0" xfId="0" applyNumberFormat="1" applyFont="1" applyFill="1" applyAlignment="1">
      <alignment horizontal="center" vertical="center"/>
    </xf>
    <xf numFmtId="165" fontId="9" fillId="11" borderId="0" xfId="0" applyNumberFormat="1" applyFont="1" applyFill="1" applyAlignment="1">
      <alignment horizontal="center" vertical="center"/>
    </xf>
    <xf numFmtId="165" fontId="9" fillId="0" borderId="0" xfId="0" applyNumberFormat="1" applyFont="1" applyAlignment="1">
      <alignment horizontal="center" vertical="center"/>
    </xf>
    <xf numFmtId="0" fontId="9" fillId="12" borderId="0" xfId="0" applyFont="1" applyFill="1"/>
    <xf numFmtId="0" fontId="9" fillId="12" borderId="0" xfId="0" applyFont="1" applyFill="1" applyAlignment="1">
      <alignment horizontal="center"/>
    </xf>
    <xf numFmtId="1" fontId="9" fillId="12" borderId="0" xfId="0" applyNumberFormat="1" applyFont="1" applyFill="1" applyAlignment="1">
      <alignment horizontal="center" vertical="center"/>
    </xf>
    <xf numFmtId="165" fontId="9" fillId="12" borderId="0" xfId="0" applyNumberFormat="1" applyFont="1" applyFill="1"/>
    <xf numFmtId="165" fontId="9" fillId="12" borderId="0" xfId="0" applyNumberFormat="1" applyFont="1" applyFill="1" applyAlignment="1">
      <alignment horizontal="center" vertical="center"/>
    </xf>
    <xf numFmtId="166" fontId="9" fillId="12" borderId="0" xfId="0" applyNumberFormat="1" applyFont="1" applyFill="1" applyAlignment="1">
      <alignment horizontal="center" vertical="center"/>
    </xf>
    <xf numFmtId="0" fontId="16" fillId="2" borderId="0" xfId="0" applyFont="1" applyFill="1" applyAlignment="1">
      <alignment horizontal="center" vertical="center"/>
    </xf>
    <xf numFmtId="0" fontId="16" fillId="2" borderId="0" xfId="0" applyFont="1" applyFill="1" applyAlignment="1">
      <alignment horizontal="center" vertical="center" wrapText="1"/>
    </xf>
    <xf numFmtId="0" fontId="19" fillId="0" borderId="0" xfId="0" applyFont="1"/>
    <xf numFmtId="0" fontId="14" fillId="14"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6" fillId="14" borderId="1" xfId="0" applyFont="1" applyFill="1" applyBorder="1" applyAlignment="1">
      <alignment horizontal="center" vertical="center"/>
    </xf>
    <xf numFmtId="165" fontId="14" fillId="15" borderId="1" xfId="0" applyNumberFormat="1" applyFont="1" applyFill="1" applyBorder="1" applyAlignment="1">
      <alignment horizontal="center" vertical="center" wrapText="1"/>
    </xf>
    <xf numFmtId="166" fontId="6" fillId="0" borderId="0" xfId="0" applyNumberFormat="1" applyFont="1" applyAlignment="1">
      <alignment horizontal="center" vertical="center"/>
    </xf>
    <xf numFmtId="166" fontId="14" fillId="0" borderId="1" xfId="0" applyNumberFormat="1" applyFont="1" applyBorder="1" applyAlignment="1">
      <alignment horizontal="center" vertical="center" wrapText="1"/>
    </xf>
    <xf numFmtId="0" fontId="14" fillId="13" borderId="3" xfId="0" applyFont="1" applyFill="1" applyBorder="1" applyAlignment="1">
      <alignment horizontal="center" vertical="center" wrapText="1"/>
    </xf>
    <xf numFmtId="166" fontId="14" fillId="0" borderId="0" xfId="0" applyNumberFormat="1" applyFont="1" applyAlignment="1">
      <alignment vertical="center" wrapText="1"/>
    </xf>
    <xf numFmtId="0" fontId="21" fillId="14" borderId="3" xfId="0" applyFont="1" applyFill="1" applyBorder="1" applyAlignment="1">
      <alignment horizontal="center" vertical="center" wrapText="1"/>
    </xf>
    <xf numFmtId="165" fontId="14" fillId="0" borderId="1" xfId="0" applyNumberFormat="1" applyFont="1" applyBorder="1" applyAlignment="1">
      <alignment wrapText="1"/>
    </xf>
    <xf numFmtId="0" fontId="21" fillId="14" borderId="1" xfId="0" applyFont="1" applyFill="1" applyBorder="1" applyAlignment="1">
      <alignment horizontal="center" vertical="center" wrapText="1"/>
    </xf>
    <xf numFmtId="0" fontId="14" fillId="0" borderId="0" xfId="0" applyFont="1" applyAlignment="1">
      <alignment horizontal="center" vertical="center" wrapText="1"/>
    </xf>
    <xf numFmtId="0" fontId="21" fillId="13" borderId="1" xfId="0" applyFont="1" applyFill="1" applyBorder="1" applyAlignment="1">
      <alignment horizontal="center" vertical="center" wrapText="1"/>
    </xf>
    <xf numFmtId="0" fontId="22" fillId="17" borderId="0" xfId="0" applyFont="1" applyFill="1" applyAlignment="1">
      <alignment horizontal="center" vertical="center" wrapText="1"/>
    </xf>
    <xf numFmtId="165" fontId="14" fillId="18" borderId="0" xfId="0" applyNumberFormat="1" applyFont="1" applyFill="1" applyAlignment="1">
      <alignment horizontal="center" vertical="center" wrapText="1"/>
    </xf>
    <xf numFmtId="166" fontId="21" fillId="18" borderId="0" xfId="0" applyNumberFormat="1" applyFont="1" applyFill="1" applyAlignment="1">
      <alignment horizontal="center" vertical="center" wrapText="1"/>
    </xf>
    <xf numFmtId="0" fontId="23" fillId="19" borderId="0" xfId="0" applyFont="1" applyFill="1" applyAlignment="1">
      <alignment horizontal="center" vertical="center" wrapText="1"/>
    </xf>
    <xf numFmtId="0" fontId="23" fillId="0" borderId="0" xfId="0" applyFont="1" applyAlignment="1">
      <alignment horizontal="center" vertical="center" wrapText="1"/>
    </xf>
    <xf numFmtId="0" fontId="14" fillId="0" borderId="0" xfId="0" applyFont="1" applyAlignment="1">
      <alignment wrapText="1"/>
    </xf>
    <xf numFmtId="0" fontId="23" fillId="17" borderId="0" xfId="0" applyFont="1" applyFill="1" applyAlignment="1">
      <alignment horizontal="center" vertical="center" wrapText="1"/>
    </xf>
    <xf numFmtId="0" fontId="23" fillId="17" borderId="0" xfId="0" applyFont="1" applyFill="1" applyAlignment="1">
      <alignment vertical="center" wrapText="1"/>
    </xf>
    <xf numFmtId="0" fontId="6" fillId="0" borderId="1" xfId="0" applyFont="1" applyBorder="1" applyAlignment="1">
      <alignment horizontal="center" vertical="center"/>
    </xf>
    <xf numFmtId="165" fontId="14" fillId="0" borderId="1" xfId="0" applyNumberFormat="1" applyFont="1" applyBorder="1" applyAlignment="1">
      <alignment horizontal="center" vertical="center" wrapText="1"/>
    </xf>
    <xf numFmtId="168" fontId="14" fillId="0" borderId="1" xfId="0" applyNumberFormat="1" applyFont="1" applyBorder="1" applyAlignment="1">
      <alignment horizontal="center" vertical="center" wrapText="1"/>
    </xf>
    <xf numFmtId="0" fontId="21" fillId="22" borderId="0" xfId="0" applyFont="1" applyFill="1"/>
    <xf numFmtId="169" fontId="14" fillId="0" borderId="0" xfId="0" applyNumberFormat="1" applyFont="1" applyAlignment="1">
      <alignment wrapText="1"/>
    </xf>
    <xf numFmtId="0" fontId="14" fillId="21" borderId="0" xfId="0" applyFont="1" applyFill="1" applyAlignment="1">
      <alignment horizontal="center" vertical="center" wrapText="1"/>
    </xf>
    <xf numFmtId="0" fontId="0" fillId="0" borderId="0" xfId="0" applyAlignment="1">
      <alignment horizontal="center" vertical="center"/>
    </xf>
    <xf numFmtId="166" fontId="14" fillId="0" borderId="0" xfId="0" applyNumberFormat="1" applyFont="1" applyAlignment="1">
      <alignment horizontal="center" vertical="center"/>
    </xf>
    <xf numFmtId="9" fontId="0" fillId="0" borderId="0" xfId="0" applyNumberFormat="1" applyAlignment="1">
      <alignment horizontal="center" vertical="center"/>
    </xf>
    <xf numFmtId="1" fontId="14" fillId="0" borderId="0" xfId="0" applyNumberFormat="1" applyFont="1" applyAlignment="1">
      <alignment horizontal="center" vertical="center" wrapText="1"/>
    </xf>
    <xf numFmtId="1" fontId="0" fillId="0" borderId="0" xfId="0" applyNumberFormat="1" applyAlignment="1">
      <alignment horizontal="center" vertical="center"/>
    </xf>
    <xf numFmtId="0" fontId="6" fillId="0" borderId="0" xfId="0" applyFont="1" applyAlignment="1">
      <alignment vertical="center"/>
    </xf>
    <xf numFmtId="168" fontId="14" fillId="0" borderId="0" xfId="0" applyNumberFormat="1" applyFont="1" applyAlignment="1">
      <alignment horizontal="center" vertical="center" wrapText="1"/>
    </xf>
    <xf numFmtId="0" fontId="24" fillId="24" borderId="0" xfId="0" applyFont="1" applyFill="1"/>
    <xf numFmtId="0" fontId="24" fillId="15" borderId="0" xfId="0" applyFont="1" applyFill="1"/>
    <xf numFmtId="170" fontId="24" fillId="15" borderId="0" xfId="0" applyNumberFormat="1" applyFont="1" applyFill="1"/>
    <xf numFmtId="0" fontId="13" fillId="25" borderId="3" xfId="0" applyFont="1" applyFill="1" applyBorder="1" applyAlignment="1">
      <alignment horizontal="center"/>
    </xf>
    <xf numFmtId="0" fontId="13" fillId="25" borderId="1" xfId="0" applyFont="1" applyFill="1" applyBorder="1"/>
    <xf numFmtId="0" fontId="13" fillId="25" borderId="6" xfId="0" applyFont="1" applyFill="1" applyBorder="1"/>
    <xf numFmtId="0" fontId="24" fillId="24" borderId="1" xfId="0" applyFont="1" applyFill="1" applyBorder="1"/>
    <xf numFmtId="0" fontId="13" fillId="25" borderId="3" xfId="0" applyFont="1" applyFill="1" applyBorder="1"/>
    <xf numFmtId="165" fontId="0" fillId="0" borderId="7" xfId="0" applyNumberFormat="1" applyBorder="1"/>
    <xf numFmtId="0" fontId="6" fillId="24" borderId="0" xfId="0" applyFont="1" applyFill="1"/>
    <xf numFmtId="170" fontId="24" fillId="15" borderId="1" xfId="0" applyNumberFormat="1" applyFont="1" applyFill="1" applyBorder="1"/>
    <xf numFmtId="0" fontId="24" fillId="15" borderId="1" xfId="0" applyFont="1" applyFill="1" applyBorder="1"/>
    <xf numFmtId="170" fontId="24" fillId="0" borderId="1" xfId="0" applyNumberFormat="1" applyFont="1" applyBorder="1"/>
    <xf numFmtId="0" fontId="0" fillId="0" borderId="7" xfId="0" applyBorder="1"/>
    <xf numFmtId="9" fontId="24" fillId="0" borderId="1" xfId="0" applyNumberFormat="1" applyFont="1" applyBorder="1"/>
    <xf numFmtId="171" fontId="24" fillId="0" borderId="1" xfId="0" applyNumberFormat="1" applyFont="1" applyBorder="1"/>
    <xf numFmtId="0" fontId="24" fillId="0" borderId="1" xfId="0" applyFont="1" applyBorder="1"/>
    <xf numFmtId="0" fontId="24" fillId="8" borderId="1" xfId="0" applyFont="1" applyFill="1" applyBorder="1"/>
    <xf numFmtId="0" fontId="13" fillId="25" borderId="8" xfId="0" applyFont="1" applyFill="1" applyBorder="1"/>
    <xf numFmtId="0" fontId="9" fillId="22" borderId="9" xfId="0" applyFont="1" applyFill="1" applyBorder="1"/>
    <xf numFmtId="0" fontId="13" fillId="25" borderId="10" xfId="0" applyFont="1" applyFill="1" applyBorder="1"/>
    <xf numFmtId="0" fontId="22" fillId="26" borderId="0" xfId="0" applyFont="1" applyFill="1"/>
    <xf numFmtId="169" fontId="24" fillId="0" borderId="7" xfId="0" applyNumberFormat="1" applyFont="1" applyBorder="1"/>
    <xf numFmtId="0" fontId="22" fillId="27" borderId="1" xfId="0" applyFont="1" applyFill="1" applyBorder="1" applyAlignment="1">
      <alignment wrapText="1"/>
    </xf>
    <xf numFmtId="10" fontId="6" fillId="15" borderId="0" xfId="0" applyNumberFormat="1" applyFont="1" applyFill="1"/>
    <xf numFmtId="172" fontId="6" fillId="15" borderId="0" xfId="0" applyNumberFormat="1" applyFont="1" applyFill="1"/>
    <xf numFmtId="10" fontId="6" fillId="0" borderId="1" xfId="0" applyNumberFormat="1" applyFont="1" applyBorder="1"/>
    <xf numFmtId="173" fontId="6" fillId="0" borderId="0" xfId="0" applyNumberFormat="1" applyFont="1"/>
    <xf numFmtId="0" fontId="22" fillId="27" borderId="1" xfId="0" applyFont="1" applyFill="1" applyBorder="1"/>
    <xf numFmtId="0" fontId="14" fillId="0" borderId="0" xfId="0" applyFont="1"/>
    <xf numFmtId="0" fontId="6" fillId="15" borderId="1" xfId="0" applyFont="1" applyFill="1" applyBorder="1"/>
    <xf numFmtId="166" fontId="6" fillId="15" borderId="1" xfId="0" applyNumberFormat="1" applyFont="1" applyFill="1" applyBorder="1"/>
    <xf numFmtId="174" fontId="0" fillId="15" borderId="1" xfId="0" applyNumberFormat="1" applyFill="1" applyBorder="1"/>
    <xf numFmtId="169" fontId="6" fillId="0" borderId="1" xfId="0" applyNumberFormat="1" applyFont="1" applyBorder="1"/>
    <xf numFmtId="0" fontId="13" fillId="25" borderId="11" xfId="0" applyFont="1" applyFill="1" applyBorder="1"/>
    <xf numFmtId="0" fontId="13" fillId="0" borderId="0" xfId="0" applyFont="1"/>
    <xf numFmtId="0" fontId="13" fillId="28" borderId="3" xfId="0" applyFont="1" applyFill="1" applyBorder="1"/>
    <xf numFmtId="169" fontId="20" fillId="28" borderId="1" xfId="0" applyNumberFormat="1" applyFont="1" applyFill="1" applyBorder="1"/>
    <xf numFmtId="0" fontId="20" fillId="28" borderId="1" xfId="0" applyFont="1" applyFill="1" applyBorder="1"/>
    <xf numFmtId="0" fontId="26" fillId="0" borderId="0" xfId="0" applyFont="1" applyAlignment="1">
      <alignment wrapText="1"/>
    </xf>
    <xf numFmtId="175" fontId="6" fillId="0" borderId="1" xfId="0" applyNumberFormat="1" applyFont="1" applyBorder="1"/>
    <xf numFmtId="165" fontId="6" fillId="0" borderId="1" xfId="0" applyNumberFormat="1" applyFont="1" applyBorder="1"/>
    <xf numFmtId="175" fontId="6" fillId="15" borderId="1" xfId="0" applyNumberFormat="1" applyFont="1" applyFill="1" applyBorder="1"/>
    <xf numFmtId="169" fontId="6" fillId="15" borderId="1" xfId="0" applyNumberFormat="1" applyFont="1" applyFill="1" applyBorder="1" applyAlignment="1">
      <alignment horizontal="center" vertical="center"/>
    </xf>
    <xf numFmtId="0" fontId="14" fillId="0" borderId="11" xfId="0" applyFont="1" applyBorder="1" applyAlignment="1">
      <alignment horizontal="center" vertical="center" wrapText="1"/>
    </xf>
    <xf numFmtId="0" fontId="28" fillId="0" borderId="0" xfId="0" applyFont="1"/>
    <xf numFmtId="0" fontId="23" fillId="0" borderId="0" xfId="0" applyFont="1" applyAlignment="1">
      <alignment horizontal="center" vertical="center"/>
    </xf>
    <xf numFmtId="0" fontId="13" fillId="0" borderId="0" xfId="0" applyFont="1" applyAlignment="1">
      <alignment horizontal="center" vertical="center"/>
    </xf>
    <xf numFmtId="1" fontId="0" fillId="0" borderId="0" xfId="0" applyNumberFormat="1"/>
    <xf numFmtId="169" fontId="6" fillId="0" borderId="1" xfId="0" applyNumberFormat="1" applyFont="1" applyBorder="1" applyAlignment="1">
      <alignment horizontal="center" vertical="center"/>
    </xf>
    <xf numFmtId="0" fontId="6" fillId="0" borderId="0" xfId="0" applyFont="1" applyAlignment="1">
      <alignment horizontal="center"/>
    </xf>
    <xf numFmtId="0" fontId="14" fillId="0" borderId="0" xfId="0" applyFont="1" applyAlignment="1">
      <alignment horizontal="center" wrapText="1"/>
    </xf>
    <xf numFmtId="0" fontId="21" fillId="14" borderId="8" xfId="0" applyFont="1" applyFill="1" applyBorder="1" applyAlignment="1">
      <alignment horizontal="center" vertical="center" wrapText="1"/>
    </xf>
    <xf numFmtId="168" fontId="14" fillId="0" borderId="0" xfId="0" applyNumberFormat="1" applyFont="1" applyAlignment="1">
      <alignment horizontal="center" vertical="center"/>
    </xf>
    <xf numFmtId="0" fontId="13" fillId="25" borderId="11" xfId="0" applyFont="1" applyFill="1" applyBorder="1" applyAlignment="1">
      <alignment horizontal="center"/>
    </xf>
    <xf numFmtId="0" fontId="13" fillId="25" borderId="13" xfId="0" applyFont="1" applyFill="1" applyBorder="1" applyAlignment="1">
      <alignment horizontal="center"/>
    </xf>
    <xf numFmtId="165" fontId="0" fillId="0" borderId="7" xfId="0" applyNumberFormat="1" applyBorder="1" applyAlignment="1">
      <alignment horizontal="center"/>
    </xf>
    <xf numFmtId="0" fontId="26" fillId="0" borderId="0" xfId="0" applyFont="1" applyAlignment="1">
      <alignment horizontal="center" wrapText="1"/>
    </xf>
    <xf numFmtId="0" fontId="0" fillId="0" borderId="7" xfId="0" applyBorder="1" applyAlignment="1">
      <alignment horizontal="center"/>
    </xf>
    <xf numFmtId="0" fontId="13" fillId="25" borderId="1" xfId="0" applyFont="1" applyFill="1" applyBorder="1" applyAlignment="1">
      <alignment horizontal="center"/>
    </xf>
    <xf numFmtId="175" fontId="6" fillId="0" borderId="1" xfId="0" applyNumberFormat="1" applyFont="1" applyBorder="1" applyAlignment="1">
      <alignment horizontal="center"/>
    </xf>
    <xf numFmtId="165" fontId="6" fillId="0" borderId="1" xfId="0" applyNumberFormat="1" applyFont="1" applyBorder="1" applyAlignment="1">
      <alignment horizontal="center"/>
    </xf>
    <xf numFmtId="175" fontId="6" fillId="15" borderId="1" xfId="0" applyNumberFormat="1" applyFont="1" applyFill="1" applyBorder="1" applyAlignment="1">
      <alignment horizontal="center"/>
    </xf>
    <xf numFmtId="166" fontId="6" fillId="0" borderId="1" xfId="0" applyNumberFormat="1" applyFont="1" applyBorder="1" applyAlignment="1">
      <alignment horizontal="center"/>
    </xf>
    <xf numFmtId="0" fontId="13" fillId="25" borderId="8" xfId="0" applyFont="1" applyFill="1" applyBorder="1" applyAlignment="1">
      <alignment horizontal="center"/>
    </xf>
    <xf numFmtId="0" fontId="9" fillId="22" borderId="9" xfId="0" applyFont="1" applyFill="1" applyBorder="1" applyAlignment="1">
      <alignment horizontal="center"/>
    </xf>
    <xf numFmtId="0" fontId="13" fillId="25" borderId="10" xfId="0" applyFont="1" applyFill="1" applyBorder="1" applyAlignment="1">
      <alignment horizontal="center"/>
    </xf>
    <xf numFmtId="10" fontId="0" fillId="15" borderId="1" xfId="0" applyNumberFormat="1" applyFill="1" applyBorder="1"/>
    <xf numFmtId="9" fontId="0" fillId="15" borderId="1" xfId="0" applyNumberFormat="1" applyFill="1" applyBorder="1"/>
    <xf numFmtId="179" fontId="6" fillId="0" borderId="1" xfId="0" applyNumberFormat="1" applyFont="1" applyBorder="1"/>
    <xf numFmtId="0" fontId="29" fillId="0" borderId="0" xfId="0" applyFont="1" applyAlignment="1">
      <alignment horizontal="center" vertical="center" wrapText="1"/>
    </xf>
    <xf numFmtId="2" fontId="14" fillId="0" borderId="1" xfId="0" applyNumberFormat="1" applyFont="1" applyBorder="1" applyAlignment="1">
      <alignment horizontal="center" vertical="center" wrapText="1"/>
    </xf>
    <xf numFmtId="0" fontId="6" fillId="0" borderId="0" xfId="0" applyFont="1" applyAlignment="1">
      <alignment horizontal="center" vertical="center"/>
    </xf>
    <xf numFmtId="0" fontId="22" fillId="0" borderId="0" xfId="0" applyFont="1" applyAlignment="1">
      <alignment horizontal="center" vertical="center" wrapText="1"/>
    </xf>
    <xf numFmtId="165" fontId="14" fillId="0" borderId="0" xfId="0" applyNumberFormat="1" applyFont="1" applyAlignment="1">
      <alignment horizontal="center" vertical="center" wrapText="1"/>
    </xf>
    <xf numFmtId="0" fontId="22" fillId="0" borderId="0" xfId="0" applyFont="1" applyAlignment="1">
      <alignment horizontal="center" vertical="center"/>
    </xf>
    <xf numFmtId="0" fontId="14" fillId="0" borderId="0" xfId="0" applyFont="1" applyAlignment="1">
      <alignment horizontal="center" vertical="center"/>
    </xf>
    <xf numFmtId="180" fontId="6" fillId="0" borderId="0" xfId="0" applyNumberFormat="1" applyFont="1"/>
    <xf numFmtId="0" fontId="22" fillId="27" borderId="3" xfId="0" applyFont="1" applyFill="1" applyBorder="1"/>
    <xf numFmtId="169" fontId="6" fillId="0" borderId="3" xfId="0" applyNumberFormat="1" applyFont="1" applyBorder="1"/>
    <xf numFmtId="0" fontId="27" fillId="0" borderId="0" xfId="0" applyFont="1" applyAlignment="1">
      <alignment vertical="center" wrapText="1"/>
    </xf>
    <xf numFmtId="0" fontId="9" fillId="0" borderId="0" xfId="0" applyFont="1" applyAlignment="1">
      <alignment horizontal="center" vertical="center"/>
    </xf>
    <xf numFmtId="169" fontId="14" fillId="0" borderId="1" xfId="0" applyNumberFormat="1" applyFont="1" applyBorder="1" applyAlignment="1">
      <alignment horizontal="center" vertical="center" wrapText="1"/>
    </xf>
    <xf numFmtId="0" fontId="9" fillId="0" borderId="1" xfId="0" applyFont="1" applyBorder="1"/>
    <xf numFmtId="0" fontId="21" fillId="0" borderId="0" xfId="0" applyFont="1"/>
    <xf numFmtId="0" fontId="13" fillId="25" borderId="2" xfId="0" applyFont="1" applyFill="1" applyBorder="1"/>
    <xf numFmtId="169" fontId="20" fillId="28" borderId="1" xfId="0" applyNumberFormat="1" applyFont="1" applyFill="1" applyBorder="1" applyAlignment="1">
      <alignment horizontal="center" vertical="center"/>
    </xf>
    <xf numFmtId="0" fontId="29" fillId="0" borderId="0" xfId="0" applyFont="1" applyAlignment="1">
      <alignment vertical="center"/>
    </xf>
    <xf numFmtId="2" fontId="14" fillId="0" borderId="1" xfId="0" applyNumberFormat="1" applyFont="1" applyBorder="1" applyAlignment="1">
      <alignment vertical="center" wrapText="1"/>
    </xf>
    <xf numFmtId="0" fontId="14" fillId="0" borderId="1" xfId="0" applyFont="1" applyBorder="1" applyAlignment="1">
      <alignment vertical="center" wrapText="1"/>
    </xf>
    <xf numFmtId="0" fontId="27" fillId="0" borderId="0" xfId="0" applyFont="1" applyAlignment="1">
      <alignment vertical="center" wrapText="1" readingOrder="2"/>
    </xf>
    <xf numFmtId="0" fontId="14" fillId="19" borderId="0" xfId="0" applyFont="1" applyFill="1" applyAlignment="1">
      <alignment wrapText="1"/>
    </xf>
    <xf numFmtId="0" fontId="0" fillId="0" borderId="1" xfId="0" applyBorder="1"/>
    <xf numFmtId="2" fontId="14" fillId="0" borderId="0" xfId="0" applyNumberFormat="1" applyFont="1" applyAlignment="1">
      <alignment horizontal="center" vertical="center"/>
    </xf>
    <xf numFmtId="1" fontId="6" fillId="0" borderId="0" xfId="0" applyNumberFormat="1" applyFont="1"/>
    <xf numFmtId="169" fontId="6" fillId="0" borderId="0" xfId="0" applyNumberFormat="1" applyFont="1"/>
    <xf numFmtId="0" fontId="14" fillId="0" borderId="0" xfId="0" applyFont="1" applyAlignment="1">
      <alignment horizontal="left" wrapText="1"/>
    </xf>
    <xf numFmtId="0" fontId="26" fillId="0" borderId="0" xfId="0" applyFont="1"/>
    <xf numFmtId="165" fontId="0" fillId="21" borderId="7" xfId="0" applyNumberFormat="1" applyFill="1" applyBorder="1"/>
    <xf numFmtId="181" fontId="14" fillId="0" borderId="0" xfId="0" applyNumberFormat="1" applyFont="1" applyAlignment="1">
      <alignment horizontal="center" vertical="center" wrapText="1"/>
    </xf>
    <xf numFmtId="0" fontId="14" fillId="20" borderId="0" xfId="0" applyFont="1" applyFill="1" applyAlignment="1">
      <alignment horizontal="center" vertical="center" wrapText="1"/>
    </xf>
    <xf numFmtId="0" fontId="13" fillId="28" borderId="9" xfId="0" applyFont="1" applyFill="1" applyBorder="1"/>
    <xf numFmtId="169" fontId="20" fillId="28" borderId="15" xfId="0" applyNumberFormat="1" applyFont="1" applyFill="1" applyBorder="1"/>
    <xf numFmtId="169" fontId="20" fillId="28" borderId="16" xfId="0" applyNumberFormat="1" applyFont="1" applyFill="1" applyBorder="1"/>
    <xf numFmtId="181" fontId="6" fillId="0" borderId="11" xfId="0" applyNumberFormat="1" applyFont="1" applyBorder="1"/>
    <xf numFmtId="169" fontId="6" fillId="0" borderId="11" xfId="0" applyNumberFormat="1" applyFont="1" applyBorder="1"/>
    <xf numFmtId="175" fontId="6" fillId="0" borderId="11" xfId="0" applyNumberFormat="1" applyFont="1" applyBorder="1"/>
    <xf numFmtId="181" fontId="6" fillId="15" borderId="1" xfId="0" applyNumberFormat="1" applyFont="1" applyFill="1" applyBorder="1"/>
    <xf numFmtId="175" fontId="6" fillId="21" borderId="1" xfId="0" applyNumberFormat="1" applyFont="1" applyFill="1" applyBorder="1"/>
    <xf numFmtId="181" fontId="6" fillId="0" borderId="0" xfId="0" applyNumberFormat="1" applyFont="1"/>
    <xf numFmtId="175" fontId="6" fillId="0" borderId="0" xfId="0" applyNumberFormat="1" applyFont="1"/>
    <xf numFmtId="182" fontId="24" fillId="0" borderId="1" xfId="0" applyNumberFormat="1" applyFont="1" applyBorder="1"/>
    <xf numFmtId="0" fontId="22" fillId="0" borderId="0" xfId="0" applyFont="1"/>
    <xf numFmtId="0" fontId="14" fillId="14" borderId="3" xfId="0" applyFont="1" applyFill="1" applyBorder="1" applyAlignment="1">
      <alignment horizontal="center" vertical="center" wrapText="1"/>
    </xf>
    <xf numFmtId="0" fontId="14" fillId="0" borderId="1" xfId="0" applyFont="1" applyBorder="1" applyAlignment="1">
      <alignment wrapText="1"/>
    </xf>
    <xf numFmtId="0" fontId="21" fillId="0" borderId="0" xfId="0" applyFont="1" applyAlignment="1">
      <alignment wrapText="1"/>
    </xf>
    <xf numFmtId="166" fontId="14" fillId="18" borderId="0" xfId="0" applyNumberFormat="1" applyFont="1" applyFill="1" applyAlignment="1">
      <alignment horizontal="center" vertical="center" wrapText="1"/>
    </xf>
    <xf numFmtId="0" fontId="6" fillId="19" borderId="0" xfId="0" applyFont="1" applyFill="1"/>
    <xf numFmtId="0" fontId="0" fillId="21" borderId="0" xfId="0" applyFill="1" applyAlignment="1">
      <alignment horizontal="center" vertical="center"/>
    </xf>
    <xf numFmtId="1" fontId="14" fillId="0" borderId="0" xfId="0" applyNumberFormat="1" applyFont="1" applyAlignment="1">
      <alignment horizontal="center" vertical="center"/>
    </xf>
    <xf numFmtId="175" fontId="6" fillId="0" borderId="0" xfId="0" applyNumberFormat="1" applyFont="1" applyAlignment="1">
      <alignment horizontal="center"/>
    </xf>
    <xf numFmtId="0" fontId="24" fillId="0" borderId="0" xfId="0" applyFont="1"/>
    <xf numFmtId="165" fontId="0" fillId="0" borderId="1" xfId="0" applyNumberFormat="1" applyBorder="1"/>
    <xf numFmtId="165" fontId="0" fillId="0" borderId="6" xfId="0" applyNumberFormat="1" applyBorder="1"/>
    <xf numFmtId="0" fontId="9" fillId="22" borderId="17" xfId="0" applyFont="1" applyFill="1" applyBorder="1"/>
    <xf numFmtId="0" fontId="0" fillId="0" borderId="15" xfId="0" applyBorder="1"/>
    <xf numFmtId="0" fontId="0" fillId="0" borderId="16" xfId="0" applyBorder="1"/>
    <xf numFmtId="0" fontId="0" fillId="0" borderId="11" xfId="0" applyBorder="1"/>
    <xf numFmtId="165" fontId="0" fillId="0" borderId="11" xfId="0" applyNumberFormat="1" applyBorder="1"/>
    <xf numFmtId="1" fontId="14" fillId="0" borderId="0" xfId="0" applyNumberFormat="1" applyFont="1" applyAlignment="1">
      <alignment wrapText="1"/>
    </xf>
    <xf numFmtId="0" fontId="24" fillId="0" borderId="0" xfId="0" applyFont="1" applyAlignment="1">
      <alignment horizontal="center" vertical="center" wrapText="1"/>
    </xf>
    <xf numFmtId="0" fontId="24" fillId="0" borderId="0" xfId="0" applyFont="1" applyAlignment="1">
      <alignment horizontal="center" vertical="center"/>
    </xf>
    <xf numFmtId="0" fontId="0" fillId="0" borderId="0" xfId="0" applyAlignment="1">
      <alignment vertical="center"/>
    </xf>
    <xf numFmtId="0" fontId="13" fillId="25" borderId="12" xfId="0" applyFont="1" applyFill="1" applyBorder="1"/>
    <xf numFmtId="0" fontId="23" fillId="0" borderId="0" xfId="0" applyFont="1" applyAlignment="1">
      <alignment vertical="center" wrapText="1"/>
    </xf>
    <xf numFmtId="0" fontId="23" fillId="0" borderId="14" xfId="0" applyFont="1" applyBorder="1" applyAlignment="1">
      <alignment vertical="center" wrapText="1"/>
    </xf>
    <xf numFmtId="0" fontId="30" fillId="0" borderId="0" xfId="0" applyFont="1" applyAlignment="1">
      <alignment horizontal="center"/>
    </xf>
    <xf numFmtId="0" fontId="20" fillId="25" borderId="4" xfId="0" applyFont="1" applyFill="1" applyBorder="1" applyAlignment="1">
      <alignment horizontal="center"/>
    </xf>
    <xf numFmtId="175" fontId="14" fillId="0" borderId="1" xfId="0" applyNumberFormat="1" applyFont="1" applyBorder="1" applyAlignment="1">
      <alignment horizontal="center" vertical="center" wrapText="1"/>
    </xf>
    <xf numFmtId="0" fontId="21" fillId="0" borderId="0" xfId="0" applyFont="1" applyAlignment="1">
      <alignment horizontal="center" vertical="center" wrapText="1"/>
    </xf>
    <xf numFmtId="0" fontId="23" fillId="0" borderId="0" xfId="0" applyFont="1"/>
    <xf numFmtId="0" fontId="23" fillId="0" borderId="0" xfId="0" applyFont="1" applyAlignment="1">
      <alignment horizontal="center"/>
    </xf>
    <xf numFmtId="166" fontId="14" fillId="0" borderId="0" xfId="0" applyNumberFormat="1" applyFont="1" applyAlignment="1">
      <alignment horizontal="center" vertical="center" wrapText="1"/>
    </xf>
    <xf numFmtId="166" fontId="6" fillId="0" borderId="0" xfId="0" applyNumberFormat="1" applyFont="1"/>
    <xf numFmtId="0" fontId="14" fillId="19" borderId="1" xfId="0" applyFont="1" applyFill="1" applyBorder="1" applyAlignment="1">
      <alignment wrapText="1"/>
    </xf>
    <xf numFmtId="0" fontId="15" fillId="0" borderId="0" xfId="0" applyFont="1"/>
    <xf numFmtId="0" fontId="14" fillId="0" borderId="2" xfId="0" applyFont="1" applyBorder="1" applyAlignment="1">
      <alignment horizontal="center" vertical="center" wrapText="1"/>
    </xf>
    <xf numFmtId="0" fontId="6" fillId="15" borderId="0" xfId="0" applyFont="1" applyFill="1"/>
    <xf numFmtId="165" fontId="6" fillId="0" borderId="0" xfId="0" applyNumberFormat="1" applyFont="1"/>
    <xf numFmtId="9" fontId="6" fillId="0" borderId="0" xfId="0" applyNumberFormat="1" applyFont="1"/>
    <xf numFmtId="1" fontId="26" fillId="0" borderId="0" xfId="0" applyNumberFormat="1" applyFont="1" applyAlignment="1">
      <alignment wrapText="1"/>
    </xf>
    <xf numFmtId="0" fontId="13" fillId="25" borderId="1" xfId="0" applyFont="1" applyFill="1" applyBorder="1" applyAlignment="1">
      <alignment horizontal="center" vertical="center"/>
    </xf>
    <xf numFmtId="0" fontId="13" fillId="25" borderId="6" xfId="0" applyFont="1" applyFill="1" applyBorder="1" applyAlignment="1">
      <alignment horizontal="center" vertical="center"/>
    </xf>
    <xf numFmtId="0" fontId="26" fillId="0" borderId="0" xfId="0" applyFont="1" applyAlignment="1">
      <alignment horizontal="center" vertical="center" wrapText="1"/>
    </xf>
    <xf numFmtId="169" fontId="0" fillId="0" borderId="0" xfId="0" applyNumberFormat="1"/>
    <xf numFmtId="0" fontId="31" fillId="27" borderId="1" xfId="0" applyFont="1" applyFill="1" applyBorder="1" applyAlignment="1">
      <alignment wrapText="1"/>
    </xf>
    <xf numFmtId="0" fontId="32" fillId="27" borderId="1" xfId="0" applyFont="1" applyFill="1" applyBorder="1" applyAlignment="1">
      <alignment wrapText="1"/>
    </xf>
    <xf numFmtId="184" fontId="6" fillId="0" borderId="0" xfId="0" applyNumberFormat="1" applyFont="1"/>
    <xf numFmtId="0" fontId="13" fillId="25" borderId="6" xfId="0" applyFont="1" applyFill="1" applyBorder="1" applyAlignment="1">
      <alignment horizontal="center"/>
    </xf>
    <xf numFmtId="174" fontId="6" fillId="0" borderId="0" xfId="0" applyNumberFormat="1" applyFont="1"/>
    <xf numFmtId="0" fontId="14" fillId="0" borderId="5" xfId="0" applyFont="1" applyBorder="1" applyAlignment="1">
      <alignment horizontal="center" vertical="center" wrapText="1"/>
    </xf>
    <xf numFmtId="1" fontId="25" fillId="0" borderId="0" xfId="0" applyNumberFormat="1" applyFont="1" applyAlignment="1">
      <alignment horizontal="center" vertical="center" wrapText="1"/>
    </xf>
    <xf numFmtId="0" fontId="20" fillId="0" borderId="0" xfId="0" applyFont="1"/>
    <xf numFmtId="165" fontId="6" fillId="0" borderId="0" xfId="0" applyNumberFormat="1" applyFont="1" applyAlignment="1">
      <alignment horizontal="center"/>
    </xf>
    <xf numFmtId="170" fontId="14" fillId="0" borderId="0" xfId="0" applyNumberFormat="1" applyFont="1" applyAlignment="1">
      <alignment horizontal="center" vertical="center"/>
    </xf>
    <xf numFmtId="176" fontId="28" fillId="0" borderId="0" xfId="0" applyNumberFormat="1" applyFont="1"/>
    <xf numFmtId="0" fontId="29" fillId="0" borderId="0" xfId="0" applyFont="1" applyAlignment="1">
      <alignment horizontal="center" vertical="center"/>
    </xf>
    <xf numFmtId="177" fontId="28" fillId="0" borderId="0" xfId="0" applyNumberFormat="1" applyFont="1"/>
    <xf numFmtId="169" fontId="28" fillId="0" borderId="0" xfId="0" applyNumberFormat="1" applyFont="1"/>
    <xf numFmtId="0" fontId="23" fillId="19" borderId="0" xfId="0" applyFont="1" applyFill="1" applyAlignment="1">
      <alignment vertical="center" wrapText="1"/>
    </xf>
    <xf numFmtId="165" fontId="0" fillId="0" borderId="0" xfId="0" applyNumberFormat="1"/>
    <xf numFmtId="182" fontId="0" fillId="15" borderId="1" xfId="0" applyNumberFormat="1" applyFill="1" applyBorder="1"/>
    <xf numFmtId="9" fontId="0" fillId="0" borderId="0" xfId="0" applyNumberFormat="1"/>
    <xf numFmtId="0" fontId="23" fillId="19" borderId="20" xfId="0" applyFont="1" applyFill="1" applyBorder="1" applyAlignment="1">
      <alignment vertical="center" wrapText="1"/>
    </xf>
    <xf numFmtId="9" fontId="14" fillId="0" borderId="0" xfId="0" applyNumberFormat="1" applyFont="1" applyAlignment="1">
      <alignment horizontal="center" vertical="center" wrapText="1"/>
    </xf>
    <xf numFmtId="9" fontId="14" fillId="0" borderId="0" xfId="0" applyNumberFormat="1" applyFont="1" applyAlignment="1">
      <alignment vertical="center" wrapText="1"/>
    </xf>
    <xf numFmtId="0" fontId="14" fillId="19" borderId="0" xfId="0" applyFont="1" applyFill="1" applyAlignment="1">
      <alignment horizontal="center" wrapText="1"/>
    </xf>
    <xf numFmtId="0" fontId="12" fillId="32" borderId="21" xfId="0" applyFont="1" applyFill="1" applyBorder="1" applyAlignment="1">
      <alignment horizontal="center" vertical="center" wrapText="1"/>
    </xf>
    <xf numFmtId="0" fontId="9" fillId="12" borderId="22" xfId="0" applyFont="1" applyFill="1" applyBorder="1" applyAlignment="1">
      <alignment horizontal="center"/>
    </xf>
    <xf numFmtId="0" fontId="9" fillId="33" borderId="22" xfId="0" applyFont="1" applyFill="1" applyBorder="1" applyAlignment="1">
      <alignment horizontal="center"/>
    </xf>
    <xf numFmtId="0" fontId="9" fillId="6" borderId="22" xfId="0" applyFont="1" applyFill="1" applyBorder="1" applyAlignment="1">
      <alignment horizontal="center"/>
    </xf>
    <xf numFmtId="0" fontId="9" fillId="34" borderId="23" xfId="0" applyFont="1" applyFill="1" applyBorder="1" applyAlignment="1">
      <alignment horizontal="center"/>
    </xf>
    <xf numFmtId="0" fontId="9" fillId="10" borderId="24" xfId="0" applyFont="1" applyFill="1" applyBorder="1" applyAlignment="1">
      <alignment horizontal="center" vertical="center"/>
    </xf>
    <xf numFmtId="0" fontId="9" fillId="12" borderId="1" xfId="0" applyFont="1" applyFill="1" applyBorder="1" applyAlignment="1">
      <alignment horizontal="center"/>
    </xf>
    <xf numFmtId="0" fontId="9" fillId="33" borderId="1" xfId="0" applyFont="1" applyFill="1" applyBorder="1" applyAlignment="1">
      <alignment horizontal="center"/>
    </xf>
    <xf numFmtId="0" fontId="9" fillId="6" borderId="1" xfId="0" applyFont="1" applyFill="1" applyBorder="1" applyAlignment="1">
      <alignment horizontal="center"/>
    </xf>
    <xf numFmtId="0" fontId="9" fillId="34" borderId="25" xfId="0" applyFont="1" applyFill="1" applyBorder="1" applyAlignment="1">
      <alignment horizontal="center"/>
    </xf>
    <xf numFmtId="0" fontId="9" fillId="10" borderId="26" xfId="0" applyFont="1" applyFill="1" applyBorder="1" applyAlignment="1">
      <alignment horizontal="center" vertical="center"/>
    </xf>
    <xf numFmtId="0" fontId="9" fillId="12" borderId="27" xfId="0" applyFont="1" applyFill="1" applyBorder="1" applyAlignment="1">
      <alignment horizontal="center"/>
    </xf>
    <xf numFmtId="0" fontId="9" fillId="33" borderId="27" xfId="0" applyFont="1" applyFill="1" applyBorder="1" applyAlignment="1">
      <alignment horizontal="center"/>
    </xf>
    <xf numFmtId="0" fontId="9" fillId="6" borderId="27" xfId="0" applyFont="1" applyFill="1" applyBorder="1" applyAlignment="1">
      <alignment horizontal="center"/>
    </xf>
    <xf numFmtId="0" fontId="9" fillId="34" borderId="28" xfId="0" applyFont="1" applyFill="1" applyBorder="1" applyAlignment="1">
      <alignment horizontal="center"/>
    </xf>
    <xf numFmtId="169" fontId="24" fillId="0" borderId="0" xfId="0" applyNumberFormat="1" applyFont="1"/>
    <xf numFmtId="0" fontId="34" fillId="0" borderId="0" xfId="0" applyFont="1"/>
    <xf numFmtId="9" fontId="6" fillId="0" borderId="0" xfId="0" applyNumberFormat="1" applyFont="1" applyAlignment="1">
      <alignment horizontal="center" vertical="center"/>
    </xf>
    <xf numFmtId="1" fontId="6" fillId="0" borderId="0" xfId="0" applyNumberFormat="1" applyFont="1" applyAlignment="1">
      <alignment horizontal="center" vertical="center"/>
    </xf>
    <xf numFmtId="9" fontId="6" fillId="15" borderId="0" xfId="0" applyNumberFormat="1" applyFont="1" applyFill="1"/>
    <xf numFmtId="0" fontId="14" fillId="0" borderId="29" xfId="0" applyFont="1" applyBorder="1" applyAlignment="1">
      <alignment wrapText="1"/>
    </xf>
    <xf numFmtId="0" fontId="14" fillId="19" borderId="29" xfId="0" applyFont="1" applyFill="1" applyBorder="1" applyAlignment="1">
      <alignment wrapText="1"/>
    </xf>
    <xf numFmtId="0" fontId="6" fillId="15" borderId="1" xfId="0" applyFont="1" applyFill="1" applyBorder="1" applyAlignment="1">
      <alignment horizontal="center" vertical="center"/>
    </xf>
    <xf numFmtId="0" fontId="23" fillId="19" borderId="18" xfId="0" applyFont="1" applyFill="1" applyBorder="1" applyAlignment="1">
      <alignment vertical="center" wrapText="1"/>
    </xf>
    <xf numFmtId="0" fontId="23" fillId="19" borderId="19" xfId="0" applyFont="1" applyFill="1" applyBorder="1" applyAlignment="1">
      <alignment vertical="center" wrapText="1"/>
    </xf>
    <xf numFmtId="0" fontId="25" fillId="0" borderId="0" xfId="0" applyFont="1"/>
    <xf numFmtId="168" fontId="6" fillId="15" borderId="1" xfId="0" applyNumberFormat="1" applyFont="1" applyFill="1" applyBorder="1"/>
    <xf numFmtId="0" fontId="30" fillId="0" borderId="0" xfId="0" applyFont="1"/>
    <xf numFmtId="0" fontId="25" fillId="0" borderId="0" xfId="0" applyFont="1" applyAlignment="1">
      <alignment wrapText="1"/>
    </xf>
    <xf numFmtId="2" fontId="14" fillId="0" borderId="0" xfId="0" applyNumberFormat="1" applyFont="1" applyAlignment="1">
      <alignment horizontal="center" vertical="center" wrapText="1"/>
    </xf>
    <xf numFmtId="0" fontId="6" fillId="22" borderId="0" xfId="0" applyFont="1" applyFill="1"/>
    <xf numFmtId="173" fontId="6" fillId="15" borderId="1" xfId="0" applyNumberFormat="1" applyFont="1" applyFill="1" applyBorder="1" applyAlignment="1">
      <alignment horizontal="center" vertical="center"/>
    </xf>
    <xf numFmtId="170" fontId="6" fillId="0" borderId="1" xfId="0" applyNumberFormat="1" applyFont="1" applyBorder="1" applyAlignment="1">
      <alignment horizontal="center" vertical="center"/>
    </xf>
    <xf numFmtId="0" fontId="23" fillId="19" borderId="0" xfId="0" applyFont="1" applyFill="1" applyAlignment="1">
      <alignment horizontal="left" vertical="center" wrapText="1"/>
    </xf>
    <xf numFmtId="0" fontId="0" fillId="0" borderId="11" xfId="0" applyBorder="1" applyAlignment="1">
      <alignment horizontal="center" vertical="center"/>
    </xf>
    <xf numFmtId="0" fontId="14" fillId="0" borderId="11" xfId="0" applyFont="1" applyBorder="1" applyAlignment="1">
      <alignment horizontal="center" vertical="center"/>
    </xf>
    <xf numFmtId="166" fontId="14" fillId="0" borderId="11" xfId="0" applyNumberFormat="1" applyFont="1" applyBorder="1" applyAlignment="1">
      <alignment horizontal="center" vertical="center"/>
    </xf>
    <xf numFmtId="9" fontId="0" fillId="0" borderId="11" xfId="0" applyNumberFormat="1" applyBorder="1" applyAlignment="1">
      <alignment horizontal="center" vertical="center"/>
    </xf>
    <xf numFmtId="1" fontId="14" fillId="0" borderId="11" xfId="0" applyNumberFormat="1" applyFont="1" applyBorder="1" applyAlignment="1">
      <alignment horizontal="center" vertical="center" wrapText="1"/>
    </xf>
    <xf numFmtId="0" fontId="13" fillId="0" borderId="0" xfId="0" applyFont="1" applyAlignment="1">
      <alignment horizontal="left"/>
    </xf>
    <xf numFmtId="170" fontId="14" fillId="0" borderId="0" xfId="0" applyNumberFormat="1" applyFont="1" applyAlignment="1">
      <alignment horizontal="center" vertical="center" wrapText="1"/>
    </xf>
    <xf numFmtId="9" fontId="6" fillId="0" borderId="0" xfId="10" applyFont="1"/>
    <xf numFmtId="164" fontId="14" fillId="0" borderId="1" xfId="0" applyNumberFormat="1" applyFont="1" applyBorder="1" applyAlignment="1">
      <alignment horizontal="center" vertical="center" wrapText="1"/>
    </xf>
    <xf numFmtId="9" fontId="14" fillId="0" borderId="0" xfId="10" applyFont="1" applyAlignment="1">
      <alignment horizontal="center" vertical="center" wrapText="1"/>
    </xf>
    <xf numFmtId="0" fontId="14" fillId="37" borderId="0" xfId="0" applyFont="1" applyFill="1" applyAlignment="1">
      <alignment horizontal="center" vertical="center" wrapText="1"/>
    </xf>
    <xf numFmtId="0" fontId="24" fillId="18" borderId="0" xfId="0" applyFont="1" applyFill="1" applyAlignment="1">
      <alignment horizontal="center" vertical="center" wrapText="1"/>
    </xf>
    <xf numFmtId="165" fontId="21" fillId="18" borderId="0" xfId="0" applyNumberFormat="1" applyFont="1" applyFill="1" applyAlignment="1">
      <alignment horizontal="center" vertical="center" wrapText="1"/>
    </xf>
    <xf numFmtId="0" fontId="9" fillId="39" borderId="0" xfId="0" applyFont="1" applyFill="1"/>
    <xf numFmtId="3" fontId="9" fillId="39" borderId="0" xfId="0" applyNumberFormat="1" applyFont="1" applyFill="1"/>
    <xf numFmtId="3" fontId="0" fillId="0" borderId="0" xfId="0" applyNumberFormat="1"/>
    <xf numFmtId="186" fontId="9" fillId="39" borderId="0" xfId="0" applyNumberFormat="1" applyFont="1" applyFill="1"/>
    <xf numFmtId="186" fontId="0" fillId="0" borderId="0" xfId="0" applyNumberFormat="1"/>
    <xf numFmtId="0" fontId="9" fillId="38" borderId="0" xfId="0" applyFont="1" applyFill="1"/>
    <xf numFmtId="175" fontId="9" fillId="5" borderId="0" xfId="0" applyNumberFormat="1" applyFont="1" applyFill="1"/>
    <xf numFmtId="0" fontId="6" fillId="41" borderId="0" xfId="0" applyFont="1" applyFill="1"/>
    <xf numFmtId="0" fontId="39" fillId="42" borderId="1" xfId="14" applyFont="1" applyFill="1" applyBorder="1" applyAlignment="1">
      <alignment horizontal="center" vertical="center" wrapText="1"/>
    </xf>
    <xf numFmtId="187" fontId="38" fillId="0" borderId="1" xfId="14" applyNumberFormat="1" applyBorder="1" applyAlignment="1">
      <alignment horizontal="center"/>
    </xf>
    <xf numFmtId="188" fontId="38" fillId="36" borderId="1" xfId="14" applyNumberFormat="1" applyFill="1" applyBorder="1" applyAlignment="1">
      <alignment horizontal="center"/>
    </xf>
    <xf numFmtId="189" fontId="38" fillId="0" borderId="1" xfId="14" applyNumberFormat="1" applyBorder="1" applyAlignment="1">
      <alignment horizontal="center"/>
    </xf>
    <xf numFmtId="0" fontId="21" fillId="0" borderId="3" xfId="0" applyFont="1" applyBorder="1" applyAlignment="1">
      <alignment horizontal="center" vertical="center" wrapText="1"/>
    </xf>
    <xf numFmtId="0" fontId="39" fillId="0" borderId="1" xfId="14" applyFont="1" applyBorder="1" applyAlignment="1">
      <alignment horizontal="center" vertical="center" wrapText="1"/>
    </xf>
    <xf numFmtId="0" fontId="38" fillId="42" borderId="1" xfId="14" applyFill="1" applyBorder="1" applyAlignment="1">
      <alignment horizontal="center" vertical="center"/>
    </xf>
    <xf numFmtId="187" fontId="39" fillId="0" borderId="1" xfId="14" applyNumberFormat="1" applyFont="1" applyBorder="1" applyAlignment="1">
      <alignment horizontal="center" vertical="center" wrapText="1"/>
    </xf>
    <xf numFmtId="0" fontId="39" fillId="0" borderId="0" xfId="14" applyFont="1" applyAlignment="1">
      <alignment wrapText="1"/>
    </xf>
    <xf numFmtId="0" fontId="38" fillId="0" borderId="0" xfId="14"/>
    <xf numFmtId="0" fontId="4" fillId="0" borderId="0" xfId="17" applyAlignment="1">
      <alignment vertical="center"/>
    </xf>
    <xf numFmtId="1" fontId="4" fillId="0" borderId="0" xfId="17" applyNumberFormat="1" applyAlignment="1">
      <alignment horizontal="center" vertical="center"/>
    </xf>
    <xf numFmtId="0" fontId="43" fillId="45" borderId="11" xfId="17" applyFont="1" applyFill="1" applyBorder="1" applyAlignment="1">
      <alignment horizontal="center"/>
    </xf>
    <xf numFmtId="0" fontId="18" fillId="46" borderId="1" xfId="17" applyFont="1" applyFill="1" applyBorder="1" applyAlignment="1">
      <alignment horizontal="center" vertical="center"/>
    </xf>
    <xf numFmtId="0" fontId="9" fillId="48" borderId="0" xfId="0" applyFont="1" applyFill="1"/>
    <xf numFmtId="165" fontId="9" fillId="48" borderId="0" xfId="0" applyNumberFormat="1" applyFont="1" applyFill="1"/>
    <xf numFmtId="185" fontId="6" fillId="0" borderId="0" xfId="10" applyNumberFormat="1" applyFont="1"/>
    <xf numFmtId="185" fontId="6" fillId="0" borderId="0" xfId="0" applyNumberFormat="1" applyFont="1"/>
    <xf numFmtId="0" fontId="7" fillId="0" borderId="0" xfId="4" applyAlignment="1">
      <alignment horizontal="center" vertical="center"/>
    </xf>
    <xf numFmtId="0" fontId="47" fillId="0" borderId="0" xfId="4" applyFont="1" applyAlignment="1">
      <alignment horizontal="center" vertical="center" wrapText="1"/>
    </xf>
    <xf numFmtId="0" fontId="53" fillId="0" borderId="0" xfId="4" applyFont="1" applyAlignment="1">
      <alignment horizontal="center" vertical="center"/>
    </xf>
    <xf numFmtId="0" fontId="7" fillId="0" borderId="18" xfId="4" applyBorder="1" applyAlignment="1">
      <alignment horizontal="center" vertical="center"/>
    </xf>
    <xf numFmtId="0" fontId="18" fillId="46" borderId="6" xfId="9" applyFont="1" applyFill="1" applyBorder="1" applyAlignment="1">
      <alignment horizontal="center" vertical="center"/>
    </xf>
    <xf numFmtId="0" fontId="18" fillId="46" borderId="1" xfId="9" applyFont="1" applyFill="1" applyBorder="1" applyAlignment="1">
      <alignment horizontal="center" vertical="center"/>
    </xf>
    <xf numFmtId="0" fontId="58" fillId="0" borderId="0" xfId="4" applyFont="1" applyAlignment="1">
      <alignment vertical="center" wrapText="1"/>
    </xf>
    <xf numFmtId="0" fontId="58" fillId="0" borderId="18" xfId="4" applyFont="1" applyBorder="1" applyAlignment="1">
      <alignment vertical="center" wrapText="1"/>
    </xf>
    <xf numFmtId="0" fontId="54" fillId="0" borderId="1" xfId="19" applyFont="1" applyBorder="1" applyAlignment="1">
      <alignment wrapText="1"/>
    </xf>
    <xf numFmtId="0" fontId="54" fillId="42" borderId="3" xfId="19" applyFont="1" applyFill="1" applyBorder="1" applyAlignment="1">
      <alignment horizontal="center" vertical="center" wrapText="1"/>
    </xf>
    <xf numFmtId="187" fontId="54" fillId="0" borderId="1" xfId="9" applyNumberFormat="1" applyFont="1" applyBorder="1" applyAlignment="1">
      <alignment horizontal="center" vertical="center" wrapText="1"/>
    </xf>
    <xf numFmtId="0" fontId="54" fillId="42" borderId="1" xfId="19" applyFont="1" applyFill="1" applyBorder="1" applyAlignment="1">
      <alignment horizontal="center" vertical="center" wrapText="1"/>
    </xf>
    <xf numFmtId="188" fontId="54" fillId="0" borderId="1" xfId="19" applyNumberFormat="1" applyFont="1" applyBorder="1" applyAlignment="1">
      <alignment horizontal="center" vertical="center" wrapText="1"/>
    </xf>
    <xf numFmtId="187" fontId="54" fillId="0" borderId="1" xfId="19" applyNumberFormat="1" applyFont="1" applyBorder="1" applyAlignment="1">
      <alignment horizontal="center" vertical="center" wrapText="1"/>
    </xf>
    <xf numFmtId="0" fontId="55" fillId="42" borderId="1" xfId="19" applyFill="1" applyBorder="1" applyAlignment="1">
      <alignment horizontal="center" vertical="center"/>
    </xf>
    <xf numFmtId="0" fontId="54" fillId="0" borderId="1" xfId="19" applyFont="1" applyBorder="1" applyAlignment="1">
      <alignment horizontal="center" vertical="center" wrapText="1"/>
    </xf>
    <xf numFmtId="0" fontId="55" fillId="0" borderId="0" xfId="19"/>
    <xf numFmtId="2" fontId="46" fillId="0" borderId="0" xfId="4" applyNumberFormat="1" applyFont="1" applyAlignment="1">
      <alignment horizontal="center" vertical="center" wrapText="1"/>
    </xf>
    <xf numFmtId="9" fontId="7" fillId="0" borderId="0" xfId="4" applyNumberFormat="1" applyAlignment="1">
      <alignment horizontal="center" vertical="center"/>
    </xf>
    <xf numFmtId="165" fontId="47" fillId="0" borderId="0" xfId="11" applyNumberFormat="1" applyFont="1" applyAlignment="1">
      <alignment horizontal="center" vertical="center"/>
    </xf>
    <xf numFmtId="2" fontId="47" fillId="0" borderId="0" xfId="4" applyNumberFormat="1" applyFont="1" applyAlignment="1">
      <alignment horizontal="center" vertical="center"/>
    </xf>
    <xf numFmtId="0" fontId="48" fillId="0" borderId="0" xfId="9" applyFont="1" applyAlignment="1">
      <alignment horizontal="center" vertical="center" wrapText="1"/>
    </xf>
    <xf numFmtId="0" fontId="49" fillId="0" borderId="0" xfId="9" applyFont="1" applyAlignment="1">
      <alignment horizontal="center" vertical="center" wrapText="1" readingOrder="2"/>
    </xf>
    <xf numFmtId="165" fontId="50" fillId="0" borderId="0" xfId="11" applyNumberFormat="1" applyFont="1" applyAlignment="1">
      <alignment horizontal="center" vertical="center" wrapText="1"/>
    </xf>
    <xf numFmtId="0" fontId="51" fillId="0" borderId="0" xfId="4" applyFont="1" applyAlignment="1">
      <alignment horizontal="center" vertical="center" wrapText="1"/>
    </xf>
    <xf numFmtId="0" fontId="8" fillId="0" borderId="0" xfId="9"/>
    <xf numFmtId="0" fontId="47" fillId="0" borderId="6" xfId="4" applyFont="1" applyBorder="1" applyAlignment="1">
      <alignment horizontal="center" vertical="center" wrapText="1"/>
    </xf>
    <xf numFmtId="0" fontId="47" fillId="50" borderId="8" xfId="4" applyFont="1" applyFill="1" applyBorder="1" applyAlignment="1">
      <alignment horizontal="center" vertical="center" wrapText="1"/>
    </xf>
    <xf numFmtId="166" fontId="47" fillId="0" borderId="6" xfId="4" applyNumberFormat="1" applyFont="1" applyBorder="1" applyAlignment="1">
      <alignment horizontal="center" vertical="center" wrapText="1"/>
    </xf>
    <xf numFmtId="0" fontId="47" fillId="50" borderId="1" xfId="4" applyFont="1" applyFill="1" applyBorder="1" applyAlignment="1">
      <alignment horizontal="center" vertical="center" wrapText="1"/>
    </xf>
    <xf numFmtId="166" fontId="7" fillId="0" borderId="0" xfId="4" applyNumberFormat="1" applyAlignment="1">
      <alignment horizontal="center" vertical="center"/>
    </xf>
    <xf numFmtId="165" fontId="47" fillId="0" borderId="1" xfId="4" applyNumberFormat="1" applyFont="1" applyBorder="1" applyAlignment="1">
      <alignment horizontal="center" vertical="center" wrapText="1"/>
    </xf>
    <xf numFmtId="0" fontId="7" fillId="50" borderId="1" xfId="4" applyFill="1" applyBorder="1" applyAlignment="1">
      <alignment horizontal="center" vertical="center"/>
    </xf>
    <xf numFmtId="0" fontId="47" fillId="0" borderId="1" xfId="4" applyFont="1" applyBorder="1" applyAlignment="1">
      <alignment horizontal="center" vertical="center" wrapText="1"/>
    </xf>
    <xf numFmtId="165" fontId="13" fillId="0" borderId="7" xfId="0" applyNumberFormat="1" applyFont="1" applyBorder="1"/>
    <xf numFmtId="3" fontId="9" fillId="0" borderId="1" xfId="0" applyNumberFormat="1" applyFont="1" applyBorder="1"/>
    <xf numFmtId="0" fontId="13" fillId="0" borderId="7" xfId="0" applyFont="1" applyBorder="1"/>
    <xf numFmtId="0" fontId="13" fillId="45" borderId="3" xfId="0" applyFont="1" applyFill="1" applyBorder="1"/>
    <xf numFmtId="1" fontId="9" fillId="48" borderId="0" xfId="0" applyNumberFormat="1" applyFont="1" applyFill="1" applyAlignment="1">
      <alignment horizontal="center"/>
    </xf>
    <xf numFmtId="165" fontId="61" fillId="15" borderId="7" xfId="0" applyNumberFormat="1" applyFont="1" applyFill="1" applyBorder="1"/>
    <xf numFmtId="0" fontId="0" fillId="51" borderId="0" xfId="0" applyFill="1"/>
    <xf numFmtId="187" fontId="39" fillId="0" borderId="6" xfId="17" applyNumberFormat="1" applyFont="1" applyBorder="1" applyAlignment="1">
      <alignment horizontal="center" vertical="center" wrapText="1"/>
    </xf>
    <xf numFmtId="0" fontId="39" fillId="42" borderId="8" xfId="14" applyFont="1" applyFill="1" applyBorder="1" applyAlignment="1">
      <alignment horizontal="center" vertical="center" wrapText="1"/>
    </xf>
    <xf numFmtId="0" fontId="39" fillId="0" borderId="6" xfId="14" applyFont="1" applyBorder="1" applyAlignment="1">
      <alignment wrapText="1"/>
    </xf>
    <xf numFmtId="0" fontId="40" fillId="0" borderId="0" xfId="14" applyFont="1" applyAlignment="1">
      <alignment vertical="center" wrapText="1"/>
    </xf>
    <xf numFmtId="0" fontId="22" fillId="52" borderId="0" xfId="0" applyFont="1" applyFill="1" applyAlignment="1">
      <alignment horizontal="center" vertical="center" wrapText="1"/>
    </xf>
    <xf numFmtId="0" fontId="23" fillId="52" borderId="0" xfId="0" applyFont="1" applyFill="1" applyAlignment="1">
      <alignment horizontal="center" vertical="center" wrapText="1"/>
    </xf>
    <xf numFmtId="0" fontId="14" fillId="52" borderId="0" xfId="0" applyFont="1" applyFill="1" applyAlignment="1">
      <alignment horizontal="center" vertical="center"/>
    </xf>
    <xf numFmtId="166" fontId="14" fillId="52" borderId="0" xfId="0" applyNumberFormat="1" applyFont="1" applyFill="1" applyAlignment="1">
      <alignment horizontal="center" vertical="center"/>
    </xf>
    <xf numFmtId="0" fontId="6" fillId="52" borderId="0" xfId="0" applyFont="1" applyFill="1"/>
    <xf numFmtId="0" fontId="0" fillId="52" borderId="0" xfId="0" applyFill="1"/>
    <xf numFmtId="0" fontId="61" fillId="36" borderId="7" xfId="0" applyFont="1" applyFill="1" applyBorder="1"/>
    <xf numFmtId="165" fontId="61" fillId="15" borderId="1" xfId="0" applyNumberFormat="1" applyFont="1" applyFill="1" applyBorder="1"/>
    <xf numFmtId="165" fontId="13" fillId="21" borderId="1" xfId="0" applyNumberFormat="1" applyFont="1" applyFill="1" applyBorder="1"/>
    <xf numFmtId="165" fontId="13" fillId="0" borderId="1" xfId="0" applyNumberFormat="1" applyFont="1" applyBorder="1"/>
    <xf numFmtId="0" fontId="13" fillId="0" borderId="1" xfId="0" applyFont="1" applyBorder="1"/>
    <xf numFmtId="165" fontId="61" fillId="47" borderId="1" xfId="18" applyNumberFormat="1" applyFont="1" applyFill="1" applyBorder="1" applyAlignment="1">
      <alignment horizontal="center" vertical="center"/>
    </xf>
    <xf numFmtId="0" fontId="59" fillId="0" borderId="0" xfId="9" applyFont="1"/>
    <xf numFmtId="0" fontId="61" fillId="15" borderId="1" xfId="0" applyFont="1" applyFill="1" applyBorder="1"/>
    <xf numFmtId="0" fontId="22" fillId="54" borderId="0" xfId="0" applyFont="1" applyFill="1" applyAlignment="1">
      <alignment horizontal="center" vertical="center" wrapText="1"/>
    </xf>
    <xf numFmtId="0" fontId="6" fillId="54" borderId="0" xfId="0" applyFont="1" applyFill="1" applyAlignment="1">
      <alignment horizontal="center" vertical="center"/>
    </xf>
    <xf numFmtId="0" fontId="23" fillId="54" borderId="0" xfId="0" applyFont="1" applyFill="1" applyAlignment="1">
      <alignment horizontal="center" vertical="center" wrapText="1"/>
    </xf>
    <xf numFmtId="166" fontId="14" fillId="54" borderId="0" xfId="0" applyNumberFormat="1" applyFont="1" applyFill="1" applyAlignment="1">
      <alignment horizontal="center" vertical="center"/>
    </xf>
    <xf numFmtId="9" fontId="0" fillId="54" borderId="0" xfId="0" applyNumberFormat="1" applyFill="1" applyAlignment="1">
      <alignment horizontal="center" vertical="center"/>
    </xf>
    <xf numFmtId="0" fontId="6" fillId="54" borderId="0" xfId="0" applyFont="1" applyFill="1"/>
    <xf numFmtId="0" fontId="63" fillId="55" borderId="30" xfId="21" applyFont="1" applyFill="1" applyBorder="1" applyAlignment="1">
      <alignment horizontal="center" vertical="center"/>
    </xf>
    <xf numFmtId="0" fontId="63" fillId="0" borderId="30" xfId="21" applyFont="1" applyBorder="1" applyAlignment="1">
      <alignment horizontal="left" vertical="center"/>
    </xf>
    <xf numFmtId="3" fontId="63" fillId="0" borderId="30" xfId="21" applyNumberFormat="1" applyFont="1" applyBorder="1" applyAlignment="1">
      <alignment horizontal="right" vertical="center"/>
    </xf>
    <xf numFmtId="0" fontId="9" fillId="57" borderId="0" xfId="0" applyFont="1" applyFill="1" applyAlignment="1">
      <alignment horizontal="center" vertical="center"/>
    </xf>
    <xf numFmtId="0" fontId="0" fillId="58" borderId="0" xfId="0" applyFill="1"/>
    <xf numFmtId="0" fontId="0" fillId="59" borderId="0" xfId="0" applyFill="1"/>
    <xf numFmtId="0" fontId="0" fillId="60" borderId="0" xfId="0" applyFill="1"/>
    <xf numFmtId="0" fontId="6" fillId="60" borderId="0" xfId="0" applyFont="1" applyFill="1"/>
    <xf numFmtId="0" fontId="0" fillId="61" borderId="0" xfId="0" applyFill="1"/>
    <xf numFmtId="0" fontId="0" fillId="62" borderId="0" xfId="0" applyFill="1"/>
    <xf numFmtId="0" fontId="0" fillId="63" borderId="0" xfId="0" applyFill="1"/>
    <xf numFmtId="0" fontId="24" fillId="36" borderId="0" xfId="0" applyFont="1" applyFill="1" applyAlignment="1">
      <alignment horizontal="center" vertical="center"/>
    </xf>
    <xf numFmtId="0" fontId="0" fillId="64" borderId="0" xfId="0" applyFill="1"/>
    <xf numFmtId="0" fontId="59" fillId="0" borderId="0" xfId="21" applyFont="1"/>
    <xf numFmtId="0" fontId="66" fillId="0" borderId="33" xfId="0" applyFont="1" applyBorder="1" applyAlignment="1">
      <alignment horizontal="center" vertical="center" wrapText="1"/>
    </xf>
    <xf numFmtId="0" fontId="23" fillId="0" borderId="0" xfId="0" applyFont="1" applyAlignment="1">
      <alignment vertical="center"/>
    </xf>
    <xf numFmtId="0" fontId="68" fillId="65" borderId="33" xfId="0" applyFont="1" applyFill="1" applyBorder="1" applyAlignment="1">
      <alignment horizontal="center" vertical="center" wrapText="1"/>
    </xf>
    <xf numFmtId="0" fontId="69" fillId="67" borderId="0" xfId="0" applyFont="1" applyFill="1" applyAlignment="1">
      <alignment horizontal="center" vertical="center" wrapText="1"/>
    </xf>
    <xf numFmtId="0" fontId="0" fillId="68" borderId="0" xfId="0" applyFill="1"/>
    <xf numFmtId="0" fontId="59" fillId="0" borderId="30" xfId="21" applyFont="1" applyBorder="1"/>
    <xf numFmtId="0" fontId="14" fillId="56" borderId="0" xfId="0" applyFont="1" applyFill="1" applyAlignment="1">
      <alignment wrapText="1"/>
    </xf>
    <xf numFmtId="0" fontId="0" fillId="56" borderId="0" xfId="0" applyFill="1"/>
    <xf numFmtId="0" fontId="21" fillId="56" borderId="0" xfId="0" applyFont="1" applyFill="1" applyAlignment="1">
      <alignment horizontal="center" vertical="center" wrapText="1"/>
    </xf>
    <xf numFmtId="0" fontId="24" fillId="56" borderId="0" xfId="0" applyFont="1" applyFill="1" applyAlignment="1">
      <alignment horizontal="center" vertical="center"/>
    </xf>
    <xf numFmtId="0" fontId="9" fillId="56" borderId="0" xfId="0" applyFont="1" applyFill="1" applyAlignment="1">
      <alignment horizontal="center" vertical="center"/>
    </xf>
    <xf numFmtId="165" fontId="9" fillId="56" borderId="0" xfId="0" applyNumberFormat="1" applyFont="1" applyFill="1" applyAlignment="1">
      <alignment horizontal="center" vertical="center"/>
    </xf>
    <xf numFmtId="0" fontId="6" fillId="56" borderId="0" xfId="0" applyFont="1" applyFill="1"/>
    <xf numFmtId="0" fontId="68" fillId="65" borderId="33" xfId="0" applyFont="1" applyFill="1" applyBorder="1" applyAlignment="1">
      <alignment vertical="center"/>
    </xf>
    <xf numFmtId="0" fontId="23" fillId="65" borderId="0" xfId="0" applyFont="1" applyFill="1" applyAlignment="1">
      <alignment vertical="center"/>
    </xf>
    <xf numFmtId="0" fontId="0" fillId="65" borderId="0" xfId="0" applyFill="1"/>
    <xf numFmtId="0" fontId="9" fillId="65" borderId="0" xfId="0" applyFont="1" applyFill="1" applyAlignment="1">
      <alignment horizontal="center" vertical="center"/>
    </xf>
    <xf numFmtId="0" fontId="11" fillId="12" borderId="0" xfId="0" applyFont="1" applyFill="1"/>
    <xf numFmtId="165" fontId="11" fillId="12" borderId="0" xfId="0" applyNumberFormat="1" applyFont="1" applyFill="1" applyAlignment="1">
      <alignment horizontal="center" vertical="center"/>
    </xf>
    <xf numFmtId="0" fontId="68" fillId="65" borderId="34" xfId="0" applyFont="1" applyFill="1" applyBorder="1" applyAlignment="1">
      <alignment vertical="center"/>
    </xf>
    <xf numFmtId="0" fontId="63" fillId="55" borderId="1" xfId="21" applyFont="1" applyFill="1" applyBorder="1" applyAlignment="1">
      <alignment horizontal="center" vertical="center"/>
    </xf>
    <xf numFmtId="0" fontId="63" fillId="0" borderId="1" xfId="21" applyFont="1" applyBorder="1" applyAlignment="1">
      <alignment horizontal="left" vertical="center"/>
    </xf>
    <xf numFmtId="0" fontId="59" fillId="0" borderId="1" xfId="21" applyFont="1" applyBorder="1"/>
    <xf numFmtId="3" fontId="63" fillId="0" borderId="1" xfId="21" applyNumberFormat="1" applyFont="1" applyBorder="1" applyAlignment="1">
      <alignment horizontal="right" vertical="center"/>
    </xf>
    <xf numFmtId="0" fontId="18" fillId="0" borderId="0" xfId="9" applyFont="1" applyAlignment="1">
      <alignment horizontal="center" vertical="center"/>
    </xf>
    <xf numFmtId="0" fontId="14" fillId="0" borderId="0" xfId="0" applyFont="1" applyAlignment="1">
      <alignment horizontal="left" vertical="center" wrapText="1"/>
    </xf>
    <xf numFmtId="169" fontId="20" fillId="0" borderId="0" xfId="0" applyNumberFormat="1" applyFont="1"/>
    <xf numFmtId="0" fontId="23" fillId="71" borderId="0" xfId="0" applyFont="1" applyFill="1" applyAlignment="1">
      <alignment horizontal="center" vertical="center"/>
    </xf>
    <xf numFmtId="176" fontId="28" fillId="72" borderId="0" xfId="0" applyNumberFormat="1" applyFont="1" applyFill="1"/>
    <xf numFmtId="0" fontId="13" fillId="56" borderId="0" xfId="0" applyFont="1" applyFill="1" applyAlignment="1">
      <alignment horizontal="center" vertical="center"/>
    </xf>
    <xf numFmtId="175" fontId="0" fillId="0" borderId="0" xfId="0" applyNumberFormat="1" applyAlignment="1">
      <alignment vertical="center"/>
    </xf>
    <xf numFmtId="9" fontId="0" fillId="0" borderId="0" xfId="0" applyNumberFormat="1" applyAlignment="1">
      <alignment vertical="center"/>
    </xf>
    <xf numFmtId="1" fontId="0" fillId="0" borderId="0" xfId="0" applyNumberFormat="1" applyAlignment="1">
      <alignment vertical="center"/>
    </xf>
    <xf numFmtId="165" fontId="0" fillId="0" borderId="0" xfId="0" applyNumberFormat="1" applyAlignment="1">
      <alignment horizontal="center" vertical="center"/>
    </xf>
    <xf numFmtId="165" fontId="38" fillId="0" borderId="1" xfId="14" applyNumberFormat="1" applyBorder="1" applyAlignment="1">
      <alignment horizontal="center"/>
    </xf>
    <xf numFmtId="176" fontId="0" fillId="0" borderId="0" xfId="0" applyNumberFormat="1"/>
    <xf numFmtId="176" fontId="14" fillId="0" borderId="0" xfId="0" applyNumberFormat="1" applyFont="1" applyAlignment="1">
      <alignment wrapText="1"/>
    </xf>
    <xf numFmtId="0" fontId="9" fillId="0" borderId="1" xfId="21" applyFont="1" applyBorder="1"/>
    <xf numFmtId="176" fontId="0" fillId="0" borderId="0" xfId="0" applyNumberFormat="1" applyAlignment="1">
      <alignment vertical="center"/>
    </xf>
    <xf numFmtId="176" fontId="14" fillId="0" borderId="0" xfId="0" applyNumberFormat="1" applyFont="1" applyAlignment="1">
      <alignment vertical="center" wrapText="1"/>
    </xf>
    <xf numFmtId="0" fontId="9" fillId="75" borderId="1" xfId="0" applyFont="1" applyFill="1" applyBorder="1" applyAlignment="1">
      <alignment horizontal="center"/>
    </xf>
    <xf numFmtId="0" fontId="9" fillId="75" borderId="1" xfId="0" applyFont="1" applyFill="1" applyBorder="1"/>
    <xf numFmtId="0" fontId="9" fillId="75" borderId="1" xfId="0" applyFont="1" applyFill="1" applyBorder="1" applyAlignment="1">
      <alignment horizontal="left"/>
    </xf>
    <xf numFmtId="0" fontId="0" fillId="37" borderId="0" xfId="0" applyFill="1"/>
    <xf numFmtId="0" fontId="63" fillId="0" borderId="0" xfId="21" applyFont="1" applyAlignment="1">
      <alignment horizontal="center" vertical="center"/>
    </xf>
    <xf numFmtId="0" fontId="63" fillId="0" borderId="0" xfId="21" applyFont="1" applyAlignment="1">
      <alignment horizontal="left" vertical="center"/>
    </xf>
    <xf numFmtId="3" fontId="63" fillId="0" borderId="0" xfId="21" applyNumberFormat="1" applyFont="1" applyAlignment="1">
      <alignment horizontal="right" vertical="center"/>
    </xf>
    <xf numFmtId="3" fontId="9" fillId="0" borderId="0" xfId="0" applyNumberFormat="1" applyFont="1"/>
    <xf numFmtId="0" fontId="9" fillId="0" borderId="0" xfId="0" applyFont="1" applyAlignment="1">
      <alignment horizontal="left"/>
    </xf>
    <xf numFmtId="0" fontId="9" fillId="0" borderId="0" xfId="21" applyFont="1"/>
    <xf numFmtId="0" fontId="21" fillId="13" borderId="1" xfId="9" applyFont="1" applyFill="1" applyBorder="1" applyAlignment="1">
      <alignment horizontal="center" vertical="center" wrapText="1"/>
    </xf>
    <xf numFmtId="165" fontId="8" fillId="0" borderId="0" xfId="11" applyNumberFormat="1" applyAlignment="1">
      <alignment horizontal="center" vertical="center"/>
    </xf>
    <xf numFmtId="164" fontId="7" fillId="0" borderId="0" xfId="4" applyNumberFormat="1" applyAlignment="1">
      <alignment horizontal="center" vertical="center"/>
    </xf>
    <xf numFmtId="0" fontId="9" fillId="77" borderId="0" xfId="0" applyFont="1" applyFill="1" applyAlignment="1">
      <alignment horizontal="center" vertical="center" wrapText="1"/>
    </xf>
    <xf numFmtId="0" fontId="9" fillId="77" borderId="0" xfId="0" applyFont="1" applyFill="1" applyAlignment="1">
      <alignment horizontal="center" vertical="center"/>
    </xf>
    <xf numFmtId="165" fontId="73" fillId="0" borderId="0" xfId="0" applyNumberFormat="1" applyFont="1"/>
    <xf numFmtId="166" fontId="73" fillId="0" borderId="0" xfId="0" applyNumberFormat="1" applyFont="1"/>
    <xf numFmtId="168" fontId="9" fillId="5" borderId="0" xfId="0" applyNumberFormat="1" applyFont="1" applyFill="1"/>
    <xf numFmtId="0" fontId="9" fillId="36" borderId="0" xfId="0" applyFont="1" applyFill="1"/>
    <xf numFmtId="166" fontId="9" fillId="11" borderId="0" xfId="0" applyNumberFormat="1" applyFont="1" applyFill="1" applyAlignment="1">
      <alignment horizontal="center" vertical="center"/>
    </xf>
    <xf numFmtId="165" fontId="9" fillId="78" borderId="0" xfId="0" applyNumberFormat="1" applyFont="1" applyFill="1" applyAlignment="1">
      <alignment horizontal="center" vertical="center"/>
    </xf>
    <xf numFmtId="166" fontId="9" fillId="78" borderId="0" xfId="0" applyNumberFormat="1" applyFont="1" applyFill="1" applyAlignment="1">
      <alignment horizontal="center" vertical="center"/>
    </xf>
    <xf numFmtId="2" fontId="9" fillId="79" borderId="0" xfId="0" applyNumberFormat="1" applyFont="1" applyFill="1" applyAlignment="1">
      <alignment horizontal="center" vertical="center"/>
    </xf>
    <xf numFmtId="166" fontId="9" fillId="8" borderId="0" xfId="0" applyNumberFormat="1" applyFont="1" applyFill="1" applyAlignment="1">
      <alignment horizontal="center" vertical="center"/>
    </xf>
    <xf numFmtId="166" fontId="9" fillId="9" borderId="0" xfId="0" applyNumberFormat="1" applyFont="1" applyFill="1" applyAlignment="1">
      <alignment horizontal="center" vertical="center"/>
    </xf>
    <xf numFmtId="166" fontId="9" fillId="7" borderId="0" xfId="0" applyNumberFormat="1" applyFont="1" applyFill="1" applyAlignment="1">
      <alignment horizontal="center" vertical="center"/>
    </xf>
    <xf numFmtId="0" fontId="9" fillId="80" borderId="0" xfId="0" applyFont="1" applyFill="1"/>
    <xf numFmtId="0" fontId="9" fillId="80" borderId="0" xfId="0" applyFont="1" applyFill="1" applyAlignment="1">
      <alignment horizontal="center"/>
    </xf>
    <xf numFmtId="1" fontId="9" fillId="80" borderId="0" xfId="0" applyNumberFormat="1" applyFont="1" applyFill="1" applyAlignment="1">
      <alignment horizontal="center" vertical="center"/>
    </xf>
    <xf numFmtId="165" fontId="9" fillId="80" borderId="0" xfId="0" applyNumberFormat="1" applyFont="1" applyFill="1"/>
    <xf numFmtId="2" fontId="9" fillId="80" borderId="0" xfId="0" applyNumberFormat="1" applyFont="1" applyFill="1" applyAlignment="1">
      <alignment horizontal="center" vertical="center"/>
    </xf>
    <xf numFmtId="165" fontId="9" fillId="80" borderId="0" xfId="0" applyNumberFormat="1" applyFont="1" applyFill="1" applyAlignment="1">
      <alignment horizontal="center" vertical="center"/>
    </xf>
    <xf numFmtId="166" fontId="9" fillId="80" borderId="0" xfId="0" applyNumberFormat="1" applyFont="1" applyFill="1" applyAlignment="1">
      <alignment horizontal="center" vertical="center"/>
    </xf>
    <xf numFmtId="0" fontId="9" fillId="81" borderId="0" xfId="0" applyFont="1" applyFill="1"/>
    <xf numFmtId="0" fontId="9" fillId="81" borderId="0" xfId="0" applyFont="1" applyFill="1" applyAlignment="1">
      <alignment horizontal="center"/>
    </xf>
    <xf numFmtId="1" fontId="9" fillId="81" borderId="0" xfId="0" applyNumberFormat="1" applyFont="1" applyFill="1" applyAlignment="1">
      <alignment horizontal="center" vertical="center"/>
    </xf>
    <xf numFmtId="165" fontId="9" fillId="81" borderId="0" xfId="0" applyNumberFormat="1" applyFont="1" applyFill="1"/>
    <xf numFmtId="2" fontId="9" fillId="81" borderId="0" xfId="0" applyNumberFormat="1" applyFont="1" applyFill="1" applyAlignment="1">
      <alignment horizontal="center" vertical="center"/>
    </xf>
    <xf numFmtId="168" fontId="9" fillId="81" borderId="0" xfId="0" applyNumberFormat="1" applyFont="1" applyFill="1" applyAlignment="1">
      <alignment horizontal="center"/>
    </xf>
    <xf numFmtId="165" fontId="9" fillId="81" borderId="0" xfId="0" applyNumberFormat="1" applyFont="1" applyFill="1" applyAlignment="1">
      <alignment horizontal="center" vertical="center"/>
    </xf>
    <xf numFmtId="0" fontId="9" fillId="82" borderId="0" xfId="0" applyFont="1" applyFill="1"/>
    <xf numFmtId="0" fontId="9" fillId="82" borderId="0" xfId="0" applyFont="1" applyFill="1" applyAlignment="1">
      <alignment horizontal="center"/>
    </xf>
    <xf numFmtId="1" fontId="9" fillId="82" borderId="0" xfId="0" applyNumberFormat="1" applyFont="1" applyFill="1" applyAlignment="1">
      <alignment horizontal="center" vertical="center"/>
    </xf>
    <xf numFmtId="165" fontId="9" fillId="82" borderId="0" xfId="0" applyNumberFormat="1" applyFont="1" applyFill="1"/>
    <xf numFmtId="2" fontId="9" fillId="82" borderId="0" xfId="0" applyNumberFormat="1" applyFont="1" applyFill="1" applyAlignment="1">
      <alignment horizontal="center" vertical="center"/>
    </xf>
    <xf numFmtId="165" fontId="9" fillId="82" borderId="0" xfId="0" applyNumberFormat="1" applyFont="1" applyFill="1" applyAlignment="1">
      <alignment horizontal="center" vertical="center"/>
    </xf>
    <xf numFmtId="166" fontId="9" fillId="82" borderId="0" xfId="0" applyNumberFormat="1" applyFont="1" applyFill="1" applyAlignment="1">
      <alignment horizontal="center" vertical="center"/>
    </xf>
    <xf numFmtId="0" fontId="9" fillId="83" borderId="0" xfId="0" applyFont="1" applyFill="1"/>
    <xf numFmtId="0" fontId="9" fillId="83" borderId="0" xfId="0" applyFont="1" applyFill="1" applyAlignment="1">
      <alignment horizontal="center"/>
    </xf>
    <xf numFmtId="1" fontId="9" fillId="83" borderId="0" xfId="0" applyNumberFormat="1" applyFont="1" applyFill="1" applyAlignment="1">
      <alignment horizontal="center" vertical="center"/>
    </xf>
    <xf numFmtId="165" fontId="9" fillId="83" borderId="0" xfId="0" applyNumberFormat="1" applyFont="1" applyFill="1"/>
    <xf numFmtId="2" fontId="9" fillId="83" borderId="0" xfId="0" applyNumberFormat="1" applyFont="1" applyFill="1" applyAlignment="1">
      <alignment horizontal="center" vertical="center"/>
    </xf>
    <xf numFmtId="165" fontId="9" fillId="83" borderId="0" xfId="0" applyNumberFormat="1" applyFont="1" applyFill="1" applyAlignment="1">
      <alignment horizontal="center" vertical="center"/>
    </xf>
    <xf numFmtId="166" fontId="9" fillId="83" borderId="0" xfId="0" applyNumberFormat="1" applyFont="1" applyFill="1" applyAlignment="1">
      <alignment horizontal="center" vertical="center"/>
    </xf>
    <xf numFmtId="0" fontId="9" fillId="84" borderId="0" xfId="0" applyFont="1" applyFill="1"/>
    <xf numFmtId="0" fontId="9" fillId="84" borderId="0" xfId="0" applyFont="1" applyFill="1" applyAlignment="1">
      <alignment horizontal="center"/>
    </xf>
    <xf numFmtId="1" fontId="9" fillId="84" borderId="0" xfId="0" applyNumberFormat="1" applyFont="1" applyFill="1" applyAlignment="1">
      <alignment horizontal="center"/>
    </xf>
    <xf numFmtId="165" fontId="9" fillId="84" borderId="0" xfId="0" applyNumberFormat="1" applyFont="1" applyFill="1"/>
    <xf numFmtId="166" fontId="9" fillId="84" borderId="0" xfId="0" applyNumberFormat="1" applyFont="1" applyFill="1"/>
    <xf numFmtId="0" fontId="16" fillId="85" borderId="0" xfId="0" applyFont="1" applyFill="1" applyAlignment="1">
      <alignment horizontal="center" vertical="center"/>
    </xf>
    <xf numFmtId="0" fontId="16" fillId="85" borderId="0" xfId="0" applyFont="1" applyFill="1" applyAlignment="1">
      <alignment horizontal="center" vertical="center" wrapText="1"/>
    </xf>
    <xf numFmtId="0" fontId="9" fillId="85" borderId="0" xfId="0" applyFont="1" applyFill="1" applyAlignment="1">
      <alignment horizontal="center" vertical="center" wrapText="1"/>
    </xf>
    <xf numFmtId="0" fontId="9" fillId="85" borderId="0" xfId="0" applyFont="1" applyFill="1" applyAlignment="1">
      <alignment horizontal="center" vertical="center"/>
    </xf>
    <xf numFmtId="0" fontId="9" fillId="89" borderId="0" xfId="0" applyFont="1" applyFill="1"/>
    <xf numFmtId="0" fontId="9" fillId="89" borderId="0" xfId="0" applyFont="1" applyFill="1" applyAlignment="1">
      <alignment horizontal="center"/>
    </xf>
    <xf numFmtId="2" fontId="0" fillId="0" borderId="0" xfId="0" applyNumberFormat="1" applyAlignment="1">
      <alignment horizontal="center" vertical="center"/>
    </xf>
    <xf numFmtId="165" fontId="9" fillId="84" borderId="0" xfId="0" applyNumberFormat="1" applyFont="1" applyFill="1" applyAlignment="1">
      <alignment horizontal="center" vertical="center"/>
    </xf>
    <xf numFmtId="165" fontId="9" fillId="6" borderId="0" xfId="0" applyNumberFormat="1" applyFont="1" applyFill="1" applyAlignment="1">
      <alignment horizontal="center" vertical="center"/>
    </xf>
    <xf numFmtId="165" fontId="73" fillId="0" borderId="0" xfId="0" applyNumberFormat="1" applyFont="1" applyAlignment="1">
      <alignment horizontal="center" vertical="center"/>
    </xf>
    <xf numFmtId="165" fontId="9" fillId="5" borderId="0" xfId="0" applyNumberFormat="1" applyFont="1" applyFill="1" applyAlignment="1">
      <alignment horizontal="center" vertical="center"/>
    </xf>
    <xf numFmtId="1" fontId="9" fillId="82" borderId="0" xfId="0" applyNumberFormat="1" applyFont="1" applyFill="1" applyAlignment="1">
      <alignment horizontal="center"/>
    </xf>
    <xf numFmtId="166" fontId="9" fillId="12" borderId="0" xfId="0" applyNumberFormat="1" applyFont="1" applyFill="1"/>
    <xf numFmtId="0" fontId="9" fillId="82" borderId="0" xfId="0" applyFont="1" applyFill="1" applyAlignment="1">
      <alignment horizontal="right" vertical="center"/>
    </xf>
    <xf numFmtId="0" fontId="9" fillId="81" borderId="0" xfId="0" applyFont="1" applyFill="1" applyAlignment="1">
      <alignment horizontal="right" vertical="center"/>
    </xf>
    <xf numFmtId="165" fontId="9" fillId="80" borderId="0" xfId="0" applyNumberFormat="1" applyFont="1" applyFill="1" applyAlignment="1">
      <alignment horizontal="right" vertical="center"/>
    </xf>
    <xf numFmtId="0" fontId="24" fillId="55" borderId="1" xfId="21" applyFont="1" applyFill="1" applyBorder="1" applyAlignment="1">
      <alignment vertical="center"/>
    </xf>
    <xf numFmtId="175" fontId="9" fillId="0" borderId="0" xfId="0" applyNumberFormat="1" applyFont="1"/>
    <xf numFmtId="164" fontId="38" fillId="0" borderId="0" xfId="14" applyNumberFormat="1"/>
    <xf numFmtId="0" fontId="0" fillId="0" borderId="0" xfId="0" applyAlignment="1">
      <alignment horizontal="left"/>
    </xf>
    <xf numFmtId="2" fontId="9" fillId="48" borderId="0" xfId="0" applyNumberFormat="1" applyFont="1" applyFill="1"/>
    <xf numFmtId="165" fontId="9" fillId="92" borderId="0" xfId="0" applyNumberFormat="1" applyFont="1" applyFill="1"/>
    <xf numFmtId="175" fontId="9" fillId="92" borderId="0" xfId="0" applyNumberFormat="1" applyFont="1" applyFill="1"/>
    <xf numFmtId="1" fontId="0" fillId="0" borderId="7" xfId="0" applyNumberFormat="1" applyBorder="1"/>
    <xf numFmtId="169" fontId="21" fillId="0" borderId="7" xfId="0" applyNumberFormat="1" applyFont="1" applyBorder="1"/>
    <xf numFmtId="43" fontId="6" fillId="0" borderId="0" xfId="0" applyNumberFormat="1" applyFont="1"/>
    <xf numFmtId="194" fontId="6" fillId="0" borderId="0" xfId="0" applyNumberFormat="1" applyFont="1"/>
    <xf numFmtId="195" fontId="6" fillId="0" borderId="0" xfId="0" applyNumberFormat="1" applyFont="1"/>
    <xf numFmtId="171" fontId="24" fillId="8" borderId="1" xfId="0" applyNumberFormat="1" applyFont="1" applyFill="1" applyBorder="1"/>
    <xf numFmtId="0" fontId="6" fillId="93" borderId="0" xfId="0" applyFont="1" applyFill="1"/>
    <xf numFmtId="1" fontId="9" fillId="89" borderId="0" xfId="0" applyNumberFormat="1" applyFont="1" applyFill="1" applyAlignment="1">
      <alignment horizontal="center"/>
    </xf>
    <xf numFmtId="165" fontId="9" fillId="89" borderId="0" xfId="0" applyNumberFormat="1" applyFont="1" applyFill="1"/>
    <xf numFmtId="165" fontId="9" fillId="89" borderId="0" xfId="0" applyNumberFormat="1" applyFont="1" applyFill="1" applyAlignment="1">
      <alignment horizontal="center" vertical="center"/>
    </xf>
    <xf numFmtId="166" fontId="9" fillId="89" borderId="0" xfId="0" applyNumberFormat="1" applyFont="1" applyFill="1"/>
    <xf numFmtId="175" fontId="9" fillId="89" borderId="0" xfId="0" applyNumberFormat="1" applyFont="1" applyFill="1"/>
    <xf numFmtId="0" fontId="9" fillId="94" borderId="0" xfId="0" applyFont="1" applyFill="1"/>
    <xf numFmtId="0" fontId="9" fillId="94" borderId="0" xfId="0" applyFont="1" applyFill="1" applyAlignment="1">
      <alignment horizontal="center"/>
    </xf>
    <xf numFmtId="1" fontId="9" fillId="94" borderId="0" xfId="0" applyNumberFormat="1" applyFont="1" applyFill="1" applyAlignment="1">
      <alignment horizontal="center"/>
    </xf>
    <xf numFmtId="165" fontId="9" fillId="94" borderId="0" xfId="0" applyNumberFormat="1" applyFont="1" applyFill="1"/>
    <xf numFmtId="165" fontId="9" fillId="94" borderId="0" xfId="0" applyNumberFormat="1" applyFont="1" applyFill="1" applyAlignment="1">
      <alignment horizontal="center" vertical="center"/>
    </xf>
    <xf numFmtId="166" fontId="9" fillId="94" borderId="0" xfId="0" applyNumberFormat="1" applyFont="1" applyFill="1"/>
    <xf numFmtId="0" fontId="9" fillId="95" borderId="0" xfId="0" applyFont="1" applyFill="1"/>
    <xf numFmtId="0" fontId="9" fillId="95" borderId="0" xfId="0" applyFont="1" applyFill="1" applyAlignment="1">
      <alignment horizontal="center"/>
    </xf>
    <xf numFmtId="1" fontId="9" fillId="95" borderId="0" xfId="0" applyNumberFormat="1" applyFont="1" applyFill="1" applyAlignment="1">
      <alignment horizontal="center"/>
    </xf>
    <xf numFmtId="165" fontId="9" fillId="95" borderId="0" xfId="0" applyNumberFormat="1" applyFont="1" applyFill="1"/>
    <xf numFmtId="165" fontId="9" fillId="95" borderId="0" xfId="0" applyNumberFormat="1" applyFont="1" applyFill="1" applyAlignment="1">
      <alignment horizontal="center" vertical="center"/>
    </xf>
    <xf numFmtId="166" fontId="9" fillId="95" borderId="0" xfId="0" applyNumberFormat="1" applyFont="1" applyFill="1"/>
    <xf numFmtId="167" fontId="9" fillId="94" borderId="0" xfId="0" applyNumberFormat="1" applyFont="1" applyFill="1"/>
    <xf numFmtId="43" fontId="6" fillId="0" borderId="1" xfId="0" applyNumberFormat="1" applyFont="1" applyBorder="1"/>
    <xf numFmtId="170" fontId="0" fillId="0" borderId="0" xfId="0" applyNumberFormat="1" applyAlignment="1">
      <alignment horizontal="center" vertical="center"/>
    </xf>
    <xf numFmtId="0" fontId="42" fillId="0" borderId="0" xfId="17" applyFont="1" applyAlignment="1">
      <alignment horizontal="center" vertical="center" wrapText="1"/>
    </xf>
    <xf numFmtId="0" fontId="42" fillId="0" borderId="0" xfId="17" applyFont="1" applyAlignment="1">
      <alignment horizontal="center" vertical="center"/>
    </xf>
    <xf numFmtId="1" fontId="39" fillId="0" borderId="0" xfId="17" applyNumberFormat="1" applyFont="1" applyAlignment="1">
      <alignment horizontal="center" vertical="center" wrapText="1"/>
    </xf>
    <xf numFmtId="188" fontId="4" fillId="0" borderId="0" xfId="17" applyNumberFormat="1" applyAlignment="1">
      <alignment vertical="center"/>
    </xf>
    <xf numFmtId="9" fontId="4" fillId="0" borderId="0" xfId="17" applyNumberFormat="1" applyAlignment="1">
      <alignment vertical="center"/>
    </xf>
    <xf numFmtId="171" fontId="6" fillId="0" borderId="0" xfId="0" applyNumberFormat="1" applyFont="1"/>
    <xf numFmtId="0" fontId="24" fillId="24" borderId="6" xfId="0" applyFont="1" applyFill="1" applyBorder="1" applyAlignment="1">
      <alignment horizontal="center"/>
    </xf>
    <xf numFmtId="0" fontId="24" fillId="24" borderId="1" xfId="0" applyFont="1" applyFill="1" applyBorder="1" applyAlignment="1">
      <alignment horizontal="center"/>
    </xf>
    <xf numFmtId="2" fontId="24" fillId="96" borderId="0" xfId="0" applyNumberFormat="1" applyFont="1" applyFill="1" applyAlignment="1">
      <alignment horizontal="center"/>
    </xf>
    <xf numFmtId="2" fontId="24" fillId="97" borderId="0" xfId="0" applyNumberFormat="1" applyFont="1" applyFill="1" applyAlignment="1">
      <alignment horizontal="center"/>
    </xf>
    <xf numFmtId="171" fontId="24" fillId="0" borderId="11" xfId="0" applyNumberFormat="1" applyFont="1" applyBorder="1" applyAlignment="1">
      <alignment horizontal="center"/>
    </xf>
    <xf numFmtId="198" fontId="24" fillId="0" borderId="1" xfId="0" applyNumberFormat="1" applyFont="1" applyBorder="1" applyAlignment="1">
      <alignment horizontal="center"/>
    </xf>
    <xf numFmtId="1" fontId="24" fillId="15" borderId="1" xfId="0" applyNumberFormat="1" applyFont="1" applyFill="1" applyBorder="1"/>
    <xf numFmtId="198" fontId="24" fillId="8" borderId="1" xfId="0" applyNumberFormat="1" applyFont="1" applyFill="1" applyBorder="1"/>
    <xf numFmtId="43" fontId="24" fillId="8" borderId="1" xfId="0" applyNumberFormat="1" applyFont="1" applyFill="1" applyBorder="1"/>
    <xf numFmtId="173" fontId="21" fillId="0" borderId="7" xfId="0" applyNumberFormat="1" applyFont="1" applyBorder="1"/>
    <xf numFmtId="43" fontId="24" fillId="0" borderId="1" xfId="0" applyNumberFormat="1" applyFont="1" applyBorder="1"/>
    <xf numFmtId="0" fontId="6" fillId="97" borderId="0" xfId="0" applyFont="1" applyFill="1"/>
    <xf numFmtId="0" fontId="6" fillId="45" borderId="0" xfId="0" applyFont="1" applyFill="1"/>
    <xf numFmtId="0" fontId="0" fillId="45" borderId="0" xfId="0" applyFill="1"/>
    <xf numFmtId="183" fontId="0" fillId="0" borderId="1" xfId="0" applyNumberFormat="1" applyBorder="1"/>
    <xf numFmtId="175" fontId="0" fillId="0" borderId="7" xfId="0" applyNumberFormat="1" applyBorder="1"/>
    <xf numFmtId="2" fontId="24" fillId="15" borderId="0" xfId="0" applyNumberFormat="1" applyFont="1" applyFill="1"/>
    <xf numFmtId="0" fontId="6" fillId="44" borderId="0" xfId="0" applyFont="1" applyFill="1"/>
    <xf numFmtId="1" fontId="6" fillId="0" borderId="0" xfId="0" applyNumberFormat="1" applyFont="1" applyAlignment="1">
      <alignment horizontal="center"/>
    </xf>
    <xf numFmtId="171" fontId="24" fillId="15" borderId="0" xfId="0" applyNumberFormat="1" applyFont="1" applyFill="1"/>
    <xf numFmtId="173" fontId="24" fillId="0" borderId="7" xfId="0" applyNumberFormat="1" applyFont="1" applyBorder="1"/>
    <xf numFmtId="191" fontId="21" fillId="0" borderId="7" xfId="0" applyNumberFormat="1" applyFont="1" applyBorder="1"/>
    <xf numFmtId="12" fontId="0" fillId="0" borderId="0" xfId="12" applyNumberFormat="1" applyFont="1"/>
    <xf numFmtId="0" fontId="38" fillId="56" borderId="0" xfId="14" applyFill="1"/>
    <xf numFmtId="0" fontId="39" fillId="56" borderId="0" xfId="14" applyFont="1" applyFill="1" applyAlignment="1">
      <alignment wrapText="1"/>
    </xf>
    <xf numFmtId="176" fontId="28" fillId="56" borderId="0" xfId="0" applyNumberFormat="1" applyFont="1" applyFill="1"/>
    <xf numFmtId="0" fontId="42" fillId="101" borderId="0" xfId="17" applyFont="1" applyFill="1" applyAlignment="1">
      <alignment horizontal="center" vertical="center" wrapText="1"/>
    </xf>
    <xf numFmtId="0" fontId="42" fillId="101" borderId="0" xfId="17" applyFont="1" applyFill="1" applyAlignment="1">
      <alignment horizontal="center" vertical="center"/>
    </xf>
    <xf numFmtId="0" fontId="4" fillId="56" borderId="0" xfId="17" applyFill="1" applyAlignment="1">
      <alignment vertical="center"/>
    </xf>
    <xf numFmtId="1" fontId="39" fillId="56" borderId="0" xfId="17" applyNumberFormat="1" applyFont="1" applyFill="1" applyAlignment="1">
      <alignment horizontal="center" vertical="center" wrapText="1"/>
    </xf>
    <xf numFmtId="1" fontId="4" fillId="56" borderId="0" xfId="17" applyNumberFormat="1" applyFill="1" applyAlignment="1">
      <alignment horizontal="center" vertical="center"/>
    </xf>
    <xf numFmtId="188" fontId="4" fillId="56" borderId="0" xfId="17" applyNumberFormat="1" applyFill="1" applyAlignment="1">
      <alignment vertical="center"/>
    </xf>
    <xf numFmtId="9" fontId="4" fillId="56" borderId="0" xfId="17" applyNumberFormat="1" applyFill="1" applyAlignment="1">
      <alignment vertical="center"/>
    </xf>
    <xf numFmtId="0" fontId="24" fillId="100" borderId="0" xfId="0" applyFont="1" applyFill="1" applyAlignment="1">
      <alignment horizontal="center" vertical="center" wrapText="1"/>
    </xf>
    <xf numFmtId="0" fontId="24" fillId="100" borderId="0" xfId="0" applyFont="1" applyFill="1" applyAlignment="1">
      <alignment horizontal="center" vertical="center"/>
    </xf>
    <xf numFmtId="0" fontId="24" fillId="102" borderId="0" xfId="0" applyFont="1" applyFill="1" applyAlignment="1">
      <alignment horizontal="center" vertical="center" wrapText="1"/>
    </xf>
    <xf numFmtId="0" fontId="0" fillId="56" borderId="0" xfId="0" applyFill="1" applyAlignment="1">
      <alignment vertical="center"/>
    </xf>
    <xf numFmtId="170" fontId="14" fillId="56" borderId="0" xfId="0" applyNumberFormat="1" applyFont="1" applyFill="1" applyAlignment="1">
      <alignment horizontal="center" vertical="center"/>
    </xf>
    <xf numFmtId="9" fontId="0" fillId="56" borderId="0" xfId="0" applyNumberFormat="1" applyFill="1" applyAlignment="1">
      <alignment horizontal="center" vertical="center"/>
    </xf>
    <xf numFmtId="1" fontId="14" fillId="56" borderId="0" xfId="0" applyNumberFormat="1" applyFont="1" applyFill="1" applyAlignment="1">
      <alignment horizontal="center" vertical="center" wrapText="1"/>
    </xf>
    <xf numFmtId="1" fontId="0" fillId="56" borderId="0" xfId="0" applyNumberFormat="1" applyFill="1" applyAlignment="1">
      <alignment horizontal="center" vertical="center"/>
    </xf>
    <xf numFmtId="1" fontId="14" fillId="56" borderId="0" xfId="0" applyNumberFormat="1" applyFont="1" applyFill="1" applyAlignment="1">
      <alignment horizontal="center" vertical="center"/>
    </xf>
    <xf numFmtId="2" fontId="14" fillId="56" borderId="0" xfId="0" applyNumberFormat="1" applyFont="1" applyFill="1" applyAlignment="1">
      <alignment horizontal="center" vertical="center"/>
    </xf>
    <xf numFmtId="168" fontId="14" fillId="56" borderId="0" xfId="0" applyNumberFormat="1" applyFont="1" applyFill="1" applyAlignment="1">
      <alignment horizontal="center" vertical="center"/>
    </xf>
    <xf numFmtId="2" fontId="0" fillId="56" borderId="0" xfId="0" applyNumberFormat="1" applyFill="1"/>
    <xf numFmtId="0" fontId="26" fillId="56" borderId="0" xfId="0" applyFont="1" applyFill="1" applyAlignment="1">
      <alignment wrapText="1"/>
    </xf>
    <xf numFmtId="165" fontId="9" fillId="0" borderId="6" xfId="0" applyNumberFormat="1" applyFont="1" applyBorder="1"/>
    <xf numFmtId="170" fontId="14" fillId="56" borderId="0" xfId="0" applyNumberFormat="1" applyFont="1" applyFill="1" applyAlignment="1">
      <alignment horizontal="center" vertical="center" wrapText="1"/>
    </xf>
    <xf numFmtId="170" fontId="0" fillId="56" borderId="0" xfId="0" applyNumberFormat="1" applyFill="1" applyAlignment="1">
      <alignment horizontal="center" vertical="center"/>
    </xf>
    <xf numFmtId="169" fontId="21" fillId="0" borderId="7" xfId="0" applyNumberFormat="1" applyFont="1" applyBorder="1" applyAlignment="1">
      <alignment horizontal="center"/>
    </xf>
    <xf numFmtId="0" fontId="0" fillId="44" borderId="0" xfId="0" applyFill="1"/>
    <xf numFmtId="0" fontId="7" fillId="44" borderId="0" xfId="4" applyFill="1" applyAlignment="1">
      <alignment horizontal="center" vertical="center"/>
    </xf>
    <xf numFmtId="0" fontId="14" fillId="103" borderId="0" xfId="0" applyFont="1" applyFill="1" applyAlignment="1">
      <alignment horizontal="center" vertical="center" wrapText="1"/>
    </xf>
    <xf numFmtId="198" fontId="24" fillId="8" borderId="1" xfId="0" applyNumberFormat="1" applyFont="1" applyFill="1" applyBorder="1" applyAlignment="1">
      <alignment horizontal="center"/>
    </xf>
    <xf numFmtId="203" fontId="6" fillId="0" borderId="0" xfId="0" applyNumberFormat="1" applyFont="1"/>
    <xf numFmtId="175" fontId="21" fillId="0" borderId="7" xfId="0" applyNumberFormat="1" applyFont="1" applyBorder="1"/>
    <xf numFmtId="198" fontId="6" fillId="0" borderId="0" xfId="0" applyNumberFormat="1" applyFont="1"/>
    <xf numFmtId="0" fontId="0" fillId="45" borderId="0" xfId="0" applyFill="1" applyAlignment="1">
      <alignment horizontal="center"/>
    </xf>
    <xf numFmtId="0" fontId="22" fillId="26" borderId="0" xfId="0" applyFont="1" applyFill="1" applyAlignment="1">
      <alignment horizontal="center"/>
    </xf>
    <xf numFmtId="164" fontId="24" fillId="15" borderId="0" xfId="0" applyNumberFormat="1" applyFont="1" applyFill="1"/>
    <xf numFmtId="1" fontId="24" fillId="0" borderId="1" xfId="0" applyNumberFormat="1" applyFont="1" applyBorder="1"/>
    <xf numFmtId="180" fontId="0" fillId="0" borderId="7" xfId="0" applyNumberFormat="1" applyBorder="1"/>
    <xf numFmtId="0" fontId="26" fillId="36" borderId="0" xfId="0" applyFont="1" applyFill="1"/>
    <xf numFmtId="165" fontId="9" fillId="0" borderId="0" xfId="0" applyNumberFormat="1" applyFont="1" applyAlignment="1">
      <alignment horizontal="center"/>
    </xf>
    <xf numFmtId="2" fontId="9" fillId="84" borderId="0" xfId="0" applyNumberFormat="1" applyFont="1" applyFill="1" applyAlignment="1">
      <alignment horizontal="center"/>
    </xf>
    <xf numFmtId="2" fontId="9" fillId="6" borderId="0" xfId="0" applyNumberFormat="1" applyFont="1" applyFill="1" applyAlignment="1">
      <alignment horizontal="center"/>
    </xf>
    <xf numFmtId="2" fontId="13" fillId="0" borderId="0" xfId="0" applyNumberFormat="1" applyFont="1" applyAlignment="1">
      <alignment horizontal="center"/>
    </xf>
    <xf numFmtId="2" fontId="9" fillId="5" borderId="0" xfId="0" applyNumberFormat="1" applyFont="1" applyFill="1" applyAlignment="1">
      <alignment horizontal="center"/>
    </xf>
    <xf numFmtId="2" fontId="9" fillId="89" borderId="0" xfId="0" applyNumberFormat="1" applyFont="1" applyFill="1" applyAlignment="1">
      <alignment horizontal="center"/>
    </xf>
    <xf numFmtId="2" fontId="9" fillId="94" borderId="0" xfId="0" applyNumberFormat="1" applyFont="1" applyFill="1" applyAlignment="1">
      <alignment horizontal="center"/>
    </xf>
    <xf numFmtId="2" fontId="11" fillId="89" borderId="0" xfId="0" applyNumberFormat="1" applyFont="1" applyFill="1" applyAlignment="1">
      <alignment horizontal="center"/>
    </xf>
    <xf numFmtId="2" fontId="9" fillId="95" borderId="0" xfId="0" applyNumberFormat="1" applyFont="1" applyFill="1" applyAlignment="1">
      <alignment horizontal="center"/>
    </xf>
    <xf numFmtId="2" fontId="11" fillId="94" borderId="0" xfId="0" applyNumberFormat="1" applyFont="1" applyFill="1" applyAlignment="1">
      <alignment horizontal="center"/>
    </xf>
    <xf numFmtId="2" fontId="74" fillId="9" borderId="0" xfId="0" applyNumberFormat="1" applyFont="1" applyFill="1" applyAlignment="1">
      <alignment horizontal="center" vertical="center"/>
    </xf>
    <xf numFmtId="169" fontId="13" fillId="0" borderId="7" xfId="0" applyNumberFormat="1" applyFont="1" applyBorder="1"/>
    <xf numFmtId="165" fontId="61" fillId="0" borderId="7" xfId="0" applyNumberFormat="1" applyFont="1" applyBorder="1"/>
    <xf numFmtId="175" fontId="13" fillId="0" borderId="7" xfId="0" applyNumberFormat="1" applyFont="1" applyBorder="1"/>
    <xf numFmtId="0" fontId="61" fillId="15" borderId="7" xfId="0" applyFont="1" applyFill="1" applyBorder="1"/>
    <xf numFmtId="165" fontId="13" fillId="21" borderId="7" xfId="0" applyNumberFormat="1" applyFont="1" applyFill="1" applyBorder="1"/>
    <xf numFmtId="165" fontId="13" fillId="0" borderId="7" xfId="0" applyNumberFormat="1" applyFont="1" applyBorder="1" applyAlignment="1">
      <alignment horizontal="center"/>
    </xf>
    <xf numFmtId="0" fontId="13" fillId="0" borderId="7" xfId="0" applyFont="1" applyBorder="1" applyAlignment="1">
      <alignment horizontal="center"/>
    </xf>
    <xf numFmtId="165" fontId="61" fillId="15" borderId="7" xfId="0" applyNumberFormat="1" applyFont="1" applyFill="1" applyBorder="1" applyAlignment="1">
      <alignment horizontal="center"/>
    </xf>
    <xf numFmtId="169" fontId="13" fillId="0" borderId="1" xfId="0" applyNumberFormat="1" applyFont="1" applyBorder="1"/>
    <xf numFmtId="1" fontId="38" fillId="105" borderId="17" xfId="14" applyNumberFormat="1" applyFill="1" applyBorder="1"/>
    <xf numFmtId="182" fontId="75" fillId="106" borderId="1" xfId="10" applyNumberFormat="1" applyFont="1" applyFill="1" applyBorder="1"/>
    <xf numFmtId="165" fontId="13" fillId="53" borderId="7" xfId="0" applyNumberFormat="1" applyFont="1" applyFill="1" applyBorder="1"/>
    <xf numFmtId="1" fontId="13" fillId="0" borderId="7" xfId="0" applyNumberFormat="1" applyFont="1" applyBorder="1"/>
    <xf numFmtId="1" fontId="61" fillId="15" borderId="7" xfId="0" applyNumberFormat="1" applyFont="1" applyFill="1" applyBorder="1"/>
    <xf numFmtId="0" fontId="61" fillId="36" borderId="7" xfId="0" applyFont="1" applyFill="1" applyBorder="1" applyAlignment="1">
      <alignment horizontal="center"/>
    </xf>
    <xf numFmtId="165" fontId="61" fillId="36" borderId="7" xfId="0" applyNumberFormat="1" applyFont="1" applyFill="1" applyBorder="1"/>
    <xf numFmtId="198" fontId="24" fillId="15" borderId="0" xfId="0" applyNumberFormat="1" applyFont="1" applyFill="1"/>
    <xf numFmtId="165" fontId="13" fillId="35" borderId="7" xfId="0" applyNumberFormat="1" applyFont="1" applyFill="1" applyBorder="1"/>
    <xf numFmtId="165" fontId="61" fillId="47" borderId="1" xfId="11" applyNumberFormat="1" applyFont="1" applyFill="1" applyBorder="1" applyAlignment="1">
      <alignment horizontal="center" vertical="center"/>
    </xf>
    <xf numFmtId="165" fontId="61" fillId="36" borderId="1" xfId="9" applyNumberFormat="1" applyFont="1" applyFill="1" applyBorder="1" applyAlignment="1">
      <alignment horizontal="center" vertical="center"/>
    </xf>
    <xf numFmtId="164" fontId="20" fillId="0" borderId="1" xfId="4" applyNumberFormat="1" applyFont="1" applyBorder="1" applyAlignment="1">
      <alignment horizontal="center" vertical="center"/>
    </xf>
    <xf numFmtId="10" fontId="7" fillId="0" borderId="0" xfId="10" applyNumberFormat="1" applyFont="1" applyAlignment="1">
      <alignment horizontal="center" vertical="center"/>
    </xf>
    <xf numFmtId="9" fontId="0" fillId="0" borderId="7" xfId="0" applyNumberFormat="1" applyBorder="1"/>
    <xf numFmtId="165" fontId="13" fillId="53" borderId="1" xfId="0" applyNumberFormat="1" applyFont="1" applyFill="1" applyBorder="1"/>
    <xf numFmtId="169" fontId="13" fillId="53" borderId="1" xfId="0" applyNumberFormat="1" applyFont="1" applyFill="1" applyBorder="1"/>
    <xf numFmtId="164" fontId="25" fillId="0" borderId="1" xfId="4" applyNumberFormat="1" applyFont="1" applyBorder="1" applyAlignment="1">
      <alignment horizontal="center" vertical="center"/>
    </xf>
    <xf numFmtId="0" fontId="25" fillId="0" borderId="1" xfId="4" applyFont="1" applyBorder="1" applyAlignment="1">
      <alignment horizontal="center" vertical="center"/>
    </xf>
    <xf numFmtId="165" fontId="30" fillId="0" borderId="6" xfId="9" applyNumberFormat="1" applyFont="1" applyBorder="1" applyAlignment="1">
      <alignment horizontal="center" vertical="center"/>
    </xf>
    <xf numFmtId="165" fontId="13" fillId="56" borderId="7" xfId="0" applyNumberFormat="1" applyFont="1" applyFill="1" applyBorder="1"/>
    <xf numFmtId="165" fontId="13" fillId="56" borderId="1" xfId="0" applyNumberFormat="1" applyFont="1" applyFill="1" applyBorder="1"/>
    <xf numFmtId="0" fontId="13" fillId="56" borderId="7" xfId="0" applyFont="1" applyFill="1" applyBorder="1"/>
    <xf numFmtId="0" fontId="20" fillId="56" borderId="0" xfId="0" applyFont="1" applyFill="1"/>
    <xf numFmtId="0" fontId="13" fillId="56" borderId="1" xfId="0" applyFont="1" applyFill="1" applyBorder="1"/>
    <xf numFmtId="0" fontId="76" fillId="56" borderId="0" xfId="14" applyFont="1" applyFill="1"/>
    <xf numFmtId="0" fontId="77" fillId="56" borderId="0" xfId="4" applyFont="1" applyFill="1" applyAlignment="1">
      <alignment horizontal="center" vertical="center"/>
    </xf>
    <xf numFmtId="169" fontId="63" fillId="56" borderId="7" xfId="0" applyNumberFormat="1" applyFont="1" applyFill="1" applyBorder="1"/>
    <xf numFmtId="0" fontId="79" fillId="56" borderId="0" xfId="14" applyFont="1" applyFill="1"/>
    <xf numFmtId="43" fontId="0" fillId="0" borderId="0" xfId="0" applyNumberFormat="1"/>
    <xf numFmtId="165" fontId="13" fillId="15" borderId="1" xfId="0" applyNumberFormat="1" applyFont="1" applyFill="1" applyBorder="1"/>
    <xf numFmtId="0" fontId="9" fillId="84" borderId="0" xfId="0" applyFont="1" applyFill="1" applyAlignment="1">
      <alignment horizontal="left"/>
    </xf>
    <xf numFmtId="2" fontId="9" fillId="12" borderId="0" xfId="0" applyNumberFormat="1" applyFont="1" applyFill="1" applyAlignment="1">
      <alignment horizontal="center"/>
    </xf>
    <xf numFmtId="205" fontId="9" fillId="89" borderId="0" xfId="0" applyNumberFormat="1" applyFont="1" applyFill="1"/>
    <xf numFmtId="165" fontId="36" fillId="0" borderId="1" xfId="17" applyNumberFormat="1" applyFont="1" applyBorder="1" applyAlignment="1">
      <alignment horizontal="center" vertical="center"/>
    </xf>
    <xf numFmtId="165" fontId="2" fillId="0" borderId="1" xfId="17" applyNumberFormat="1" applyFont="1" applyBorder="1" applyAlignment="1">
      <alignment horizontal="center" vertical="center"/>
    </xf>
    <xf numFmtId="0" fontId="16" fillId="0" borderId="0" xfId="0" applyFont="1" applyAlignment="1">
      <alignment horizontal="center" vertical="center"/>
    </xf>
    <xf numFmtId="0" fontId="14" fillId="0" borderId="0" xfId="9" applyFont="1" applyAlignment="1">
      <alignment horizontal="center" vertical="center" wrapText="1"/>
    </xf>
    <xf numFmtId="0" fontId="14" fillId="37" borderId="0" xfId="9" applyFont="1" applyFill="1" applyAlignment="1">
      <alignment horizontal="center" vertical="center" wrapText="1"/>
    </xf>
    <xf numFmtId="0" fontId="9" fillId="42" borderId="0" xfId="0" applyFont="1" applyFill="1" applyAlignment="1">
      <alignment vertical="center"/>
    </xf>
    <xf numFmtId="0" fontId="16" fillId="86" borderId="0" xfId="0" applyFont="1" applyFill="1" applyAlignment="1">
      <alignment vertical="center"/>
    </xf>
    <xf numFmtId="0" fontId="16" fillId="86" borderId="0" xfId="0" applyFont="1" applyFill="1" applyAlignment="1">
      <alignment horizontal="center" vertical="center"/>
    </xf>
    <xf numFmtId="1" fontId="16" fillId="86" borderId="0" xfId="0" applyNumberFormat="1" applyFont="1" applyFill="1" applyAlignment="1">
      <alignment horizontal="center" vertical="center"/>
    </xf>
    <xf numFmtId="1" fontId="16" fillId="86" borderId="0" xfId="0" applyNumberFormat="1" applyFont="1" applyFill="1" applyAlignment="1">
      <alignment vertical="center"/>
    </xf>
    <xf numFmtId="0" fontId="9" fillId="86" borderId="0" xfId="0" applyFont="1" applyFill="1" applyAlignment="1">
      <alignment horizontal="center" vertical="center"/>
    </xf>
    <xf numFmtId="168" fontId="9" fillId="86" borderId="0" xfId="0" applyNumberFormat="1" applyFont="1" applyFill="1" applyAlignment="1">
      <alignment horizontal="center" vertical="center"/>
    </xf>
    <xf numFmtId="0" fontId="9" fillId="76" borderId="0" xfId="0" applyFont="1" applyFill="1" applyAlignment="1">
      <alignment vertical="center"/>
    </xf>
    <xf numFmtId="0" fontId="9" fillId="87" borderId="0" xfId="0" applyFont="1" applyFill="1" applyAlignment="1">
      <alignment vertical="center"/>
    </xf>
    <xf numFmtId="0" fontId="16" fillId="4" borderId="0" xfId="0" applyFont="1" applyFill="1" applyAlignment="1">
      <alignment vertical="center"/>
    </xf>
    <xf numFmtId="0" fontId="16" fillId="4" borderId="0" xfId="0" applyFont="1" applyFill="1" applyAlignment="1">
      <alignment horizontal="center" vertical="center"/>
    </xf>
    <xf numFmtId="1" fontId="16" fillId="4" borderId="0" xfId="0" applyNumberFormat="1" applyFont="1" applyFill="1" applyAlignment="1">
      <alignment horizontal="center" vertical="center"/>
    </xf>
    <xf numFmtId="1" fontId="16" fillId="4" borderId="0" xfId="0" applyNumberFormat="1" applyFont="1" applyFill="1" applyAlignment="1">
      <alignment vertical="center"/>
    </xf>
    <xf numFmtId="0" fontId="9" fillId="4" borderId="0" xfId="0" applyFont="1" applyFill="1" applyAlignment="1">
      <alignment horizontal="center" vertical="center"/>
    </xf>
    <xf numFmtId="168" fontId="9" fillId="4" borderId="0" xfId="0" applyNumberFormat="1" applyFont="1" applyFill="1" applyAlignment="1">
      <alignment horizontal="center" vertical="center"/>
    </xf>
    <xf numFmtId="0" fontId="9" fillId="4" borderId="0" xfId="0" applyFont="1" applyFill="1" applyAlignment="1">
      <alignment vertical="center"/>
    </xf>
    <xf numFmtId="0" fontId="9" fillId="80" borderId="0" xfId="0" applyFont="1" applyFill="1" applyAlignment="1">
      <alignment vertical="center"/>
    </xf>
    <xf numFmtId="0" fontId="9" fillId="80" borderId="0" xfId="0" applyFont="1" applyFill="1" applyAlignment="1">
      <alignment horizontal="center" vertical="center"/>
    </xf>
    <xf numFmtId="165" fontId="9" fillId="80" borderId="0" xfId="0" applyNumberFormat="1" applyFont="1" applyFill="1" applyAlignment="1">
      <alignment vertical="center"/>
    </xf>
    <xf numFmtId="0" fontId="9" fillId="0" borderId="0" xfId="0" applyFont="1" applyAlignment="1">
      <alignment vertical="center"/>
    </xf>
    <xf numFmtId="1" fontId="16" fillId="0" borderId="0" xfId="0" applyNumberFormat="1" applyFont="1" applyAlignment="1">
      <alignment horizontal="center" vertical="center"/>
    </xf>
    <xf numFmtId="1" fontId="16" fillId="0" borderId="0" xfId="0" applyNumberFormat="1" applyFont="1" applyAlignment="1">
      <alignment vertical="center"/>
    </xf>
    <xf numFmtId="0" fontId="16" fillId="0" borderId="0" xfId="0" applyFont="1" applyAlignment="1">
      <alignment vertical="center"/>
    </xf>
    <xf numFmtId="0" fontId="16" fillId="88" borderId="0" xfId="0" applyFont="1" applyFill="1" applyAlignment="1">
      <alignment vertical="center"/>
    </xf>
    <xf numFmtId="0" fontId="16" fillId="88" borderId="0" xfId="0" applyFont="1" applyFill="1" applyAlignment="1">
      <alignment horizontal="center" vertical="center"/>
    </xf>
    <xf numFmtId="1" fontId="16" fillId="88" borderId="0" xfId="0" applyNumberFormat="1" applyFont="1" applyFill="1" applyAlignment="1">
      <alignment horizontal="center" vertical="center"/>
    </xf>
    <xf numFmtId="1" fontId="16" fillId="88" borderId="0" xfId="0" applyNumberFormat="1" applyFont="1" applyFill="1" applyAlignment="1">
      <alignment vertical="center"/>
    </xf>
    <xf numFmtId="0" fontId="9" fillId="88" borderId="0" xfId="0" applyFont="1" applyFill="1" applyAlignment="1">
      <alignment horizontal="center" vertical="center"/>
    </xf>
    <xf numFmtId="0" fontId="17" fillId="88" borderId="0" xfId="0" applyFont="1" applyFill="1" applyAlignment="1">
      <alignment vertical="center"/>
    </xf>
    <xf numFmtId="0" fontId="9" fillId="6" borderId="0" xfId="0" applyFont="1" applyFill="1" applyAlignment="1">
      <alignment vertical="center"/>
    </xf>
    <xf numFmtId="0" fontId="9" fillId="6" borderId="0" xfId="0" applyFont="1" applyFill="1" applyAlignment="1">
      <alignment horizontal="center" vertical="center"/>
    </xf>
    <xf numFmtId="1" fontId="9" fillId="6" borderId="0" xfId="0" applyNumberFormat="1" applyFont="1" applyFill="1" applyAlignment="1">
      <alignment horizontal="center" vertical="center"/>
    </xf>
    <xf numFmtId="165" fontId="9" fillId="6" borderId="0" xfId="0" applyNumberFormat="1" applyFont="1" applyFill="1" applyAlignment="1">
      <alignment vertical="center"/>
    </xf>
    <xf numFmtId="0" fontId="16" fillId="89" borderId="0" xfId="0" applyFont="1" applyFill="1" applyAlignment="1">
      <alignment vertical="center"/>
    </xf>
    <xf numFmtId="0" fontId="9" fillId="89" borderId="0" xfId="0" applyFont="1" applyFill="1" applyAlignment="1">
      <alignment vertical="center"/>
    </xf>
    <xf numFmtId="0" fontId="16" fillId="89" borderId="0" xfId="0" applyFont="1" applyFill="1" applyAlignment="1">
      <alignment horizontal="center" vertical="center"/>
    </xf>
    <xf numFmtId="1" fontId="16" fillId="89" borderId="0" xfId="0" applyNumberFormat="1" applyFont="1" applyFill="1" applyAlignment="1">
      <alignment horizontal="center" vertical="center"/>
    </xf>
    <xf numFmtId="1" fontId="16" fillId="89" borderId="0" xfId="0" applyNumberFormat="1" applyFont="1" applyFill="1" applyAlignment="1">
      <alignment vertical="center"/>
    </xf>
    <xf numFmtId="0" fontId="9" fillId="89" borderId="0" xfId="0" applyFont="1" applyFill="1" applyAlignment="1">
      <alignment horizontal="center" vertical="center"/>
    </xf>
    <xf numFmtId="0" fontId="16" fillId="89" borderId="0" xfId="0" applyFont="1" applyFill="1" applyAlignment="1">
      <alignment horizontal="left" vertical="center"/>
    </xf>
    <xf numFmtId="0" fontId="9" fillId="8" borderId="0" xfId="0" applyFont="1" applyFill="1" applyAlignment="1">
      <alignment vertical="center"/>
    </xf>
    <xf numFmtId="0" fontId="16" fillId="8" borderId="0" xfId="0" applyFont="1" applyFill="1" applyAlignment="1">
      <alignment horizontal="center" vertical="center"/>
    </xf>
    <xf numFmtId="1" fontId="16" fillId="8" borderId="0" xfId="0" applyNumberFormat="1" applyFont="1" applyFill="1" applyAlignment="1">
      <alignment horizontal="center" vertical="center"/>
    </xf>
    <xf numFmtId="1" fontId="16" fillId="8" borderId="0" xfId="0" applyNumberFormat="1" applyFont="1" applyFill="1" applyAlignment="1">
      <alignment vertical="center"/>
    </xf>
    <xf numFmtId="0" fontId="16" fillId="8" borderId="0" xfId="0" applyFont="1" applyFill="1" applyAlignment="1">
      <alignment vertical="center"/>
    </xf>
    <xf numFmtId="0" fontId="16" fillId="91" borderId="0" xfId="0" applyFont="1" applyFill="1" applyAlignment="1">
      <alignment vertical="center"/>
    </xf>
    <xf numFmtId="0" fontId="16" fillId="91" borderId="0" xfId="0" applyFont="1" applyFill="1" applyAlignment="1">
      <alignment horizontal="center" vertical="center"/>
    </xf>
    <xf numFmtId="1" fontId="16" fillId="91" borderId="0" xfId="0" applyNumberFormat="1" applyFont="1" applyFill="1" applyAlignment="1">
      <alignment horizontal="center" vertical="center"/>
    </xf>
    <xf numFmtId="1" fontId="16" fillId="91" borderId="0" xfId="0" applyNumberFormat="1" applyFont="1" applyFill="1" applyAlignment="1">
      <alignment vertical="center"/>
    </xf>
    <xf numFmtId="0" fontId="16" fillId="90" borderId="0" xfId="0" applyFont="1" applyFill="1" applyAlignment="1">
      <alignment vertical="center"/>
    </xf>
    <xf numFmtId="0" fontId="16" fillId="90" borderId="0" xfId="0" applyFont="1" applyFill="1" applyAlignment="1">
      <alignment horizontal="center" vertical="center"/>
    </xf>
    <xf numFmtId="1" fontId="16" fillId="90" borderId="0" xfId="0" applyNumberFormat="1" applyFont="1" applyFill="1" applyAlignment="1">
      <alignment horizontal="center" vertical="center"/>
    </xf>
    <xf numFmtId="1" fontId="16" fillId="90" borderId="0" xfId="0" applyNumberFormat="1" applyFont="1" applyFill="1" applyAlignment="1">
      <alignment vertical="center"/>
    </xf>
    <xf numFmtId="0" fontId="9" fillId="90" borderId="0" xfId="0" applyFont="1" applyFill="1" applyAlignment="1">
      <alignment horizontal="center" vertical="center"/>
    </xf>
    <xf numFmtId="0" fontId="80" fillId="85" borderId="0" xfId="0" applyFont="1" applyFill="1" applyAlignment="1">
      <alignment horizontal="center" vertical="center"/>
    </xf>
    <xf numFmtId="2" fontId="16" fillId="86" borderId="0" xfId="0" applyNumberFormat="1" applyFont="1" applyFill="1" applyAlignment="1">
      <alignment horizontal="center" vertical="center"/>
    </xf>
    <xf numFmtId="2" fontId="16" fillId="4" borderId="0" xfId="0" applyNumberFormat="1" applyFont="1" applyFill="1" applyAlignment="1">
      <alignment horizontal="center" vertical="center"/>
    </xf>
    <xf numFmtId="2" fontId="16" fillId="0" borderId="0" xfId="0" applyNumberFormat="1" applyFont="1" applyAlignment="1">
      <alignment horizontal="center" vertical="center"/>
    </xf>
    <xf numFmtId="2" fontId="16" fillId="88" borderId="0" xfId="0" applyNumberFormat="1" applyFont="1" applyFill="1" applyAlignment="1">
      <alignment horizontal="center" vertical="center"/>
    </xf>
    <xf numFmtId="0" fontId="73" fillId="0" borderId="0" xfId="0" applyFont="1" applyAlignment="1">
      <alignment horizontal="center" vertical="center"/>
    </xf>
    <xf numFmtId="2" fontId="16" fillId="89" borderId="0" xfId="0" applyNumberFormat="1" applyFont="1" applyFill="1" applyAlignment="1">
      <alignment horizontal="center" vertical="center"/>
    </xf>
    <xf numFmtId="2" fontId="16" fillId="8" borderId="0" xfId="0" applyNumberFormat="1" applyFont="1" applyFill="1" applyAlignment="1">
      <alignment horizontal="center" vertical="center"/>
    </xf>
    <xf numFmtId="2" fontId="16" fillId="91" borderId="0" xfId="0" applyNumberFormat="1" applyFont="1" applyFill="1" applyAlignment="1">
      <alignment horizontal="center" vertical="center"/>
    </xf>
    <xf numFmtId="2" fontId="16" fillId="90" borderId="0" xfId="0" applyNumberFormat="1" applyFont="1" applyFill="1" applyAlignment="1">
      <alignment horizontal="center" vertical="center"/>
    </xf>
    <xf numFmtId="171" fontId="16" fillId="90" borderId="0" xfId="0" applyNumberFormat="1" applyFont="1" applyFill="1" applyAlignment="1">
      <alignment horizontal="center" vertical="center"/>
    </xf>
    <xf numFmtId="0" fontId="74" fillId="88" borderId="0" xfId="0" applyFont="1" applyFill="1" applyAlignment="1">
      <alignment horizontal="center" vertical="center"/>
    </xf>
    <xf numFmtId="0" fontId="82" fillId="85" borderId="0" xfId="0" applyFont="1" applyFill="1" applyAlignment="1">
      <alignment vertical="center"/>
    </xf>
    <xf numFmtId="0" fontId="63" fillId="109" borderId="1" xfId="21" applyFont="1" applyFill="1" applyBorder="1" applyAlignment="1">
      <alignment horizontal="left" vertical="center"/>
    </xf>
    <xf numFmtId="3" fontId="63" fillId="109" borderId="30" xfId="21" applyNumberFormat="1" applyFont="1" applyFill="1" applyBorder="1" applyAlignment="1">
      <alignment horizontal="right" vertical="center"/>
    </xf>
    <xf numFmtId="0" fontId="16" fillId="110" borderId="0" xfId="0" applyFont="1" applyFill="1" applyAlignment="1">
      <alignment vertical="center"/>
    </xf>
    <xf numFmtId="0" fontId="16" fillId="110" borderId="0" xfId="0" applyFont="1" applyFill="1" applyAlignment="1">
      <alignment horizontal="center" vertical="center"/>
    </xf>
    <xf numFmtId="1" fontId="16" fillId="110" borderId="0" xfId="0" applyNumberFormat="1" applyFont="1" applyFill="1" applyAlignment="1">
      <alignment horizontal="center" vertical="center"/>
    </xf>
    <xf numFmtId="1" fontId="9" fillId="0" borderId="0" xfId="0" applyNumberFormat="1" applyFont="1" applyAlignment="1">
      <alignment horizontal="center"/>
    </xf>
    <xf numFmtId="165" fontId="9" fillId="0" borderId="0" xfId="0" applyNumberFormat="1" applyFont="1"/>
    <xf numFmtId="2" fontId="9" fillId="0" borderId="0" xfId="0" applyNumberFormat="1" applyFont="1" applyAlignment="1">
      <alignment horizontal="center"/>
    </xf>
    <xf numFmtId="166" fontId="9" fillId="0" borderId="0" xfId="0" applyNumberFormat="1" applyFont="1"/>
    <xf numFmtId="168" fontId="9" fillId="0" borderId="0" xfId="0" applyNumberFormat="1" applyFont="1"/>
    <xf numFmtId="168" fontId="9" fillId="0" borderId="0" xfId="0" applyNumberFormat="1" applyFont="1" applyAlignment="1">
      <alignment horizontal="center" vertical="center"/>
    </xf>
    <xf numFmtId="0" fontId="14" fillId="36" borderId="0" xfId="9" applyFont="1" applyFill="1" applyAlignment="1">
      <alignment horizontal="center" vertical="center" wrapText="1"/>
    </xf>
    <xf numFmtId="187" fontId="39" fillId="0" borderId="6" xfId="29" applyNumberFormat="1" applyFont="1" applyBorder="1" applyAlignment="1">
      <alignment horizontal="center" vertical="center" wrapText="1"/>
    </xf>
    <xf numFmtId="0" fontId="21" fillId="14" borderId="1" xfId="9" applyFont="1" applyFill="1" applyBorder="1" applyAlignment="1">
      <alignment horizontal="center" vertical="center" wrapText="1"/>
    </xf>
    <xf numFmtId="0" fontId="18" fillId="46" borderId="1" xfId="29" applyFont="1" applyFill="1" applyBorder="1" applyAlignment="1">
      <alignment horizontal="center" vertical="center"/>
    </xf>
    <xf numFmtId="165" fontId="61" fillId="47" borderId="1" xfId="30" applyNumberFormat="1" applyFont="1" applyFill="1" applyBorder="1" applyAlignment="1">
      <alignment horizontal="center" vertical="center"/>
    </xf>
    <xf numFmtId="165" fontId="61" fillId="36" borderId="1" xfId="29" applyNumberFormat="1" applyFont="1" applyFill="1" applyBorder="1" applyAlignment="1">
      <alignment horizontal="center" vertical="center"/>
    </xf>
    <xf numFmtId="165" fontId="2" fillId="0" borderId="1" xfId="29" applyNumberFormat="1" applyBorder="1" applyAlignment="1">
      <alignment horizontal="center" vertical="center"/>
    </xf>
    <xf numFmtId="0" fontId="43" fillId="45" borderId="11" xfId="29" applyFont="1" applyFill="1" applyBorder="1" applyAlignment="1">
      <alignment horizontal="center"/>
    </xf>
    <xf numFmtId="0" fontId="42" fillId="101" borderId="0" xfId="29" applyFont="1" applyFill="1" applyAlignment="1">
      <alignment horizontal="center" vertical="center" wrapText="1"/>
    </xf>
    <xf numFmtId="0" fontId="42" fillId="101" borderId="0" xfId="29" applyFont="1" applyFill="1" applyAlignment="1">
      <alignment horizontal="center" vertical="center"/>
    </xf>
    <xf numFmtId="0" fontId="2" fillId="56" borderId="0" xfId="29" applyFill="1" applyAlignment="1">
      <alignment vertical="center"/>
    </xf>
    <xf numFmtId="1" fontId="39" fillId="56" borderId="0" xfId="29" applyNumberFormat="1" applyFont="1" applyFill="1" applyAlignment="1">
      <alignment horizontal="center" vertical="center" wrapText="1"/>
    </xf>
    <xf numFmtId="1" fontId="2" fillId="56" borderId="0" xfId="29" applyNumberFormat="1" applyFill="1" applyAlignment="1">
      <alignment horizontal="center" vertical="center"/>
    </xf>
    <xf numFmtId="188" fontId="2" fillId="56" borderId="0" xfId="29" applyNumberFormat="1" applyFill="1" applyAlignment="1">
      <alignment vertical="center"/>
    </xf>
    <xf numFmtId="9" fontId="2" fillId="56" borderId="0" xfId="29" applyNumberFormat="1" applyFill="1" applyAlignment="1">
      <alignment vertical="center"/>
    </xf>
    <xf numFmtId="2" fontId="74" fillId="94" borderId="0" xfId="0" applyNumberFormat="1" applyFont="1" applyFill="1" applyAlignment="1">
      <alignment horizontal="center"/>
    </xf>
    <xf numFmtId="0" fontId="9" fillId="109" borderId="1" xfId="0" applyFont="1" applyFill="1" applyBorder="1"/>
    <xf numFmtId="183" fontId="9" fillId="84" borderId="0" xfId="0" applyNumberFormat="1" applyFont="1" applyFill="1"/>
    <xf numFmtId="169" fontId="21" fillId="0" borderId="37" xfId="0" applyNumberFormat="1" applyFont="1" applyBorder="1"/>
    <xf numFmtId="3" fontId="63" fillId="109" borderId="0" xfId="21" applyNumberFormat="1" applyFont="1" applyFill="1" applyAlignment="1">
      <alignment horizontal="right" vertical="center"/>
    </xf>
    <xf numFmtId="0" fontId="27" fillId="99" borderId="0" xfId="0" applyFont="1" applyFill="1" applyAlignment="1">
      <alignment vertical="center" wrapText="1"/>
    </xf>
    <xf numFmtId="165" fontId="6" fillId="0" borderId="1" xfId="12" applyNumberFormat="1" applyFont="1" applyBorder="1" applyAlignment="1">
      <alignment horizontal="center"/>
    </xf>
    <xf numFmtId="0" fontId="23" fillId="19" borderId="0" xfId="0" applyFont="1" applyFill="1" applyAlignment="1">
      <alignment horizontal="left" vertical="center"/>
    </xf>
    <xf numFmtId="0" fontId="21" fillId="0" borderId="0" xfId="0" applyFont="1" applyAlignment="1">
      <alignment horizontal="left"/>
    </xf>
    <xf numFmtId="0" fontId="24" fillId="0" borderId="0" xfId="0" applyFont="1" applyAlignment="1">
      <alignment horizontal="left"/>
    </xf>
    <xf numFmtId="0" fontId="9" fillId="22" borderId="9" xfId="0" applyFont="1" applyFill="1" applyBorder="1" applyAlignment="1">
      <alignment wrapText="1"/>
    </xf>
    <xf numFmtId="168" fontId="14" fillId="0" borderId="1" xfId="0" applyNumberFormat="1" applyFont="1" applyBorder="1" applyAlignment="1">
      <alignment vertical="center" wrapText="1"/>
    </xf>
    <xf numFmtId="0" fontId="0" fillId="54" borderId="0" xfId="0" applyFill="1"/>
    <xf numFmtId="0" fontId="14" fillId="112" borderId="0" xfId="0" applyFont="1" applyFill="1" applyAlignment="1">
      <alignment horizontal="center" vertical="center" wrapText="1"/>
    </xf>
    <xf numFmtId="0" fontId="21" fillId="36" borderId="0" xfId="0" applyFont="1" applyFill="1" applyAlignment="1">
      <alignment wrapText="1"/>
    </xf>
    <xf numFmtId="169" fontId="25" fillId="0" borderId="0" xfId="0" applyNumberFormat="1" applyFont="1" applyAlignment="1">
      <alignment wrapText="1"/>
    </xf>
    <xf numFmtId="0" fontId="25" fillId="54" borderId="0" xfId="0" applyFont="1" applyFill="1"/>
    <xf numFmtId="0" fontId="20" fillId="25" borderId="4" xfId="0" applyFont="1" applyFill="1" applyBorder="1"/>
    <xf numFmtId="165" fontId="0" fillId="53" borderId="1" xfId="0" applyNumberFormat="1" applyFill="1" applyBorder="1"/>
    <xf numFmtId="0" fontId="6" fillId="24" borderId="1" xfId="0" applyFont="1" applyFill="1" applyBorder="1"/>
    <xf numFmtId="0" fontId="6" fillId="97" borderId="1" xfId="0" applyFont="1" applyFill="1" applyBorder="1"/>
    <xf numFmtId="169" fontId="0" fillId="53" borderId="1" xfId="0" applyNumberFormat="1" applyFill="1" applyBorder="1"/>
    <xf numFmtId="165" fontId="0" fillId="56" borderId="6" xfId="0" applyNumberFormat="1" applyFill="1" applyBorder="1"/>
    <xf numFmtId="0" fontId="0" fillId="56" borderId="15" xfId="0" applyFill="1" applyBorder="1"/>
    <xf numFmtId="0" fontId="0" fillId="56" borderId="11" xfId="0" applyFill="1" applyBorder="1"/>
    <xf numFmtId="173" fontId="21" fillId="56" borderId="7" xfId="0" applyNumberFormat="1" applyFont="1" applyFill="1" applyBorder="1"/>
    <xf numFmtId="169" fontId="21" fillId="56" borderId="7" xfId="0" applyNumberFormat="1" applyFont="1" applyFill="1" applyBorder="1"/>
    <xf numFmtId="164" fontId="6" fillId="0" borderId="1" xfId="0" applyNumberFormat="1" applyFont="1" applyBorder="1" applyAlignment="1">
      <alignment horizontal="center" vertical="center"/>
    </xf>
    <xf numFmtId="0" fontId="13" fillId="25" borderId="13" xfId="0" applyFont="1" applyFill="1" applyBorder="1"/>
    <xf numFmtId="181" fontId="6" fillId="0" borderId="1" xfId="0" applyNumberFormat="1" applyFont="1" applyBorder="1"/>
    <xf numFmtId="191" fontId="6" fillId="15" borderId="1" xfId="0" applyNumberFormat="1" applyFont="1" applyFill="1" applyBorder="1"/>
    <xf numFmtId="2" fontId="74" fillId="9" borderId="0" xfId="0" applyNumberFormat="1" applyFont="1" applyFill="1" applyAlignment="1">
      <alignment horizontal="right"/>
    </xf>
    <xf numFmtId="165" fontId="9" fillId="9" borderId="0" xfId="0" applyNumberFormat="1" applyFont="1" applyFill="1" applyAlignment="1">
      <alignment horizontal="right"/>
    </xf>
    <xf numFmtId="166" fontId="9" fillId="9" borderId="0" xfId="0" applyNumberFormat="1" applyFont="1" applyFill="1" applyAlignment="1">
      <alignment horizontal="right"/>
    </xf>
    <xf numFmtId="193" fontId="25" fillId="0" borderId="1" xfId="4" applyNumberFormat="1" applyFont="1" applyBorder="1" applyAlignment="1">
      <alignment horizontal="center" vertical="center"/>
    </xf>
    <xf numFmtId="3" fontId="63" fillId="109" borderId="1" xfId="21" applyNumberFormat="1" applyFont="1" applyFill="1" applyBorder="1" applyAlignment="1">
      <alignment horizontal="right" vertical="center"/>
    </xf>
    <xf numFmtId="0" fontId="0" fillId="0" borderId="0" xfId="0" applyAlignment="1">
      <alignment wrapText="1"/>
    </xf>
    <xf numFmtId="0" fontId="9" fillId="15" borderId="0" xfId="0" applyFont="1" applyFill="1"/>
    <xf numFmtId="0" fontId="9" fillId="113" borderId="1" xfId="0" applyFont="1" applyFill="1" applyBorder="1" applyAlignment="1">
      <alignment horizontal="left"/>
    </xf>
    <xf numFmtId="0" fontId="9" fillId="0" borderId="1" xfId="0" applyFont="1" applyBorder="1" applyAlignment="1">
      <alignment horizontal="right"/>
    </xf>
    <xf numFmtId="0" fontId="9" fillId="0" borderId="1" xfId="0" applyFont="1" applyBorder="1" applyAlignment="1">
      <alignment horizontal="left"/>
    </xf>
    <xf numFmtId="0" fontId="9" fillId="0" borderId="1" xfId="21" applyFont="1" applyBorder="1" applyAlignment="1">
      <alignment horizontal="right"/>
    </xf>
    <xf numFmtId="3" fontId="9" fillId="0" borderId="1" xfId="0" applyNumberFormat="1" applyFont="1" applyBorder="1" applyAlignment="1">
      <alignment horizontal="right"/>
    </xf>
    <xf numFmtId="3" fontId="9" fillId="0" borderId="0" xfId="0" applyNumberFormat="1" applyFont="1" applyAlignment="1">
      <alignment horizontal="right"/>
    </xf>
    <xf numFmtId="0" fontId="9" fillId="0" borderId="0" xfId="0" applyFont="1" applyAlignment="1">
      <alignment horizontal="right"/>
    </xf>
    <xf numFmtId="0" fontId="87" fillId="0" borderId="0" xfId="0" applyFont="1" applyAlignment="1">
      <alignment horizontal="center" vertical="center"/>
    </xf>
    <xf numFmtId="165" fontId="0" fillId="0" borderId="37" xfId="0" applyNumberFormat="1" applyBorder="1"/>
    <xf numFmtId="0" fontId="0" fillId="0" borderId="37" xfId="0" applyBorder="1"/>
    <xf numFmtId="0" fontId="23" fillId="19" borderId="2" xfId="0" applyFont="1" applyFill="1" applyBorder="1" applyAlignment="1">
      <alignment horizontal="center" vertical="center" wrapText="1"/>
    </xf>
    <xf numFmtId="0" fontId="14" fillId="14" borderId="2" xfId="0" applyFont="1" applyFill="1" applyBorder="1" applyAlignment="1">
      <alignment horizontal="center" vertical="center" wrapText="1"/>
    </xf>
    <xf numFmtId="0" fontId="13" fillId="28" borderId="4" xfId="0" applyFont="1" applyFill="1" applyBorder="1"/>
    <xf numFmtId="0" fontId="13" fillId="25" borderId="12" xfId="0" applyFont="1" applyFill="1" applyBorder="1" applyAlignment="1">
      <alignment horizontal="center"/>
    </xf>
    <xf numFmtId="0" fontId="13" fillId="25" borderId="2" xfId="0" applyFont="1" applyFill="1" applyBorder="1" applyAlignment="1">
      <alignment horizontal="center"/>
    </xf>
    <xf numFmtId="0" fontId="39" fillId="42" borderId="2" xfId="14" applyFont="1" applyFill="1" applyBorder="1" applyAlignment="1">
      <alignment horizontal="center" vertical="center" wrapText="1"/>
    </xf>
    <xf numFmtId="0" fontId="43" fillId="45" borderId="12" xfId="29" applyFont="1" applyFill="1" applyBorder="1" applyAlignment="1">
      <alignment horizontal="center"/>
    </xf>
    <xf numFmtId="0" fontId="43" fillId="45" borderId="2" xfId="29" applyFont="1" applyFill="1" applyBorder="1" applyAlignment="1">
      <alignment horizontal="center"/>
    </xf>
    <xf numFmtId="0" fontId="21" fillId="14" borderId="2" xfId="0" applyFont="1" applyFill="1" applyBorder="1" applyAlignment="1">
      <alignment horizontal="left" vertical="center"/>
    </xf>
    <xf numFmtId="0" fontId="12" fillId="25" borderId="2" xfId="0" applyFont="1" applyFill="1" applyBorder="1" applyAlignment="1">
      <alignment horizontal="left"/>
    </xf>
    <xf numFmtId="0" fontId="14" fillId="14" borderId="2" xfId="0" applyFont="1" applyFill="1" applyBorder="1" applyAlignment="1">
      <alignment horizontal="left" vertical="center" wrapText="1"/>
    </xf>
    <xf numFmtId="0" fontId="13" fillId="25" borderId="12" xfId="0" applyFont="1" applyFill="1" applyBorder="1" applyAlignment="1">
      <alignment horizontal="left"/>
    </xf>
    <xf numFmtId="0" fontId="54" fillId="42" borderId="2" xfId="19" applyFont="1" applyFill="1" applyBorder="1" applyAlignment="1">
      <alignment horizontal="center" vertical="center" wrapText="1"/>
    </xf>
    <xf numFmtId="0" fontId="47" fillId="50" borderId="2" xfId="4" applyFont="1" applyFill="1" applyBorder="1" applyAlignment="1">
      <alignment horizontal="center" vertical="center" wrapText="1"/>
    </xf>
    <xf numFmtId="0" fontId="43" fillId="45" borderId="12" xfId="17" applyFont="1" applyFill="1" applyBorder="1" applyAlignment="1">
      <alignment horizontal="center"/>
    </xf>
    <xf numFmtId="0" fontId="43" fillId="45" borderId="2" xfId="17" applyFont="1" applyFill="1" applyBorder="1" applyAlignment="1">
      <alignment horizontal="center"/>
    </xf>
    <xf numFmtId="0" fontId="13" fillId="25" borderId="2" xfId="0" applyFont="1" applyFill="1" applyBorder="1" applyAlignment="1">
      <alignment horizontal="left"/>
    </xf>
    <xf numFmtId="0" fontId="14" fillId="0" borderId="2" xfId="0" applyFont="1" applyBorder="1" applyAlignment="1">
      <alignment wrapText="1"/>
    </xf>
    <xf numFmtId="0" fontId="9" fillId="19" borderId="0" xfId="0" applyFont="1" applyFill="1"/>
    <xf numFmtId="0" fontId="19" fillId="0" borderId="0" xfId="0" applyFont="1" applyAlignment="1">
      <alignment horizontal="center"/>
    </xf>
    <xf numFmtId="0" fontId="9" fillId="73" borderId="0" xfId="0" applyFont="1" applyFill="1"/>
    <xf numFmtId="0" fontId="19" fillId="19" borderId="0" xfId="0" applyFont="1" applyFill="1"/>
    <xf numFmtId="0" fontId="19" fillId="73" borderId="0" xfId="0" applyFont="1" applyFill="1"/>
    <xf numFmtId="0" fontId="19" fillId="0" borderId="0" xfId="0" applyFont="1" applyAlignment="1">
      <alignment horizontal="center" vertical="center"/>
    </xf>
    <xf numFmtId="0" fontId="9" fillId="19" borderId="0" xfId="0" applyFont="1" applyFill="1" applyAlignment="1">
      <alignment horizontal="center"/>
    </xf>
    <xf numFmtId="0" fontId="19" fillId="29" borderId="0" xfId="0" applyFont="1" applyFill="1"/>
    <xf numFmtId="0" fontId="9" fillId="29" borderId="0" xfId="0" applyFont="1" applyFill="1"/>
    <xf numFmtId="0" fontId="9" fillId="21" borderId="0" xfId="0" applyFont="1" applyFill="1"/>
    <xf numFmtId="0" fontId="19" fillId="19" borderId="0" xfId="0" applyFont="1" applyFill="1" applyAlignment="1">
      <alignment horizontal="center"/>
    </xf>
    <xf numFmtId="0" fontId="19" fillId="29" borderId="0" xfId="0" applyFont="1" applyFill="1" applyAlignment="1">
      <alignment horizontal="center"/>
    </xf>
    <xf numFmtId="0" fontId="9" fillId="14" borderId="0" xfId="0" applyFont="1" applyFill="1" applyAlignment="1">
      <alignment horizontal="center" vertical="center" wrapText="1"/>
    </xf>
    <xf numFmtId="0" fontId="19" fillId="0" borderId="0" xfId="0" applyFont="1" applyAlignment="1">
      <alignment horizontal="center" vertical="center" wrapText="1"/>
    </xf>
    <xf numFmtId="0" fontId="9" fillId="0" borderId="0" xfId="0" applyFont="1" applyAlignment="1">
      <alignment wrapText="1"/>
    </xf>
    <xf numFmtId="0" fontId="52" fillId="29" borderId="0" xfId="0" applyFont="1" applyFill="1" applyAlignment="1">
      <alignment vertical="center" wrapText="1"/>
    </xf>
    <xf numFmtId="0" fontId="9" fillId="0" borderId="0" xfId="0" applyFont="1" applyAlignment="1">
      <alignment horizontal="center" vertical="center" wrapText="1"/>
    </xf>
    <xf numFmtId="0" fontId="19" fillId="56" borderId="0" xfId="0" applyFont="1" applyFill="1"/>
    <xf numFmtId="0" fontId="19" fillId="111" borderId="0" xfId="0" applyFont="1" applyFill="1"/>
    <xf numFmtId="0" fontId="9" fillId="100" borderId="0" xfId="0" applyFont="1" applyFill="1" applyAlignment="1">
      <alignment horizontal="center" vertical="center" wrapText="1"/>
    </xf>
    <xf numFmtId="0" fontId="19" fillId="0" borderId="0" xfId="14" applyFont="1"/>
    <xf numFmtId="0" fontId="19" fillId="56" borderId="0" xfId="14" applyFont="1" applyFill="1"/>
    <xf numFmtId="0" fontId="19" fillId="0" borderId="0" xfId="0" applyFont="1" applyAlignment="1">
      <alignment horizontal="left" vertical="center"/>
    </xf>
    <xf numFmtId="0" fontId="19" fillId="0" borderId="0" xfId="19" applyFont="1"/>
    <xf numFmtId="0" fontId="19" fillId="21" borderId="0" xfId="4" applyFont="1" applyFill="1" applyAlignment="1">
      <alignment horizontal="center" vertical="center"/>
    </xf>
    <xf numFmtId="0" fontId="19" fillId="0" borderId="0" xfId="4" applyFont="1" applyAlignment="1">
      <alignment horizontal="center" vertical="center"/>
    </xf>
    <xf numFmtId="0" fontId="12" fillId="0" borderId="0" xfId="0" applyFont="1" applyAlignment="1">
      <alignment horizontal="center" vertical="center"/>
    </xf>
    <xf numFmtId="0" fontId="19" fillId="21" borderId="0" xfId="0" applyFont="1" applyFill="1"/>
    <xf numFmtId="0" fontId="9" fillId="21" borderId="0" xfId="0" applyFont="1" applyFill="1" applyAlignment="1">
      <alignment horizontal="center" vertical="center" wrapText="1"/>
    </xf>
    <xf numFmtId="0" fontId="9" fillId="114" borderId="0" xfId="0" applyFont="1" applyFill="1" applyAlignment="1">
      <alignment horizontal="center" vertical="center" wrapText="1"/>
    </xf>
    <xf numFmtId="0" fontId="6" fillId="0" borderId="0" xfId="0" applyFont="1" applyAlignment="1">
      <alignment wrapText="1"/>
    </xf>
    <xf numFmtId="0" fontId="0" fillId="0" borderId="0" xfId="0" applyAlignment="1">
      <alignment horizontal="center" vertical="center" wrapText="1"/>
    </xf>
    <xf numFmtId="0" fontId="13" fillId="28" borderId="4" xfId="0" applyFont="1" applyFill="1" applyBorder="1" applyAlignment="1">
      <alignment wrapText="1"/>
    </xf>
    <xf numFmtId="0" fontId="13" fillId="25" borderId="2" xfId="0" applyFont="1" applyFill="1" applyBorder="1" applyAlignment="1">
      <alignment wrapText="1"/>
    </xf>
    <xf numFmtId="0" fontId="6" fillId="14" borderId="1" xfId="0" applyFont="1" applyFill="1" applyBorder="1" applyAlignment="1">
      <alignment horizontal="center" vertical="center" wrapText="1"/>
    </xf>
    <xf numFmtId="0" fontId="13" fillId="25" borderId="10" xfId="0" applyFont="1" applyFill="1" applyBorder="1" applyAlignment="1">
      <alignment wrapText="1"/>
    </xf>
    <xf numFmtId="0" fontId="20" fillId="28" borderId="1" xfId="0" applyFont="1" applyFill="1" applyBorder="1" applyAlignment="1">
      <alignment wrapText="1"/>
    </xf>
    <xf numFmtId="176" fontId="0" fillId="0" borderId="0" xfId="0" applyNumberFormat="1" applyAlignment="1">
      <alignment wrapText="1"/>
    </xf>
    <xf numFmtId="0" fontId="13" fillId="0" borderId="0" xfId="0" applyFont="1" applyAlignment="1">
      <alignment wrapText="1"/>
    </xf>
    <xf numFmtId="169" fontId="6" fillId="0" borderId="1" xfId="0" applyNumberFormat="1" applyFont="1" applyBorder="1" applyAlignment="1">
      <alignment horizontal="center" vertical="center" wrapText="1"/>
    </xf>
    <xf numFmtId="9" fontId="0" fillId="0" borderId="0" xfId="0" applyNumberFormat="1" applyAlignment="1">
      <alignment horizontal="center" vertical="center" wrapText="1"/>
    </xf>
    <xf numFmtId="1" fontId="0" fillId="0" borderId="0" xfId="0" applyNumberFormat="1" applyAlignment="1">
      <alignment horizontal="center" vertical="center" wrapText="1"/>
    </xf>
    <xf numFmtId="165" fontId="9" fillId="0" borderId="0" xfId="0" applyNumberFormat="1" applyFont="1" applyAlignment="1">
      <alignment horizontal="center" vertical="center" wrapText="1"/>
    </xf>
    <xf numFmtId="0" fontId="68" fillId="65" borderId="34" xfId="0" applyFont="1" applyFill="1" applyBorder="1" applyAlignment="1">
      <alignment vertical="center" wrapText="1"/>
    </xf>
    <xf numFmtId="0" fontId="13" fillId="25" borderId="1" xfId="0" applyFont="1" applyFill="1" applyBorder="1" applyAlignment="1">
      <alignment wrapText="1"/>
    </xf>
    <xf numFmtId="169" fontId="6" fillId="15" borderId="1" xfId="0" applyNumberFormat="1" applyFont="1" applyFill="1" applyBorder="1" applyAlignment="1">
      <alignment horizontal="center" vertical="center" wrapText="1"/>
    </xf>
    <xf numFmtId="0" fontId="13" fillId="25" borderId="3" xfId="0" applyFont="1" applyFill="1" applyBorder="1" applyAlignment="1">
      <alignment horizontal="center" wrapText="1"/>
    </xf>
    <xf numFmtId="0" fontId="13" fillId="25" borderId="3" xfId="0" applyFont="1" applyFill="1" applyBorder="1" applyAlignment="1">
      <alignment wrapText="1"/>
    </xf>
    <xf numFmtId="0" fontId="13" fillId="25" borderId="8" xfId="0" applyFont="1" applyFill="1" applyBorder="1" applyAlignment="1">
      <alignment wrapText="1"/>
    </xf>
    <xf numFmtId="0" fontId="22" fillId="26" borderId="0" xfId="0" applyFont="1" applyFill="1" applyAlignment="1">
      <alignment wrapText="1"/>
    </xf>
    <xf numFmtId="166" fontId="6" fillId="15" borderId="1" xfId="0" applyNumberFormat="1" applyFont="1" applyFill="1" applyBorder="1" applyAlignment="1">
      <alignment wrapText="1"/>
    </xf>
    <xf numFmtId="0" fontId="13" fillId="25" borderId="6" xfId="0" applyFont="1" applyFill="1" applyBorder="1" applyAlignment="1">
      <alignment wrapText="1"/>
    </xf>
    <xf numFmtId="174" fontId="0" fillId="15" borderId="1" xfId="0" applyNumberFormat="1" applyFill="1" applyBorder="1" applyAlignment="1">
      <alignment wrapText="1"/>
    </xf>
    <xf numFmtId="0" fontId="14" fillId="14" borderId="38" xfId="0" applyFont="1" applyFill="1" applyBorder="1" applyAlignment="1">
      <alignment horizontal="center" vertical="center" wrapText="1"/>
    </xf>
    <xf numFmtId="0" fontId="14" fillId="0" borderId="38" xfId="0" applyFont="1" applyBorder="1" applyAlignment="1">
      <alignment horizontal="center" vertical="center" wrapText="1"/>
    </xf>
    <xf numFmtId="0" fontId="6" fillId="14" borderId="38" xfId="0" applyFont="1" applyFill="1" applyBorder="1" applyAlignment="1">
      <alignment horizontal="center" vertical="center" wrapText="1"/>
    </xf>
    <xf numFmtId="165" fontId="14" fillId="15" borderId="38" xfId="0" applyNumberFormat="1" applyFont="1" applyFill="1" applyBorder="1" applyAlignment="1">
      <alignment horizontal="center" vertical="center" wrapText="1"/>
    </xf>
    <xf numFmtId="166" fontId="6" fillId="0" borderId="38" xfId="0" applyNumberFormat="1" applyFont="1" applyBorder="1" applyAlignment="1">
      <alignment horizontal="center" vertical="center"/>
    </xf>
    <xf numFmtId="166" fontId="14" fillId="0" borderId="38" xfId="0" applyNumberFormat="1" applyFont="1" applyBorder="1" applyAlignment="1">
      <alignment horizontal="center" vertical="center" wrapText="1"/>
    </xf>
    <xf numFmtId="0" fontId="14" fillId="13" borderId="38" xfId="0" applyFont="1" applyFill="1" applyBorder="1" applyAlignment="1">
      <alignment horizontal="center" vertical="center" wrapText="1"/>
    </xf>
    <xf numFmtId="166" fontId="20" fillId="16" borderId="38" xfId="0" applyNumberFormat="1" applyFont="1" applyFill="1" applyBorder="1" applyAlignment="1">
      <alignment horizontal="center" vertical="center" wrapText="1"/>
    </xf>
    <xf numFmtId="0" fontId="23" fillId="19" borderId="38" xfId="0" applyFont="1" applyFill="1" applyBorder="1" applyAlignment="1">
      <alignment horizontal="center" vertical="center" wrapText="1"/>
    </xf>
    <xf numFmtId="165" fontId="14" fillId="0" borderId="3" xfId="0" applyNumberFormat="1" applyFont="1" applyBorder="1" applyAlignment="1">
      <alignment wrapText="1"/>
    </xf>
    <xf numFmtId="0" fontId="21" fillId="14" borderId="38" xfId="0" applyFont="1" applyFill="1" applyBorder="1" applyAlignment="1">
      <alignment horizontal="center" vertical="center" wrapText="1"/>
    </xf>
    <xf numFmtId="0" fontId="21" fillId="13" borderId="38" xfId="0" applyFont="1" applyFill="1" applyBorder="1" applyAlignment="1">
      <alignment horizontal="center" vertical="center" wrapText="1"/>
    </xf>
    <xf numFmtId="0" fontId="24" fillId="36" borderId="38" xfId="0" applyFont="1" applyFill="1" applyBorder="1" applyAlignment="1">
      <alignment horizontal="center" vertical="center"/>
    </xf>
    <xf numFmtId="0" fontId="22" fillId="17" borderId="38" xfId="0" applyFont="1" applyFill="1" applyBorder="1" applyAlignment="1">
      <alignment horizontal="center" vertical="center" wrapText="1"/>
    </xf>
    <xf numFmtId="0" fontId="24" fillId="18" borderId="38" xfId="0" applyFont="1" applyFill="1" applyBorder="1" applyAlignment="1">
      <alignment horizontal="center" vertical="center" wrapText="1"/>
    </xf>
    <xf numFmtId="165" fontId="21" fillId="18" borderId="38" xfId="0" applyNumberFormat="1" applyFont="1" applyFill="1" applyBorder="1" applyAlignment="1">
      <alignment horizontal="center" vertical="center" wrapText="1"/>
    </xf>
    <xf numFmtId="166" fontId="14" fillId="18" borderId="38" xfId="0" applyNumberFormat="1" applyFont="1" applyFill="1" applyBorder="1" applyAlignment="1">
      <alignment horizontal="center" vertical="center" wrapText="1"/>
    </xf>
    <xf numFmtId="0" fontId="23" fillId="17" borderId="38" xfId="0" applyFont="1" applyFill="1" applyBorder="1" applyAlignment="1">
      <alignment horizontal="center" vertical="center" wrapText="1"/>
    </xf>
    <xf numFmtId="0" fontId="23" fillId="17" borderId="38" xfId="0" applyFont="1" applyFill="1" applyBorder="1" applyAlignment="1">
      <alignment vertical="center" wrapText="1"/>
    </xf>
    <xf numFmtId="0" fontId="19" fillId="0" borderId="40" xfId="0" applyFont="1" applyBorder="1"/>
    <xf numFmtId="0" fontId="9" fillId="114" borderId="38" xfId="0" applyFont="1" applyFill="1" applyBorder="1" applyAlignment="1">
      <alignment horizontal="center" vertical="center" wrapText="1"/>
    </xf>
    <xf numFmtId="0" fontId="24" fillId="14" borderId="38" xfId="0" applyFont="1" applyFill="1" applyBorder="1" applyAlignment="1">
      <alignment horizontal="center" vertical="center"/>
    </xf>
    <xf numFmtId="0" fontId="21" fillId="20" borderId="38" xfId="0" applyFont="1" applyFill="1" applyBorder="1" applyAlignment="1">
      <alignment horizontal="center" vertical="center" wrapText="1"/>
    </xf>
    <xf numFmtId="0" fontId="24" fillId="20" borderId="38" xfId="0" applyFont="1" applyFill="1" applyBorder="1" applyAlignment="1">
      <alignment horizontal="center" vertical="center" wrapText="1"/>
    </xf>
    <xf numFmtId="0" fontId="19" fillId="0" borderId="38" xfId="0" applyFont="1" applyBorder="1" applyAlignment="1">
      <alignment horizontal="center" vertical="center" wrapText="1"/>
    </xf>
    <xf numFmtId="0" fontId="14" fillId="21" borderId="38" xfId="0" applyFont="1" applyFill="1" applyBorder="1" applyAlignment="1">
      <alignment horizontal="center" vertical="center" wrapText="1"/>
    </xf>
    <xf numFmtId="0" fontId="6" fillId="0" borderId="38" xfId="0" applyFont="1" applyBorder="1" applyAlignment="1">
      <alignment horizontal="center" vertical="center"/>
    </xf>
    <xf numFmtId="1" fontId="14" fillId="0" borderId="38" xfId="0" applyNumberFormat="1" applyFont="1" applyBorder="1" applyAlignment="1">
      <alignment horizontal="center" vertical="center" wrapText="1"/>
    </xf>
    <xf numFmtId="165" fontId="14" fillId="0" borderId="38" xfId="0" applyNumberFormat="1" applyFont="1" applyBorder="1" applyAlignment="1">
      <alignment horizontal="center" vertical="center" wrapText="1"/>
    </xf>
    <xf numFmtId="9" fontId="14" fillId="0" borderId="38" xfId="0" applyNumberFormat="1" applyFont="1" applyBorder="1" applyAlignment="1">
      <alignment horizontal="center" vertical="center" wrapText="1"/>
    </xf>
    <xf numFmtId="1" fontId="0" fillId="0" borderId="38" xfId="0" applyNumberFormat="1" applyBorder="1" applyAlignment="1">
      <alignment horizontal="center" vertical="center" wrapText="1"/>
    </xf>
    <xf numFmtId="168" fontId="14" fillId="0" borderId="38" xfId="0" applyNumberFormat="1" applyFont="1" applyBorder="1" applyAlignment="1">
      <alignment horizontal="center" vertical="center" wrapText="1"/>
    </xf>
    <xf numFmtId="169" fontId="14" fillId="0" borderId="38" xfId="0" applyNumberFormat="1" applyFont="1" applyBorder="1" applyAlignment="1">
      <alignment wrapText="1"/>
    </xf>
    <xf numFmtId="0" fontId="9" fillId="0" borderId="38" xfId="31" applyFont="1" applyBorder="1" applyAlignment="1">
      <alignment horizontal="center" vertical="center"/>
    </xf>
    <xf numFmtId="0" fontId="0" fillId="0" borderId="38" xfId="0" applyBorder="1" applyAlignment="1">
      <alignment horizontal="center" vertical="center"/>
    </xf>
    <xf numFmtId="9" fontId="0" fillId="0" borderId="38" xfId="0" applyNumberFormat="1" applyBorder="1" applyAlignment="1">
      <alignment horizontal="center" vertical="center" wrapText="1"/>
    </xf>
    <xf numFmtId="0" fontId="19" fillId="0" borderId="38" xfId="0" applyFont="1" applyBorder="1"/>
    <xf numFmtId="0" fontId="14" fillId="0" borderId="38" xfId="0" applyFont="1" applyBorder="1" applyAlignment="1">
      <alignment horizontal="center" wrapText="1"/>
    </xf>
    <xf numFmtId="0" fontId="0" fillId="0" borderId="38" xfId="0" applyBorder="1" applyAlignment="1">
      <alignment horizontal="center" vertical="center" wrapText="1"/>
    </xf>
    <xf numFmtId="0" fontId="6" fillId="0" borderId="38" xfId="0" applyFont="1" applyBorder="1"/>
    <xf numFmtId="195" fontId="6" fillId="0" borderId="38" xfId="0" applyNumberFormat="1" applyFont="1" applyBorder="1"/>
    <xf numFmtId="168" fontId="6" fillId="0" borderId="38" xfId="0" applyNumberFormat="1" applyFont="1" applyBorder="1" applyAlignment="1">
      <alignment wrapText="1"/>
    </xf>
    <xf numFmtId="43" fontId="6" fillId="0" borderId="38" xfId="0" applyNumberFormat="1" applyFont="1" applyBorder="1"/>
    <xf numFmtId="0" fontId="6" fillId="93" borderId="38" xfId="0" applyFont="1" applyFill="1" applyBorder="1"/>
    <xf numFmtId="0" fontId="6" fillId="93" borderId="38" xfId="0" applyFont="1" applyFill="1" applyBorder="1" applyAlignment="1">
      <alignment wrapText="1"/>
    </xf>
    <xf numFmtId="0" fontId="13" fillId="25" borderId="38" xfId="0" applyFont="1" applyFill="1" applyBorder="1" applyAlignment="1">
      <alignment horizontal="center" wrapText="1"/>
    </xf>
    <xf numFmtId="0" fontId="0" fillId="0" borderId="38" xfId="0" applyBorder="1"/>
    <xf numFmtId="0" fontId="0" fillId="0" borderId="38" xfId="0" applyBorder="1" applyAlignment="1">
      <alignment wrapText="1"/>
    </xf>
    <xf numFmtId="0" fontId="13" fillId="25" borderId="38" xfId="0" applyFont="1" applyFill="1" applyBorder="1" applyAlignment="1">
      <alignment wrapText="1"/>
    </xf>
    <xf numFmtId="0" fontId="13" fillId="25" borderId="38" xfId="0" applyFont="1" applyFill="1" applyBorder="1"/>
    <xf numFmtId="165" fontId="13" fillId="56" borderId="38" xfId="0" applyNumberFormat="1" applyFont="1" applyFill="1" applyBorder="1"/>
    <xf numFmtId="165" fontId="13" fillId="56" borderId="38" xfId="0" applyNumberFormat="1" applyFont="1" applyFill="1" applyBorder="1" applyAlignment="1">
      <alignment wrapText="1"/>
    </xf>
    <xf numFmtId="165" fontId="13" fillId="53" borderId="38" xfId="0" applyNumberFormat="1" applyFont="1" applyFill="1" applyBorder="1"/>
    <xf numFmtId="165" fontId="0" fillId="0" borderId="38" xfId="0" applyNumberFormat="1" applyBorder="1"/>
    <xf numFmtId="165" fontId="0" fillId="0" borderId="38" xfId="0" applyNumberFormat="1" applyBorder="1" applyAlignment="1">
      <alignment wrapText="1"/>
    </xf>
    <xf numFmtId="0" fontId="13" fillId="56" borderId="38" xfId="0" applyFont="1" applyFill="1" applyBorder="1"/>
    <xf numFmtId="1" fontId="13" fillId="56" borderId="38" xfId="0" applyNumberFormat="1" applyFont="1" applyFill="1" applyBorder="1"/>
    <xf numFmtId="165" fontId="0" fillId="56" borderId="38" xfId="0" applyNumberFormat="1" applyFill="1" applyBorder="1" applyAlignment="1">
      <alignment wrapText="1"/>
    </xf>
    <xf numFmtId="1" fontId="13" fillId="53" borderId="38" xfId="0" applyNumberFormat="1" applyFont="1" applyFill="1" applyBorder="1"/>
    <xf numFmtId="1" fontId="0" fillId="0" borderId="38" xfId="0" applyNumberFormat="1" applyBorder="1"/>
    <xf numFmtId="1" fontId="0" fillId="0" borderId="38" xfId="0" applyNumberFormat="1" applyBorder="1" applyAlignment="1">
      <alignment wrapText="1"/>
    </xf>
    <xf numFmtId="0" fontId="13" fillId="0" borderId="38" xfId="0" applyFont="1" applyBorder="1"/>
    <xf numFmtId="165" fontId="13" fillId="0" borderId="38" xfId="0" applyNumberFormat="1" applyFont="1" applyBorder="1"/>
    <xf numFmtId="0" fontId="9" fillId="22" borderId="38" xfId="0" applyFont="1" applyFill="1" applyBorder="1" applyAlignment="1">
      <alignment wrapText="1"/>
    </xf>
    <xf numFmtId="0" fontId="22" fillId="26" borderId="38" xfId="0" applyFont="1" applyFill="1" applyBorder="1" applyAlignment="1">
      <alignment wrapText="1"/>
    </xf>
    <xf numFmtId="169" fontId="21" fillId="0" borderId="38" xfId="0" applyNumberFormat="1" applyFont="1" applyBorder="1"/>
    <xf numFmtId="169" fontId="21" fillId="0" borderId="38" xfId="0" applyNumberFormat="1" applyFont="1" applyBorder="1" applyAlignment="1">
      <alignment wrapText="1"/>
    </xf>
    <xf numFmtId="173" fontId="14" fillId="0" borderId="38" xfId="0" applyNumberFormat="1" applyFont="1" applyBorder="1"/>
    <xf numFmtId="191" fontId="21" fillId="0" borderId="38" xfId="0" applyNumberFormat="1" applyFont="1" applyBorder="1"/>
    <xf numFmtId="0" fontId="24" fillId="24" borderId="38" xfId="0" applyFont="1" applyFill="1" applyBorder="1"/>
    <xf numFmtId="0" fontId="24" fillId="15" borderId="38" xfId="0" applyFont="1" applyFill="1" applyBorder="1" applyAlignment="1">
      <alignment horizontal="center"/>
    </xf>
    <xf numFmtId="0" fontId="24" fillId="24" borderId="38" xfId="0" applyFont="1" applyFill="1" applyBorder="1" applyAlignment="1">
      <alignment horizontal="center"/>
    </xf>
    <xf numFmtId="170" fontId="24" fillId="15" borderId="38" xfId="0" applyNumberFormat="1" applyFont="1" applyFill="1" applyBorder="1"/>
    <xf numFmtId="0" fontId="6" fillId="24" borderId="38" xfId="0" applyFont="1" applyFill="1" applyBorder="1" applyAlignment="1">
      <alignment horizontal="center"/>
    </xf>
    <xf numFmtId="2" fontId="24" fillId="96" borderId="38" xfId="0" applyNumberFormat="1" applyFont="1" applyFill="1" applyBorder="1" applyAlignment="1">
      <alignment horizontal="center"/>
    </xf>
    <xf numFmtId="2" fontId="24" fillId="15" borderId="38" xfId="0" applyNumberFormat="1" applyFont="1" applyFill="1" applyBorder="1" applyAlignment="1">
      <alignment horizontal="center"/>
    </xf>
    <xf numFmtId="0" fontId="24" fillId="15" borderId="38" xfId="0" applyFont="1" applyFill="1" applyBorder="1"/>
    <xf numFmtId="170" fontId="24" fillId="0" borderId="38" xfId="0" applyNumberFormat="1" applyFont="1" applyBorder="1" applyAlignment="1">
      <alignment horizontal="center"/>
    </xf>
    <xf numFmtId="2" fontId="24" fillId="97" borderId="38" xfId="0" applyNumberFormat="1" applyFont="1" applyFill="1" applyBorder="1" applyAlignment="1">
      <alignment horizontal="center"/>
    </xf>
    <xf numFmtId="2" fontId="24" fillId="0" borderId="38" xfId="0" applyNumberFormat="1" applyFont="1" applyBorder="1" applyAlignment="1">
      <alignment horizontal="center"/>
    </xf>
    <xf numFmtId="9" fontId="24" fillId="0" borderId="38" xfId="0" applyNumberFormat="1" applyFont="1" applyBorder="1" applyAlignment="1">
      <alignment horizontal="center"/>
    </xf>
    <xf numFmtId="171" fontId="24" fillId="0" borderId="38" xfId="0" applyNumberFormat="1" applyFont="1" applyBorder="1" applyAlignment="1">
      <alignment horizontal="center"/>
    </xf>
    <xf numFmtId="198" fontId="24" fillId="0" borderId="38" xfId="0" applyNumberFormat="1" applyFont="1" applyBorder="1" applyAlignment="1">
      <alignment horizontal="center"/>
    </xf>
    <xf numFmtId="171" fontId="24" fillId="8" borderId="38" xfId="0" applyNumberFormat="1" applyFont="1" applyFill="1" applyBorder="1" applyAlignment="1">
      <alignment horizontal="center"/>
    </xf>
    <xf numFmtId="198" fontId="6" fillId="44" borderId="38" xfId="0" applyNumberFormat="1" applyFont="1" applyFill="1" applyBorder="1"/>
    <xf numFmtId="0" fontId="6" fillId="44" borderId="38" xfId="0" applyFont="1" applyFill="1" applyBorder="1"/>
    <xf numFmtId="2" fontId="6" fillId="44" borderId="38" xfId="0" applyNumberFormat="1" applyFont="1" applyFill="1" applyBorder="1"/>
    <xf numFmtId="0" fontId="68" fillId="65" borderId="35" xfId="0" applyFont="1" applyFill="1" applyBorder="1" applyAlignment="1">
      <alignment vertical="center"/>
    </xf>
    <xf numFmtId="0" fontId="68" fillId="65" borderId="39" xfId="0" applyFont="1" applyFill="1" applyBorder="1" applyAlignment="1">
      <alignment vertical="center"/>
    </xf>
    <xf numFmtId="0" fontId="68" fillId="65" borderId="38" xfId="0" applyFont="1" applyFill="1" applyBorder="1" applyAlignment="1">
      <alignment horizontal="center" vertical="center" wrapText="1"/>
    </xf>
    <xf numFmtId="0" fontId="68" fillId="65" borderId="38" xfId="0" applyFont="1" applyFill="1" applyBorder="1" applyAlignment="1">
      <alignment horizontal="center" vertical="center"/>
    </xf>
    <xf numFmtId="0" fontId="21" fillId="66" borderId="38" xfId="0" applyFont="1" applyFill="1" applyBorder="1" applyAlignment="1">
      <alignment horizontal="center" vertical="center" wrapText="1"/>
    </xf>
    <xf numFmtId="0" fontId="66" fillId="0" borderId="38" xfId="0" applyFont="1" applyBorder="1" applyAlignment="1">
      <alignment horizontal="center" vertical="center" wrapText="1"/>
    </xf>
    <xf numFmtId="0" fontId="66" fillId="0" borderId="38" xfId="0" applyFont="1" applyBorder="1" applyAlignment="1">
      <alignment horizontal="center" vertical="center"/>
    </xf>
    <xf numFmtId="0" fontId="67" fillId="0" borderId="38" xfId="0" applyFont="1" applyBorder="1" applyAlignment="1">
      <alignment horizontal="center" vertical="center" wrapText="1"/>
    </xf>
    <xf numFmtId="0" fontId="68" fillId="65" borderId="41" xfId="0" applyFont="1" applyFill="1" applyBorder="1" applyAlignment="1">
      <alignment vertical="center"/>
    </xf>
    <xf numFmtId="0" fontId="68" fillId="65" borderId="42" xfId="0" applyFont="1" applyFill="1" applyBorder="1" applyAlignment="1">
      <alignment vertical="center" wrapText="1"/>
    </xf>
    <xf numFmtId="0" fontId="68" fillId="65" borderId="42" xfId="0" applyFont="1" applyFill="1" applyBorder="1" applyAlignment="1">
      <alignment vertical="center"/>
    </xf>
    <xf numFmtId="0" fontId="22" fillId="27" borderId="38" xfId="0" applyFont="1" applyFill="1" applyBorder="1" applyAlignment="1">
      <alignment wrapText="1"/>
    </xf>
    <xf numFmtId="10" fontId="6" fillId="15" borderId="38" xfId="0" applyNumberFormat="1" applyFont="1" applyFill="1" applyBorder="1"/>
    <xf numFmtId="172" fontId="6" fillId="15" borderId="38" xfId="0" applyNumberFormat="1" applyFont="1" applyFill="1" applyBorder="1"/>
    <xf numFmtId="10" fontId="6" fillId="0" borderId="38" xfId="0" applyNumberFormat="1" applyFont="1" applyBorder="1"/>
    <xf numFmtId="0" fontId="22" fillId="27" borderId="38" xfId="0" applyFont="1" applyFill="1" applyBorder="1"/>
    <xf numFmtId="1" fontId="38" fillId="105" borderId="38" xfId="14" applyNumberFormat="1" applyFill="1" applyBorder="1"/>
    <xf numFmtId="166" fontId="6" fillId="15" borderId="38" xfId="0" applyNumberFormat="1" applyFont="1" applyFill="1" applyBorder="1" applyAlignment="1">
      <alignment wrapText="1"/>
    </xf>
    <xf numFmtId="182" fontId="75" fillId="106" borderId="38" xfId="10" applyNumberFormat="1" applyFont="1" applyFill="1" applyBorder="1"/>
    <xf numFmtId="182" fontId="75" fillId="106" borderId="38" xfId="10" applyNumberFormat="1" applyFont="1" applyFill="1" applyBorder="1" applyAlignment="1">
      <alignment wrapText="1"/>
    </xf>
    <xf numFmtId="168" fontId="6" fillId="0" borderId="38" xfId="0" applyNumberFormat="1" applyFont="1" applyBorder="1"/>
    <xf numFmtId="169" fontId="6" fillId="0" borderId="38" xfId="0" applyNumberFormat="1" applyFont="1" applyBorder="1"/>
    <xf numFmtId="169" fontId="25" fillId="0" borderId="38" xfId="0" applyNumberFormat="1" applyFont="1" applyBorder="1" applyAlignment="1">
      <alignment wrapText="1"/>
    </xf>
    <xf numFmtId="0" fontId="6" fillId="15" borderId="38" xfId="0" applyFont="1" applyFill="1" applyBorder="1"/>
    <xf numFmtId="174" fontId="0" fillId="15" borderId="38" xfId="0" applyNumberFormat="1" applyFill="1" applyBorder="1"/>
    <xf numFmtId="174" fontId="0" fillId="15" borderId="38" xfId="0" applyNumberFormat="1" applyFill="1" applyBorder="1" applyAlignment="1">
      <alignment wrapText="1"/>
    </xf>
    <xf numFmtId="169" fontId="6" fillId="0" borderId="38" xfId="0" applyNumberFormat="1" applyFont="1" applyBorder="1" applyAlignment="1">
      <alignment wrapText="1"/>
    </xf>
    <xf numFmtId="0" fontId="13" fillId="28" borderId="38" xfId="0" applyFont="1" applyFill="1" applyBorder="1" applyAlignment="1">
      <alignment wrapText="1"/>
    </xf>
    <xf numFmtId="169" fontId="20" fillId="28" borderId="38" xfId="0" applyNumberFormat="1" applyFont="1" applyFill="1" applyBorder="1"/>
    <xf numFmtId="0" fontId="20" fillId="28" borderId="38" xfId="0" applyFont="1" applyFill="1" applyBorder="1" applyAlignment="1">
      <alignment wrapText="1"/>
    </xf>
    <xf numFmtId="175" fontId="6" fillId="0" borderId="38" xfId="0" applyNumberFormat="1" applyFont="1" applyBorder="1"/>
    <xf numFmtId="165" fontId="6" fillId="0" borderId="38" xfId="0" applyNumberFormat="1" applyFont="1" applyBorder="1" applyAlignment="1">
      <alignment wrapText="1"/>
    </xf>
    <xf numFmtId="175" fontId="6" fillId="15" borderId="38" xfId="0" applyNumberFormat="1" applyFont="1" applyFill="1" applyBorder="1"/>
    <xf numFmtId="0" fontId="13" fillId="28" borderId="38" xfId="0" applyFont="1" applyFill="1" applyBorder="1"/>
    <xf numFmtId="169" fontId="20" fillId="28" borderId="38" xfId="0" applyNumberFormat="1" applyFont="1" applyFill="1" applyBorder="1" applyAlignment="1">
      <alignment wrapText="1"/>
    </xf>
    <xf numFmtId="169" fontId="6" fillId="15" borderId="38" xfId="0" applyNumberFormat="1" applyFont="1" applyFill="1" applyBorder="1" applyAlignment="1">
      <alignment horizontal="center" vertical="center" wrapText="1"/>
    </xf>
    <xf numFmtId="0" fontId="19" fillId="29" borderId="38" xfId="0" applyFont="1" applyFill="1" applyBorder="1"/>
    <xf numFmtId="2" fontId="6" fillId="0" borderId="38" xfId="0" applyNumberFormat="1" applyFont="1" applyBorder="1" applyAlignment="1">
      <alignment horizontal="center" vertical="center" wrapText="1"/>
    </xf>
    <xf numFmtId="1" fontId="6" fillId="0" borderId="38" xfId="0" applyNumberFormat="1" applyFont="1" applyBorder="1" applyAlignment="1">
      <alignment horizontal="center" vertical="center"/>
    </xf>
    <xf numFmtId="1" fontId="6" fillId="0" borderId="38" xfId="0" applyNumberFormat="1" applyFont="1" applyBorder="1" applyAlignment="1">
      <alignment horizontal="center" vertical="center" wrapText="1"/>
    </xf>
    <xf numFmtId="2" fontId="14" fillId="0" borderId="38" xfId="0" applyNumberFormat="1" applyFont="1" applyBorder="1" applyAlignment="1">
      <alignment horizontal="center" vertical="center" wrapText="1"/>
    </xf>
    <xf numFmtId="0" fontId="23" fillId="30" borderId="38" xfId="0" applyFont="1" applyFill="1" applyBorder="1" applyAlignment="1">
      <alignment horizontal="center" vertical="center" wrapText="1"/>
    </xf>
    <xf numFmtId="0" fontId="29" fillId="30" borderId="38" xfId="0" applyFont="1" applyFill="1" applyBorder="1" applyAlignment="1">
      <alignment horizontal="center" vertical="center"/>
    </xf>
    <xf numFmtId="0" fontId="6" fillId="0" borderId="38" xfId="0" applyFont="1" applyBorder="1" applyAlignment="1">
      <alignment wrapText="1"/>
    </xf>
    <xf numFmtId="0" fontId="29" fillId="30" borderId="38" xfId="0" applyFont="1" applyFill="1" applyBorder="1" applyAlignment="1">
      <alignment horizontal="center" vertical="center" wrapText="1"/>
    </xf>
    <xf numFmtId="0" fontId="29" fillId="70" borderId="38" xfId="0" applyFont="1" applyFill="1" applyBorder="1" applyAlignment="1">
      <alignment horizontal="center" vertical="center"/>
    </xf>
    <xf numFmtId="0" fontId="29" fillId="70" borderId="38" xfId="0" applyFont="1" applyFill="1" applyBorder="1" applyAlignment="1">
      <alignment horizontal="center" vertical="center" wrapText="1"/>
    </xf>
    <xf numFmtId="176" fontId="28" fillId="31" borderId="38" xfId="0" applyNumberFormat="1" applyFont="1" applyFill="1" applyBorder="1" applyAlignment="1">
      <alignment wrapText="1"/>
    </xf>
    <xf numFmtId="176" fontId="28" fillId="31" borderId="38" xfId="0" applyNumberFormat="1" applyFont="1" applyFill="1" applyBorder="1"/>
    <xf numFmtId="176" fontId="0" fillId="0" borderId="38" xfId="0" applyNumberFormat="1" applyBorder="1" applyAlignment="1">
      <alignment wrapText="1"/>
    </xf>
    <xf numFmtId="176" fontId="14" fillId="0" borderId="38" xfId="0" applyNumberFormat="1" applyFont="1" applyBorder="1" applyAlignment="1">
      <alignment wrapText="1"/>
    </xf>
    <xf numFmtId="168" fontId="6" fillId="0" borderId="38" xfId="0" applyNumberFormat="1" applyFont="1" applyBorder="1" applyAlignment="1">
      <alignment horizontal="center" vertical="center" wrapText="1"/>
    </xf>
    <xf numFmtId="169" fontId="6" fillId="0" borderId="38" xfId="0" applyNumberFormat="1" applyFont="1" applyBorder="1" applyAlignment="1">
      <alignment horizontal="center" vertical="center" wrapText="1"/>
    </xf>
    <xf numFmtId="9" fontId="6" fillId="0" borderId="38" xfId="10" applyFont="1" applyBorder="1" applyAlignment="1">
      <alignment horizontal="center" vertical="center" wrapText="1"/>
    </xf>
    <xf numFmtId="176" fontId="6" fillId="0" borderId="38" xfId="0" applyNumberFormat="1" applyFont="1" applyBorder="1" applyAlignment="1">
      <alignment wrapText="1"/>
    </xf>
    <xf numFmtId="0" fontId="6" fillId="0" borderId="0" xfId="0" applyFont="1" applyAlignment="1">
      <alignment horizontal="left" wrapText="1"/>
    </xf>
    <xf numFmtId="0" fontId="6" fillId="0" borderId="0" xfId="0" applyFont="1" applyAlignment="1">
      <alignment horizontal="center" wrapText="1"/>
    </xf>
    <xf numFmtId="0" fontId="0" fillId="0" borderId="0" xfId="0" applyAlignment="1">
      <alignment horizontal="center" wrapText="1"/>
    </xf>
    <xf numFmtId="0" fontId="13" fillId="25" borderId="11" xfId="0" applyFont="1" applyFill="1" applyBorder="1" applyAlignment="1">
      <alignment horizontal="center" wrapText="1"/>
    </xf>
    <xf numFmtId="165" fontId="6" fillId="0" borderId="1" xfId="0" applyNumberFormat="1" applyFont="1" applyBorder="1" applyAlignment="1">
      <alignment horizontal="center" wrapText="1"/>
    </xf>
    <xf numFmtId="0" fontId="13" fillId="25" borderId="8" xfId="0" applyFont="1" applyFill="1" applyBorder="1" applyAlignment="1">
      <alignment horizontal="center" wrapText="1"/>
    </xf>
    <xf numFmtId="169" fontId="21" fillId="0" borderId="7" xfId="0" applyNumberFormat="1" applyFont="1" applyBorder="1" applyAlignment="1">
      <alignment wrapText="1"/>
    </xf>
    <xf numFmtId="0" fontId="14" fillId="14" borderId="38" xfId="0" applyFont="1" applyFill="1" applyBorder="1" applyAlignment="1">
      <alignment horizontal="left" vertical="center" wrapText="1"/>
    </xf>
    <xf numFmtId="178" fontId="14" fillId="0" borderId="38" xfId="0" applyNumberFormat="1" applyFont="1" applyBorder="1" applyAlignment="1">
      <alignment horizontal="center" vertical="center" wrapText="1"/>
    </xf>
    <xf numFmtId="165" fontId="14" fillId="0" borderId="8" xfId="0" applyNumberFormat="1" applyFont="1" applyBorder="1" applyAlignment="1">
      <alignment wrapText="1"/>
    </xf>
    <xf numFmtId="0" fontId="19" fillId="0" borderId="40" xfId="0" applyFont="1" applyBorder="1" applyAlignment="1">
      <alignment horizontal="center"/>
    </xf>
    <xf numFmtId="0" fontId="21" fillId="14" borderId="38" xfId="0" applyFont="1" applyFill="1" applyBorder="1" applyAlignment="1">
      <alignment horizontal="left" vertical="center" wrapText="1"/>
    </xf>
    <xf numFmtId="0" fontId="9" fillId="0" borderId="38" xfId="0" applyFont="1" applyBorder="1" applyAlignment="1">
      <alignment horizontal="center" vertical="center" wrapText="1"/>
    </xf>
    <xf numFmtId="0" fontId="0" fillId="0" borderId="38" xfId="0" applyBorder="1" applyAlignment="1">
      <alignment horizontal="left" vertical="center" wrapText="1"/>
    </xf>
    <xf numFmtId="43" fontId="14" fillId="0" borderId="38" xfId="0" applyNumberFormat="1" applyFont="1" applyBorder="1" applyAlignment="1">
      <alignment horizontal="center" wrapText="1"/>
    </xf>
    <xf numFmtId="0" fontId="19" fillId="0" borderId="38" xfId="0" applyFont="1" applyBorder="1" applyAlignment="1">
      <alignment horizontal="center"/>
    </xf>
    <xf numFmtId="0" fontId="6" fillId="0" borderId="38" xfId="0" applyFont="1" applyBorder="1" applyAlignment="1">
      <alignment horizontal="center"/>
    </xf>
    <xf numFmtId="0" fontId="0" fillId="56" borderId="38" xfId="0" applyFill="1" applyBorder="1" applyAlignment="1">
      <alignment horizontal="left" wrapText="1"/>
    </xf>
    <xf numFmtId="0" fontId="0" fillId="0" borderId="38" xfId="0" applyBorder="1" applyAlignment="1">
      <alignment horizontal="center" wrapText="1"/>
    </xf>
    <xf numFmtId="0" fontId="20" fillId="25" borderId="38" xfId="0" applyFont="1" applyFill="1" applyBorder="1" applyAlignment="1">
      <alignment horizontal="center" wrapText="1"/>
    </xf>
    <xf numFmtId="0" fontId="6" fillId="0" borderId="38" xfId="0" applyFont="1" applyBorder="1" applyAlignment="1">
      <alignment horizontal="center" wrapText="1"/>
    </xf>
    <xf numFmtId="0" fontId="13" fillId="25" borderId="38" xfId="0" applyFont="1" applyFill="1" applyBorder="1" applyAlignment="1">
      <alignment horizontal="center"/>
    </xf>
    <xf numFmtId="165" fontId="13" fillId="53" borderId="38" xfId="0" applyNumberFormat="1" applyFont="1" applyFill="1" applyBorder="1" applyAlignment="1">
      <alignment horizontal="center"/>
    </xf>
    <xf numFmtId="165" fontId="13" fillId="56" borderId="38" xfId="0" applyNumberFormat="1" applyFont="1" applyFill="1" applyBorder="1" applyAlignment="1">
      <alignment horizontal="center" wrapText="1"/>
    </xf>
    <xf numFmtId="165" fontId="13" fillId="56" borderId="38" xfId="0" applyNumberFormat="1" applyFont="1" applyFill="1" applyBorder="1" applyAlignment="1">
      <alignment horizontal="center"/>
    </xf>
    <xf numFmtId="0" fontId="13" fillId="56" borderId="38" xfId="0" applyFont="1" applyFill="1" applyBorder="1" applyAlignment="1">
      <alignment horizontal="center"/>
    </xf>
    <xf numFmtId="165" fontId="0" fillId="0" borderId="38" xfId="0" applyNumberFormat="1" applyBorder="1" applyAlignment="1">
      <alignment horizontal="center" wrapText="1"/>
    </xf>
    <xf numFmtId="0" fontId="0" fillId="0" borderId="38" xfId="0" applyBorder="1" applyAlignment="1">
      <alignment horizontal="center"/>
    </xf>
    <xf numFmtId="165" fontId="0" fillId="0" borderId="38" xfId="0" applyNumberFormat="1" applyBorder="1" applyAlignment="1">
      <alignment horizontal="center"/>
    </xf>
    <xf numFmtId="0" fontId="9" fillId="22" borderId="38" xfId="0" applyFont="1" applyFill="1" applyBorder="1" applyAlignment="1">
      <alignment horizontal="center" wrapText="1"/>
    </xf>
    <xf numFmtId="169" fontId="21" fillId="0" borderId="38" xfId="0" applyNumberFormat="1" applyFont="1" applyBorder="1" applyAlignment="1">
      <alignment horizontal="center"/>
    </xf>
    <xf numFmtId="0" fontId="6" fillId="24" borderId="38" xfId="0" applyFont="1" applyFill="1" applyBorder="1"/>
    <xf numFmtId="1" fontId="24" fillId="15" borderId="38" xfId="0" applyNumberFormat="1" applyFont="1" applyFill="1" applyBorder="1"/>
    <xf numFmtId="170" fontId="24" fillId="0" borderId="38" xfId="0" applyNumberFormat="1" applyFont="1" applyBorder="1"/>
    <xf numFmtId="9" fontId="24" fillId="0" borderId="38" xfId="0" applyNumberFormat="1" applyFont="1" applyBorder="1"/>
    <xf numFmtId="171" fontId="24" fillId="0" borderId="38" xfId="0" applyNumberFormat="1" applyFont="1" applyBorder="1"/>
    <xf numFmtId="0" fontId="24" fillId="0" borderId="38" xfId="0" applyFont="1" applyBorder="1"/>
    <xf numFmtId="198" fontId="24" fillId="8" borderId="38" xfId="0" applyNumberFormat="1" applyFont="1" applyFill="1" applyBorder="1"/>
    <xf numFmtId="10" fontId="0" fillId="15" borderId="38" xfId="0" applyNumberFormat="1" applyFill="1" applyBorder="1"/>
    <xf numFmtId="3" fontId="6" fillId="15" borderId="38" xfId="0" applyNumberFormat="1" applyFont="1" applyFill="1" applyBorder="1"/>
    <xf numFmtId="9" fontId="0" fillId="15" borderId="38" xfId="0" applyNumberFormat="1" applyFill="1" applyBorder="1"/>
    <xf numFmtId="179" fontId="6" fillId="0" borderId="38" xfId="0" applyNumberFormat="1" applyFont="1" applyBorder="1"/>
    <xf numFmtId="0" fontId="13" fillId="25" borderId="38" xfId="0" applyFont="1" applyFill="1" applyBorder="1" applyAlignment="1">
      <alignment horizontal="left" wrapText="1"/>
    </xf>
    <xf numFmtId="0" fontId="13" fillId="28" borderId="38" xfId="0" applyFont="1" applyFill="1" applyBorder="1" applyAlignment="1">
      <alignment horizontal="left" wrapText="1"/>
    </xf>
    <xf numFmtId="175" fontId="6" fillId="0" borderId="38" xfId="0" applyNumberFormat="1" applyFont="1" applyBorder="1" applyAlignment="1">
      <alignment horizontal="center"/>
    </xf>
    <xf numFmtId="165" fontId="6" fillId="0" borderId="38" xfId="0" applyNumberFormat="1" applyFont="1" applyBorder="1" applyAlignment="1">
      <alignment horizontal="center" wrapText="1"/>
    </xf>
    <xf numFmtId="175" fontId="6" fillId="15" borderId="38" xfId="0" applyNumberFormat="1" applyFont="1" applyFill="1" applyBorder="1" applyAlignment="1">
      <alignment horizontal="center"/>
    </xf>
    <xf numFmtId="166" fontId="6" fillId="0" borderId="38" xfId="0" applyNumberFormat="1" applyFont="1" applyBorder="1" applyAlignment="1">
      <alignment horizontal="center" wrapText="1"/>
    </xf>
    <xf numFmtId="0" fontId="24" fillId="14" borderId="38" xfId="0" applyFont="1" applyFill="1" applyBorder="1" applyAlignment="1">
      <alignment horizontal="left" vertical="center" wrapText="1"/>
    </xf>
    <xf numFmtId="0" fontId="24" fillId="14" borderId="38" xfId="0" applyFont="1" applyFill="1" applyBorder="1" applyAlignment="1">
      <alignment horizontal="center" vertical="center" wrapText="1"/>
    </xf>
    <xf numFmtId="0" fontId="23" fillId="30" borderId="38" xfId="0" applyFont="1" applyFill="1" applyBorder="1" applyAlignment="1">
      <alignment horizontal="left" vertical="center" wrapText="1"/>
    </xf>
    <xf numFmtId="176" fontId="28" fillId="31" borderId="38" xfId="0" applyNumberFormat="1" applyFont="1" applyFill="1" applyBorder="1" applyAlignment="1">
      <alignment horizontal="left" wrapText="1"/>
    </xf>
    <xf numFmtId="0" fontId="13" fillId="25" borderId="2" xfId="0" applyFont="1" applyFill="1" applyBorder="1" applyAlignment="1">
      <alignment horizontal="center" wrapText="1"/>
    </xf>
    <xf numFmtId="0" fontId="29" fillId="0" borderId="0" xfId="0" applyFont="1" applyAlignment="1">
      <alignment vertical="center" wrapText="1"/>
    </xf>
    <xf numFmtId="169" fontId="20" fillId="28" borderId="1" xfId="0" applyNumberFormat="1" applyFont="1" applyFill="1" applyBorder="1" applyAlignment="1">
      <alignment horizontal="center" vertical="center" wrapText="1"/>
    </xf>
    <xf numFmtId="0" fontId="21" fillId="22" borderId="0" xfId="0" applyFont="1" applyFill="1" applyAlignment="1">
      <alignment wrapText="1"/>
    </xf>
    <xf numFmtId="165" fontId="0" fillId="0" borderId="7" xfId="0" applyNumberFormat="1" applyBorder="1" applyAlignment="1">
      <alignment wrapText="1"/>
    </xf>
    <xf numFmtId="0" fontId="0" fillId="0" borderId="7" xfId="0" applyBorder="1" applyAlignment="1">
      <alignment wrapText="1"/>
    </xf>
    <xf numFmtId="0" fontId="22" fillId="27" borderId="3" xfId="0" applyFont="1" applyFill="1" applyBorder="1" applyAlignment="1">
      <alignment wrapText="1"/>
    </xf>
    <xf numFmtId="0" fontId="9" fillId="0" borderId="40" xfId="0" applyFont="1" applyBorder="1"/>
    <xf numFmtId="0" fontId="14" fillId="21" borderId="38" xfId="0" applyFont="1" applyFill="1" applyBorder="1" applyAlignment="1">
      <alignment horizontal="left" vertical="center" wrapText="1"/>
    </xf>
    <xf numFmtId="169" fontId="14" fillId="0" borderId="38" xfId="0" applyNumberFormat="1" applyFont="1" applyBorder="1" applyAlignment="1">
      <alignment horizontal="center" vertical="center" wrapText="1"/>
    </xf>
    <xf numFmtId="0" fontId="9" fillId="0" borderId="38" xfId="0" applyFont="1" applyBorder="1"/>
    <xf numFmtId="0" fontId="14" fillId="0" borderId="38" xfId="0" applyFont="1" applyBorder="1" applyAlignment="1">
      <alignment horizontal="left" vertical="center" wrapText="1"/>
    </xf>
    <xf numFmtId="0" fontId="13" fillId="53" borderId="38" xfId="0" applyFont="1" applyFill="1" applyBorder="1"/>
    <xf numFmtId="173" fontId="21" fillId="0" borderId="38" xfId="0" applyNumberFormat="1" applyFont="1" applyBorder="1" applyAlignment="1">
      <alignment wrapText="1"/>
    </xf>
    <xf numFmtId="43" fontId="24" fillId="8" borderId="38" xfId="0" applyNumberFormat="1" applyFont="1" applyFill="1" applyBorder="1"/>
    <xf numFmtId="169" fontId="20" fillId="28" borderId="38" xfId="0" applyNumberFormat="1" applyFont="1" applyFill="1" applyBorder="1" applyAlignment="1">
      <alignment horizontal="center" vertical="center" wrapText="1"/>
    </xf>
    <xf numFmtId="0" fontId="9" fillId="29" borderId="40" xfId="0" applyFont="1" applyFill="1" applyBorder="1"/>
    <xf numFmtId="0" fontId="9" fillId="29" borderId="38" xfId="0" applyFont="1" applyFill="1" applyBorder="1"/>
    <xf numFmtId="168" fontId="14" fillId="21" borderId="38" xfId="0" applyNumberFormat="1" applyFont="1" applyFill="1" applyBorder="1" applyAlignment="1">
      <alignment horizontal="center" vertical="center" wrapText="1"/>
    </xf>
    <xf numFmtId="175" fontId="14" fillId="0" borderId="38" xfId="0" applyNumberFormat="1" applyFont="1" applyBorder="1" applyAlignment="1">
      <alignment horizontal="center" vertical="center" wrapText="1"/>
    </xf>
    <xf numFmtId="1" fontId="14" fillId="21" borderId="38" xfId="0" applyNumberFormat="1" applyFont="1" applyFill="1" applyBorder="1" applyAlignment="1">
      <alignment horizontal="center" vertical="center" wrapText="1"/>
    </xf>
    <xf numFmtId="165" fontId="13" fillId="0" borderId="7" xfId="0" applyNumberFormat="1" applyFont="1" applyBorder="1" applyAlignment="1">
      <alignment wrapText="1"/>
    </xf>
    <xf numFmtId="0" fontId="6" fillId="0" borderId="0" xfId="0" applyFont="1" applyAlignment="1">
      <alignment horizontal="center" vertical="center" wrapText="1"/>
    </xf>
    <xf numFmtId="0" fontId="0" fillId="0" borderId="38" xfId="0" applyBorder="1" applyAlignment="1">
      <alignment vertical="center" wrapText="1"/>
    </xf>
    <xf numFmtId="0" fontId="14" fillId="21" borderId="38" xfId="0" applyFont="1" applyFill="1" applyBorder="1" applyAlignment="1">
      <alignment vertical="center" wrapText="1"/>
    </xf>
    <xf numFmtId="165" fontId="13" fillId="0" borderId="38" xfId="0" applyNumberFormat="1" applyFont="1" applyBorder="1" applyAlignment="1">
      <alignment wrapText="1"/>
    </xf>
    <xf numFmtId="169" fontId="24" fillId="0" borderId="38" xfId="0" applyNumberFormat="1" applyFont="1" applyBorder="1"/>
    <xf numFmtId="169" fontId="24" fillId="0" borderId="38" xfId="0" applyNumberFormat="1" applyFont="1" applyBorder="1" applyAlignment="1">
      <alignment wrapText="1"/>
    </xf>
    <xf numFmtId="191" fontId="24" fillId="0" borderId="38" xfId="0" applyNumberFormat="1" applyFont="1" applyBorder="1"/>
    <xf numFmtId="173" fontId="21" fillId="0" borderId="38" xfId="0" applyNumberFormat="1" applyFont="1" applyBorder="1"/>
    <xf numFmtId="2" fontId="24" fillId="15" borderId="38" xfId="0" applyNumberFormat="1" applyFont="1" applyFill="1" applyBorder="1"/>
    <xf numFmtId="171" fontId="24" fillId="15" borderId="38" xfId="0" applyNumberFormat="1" applyFont="1" applyFill="1" applyBorder="1"/>
    <xf numFmtId="10" fontId="24" fillId="0" borderId="38" xfId="0" applyNumberFormat="1" applyFont="1" applyBorder="1"/>
    <xf numFmtId="171" fontId="24" fillId="8" borderId="38" xfId="0" applyNumberFormat="1" applyFont="1" applyFill="1" applyBorder="1"/>
    <xf numFmtId="166" fontId="0" fillId="0" borderId="0" xfId="0" applyNumberFormat="1" applyAlignment="1">
      <alignment wrapText="1"/>
    </xf>
    <xf numFmtId="2" fontId="14" fillId="0" borderId="38" xfId="0" applyNumberFormat="1" applyFont="1" applyBorder="1" applyAlignment="1">
      <alignment vertical="center" wrapText="1"/>
    </xf>
    <xf numFmtId="0" fontId="14" fillId="0" borderId="38" xfId="0" applyFont="1" applyBorder="1" applyAlignment="1">
      <alignment vertical="center" wrapText="1"/>
    </xf>
    <xf numFmtId="1" fontId="13" fillId="56" borderId="38" xfId="0" applyNumberFormat="1" applyFont="1" applyFill="1" applyBorder="1" applyAlignment="1">
      <alignment wrapText="1"/>
    </xf>
    <xf numFmtId="204" fontId="24" fillId="15" borderId="38" xfId="0" applyNumberFormat="1" applyFont="1" applyFill="1" applyBorder="1"/>
    <xf numFmtId="169" fontId="0" fillId="0" borderId="38" xfId="0" applyNumberFormat="1" applyBorder="1" applyAlignment="1">
      <alignment horizontal="center" vertical="center" wrapText="1"/>
    </xf>
    <xf numFmtId="168" fontId="0" fillId="0" borderId="38" xfId="0" applyNumberFormat="1" applyBorder="1" applyAlignment="1">
      <alignment horizontal="center" vertical="center" wrapText="1"/>
    </xf>
    <xf numFmtId="175" fontId="0" fillId="0" borderId="38" xfId="0" applyNumberFormat="1" applyBorder="1" applyAlignment="1">
      <alignment horizontal="center" vertical="center" wrapText="1"/>
    </xf>
    <xf numFmtId="9" fontId="0" fillId="0" borderId="38" xfId="10" applyFont="1" applyBorder="1" applyAlignment="1">
      <alignment horizontal="center" vertical="center" wrapText="1"/>
    </xf>
    <xf numFmtId="1" fontId="6" fillId="0" borderId="0" xfId="0" applyNumberFormat="1" applyFont="1" applyAlignment="1">
      <alignment wrapText="1"/>
    </xf>
    <xf numFmtId="169" fontId="6" fillId="0" borderId="0" xfId="0" applyNumberFormat="1" applyFont="1" applyAlignment="1">
      <alignment wrapText="1"/>
    </xf>
    <xf numFmtId="168" fontId="6" fillId="0" borderId="0" xfId="0" applyNumberFormat="1" applyFont="1" applyAlignment="1">
      <alignment wrapText="1"/>
    </xf>
    <xf numFmtId="0" fontId="21" fillId="14" borderId="4" xfId="0" applyFont="1" applyFill="1" applyBorder="1" applyAlignment="1">
      <alignment horizontal="center" vertical="center" wrapText="1"/>
    </xf>
    <xf numFmtId="166" fontId="6" fillId="0" borderId="38" xfId="0" applyNumberFormat="1" applyFont="1" applyBorder="1" applyAlignment="1">
      <alignment vertical="center"/>
    </xf>
    <xf numFmtId="166" fontId="20" fillId="16" borderId="38" xfId="0" applyNumberFormat="1" applyFont="1" applyFill="1" applyBorder="1" applyAlignment="1">
      <alignment vertical="center" wrapText="1"/>
    </xf>
    <xf numFmtId="0" fontId="14" fillId="19" borderId="38" xfId="0" applyFont="1" applyFill="1" applyBorder="1" applyAlignment="1">
      <alignment wrapText="1"/>
    </xf>
    <xf numFmtId="0" fontId="72" fillId="0" borderId="38" xfId="0" applyFont="1" applyBorder="1" applyAlignment="1">
      <alignment horizontal="center" wrapText="1"/>
    </xf>
    <xf numFmtId="169" fontId="13" fillId="56" borderId="38" xfId="0" applyNumberFormat="1" applyFont="1" applyFill="1" applyBorder="1"/>
    <xf numFmtId="166" fontId="0" fillId="0" borderId="38" xfId="0" applyNumberFormat="1" applyBorder="1"/>
    <xf numFmtId="173" fontId="24" fillId="0" borderId="38" xfId="0" applyNumberFormat="1" applyFont="1" applyBorder="1"/>
    <xf numFmtId="165" fontId="24" fillId="15" borderId="38" xfId="0" applyNumberFormat="1" applyFont="1" applyFill="1" applyBorder="1"/>
    <xf numFmtId="200" fontId="24" fillId="15" borderId="38" xfId="0" applyNumberFormat="1" applyFont="1" applyFill="1" applyBorder="1"/>
    <xf numFmtId="9" fontId="24" fillId="0" borderId="38" xfId="10" applyFont="1" applyBorder="1" applyAlignment="1">
      <alignment horizontal="center"/>
    </xf>
    <xf numFmtId="170" fontId="24" fillId="8" borderId="38" xfId="0" applyNumberFormat="1" applyFont="1" applyFill="1" applyBorder="1"/>
    <xf numFmtId="169" fontId="6" fillId="56" borderId="38" xfId="0" applyNumberFormat="1" applyFont="1" applyFill="1" applyBorder="1"/>
    <xf numFmtId="9" fontId="6" fillId="0" borderId="38" xfId="0" applyNumberFormat="1" applyFont="1" applyBorder="1" applyAlignment="1">
      <alignment horizontal="center" vertical="center" wrapText="1"/>
    </xf>
    <xf numFmtId="170" fontId="14" fillId="0" borderId="38" xfId="0" applyNumberFormat="1" applyFont="1" applyBorder="1" applyAlignment="1">
      <alignment horizontal="center" vertical="center" wrapText="1"/>
    </xf>
    <xf numFmtId="0" fontId="19" fillId="0" borderId="0" xfId="0" applyFont="1" applyAlignment="1">
      <alignment wrapText="1"/>
    </xf>
    <xf numFmtId="0" fontId="22" fillId="17" borderId="38" xfId="0" applyFont="1" applyFill="1" applyBorder="1" applyAlignment="1">
      <alignment horizontal="center" vertical="center"/>
    </xf>
    <xf numFmtId="165" fontId="13" fillId="21" borderId="38" xfId="0" applyNumberFormat="1" applyFont="1" applyFill="1" applyBorder="1"/>
    <xf numFmtId="0" fontId="29" fillId="0" borderId="38" xfId="0" applyFont="1" applyBorder="1" applyAlignment="1">
      <alignment horizontal="center" vertical="center"/>
    </xf>
    <xf numFmtId="177" fontId="28" fillId="0" borderId="38" xfId="0" applyNumberFormat="1" applyFont="1" applyBorder="1" applyAlignment="1">
      <alignment wrapText="1"/>
    </xf>
    <xf numFmtId="0" fontId="29" fillId="0" borderId="38" xfId="0" applyFont="1" applyBorder="1" applyAlignment="1">
      <alignment horizontal="center" vertical="center" wrapText="1"/>
    </xf>
    <xf numFmtId="169" fontId="28" fillId="0" borderId="38" xfId="0" applyNumberFormat="1" applyFont="1" applyBorder="1" applyAlignment="1">
      <alignment wrapText="1"/>
    </xf>
    <xf numFmtId="0" fontId="0" fillId="0" borderId="0" xfId="0" applyAlignment="1">
      <alignment vertical="center" wrapText="1"/>
    </xf>
    <xf numFmtId="0" fontId="13" fillId="0" borderId="0" xfId="0" applyFont="1" applyAlignment="1">
      <alignment horizontal="center" wrapText="1"/>
    </xf>
    <xf numFmtId="0" fontId="0" fillId="21" borderId="0" xfId="0" applyFill="1" applyAlignment="1">
      <alignment horizontal="center" vertical="center" wrapText="1"/>
    </xf>
    <xf numFmtId="169" fontId="20" fillId="0" borderId="0" xfId="0" applyNumberFormat="1" applyFont="1" applyAlignment="1">
      <alignment wrapText="1"/>
    </xf>
    <xf numFmtId="175" fontId="6" fillId="0" borderId="0" xfId="0" applyNumberFormat="1" applyFont="1" applyAlignment="1">
      <alignment horizontal="center" wrapText="1"/>
    </xf>
    <xf numFmtId="165" fontId="20" fillId="0" borderId="0" xfId="0" applyNumberFormat="1" applyFont="1" applyAlignment="1">
      <alignment wrapText="1"/>
    </xf>
    <xf numFmtId="165" fontId="6" fillId="0" borderId="0" xfId="0" applyNumberFormat="1" applyFont="1" applyAlignment="1">
      <alignment horizontal="center" wrapText="1"/>
    </xf>
    <xf numFmtId="166" fontId="6" fillId="0" borderId="0" xfId="0" applyNumberFormat="1" applyFont="1" applyAlignment="1">
      <alignment horizontal="center" wrapText="1"/>
    </xf>
    <xf numFmtId="0" fontId="6" fillId="41" borderId="0" xfId="0" applyFont="1" applyFill="1" applyAlignment="1">
      <alignment wrapText="1"/>
    </xf>
    <xf numFmtId="0" fontId="13" fillId="25" borderId="11" xfId="0" applyFont="1" applyFill="1" applyBorder="1" applyAlignment="1">
      <alignment wrapText="1"/>
    </xf>
    <xf numFmtId="165" fontId="14" fillId="0" borderId="2" xfId="0" applyNumberFormat="1" applyFont="1" applyBorder="1" applyAlignment="1">
      <alignment horizontal="center" vertical="center" wrapText="1"/>
    </xf>
    <xf numFmtId="0" fontId="21" fillId="0" borderId="38" xfId="0" applyFont="1" applyBorder="1" applyAlignment="1">
      <alignment wrapText="1"/>
    </xf>
    <xf numFmtId="0" fontId="0" fillId="41" borderId="0" xfId="0" applyFill="1"/>
    <xf numFmtId="0" fontId="0" fillId="41" borderId="0" xfId="0" applyFill="1" applyAlignment="1">
      <alignment wrapText="1"/>
    </xf>
    <xf numFmtId="0" fontId="6" fillId="0" borderId="38" xfId="0" applyFont="1" applyBorder="1" applyAlignment="1">
      <alignment horizontal="center" vertical="center" wrapText="1"/>
    </xf>
    <xf numFmtId="164" fontId="14" fillId="18" borderId="38" xfId="0" applyNumberFormat="1" applyFont="1" applyFill="1" applyBorder="1" applyAlignment="1">
      <alignment horizontal="center" vertical="center" wrapText="1"/>
    </xf>
    <xf numFmtId="0" fontId="23" fillId="40" borderId="38" xfId="0" applyFont="1" applyFill="1" applyBorder="1" applyAlignment="1">
      <alignment horizontal="center" vertical="center" wrapText="1"/>
    </xf>
    <xf numFmtId="169" fontId="14" fillId="0" borderId="11" xfId="0" applyNumberFormat="1" applyFont="1" applyBorder="1" applyAlignment="1">
      <alignment wrapText="1"/>
    </xf>
    <xf numFmtId="0" fontId="14" fillId="21" borderId="20" xfId="0" applyFont="1" applyFill="1" applyBorder="1" applyAlignment="1">
      <alignment horizontal="center" vertical="center" wrapText="1"/>
    </xf>
    <xf numFmtId="0" fontId="0" fillId="0" borderId="13" xfId="0" applyBorder="1" applyAlignment="1">
      <alignment horizontal="center" vertical="center" wrapText="1"/>
    </xf>
    <xf numFmtId="0" fontId="14" fillId="0" borderId="13" xfId="0" applyFont="1" applyBorder="1" applyAlignment="1">
      <alignment horizontal="center" vertical="center" wrapText="1"/>
    </xf>
    <xf numFmtId="2" fontId="14" fillId="0" borderId="13" xfId="0" applyNumberFormat="1" applyFont="1" applyBorder="1" applyAlignment="1">
      <alignment horizontal="center" vertical="center" wrapText="1"/>
    </xf>
    <xf numFmtId="9" fontId="0" fillId="0" borderId="13" xfId="0" applyNumberFormat="1" applyBorder="1" applyAlignment="1">
      <alignment horizontal="center" vertical="center" wrapText="1"/>
    </xf>
    <xf numFmtId="1" fontId="14" fillId="0" borderId="13" xfId="0" applyNumberFormat="1" applyFont="1" applyBorder="1" applyAlignment="1">
      <alignment horizontal="center" vertical="center" wrapText="1"/>
    </xf>
    <xf numFmtId="1" fontId="0" fillId="0" borderId="13" xfId="0" applyNumberFormat="1" applyBorder="1" applyAlignment="1">
      <alignment horizontal="center" vertical="center" wrapText="1"/>
    </xf>
    <xf numFmtId="169" fontId="14" fillId="0" borderId="13" xfId="0" applyNumberFormat="1" applyFont="1" applyBorder="1" applyAlignment="1">
      <alignment wrapText="1"/>
    </xf>
    <xf numFmtId="0" fontId="0" fillId="21" borderId="38" xfId="0" applyFill="1" applyBorder="1" applyAlignment="1">
      <alignment horizontal="center" vertical="center" wrapText="1"/>
    </xf>
    <xf numFmtId="0" fontId="6" fillId="45" borderId="38" xfId="0" applyFont="1" applyFill="1" applyBorder="1"/>
    <xf numFmtId="0" fontId="6" fillId="45" borderId="38" xfId="0" applyFont="1" applyFill="1" applyBorder="1" applyAlignment="1">
      <alignment wrapText="1"/>
    </xf>
    <xf numFmtId="169" fontId="13" fillId="53" borderId="38" xfId="0" applyNumberFormat="1" applyFont="1" applyFill="1" applyBorder="1"/>
    <xf numFmtId="0" fontId="6" fillId="97" borderId="38" xfId="0" applyFont="1" applyFill="1" applyBorder="1"/>
    <xf numFmtId="43" fontId="24" fillId="0" borderId="38" xfId="0" applyNumberFormat="1" applyFont="1" applyBorder="1"/>
    <xf numFmtId="165" fontId="14" fillId="18" borderId="38" xfId="0" applyNumberFormat="1" applyFont="1" applyFill="1" applyBorder="1" applyAlignment="1">
      <alignment horizontal="center" vertical="center" wrapText="1"/>
    </xf>
    <xf numFmtId="0" fontId="14" fillId="0" borderId="38" xfId="0" applyFont="1" applyBorder="1" applyAlignment="1">
      <alignment wrapText="1"/>
    </xf>
    <xf numFmtId="0" fontId="7" fillId="0" borderId="0" xfId="4" applyAlignment="1">
      <alignment horizontal="center" vertical="center" wrapText="1"/>
    </xf>
    <xf numFmtId="0" fontId="54" fillId="42" borderId="38" xfId="19" applyFont="1" applyFill="1" applyBorder="1" applyAlignment="1">
      <alignment horizontal="center" vertical="center" wrapText="1"/>
    </xf>
    <xf numFmtId="0" fontId="54" fillId="0" borderId="38" xfId="19" applyFont="1" applyBorder="1" applyAlignment="1">
      <alignment horizontal="center" vertical="center" wrapText="1"/>
    </xf>
    <xf numFmtId="0" fontId="55" fillId="42" borderId="38" xfId="19" applyFill="1" applyBorder="1" applyAlignment="1">
      <alignment horizontal="center" vertical="center"/>
    </xf>
    <xf numFmtId="189" fontId="54" fillId="0" borderId="38" xfId="19" applyNumberFormat="1" applyFont="1" applyBorder="1" applyAlignment="1">
      <alignment horizontal="center" vertical="center" wrapText="1"/>
    </xf>
    <xf numFmtId="188" fontId="54" fillId="0" borderId="38" xfId="19" applyNumberFormat="1" applyFont="1" applyBorder="1" applyAlignment="1">
      <alignment horizontal="center" vertical="center" wrapText="1"/>
    </xf>
    <xf numFmtId="188" fontId="54" fillId="0" borderId="38" xfId="9" applyNumberFormat="1" applyFont="1" applyBorder="1" applyAlignment="1">
      <alignment horizontal="center" vertical="center" wrapText="1"/>
    </xf>
    <xf numFmtId="0" fontId="54" fillId="0" borderId="38" xfId="19" applyFont="1" applyBorder="1" applyAlignment="1">
      <alignment wrapText="1"/>
    </xf>
    <xf numFmtId="0" fontId="58" fillId="0" borderId="38" xfId="4" applyFont="1" applyBorder="1" applyAlignment="1">
      <alignment vertical="center" wrapText="1"/>
    </xf>
    <xf numFmtId="0" fontId="9" fillId="114" borderId="38" xfId="4" applyFont="1" applyFill="1" applyBorder="1" applyAlignment="1">
      <alignment horizontal="center" vertical="center" wrapText="1"/>
    </xf>
    <xf numFmtId="0" fontId="51" fillId="50" borderId="38" xfId="4" applyFont="1" applyFill="1" applyBorder="1" applyAlignment="1">
      <alignment horizontal="center" vertical="center" wrapText="1"/>
    </xf>
    <xf numFmtId="0" fontId="48" fillId="50" borderId="38" xfId="4" applyFont="1" applyFill="1" applyBorder="1" applyAlignment="1">
      <alignment horizontal="center" vertical="center"/>
    </xf>
    <xf numFmtId="0" fontId="57" fillId="43" borderId="38" xfId="9" applyFont="1" applyFill="1" applyBorder="1" applyAlignment="1">
      <alignment horizontal="center" vertical="center" wrapText="1"/>
    </xf>
    <xf numFmtId="0" fontId="56" fillId="44" borderId="38" xfId="19" applyFont="1" applyFill="1" applyBorder="1" applyAlignment="1">
      <alignment horizontal="center" vertical="center" wrapText="1"/>
    </xf>
    <xf numFmtId="0" fontId="56" fillId="42" borderId="38" xfId="19" applyFont="1" applyFill="1" applyBorder="1" applyAlignment="1">
      <alignment horizontal="center" vertical="center" wrapText="1"/>
    </xf>
    <xf numFmtId="0" fontId="48" fillId="20" borderId="38" xfId="4" applyFont="1" applyFill="1" applyBorder="1" applyAlignment="1">
      <alignment horizontal="center" vertical="center" wrapText="1"/>
    </xf>
    <xf numFmtId="0" fontId="19" fillId="0" borderId="38" xfId="4" applyFont="1" applyBorder="1" applyAlignment="1">
      <alignment horizontal="center" vertical="center"/>
    </xf>
    <xf numFmtId="0" fontId="47" fillId="0" borderId="38" xfId="4" applyFont="1" applyBorder="1" applyAlignment="1">
      <alignment horizontal="center" vertical="center" wrapText="1"/>
    </xf>
    <xf numFmtId="0" fontId="7" fillId="0" borderId="38" xfId="4" applyBorder="1" applyAlignment="1">
      <alignment horizontal="center" vertical="center"/>
    </xf>
    <xf numFmtId="170" fontId="54" fillId="0" borderId="38" xfId="9" applyNumberFormat="1" applyFont="1" applyBorder="1" applyAlignment="1">
      <alignment horizontal="center" vertical="center"/>
    </xf>
    <xf numFmtId="9" fontId="7" fillId="0" borderId="38" xfId="4" applyNumberFormat="1" applyBorder="1" applyAlignment="1">
      <alignment horizontal="center" vertical="center" wrapText="1"/>
    </xf>
    <xf numFmtId="1" fontId="54" fillId="0" borderId="38" xfId="9" applyNumberFormat="1" applyFont="1" applyBorder="1" applyAlignment="1">
      <alignment horizontal="center" vertical="center" wrapText="1"/>
    </xf>
    <xf numFmtId="1" fontId="8" fillId="0" borderId="38" xfId="9" applyNumberFormat="1" applyBorder="1" applyAlignment="1">
      <alignment horizontal="center" vertical="center" wrapText="1"/>
    </xf>
    <xf numFmtId="0" fontId="47" fillId="49" borderId="38" xfId="4" applyFont="1" applyFill="1" applyBorder="1" applyAlignment="1">
      <alignment horizontal="center" vertical="center" wrapText="1"/>
    </xf>
    <xf numFmtId="9" fontId="8" fillId="0" borderId="38" xfId="9" applyNumberFormat="1" applyBorder="1" applyAlignment="1">
      <alignment horizontal="center" vertical="center" wrapText="1"/>
    </xf>
    <xf numFmtId="0" fontId="18" fillId="46" borderId="38" xfId="9" applyFont="1" applyFill="1" applyBorder="1" applyAlignment="1">
      <alignment horizontal="center" vertical="center" wrapText="1"/>
    </xf>
    <xf numFmtId="0" fontId="18" fillId="46" borderId="38" xfId="9" applyFont="1" applyFill="1" applyBorder="1" applyAlignment="1">
      <alignment horizontal="center" vertical="center"/>
    </xf>
    <xf numFmtId="0" fontId="77" fillId="56" borderId="38" xfId="4" applyFont="1" applyFill="1" applyBorder="1" applyAlignment="1">
      <alignment horizontal="center" vertical="center"/>
    </xf>
    <xf numFmtId="165" fontId="78" fillId="56" borderId="38" xfId="9" applyNumberFormat="1" applyFont="1" applyFill="1" applyBorder="1" applyAlignment="1">
      <alignment horizontal="center" vertical="center"/>
    </xf>
    <xf numFmtId="164" fontId="47" fillId="0" borderId="38" xfId="4" applyNumberFormat="1" applyFont="1" applyBorder="1" applyAlignment="1">
      <alignment horizontal="center" vertical="center"/>
    </xf>
    <xf numFmtId="0" fontId="7" fillId="0" borderId="38" xfId="4" applyBorder="1" applyAlignment="1">
      <alignment horizontal="center" vertical="center" wrapText="1"/>
    </xf>
    <xf numFmtId="169" fontId="77" fillId="56" borderId="38" xfId="4" applyNumberFormat="1" applyFont="1" applyFill="1" applyBorder="1" applyAlignment="1">
      <alignment horizontal="center" vertical="center"/>
    </xf>
    <xf numFmtId="0" fontId="20" fillId="28" borderId="38" xfId="0" applyFont="1" applyFill="1" applyBorder="1"/>
    <xf numFmtId="165" fontId="6" fillId="0" borderId="38" xfId="0" applyNumberFormat="1" applyFont="1" applyBorder="1"/>
    <xf numFmtId="165" fontId="6" fillId="0" borderId="38" xfId="0" applyNumberFormat="1" applyFont="1" applyBorder="1" applyAlignment="1">
      <alignment horizontal="center"/>
    </xf>
    <xf numFmtId="2" fontId="47" fillId="0" borderId="38" xfId="4" applyNumberFormat="1" applyFont="1" applyBorder="1" applyAlignment="1">
      <alignment horizontal="center" vertical="center" wrapText="1"/>
    </xf>
    <xf numFmtId="9" fontId="47" fillId="0" borderId="38" xfId="10" applyFont="1" applyBorder="1" applyAlignment="1">
      <alignment horizontal="center" vertical="center" wrapText="1"/>
    </xf>
    <xf numFmtId="0" fontId="30" fillId="0" borderId="0" xfId="0" applyFont="1" applyAlignment="1">
      <alignment vertical="center" wrapText="1"/>
    </xf>
    <xf numFmtId="0" fontId="7" fillId="0" borderId="38" xfId="0" applyFont="1" applyBorder="1" applyAlignment="1">
      <alignment horizontal="center" vertical="center"/>
    </xf>
    <xf numFmtId="1" fontId="47" fillId="0" borderId="38" xfId="0" applyNumberFormat="1" applyFont="1" applyBorder="1" applyAlignment="1">
      <alignment horizontal="center" vertical="center" wrapText="1"/>
    </xf>
    <xf numFmtId="0" fontId="9" fillId="0" borderId="38" xfId="0" applyFont="1" applyBorder="1" applyAlignment="1">
      <alignment horizontal="center"/>
    </xf>
    <xf numFmtId="2" fontId="47" fillId="0" borderId="38" xfId="0" applyNumberFormat="1" applyFont="1" applyBorder="1" applyAlignment="1">
      <alignment horizontal="center" vertical="center" wrapText="1"/>
    </xf>
    <xf numFmtId="165" fontId="9" fillId="0" borderId="38" xfId="0" applyNumberFormat="1" applyFont="1" applyBorder="1"/>
    <xf numFmtId="0" fontId="0" fillId="0" borderId="38" xfId="0" applyBorder="1" applyAlignment="1">
      <alignment vertical="center"/>
    </xf>
    <xf numFmtId="176" fontId="29" fillId="30" borderId="38" xfId="0" applyNumberFormat="1" applyFont="1" applyFill="1" applyBorder="1" applyAlignment="1">
      <alignment horizontal="center" vertical="center"/>
    </xf>
    <xf numFmtId="176" fontId="29" fillId="30" borderId="38" xfId="0" applyNumberFormat="1" applyFont="1" applyFill="1" applyBorder="1" applyAlignment="1">
      <alignment horizontal="center" vertical="center" wrapText="1"/>
    </xf>
    <xf numFmtId="176" fontId="29" fillId="70" borderId="38" xfId="0" applyNumberFormat="1" applyFont="1" applyFill="1" applyBorder="1" applyAlignment="1">
      <alignment horizontal="center" vertical="center"/>
    </xf>
    <xf numFmtId="176" fontId="29" fillId="70" borderId="38" xfId="0" applyNumberFormat="1" applyFont="1" applyFill="1" applyBorder="1" applyAlignment="1">
      <alignment horizontal="center" vertical="center" wrapText="1"/>
    </xf>
    <xf numFmtId="0" fontId="9" fillId="19" borderId="0" xfId="0" applyFont="1" applyFill="1" applyAlignment="1">
      <alignment wrapText="1"/>
    </xf>
    <xf numFmtId="0" fontId="19" fillId="0" borderId="0" xfId="0" applyFont="1" applyAlignment="1">
      <alignment horizontal="center" wrapText="1"/>
    </xf>
    <xf numFmtId="165" fontId="0" fillId="0" borderId="0" xfId="0" applyNumberFormat="1" applyAlignment="1">
      <alignment wrapText="1"/>
    </xf>
    <xf numFmtId="175" fontId="6" fillId="0" borderId="0" xfId="0" applyNumberFormat="1" applyFont="1" applyAlignment="1">
      <alignment wrapText="1"/>
    </xf>
    <xf numFmtId="0" fontId="68" fillId="65" borderId="33" xfId="0" applyFont="1" applyFill="1" applyBorder="1" applyAlignment="1">
      <alignment vertical="center" wrapText="1"/>
    </xf>
    <xf numFmtId="165" fontId="14" fillId="0" borderId="38" xfId="0" applyNumberFormat="1" applyFont="1" applyBorder="1" applyAlignment="1">
      <alignment wrapText="1"/>
    </xf>
    <xf numFmtId="181" fontId="14" fillId="0" borderId="38" xfId="0" applyNumberFormat="1" applyFont="1" applyBorder="1" applyAlignment="1">
      <alignment horizontal="center" vertical="center" wrapText="1"/>
    </xf>
    <xf numFmtId="0" fontId="14" fillId="20" borderId="38" xfId="0" applyFont="1" applyFill="1" applyBorder="1" applyAlignment="1">
      <alignment horizontal="center" vertical="center" wrapText="1"/>
    </xf>
    <xf numFmtId="0" fontId="9" fillId="19" borderId="38" xfId="0" applyFont="1" applyFill="1" applyBorder="1" applyAlignment="1">
      <alignment wrapText="1"/>
    </xf>
    <xf numFmtId="165" fontId="21" fillId="14" borderId="38" xfId="0" applyNumberFormat="1" applyFont="1" applyFill="1" applyBorder="1" applyAlignment="1">
      <alignment horizontal="center" vertical="center" wrapText="1"/>
    </xf>
    <xf numFmtId="0" fontId="19" fillId="0" borderId="38" xfId="0" applyFont="1" applyBorder="1" applyAlignment="1">
      <alignment wrapText="1"/>
    </xf>
    <xf numFmtId="0" fontId="9" fillId="0" borderId="38" xfId="0" applyFont="1" applyBorder="1" applyAlignment="1">
      <alignment wrapText="1"/>
    </xf>
    <xf numFmtId="0" fontId="0" fillId="45" borderId="38" xfId="0" applyFill="1" applyBorder="1"/>
    <xf numFmtId="170" fontId="13" fillId="56" borderId="38" xfId="0" applyNumberFormat="1" applyFont="1" applyFill="1" applyBorder="1"/>
    <xf numFmtId="165" fontId="0" fillId="56" borderId="38" xfId="0" applyNumberFormat="1" applyFill="1" applyBorder="1"/>
    <xf numFmtId="166" fontId="13" fillId="56" borderId="38" xfId="0" applyNumberFormat="1" applyFont="1" applyFill="1" applyBorder="1"/>
    <xf numFmtId="197" fontId="0" fillId="0" borderId="38" xfId="0" applyNumberFormat="1" applyBorder="1"/>
    <xf numFmtId="0" fontId="68" fillId="65" borderId="35" xfId="0" applyFont="1" applyFill="1" applyBorder="1" applyAlignment="1">
      <alignment vertical="center" wrapText="1"/>
    </xf>
    <xf numFmtId="0" fontId="68" fillId="65" borderId="39" xfId="0" applyFont="1" applyFill="1" applyBorder="1" applyAlignment="1">
      <alignment vertical="center" wrapText="1"/>
    </xf>
    <xf numFmtId="0" fontId="68" fillId="65" borderId="41" xfId="0" applyFont="1" applyFill="1" applyBorder="1" applyAlignment="1">
      <alignment vertical="center" wrapText="1"/>
    </xf>
    <xf numFmtId="181" fontId="6" fillId="0" borderId="38" xfId="0" applyNumberFormat="1" applyFont="1" applyBorder="1" applyAlignment="1">
      <alignment wrapText="1"/>
    </xf>
    <xf numFmtId="181" fontId="6" fillId="15" borderId="38" xfId="0" applyNumberFormat="1" applyFont="1" applyFill="1" applyBorder="1" applyAlignment="1">
      <alignment wrapText="1"/>
    </xf>
    <xf numFmtId="175" fontId="6" fillId="21" borderId="38" xfId="0" applyNumberFormat="1" applyFont="1" applyFill="1" applyBorder="1"/>
    <xf numFmtId="1" fontId="0" fillId="0" borderId="38" xfId="0" applyNumberFormat="1" applyBorder="1" applyAlignment="1">
      <alignment vertical="center" wrapText="1"/>
    </xf>
    <xf numFmtId="0" fontId="21" fillId="0" borderId="38" xfId="0" applyFont="1" applyBorder="1" applyAlignment="1">
      <alignment horizontal="center" vertical="center" wrapText="1"/>
    </xf>
    <xf numFmtId="9" fontId="21" fillId="0" borderId="38" xfId="0" applyNumberFormat="1" applyFont="1" applyBorder="1" applyAlignment="1">
      <alignment horizontal="center" vertical="center" wrapText="1"/>
    </xf>
    <xf numFmtId="177" fontId="28" fillId="31" borderId="38" xfId="0" applyNumberFormat="1" applyFont="1" applyFill="1" applyBorder="1"/>
    <xf numFmtId="177" fontId="28" fillId="31" borderId="38" xfId="0" applyNumberFormat="1" applyFont="1" applyFill="1" applyBorder="1" applyAlignment="1">
      <alignment wrapText="1"/>
    </xf>
    <xf numFmtId="169" fontId="28" fillId="31" borderId="38" xfId="0" applyNumberFormat="1" applyFont="1" applyFill="1" applyBorder="1" applyAlignment="1">
      <alignment wrapText="1"/>
    </xf>
    <xf numFmtId="1" fontId="21" fillId="0" borderId="38" xfId="0" applyNumberFormat="1" applyFont="1" applyBorder="1" applyAlignment="1">
      <alignment horizontal="center" vertical="center" wrapText="1"/>
    </xf>
    <xf numFmtId="0" fontId="23" fillId="0" borderId="38" xfId="0" applyFont="1" applyBorder="1" applyAlignment="1">
      <alignment vertical="center" wrapText="1"/>
    </xf>
    <xf numFmtId="0" fontId="21" fillId="0" borderId="20" xfId="0" applyFont="1" applyBorder="1" applyAlignment="1">
      <alignment horizontal="center" vertical="center" wrapText="1"/>
    </xf>
    <xf numFmtId="0" fontId="24" fillId="0" borderId="13" xfId="0" applyFont="1" applyBorder="1" applyAlignment="1">
      <alignment horizontal="center" vertical="center"/>
    </xf>
    <xf numFmtId="0" fontId="21" fillId="0" borderId="13" xfId="0" applyFont="1" applyBorder="1" applyAlignment="1">
      <alignment horizontal="center" vertical="center" wrapText="1"/>
    </xf>
    <xf numFmtId="0" fontId="24" fillId="0" borderId="20" xfId="0" applyFont="1" applyBorder="1" applyAlignment="1">
      <alignment horizontal="center" vertical="center" wrapText="1"/>
    </xf>
    <xf numFmtId="0" fontId="24" fillId="0" borderId="14" xfId="0" applyFont="1" applyBorder="1" applyAlignment="1">
      <alignment horizontal="center" vertical="center" wrapText="1"/>
    </xf>
    <xf numFmtId="165" fontId="30" fillId="56" borderId="38" xfId="0" applyNumberFormat="1" applyFont="1" applyFill="1" applyBorder="1"/>
    <xf numFmtId="0" fontId="9" fillId="0" borderId="38" xfId="0" applyFont="1" applyBorder="1" applyAlignment="1">
      <alignment horizontal="right"/>
    </xf>
    <xf numFmtId="193" fontId="0" fillId="0" borderId="38" xfId="12" applyNumberFormat="1" applyFont="1" applyBorder="1" applyAlignment="1">
      <alignment horizontal="center" vertical="center" wrapText="1"/>
    </xf>
    <xf numFmtId="0" fontId="38" fillId="0" borderId="0" xfId="14" applyAlignment="1">
      <alignment wrapText="1"/>
    </xf>
    <xf numFmtId="0" fontId="39" fillId="42" borderId="38" xfId="14" applyFont="1" applyFill="1" applyBorder="1" applyAlignment="1">
      <alignment horizontal="center" vertical="center" wrapText="1"/>
    </xf>
    <xf numFmtId="0" fontId="39" fillId="0" borderId="38" xfId="14" applyFont="1" applyBorder="1" applyAlignment="1">
      <alignment horizontal="center" vertical="center" wrapText="1"/>
    </xf>
    <xf numFmtId="0" fontId="38" fillId="42" borderId="38" xfId="14" applyFill="1" applyBorder="1" applyAlignment="1">
      <alignment horizontal="center" vertical="center" wrapText="1"/>
    </xf>
    <xf numFmtId="187" fontId="39" fillId="0" borderId="38" xfId="14" applyNumberFormat="1" applyFont="1" applyBorder="1" applyAlignment="1">
      <alignment horizontal="center" vertical="center" wrapText="1"/>
    </xf>
    <xf numFmtId="187" fontId="39" fillId="0" borderId="38" xfId="17" applyNumberFormat="1" applyFont="1" applyBorder="1" applyAlignment="1">
      <alignment horizontal="center" vertical="center" wrapText="1"/>
    </xf>
    <xf numFmtId="0" fontId="39" fillId="0" borderId="38" xfId="14" applyFont="1" applyBorder="1" applyAlignment="1">
      <alignment wrapText="1"/>
    </xf>
    <xf numFmtId="0" fontId="40" fillId="0" borderId="38" xfId="14" applyFont="1" applyBorder="1" applyAlignment="1">
      <alignment vertical="center" wrapText="1"/>
    </xf>
    <xf numFmtId="0" fontId="41" fillId="42" borderId="38" xfId="14" applyFont="1" applyFill="1" applyBorder="1" applyAlignment="1">
      <alignment horizontal="center" vertical="center" wrapText="1"/>
    </xf>
    <xf numFmtId="0" fontId="42" fillId="42" borderId="38" xfId="14" applyFont="1" applyFill="1" applyBorder="1" applyAlignment="1">
      <alignment horizontal="center" vertical="center"/>
    </xf>
    <xf numFmtId="0" fontId="42" fillId="43" borderId="38" xfId="17" applyFont="1" applyFill="1" applyBorder="1" applyAlignment="1">
      <alignment horizontal="center" vertical="center" wrapText="1"/>
    </xf>
    <xf numFmtId="0" fontId="41" fillId="44" borderId="38" xfId="14" applyFont="1" applyFill="1" applyBorder="1" applyAlignment="1">
      <alignment horizontal="center" vertical="center" wrapText="1"/>
    </xf>
    <xf numFmtId="0" fontId="41" fillId="0" borderId="20" xfId="14" applyFont="1" applyBorder="1" applyAlignment="1">
      <alignment horizontal="center" vertical="center" wrapText="1"/>
    </xf>
    <xf numFmtId="0" fontId="42" fillId="0" borderId="13" xfId="14" applyFont="1" applyBorder="1" applyAlignment="1">
      <alignment horizontal="center" vertical="center"/>
    </xf>
    <xf numFmtId="0" fontId="41" fillId="0" borderId="13" xfId="14" applyFont="1" applyBorder="1" applyAlignment="1">
      <alignment horizontal="center" vertical="center" wrapText="1"/>
    </xf>
    <xf numFmtId="0" fontId="42" fillId="0" borderId="20" xfId="17" applyFont="1" applyBorder="1" applyAlignment="1">
      <alignment horizontal="center" vertical="center" wrapText="1"/>
    </xf>
    <xf numFmtId="0" fontId="4" fillId="0" borderId="38" xfId="17" applyBorder="1" applyAlignment="1">
      <alignment vertical="center" wrapText="1"/>
    </xf>
    <xf numFmtId="0" fontId="4" fillId="0" borderId="38" xfId="17" applyBorder="1" applyAlignment="1">
      <alignment horizontal="center" vertical="center"/>
    </xf>
    <xf numFmtId="1" fontId="39" fillId="36" borderId="38" xfId="17" applyNumberFormat="1" applyFont="1" applyFill="1" applyBorder="1" applyAlignment="1">
      <alignment horizontal="center" vertical="center" wrapText="1"/>
    </xf>
    <xf numFmtId="171" fontId="39" fillId="0" borderId="38" xfId="17" applyNumberFormat="1" applyFont="1" applyBorder="1" applyAlignment="1">
      <alignment horizontal="center" vertical="center" wrapText="1"/>
    </xf>
    <xf numFmtId="9" fontId="4" fillId="0" borderId="38" xfId="17" applyNumberFormat="1" applyBorder="1" applyAlignment="1">
      <alignment horizontal="center" vertical="center" wrapText="1"/>
    </xf>
    <xf numFmtId="1" fontId="39" fillId="0" borderId="38" xfId="17" applyNumberFormat="1" applyFont="1" applyBorder="1" applyAlignment="1">
      <alignment horizontal="center" vertical="center" wrapText="1"/>
    </xf>
    <xf numFmtId="1" fontId="4" fillId="0" borderId="38" xfId="17" applyNumberFormat="1" applyBorder="1" applyAlignment="1">
      <alignment horizontal="center" vertical="center" wrapText="1"/>
    </xf>
    <xf numFmtId="0" fontId="18" fillId="46" borderId="38" xfId="17" applyFont="1" applyFill="1" applyBorder="1" applyAlignment="1">
      <alignment horizontal="center" vertical="center" wrapText="1"/>
    </xf>
    <xf numFmtId="0" fontId="18" fillId="46" borderId="38" xfId="17" applyFont="1" applyFill="1" applyBorder="1" applyAlignment="1">
      <alignment horizontal="center" vertical="center"/>
    </xf>
    <xf numFmtId="165" fontId="61" fillId="47" borderId="38" xfId="18" applyNumberFormat="1" applyFont="1" applyFill="1" applyBorder="1" applyAlignment="1">
      <alignment horizontal="center" vertical="center"/>
    </xf>
    <xf numFmtId="165" fontId="13" fillId="56" borderId="38" xfId="17" applyNumberFormat="1" applyFont="1" applyFill="1" applyBorder="1" applyAlignment="1">
      <alignment horizontal="center" vertical="center"/>
    </xf>
    <xf numFmtId="165" fontId="1" fillId="56" borderId="38" xfId="17" applyNumberFormat="1" applyFont="1" applyFill="1" applyBorder="1" applyAlignment="1">
      <alignment horizontal="center" vertical="center"/>
    </xf>
    <xf numFmtId="0" fontId="43" fillId="45" borderId="38" xfId="17" applyFont="1" applyFill="1" applyBorder="1" applyAlignment="1">
      <alignment horizontal="center" wrapText="1"/>
    </xf>
    <xf numFmtId="0" fontId="43" fillId="45" borderId="38" xfId="17" applyFont="1" applyFill="1" applyBorder="1" applyAlignment="1">
      <alignment horizontal="center"/>
    </xf>
    <xf numFmtId="187" fontId="38" fillId="0" borderId="38" xfId="14" applyNumberFormat="1" applyBorder="1" applyAlignment="1">
      <alignment horizontal="center"/>
    </xf>
    <xf numFmtId="187" fontId="38" fillId="0" borderId="38" xfId="14" applyNumberFormat="1" applyBorder="1" applyAlignment="1">
      <alignment horizontal="center" wrapText="1"/>
    </xf>
    <xf numFmtId="188" fontId="38" fillId="36" borderId="38" xfId="14" applyNumberFormat="1" applyFill="1" applyBorder="1" applyAlignment="1">
      <alignment horizontal="center"/>
    </xf>
    <xf numFmtId="165" fontId="38" fillId="0" borderId="38" xfId="14" applyNumberFormat="1" applyBorder="1" applyAlignment="1">
      <alignment horizontal="center" wrapText="1"/>
    </xf>
    <xf numFmtId="189" fontId="38" fillId="0" borderId="38" xfId="14" applyNumberFormat="1" applyBorder="1" applyAlignment="1">
      <alignment horizontal="center" wrapText="1"/>
    </xf>
    <xf numFmtId="0" fontId="39" fillId="0" borderId="38" xfId="17" applyFont="1" applyBorder="1" applyAlignment="1">
      <alignment horizontal="center" vertical="center" wrapText="1"/>
    </xf>
    <xf numFmtId="176" fontId="28" fillId="0" borderId="38" xfId="0" applyNumberFormat="1" applyFont="1" applyBorder="1"/>
    <xf numFmtId="176" fontId="28" fillId="0" borderId="38" xfId="0" applyNumberFormat="1" applyFont="1" applyBorder="1" applyAlignment="1">
      <alignment wrapText="1"/>
    </xf>
    <xf numFmtId="0" fontId="24" fillId="0" borderId="13" xfId="0" applyFont="1" applyBorder="1" applyAlignment="1">
      <alignment horizontal="center" vertical="center" wrapText="1"/>
    </xf>
    <xf numFmtId="1" fontId="14" fillId="36" borderId="38" xfId="0" applyNumberFormat="1" applyFont="1" applyFill="1" applyBorder="1" applyAlignment="1">
      <alignment horizontal="center" vertical="center" wrapText="1"/>
    </xf>
    <xf numFmtId="0" fontId="0" fillId="56" borderId="0" xfId="0" applyFill="1" applyAlignment="1">
      <alignment vertical="center" wrapText="1"/>
    </xf>
    <xf numFmtId="0" fontId="23" fillId="71" borderId="0" xfId="0" applyFont="1" applyFill="1" applyAlignment="1">
      <alignment horizontal="center" vertical="center" wrapText="1"/>
    </xf>
    <xf numFmtId="176" fontId="28" fillId="72" borderId="0" xfId="0" applyNumberFormat="1" applyFont="1" applyFill="1" applyAlignment="1">
      <alignment wrapText="1"/>
    </xf>
    <xf numFmtId="0" fontId="0" fillId="56" borderId="0" xfId="0" applyFill="1" applyAlignment="1">
      <alignment wrapText="1"/>
    </xf>
    <xf numFmtId="0" fontId="6" fillId="56" borderId="0" xfId="0" applyFont="1" applyFill="1" applyAlignment="1">
      <alignment wrapText="1"/>
    </xf>
    <xf numFmtId="2" fontId="0" fillId="56" borderId="0" xfId="0" applyNumberFormat="1" applyFill="1" applyAlignment="1">
      <alignment wrapText="1"/>
    </xf>
    <xf numFmtId="0" fontId="24" fillId="0" borderId="0" xfId="0" applyFont="1" applyAlignment="1">
      <alignment wrapText="1"/>
    </xf>
    <xf numFmtId="9" fontId="0" fillId="56" borderId="0" xfId="0" applyNumberFormat="1" applyFill="1" applyAlignment="1">
      <alignment horizontal="center" vertical="center" wrapText="1"/>
    </xf>
    <xf numFmtId="1" fontId="0" fillId="56" borderId="0" xfId="0" applyNumberFormat="1" applyFill="1" applyAlignment="1">
      <alignment horizontal="center" vertical="center" wrapText="1"/>
    </xf>
    <xf numFmtId="0" fontId="20" fillId="25" borderId="38" xfId="0" applyFont="1" applyFill="1" applyBorder="1" applyAlignment="1">
      <alignment horizontal="center"/>
    </xf>
    <xf numFmtId="0" fontId="13" fillId="0" borderId="38" xfId="0" applyFont="1" applyBorder="1" applyAlignment="1">
      <alignment horizontal="center" vertical="center"/>
    </xf>
    <xf numFmtId="2" fontId="0" fillId="0" borderId="38" xfId="0" applyNumberFormat="1" applyBorder="1" applyAlignment="1">
      <alignment wrapText="1"/>
    </xf>
    <xf numFmtId="0" fontId="26" fillId="0" borderId="38" xfId="0" applyFont="1" applyBorder="1" applyAlignment="1">
      <alignment wrapText="1"/>
    </xf>
    <xf numFmtId="166" fontId="21" fillId="18" borderId="38" xfId="0" applyNumberFormat="1" applyFont="1" applyFill="1" applyBorder="1" applyAlignment="1">
      <alignment horizontal="center" vertical="center" wrapText="1"/>
    </xf>
    <xf numFmtId="0" fontId="9" fillId="14" borderId="38" xfId="0" applyFont="1" applyFill="1" applyBorder="1" applyAlignment="1">
      <alignment horizontal="center" vertical="center" wrapText="1"/>
    </xf>
    <xf numFmtId="0" fontId="19" fillId="0" borderId="38" xfId="0" applyFont="1" applyBorder="1" applyAlignment="1">
      <alignment horizontal="right"/>
    </xf>
    <xf numFmtId="0" fontId="0" fillId="0" borderId="38" xfId="0" applyBorder="1" applyAlignment="1">
      <alignment horizontal="left" wrapText="1"/>
    </xf>
    <xf numFmtId="0" fontId="9" fillId="21" borderId="38" xfId="0" applyFont="1" applyFill="1" applyBorder="1" applyAlignment="1">
      <alignment horizontal="right" vertical="center" wrapText="1"/>
    </xf>
    <xf numFmtId="0" fontId="23" fillId="17" borderId="14" xfId="0" applyFont="1" applyFill="1" applyBorder="1" applyAlignment="1">
      <alignment horizontal="center" vertical="center" wrapText="1"/>
    </xf>
    <xf numFmtId="0" fontId="30" fillId="0" borderId="38" xfId="0" applyFont="1" applyBorder="1" applyAlignment="1">
      <alignment vertical="center" wrapText="1"/>
    </xf>
    <xf numFmtId="1" fontId="25" fillId="0" borderId="38" xfId="0" applyNumberFormat="1" applyFont="1" applyBorder="1" applyAlignment="1">
      <alignment horizontal="center" vertical="center" wrapText="1"/>
    </xf>
    <xf numFmtId="168" fontId="25" fillId="0" borderId="38" xfId="0" applyNumberFormat="1" applyFont="1" applyBorder="1" applyAlignment="1">
      <alignment horizontal="center" vertical="center" wrapText="1"/>
    </xf>
    <xf numFmtId="9" fontId="30" fillId="0" borderId="38" xfId="0" applyNumberFormat="1" applyFont="1" applyBorder="1" applyAlignment="1">
      <alignment horizontal="center" vertical="center" wrapText="1"/>
    </xf>
    <xf numFmtId="1" fontId="30" fillId="0" borderId="38" xfId="0" applyNumberFormat="1" applyFont="1" applyBorder="1" applyAlignment="1">
      <alignment horizontal="center" vertical="center" wrapText="1"/>
    </xf>
    <xf numFmtId="0" fontId="14" fillId="98" borderId="38" xfId="0" applyFont="1" applyFill="1" applyBorder="1" applyAlignment="1">
      <alignment horizontal="center" vertical="center" wrapText="1"/>
    </xf>
    <xf numFmtId="167" fontId="0" fillId="0" borderId="38" xfId="0" applyNumberFormat="1" applyBorder="1" applyAlignment="1">
      <alignment wrapText="1"/>
    </xf>
    <xf numFmtId="169" fontId="13" fillId="56" borderId="38" xfId="0" applyNumberFormat="1" applyFont="1" applyFill="1" applyBorder="1" applyAlignment="1">
      <alignment wrapText="1"/>
    </xf>
    <xf numFmtId="175" fontId="0" fillId="0" borderId="38" xfId="0" applyNumberFormat="1" applyBorder="1" applyAlignment="1">
      <alignment wrapText="1"/>
    </xf>
    <xf numFmtId="197" fontId="24" fillId="0" borderId="38" xfId="0" applyNumberFormat="1" applyFont="1" applyBorder="1" applyAlignment="1">
      <alignment horizontal="center"/>
    </xf>
    <xf numFmtId="166" fontId="6" fillId="0" borderId="0" xfId="0" applyNumberFormat="1" applyFont="1" applyAlignment="1">
      <alignment wrapText="1"/>
    </xf>
    <xf numFmtId="164" fontId="6" fillId="0" borderId="0" xfId="0" applyNumberFormat="1" applyFont="1" applyAlignment="1">
      <alignment wrapText="1"/>
    </xf>
    <xf numFmtId="0" fontId="34" fillId="0" borderId="0" xfId="0" applyFont="1" applyAlignment="1">
      <alignment wrapText="1"/>
    </xf>
    <xf numFmtId="1" fontId="14" fillId="14" borderId="38" xfId="0" applyNumberFormat="1" applyFont="1" applyFill="1" applyBorder="1" applyAlignment="1">
      <alignment horizontal="center" vertical="center" wrapText="1"/>
    </xf>
    <xf numFmtId="0" fontId="19" fillId="0" borderId="38" xfId="0" applyFont="1" applyBorder="1" applyAlignment="1">
      <alignment horizontal="left" vertical="center"/>
    </xf>
    <xf numFmtId="0" fontId="14" fillId="0" borderId="38" xfId="0" applyFont="1" applyBorder="1"/>
    <xf numFmtId="1" fontId="14" fillId="0" borderId="38" xfId="0" applyNumberFormat="1" applyFont="1" applyBorder="1" applyAlignment="1">
      <alignment wrapText="1"/>
    </xf>
    <xf numFmtId="0" fontId="3" fillId="0" borderId="38" xfId="26" applyBorder="1" applyAlignment="1">
      <alignment vertical="center" wrapText="1"/>
    </xf>
    <xf numFmtId="0" fontId="3" fillId="0" borderId="38" xfId="26" applyBorder="1" applyAlignment="1">
      <alignment horizontal="center" vertical="center"/>
    </xf>
    <xf numFmtId="1" fontId="39" fillId="0" borderId="38" xfId="26" applyNumberFormat="1" applyFont="1" applyBorder="1" applyAlignment="1">
      <alignment horizontal="center" vertical="center" wrapText="1"/>
    </xf>
    <xf numFmtId="9" fontId="3" fillId="0" borderId="38" xfId="26" applyNumberFormat="1" applyBorder="1" applyAlignment="1">
      <alignment horizontal="center" vertical="center" wrapText="1"/>
    </xf>
    <xf numFmtId="1" fontId="3" fillId="0" borderId="38" xfId="26" applyNumberFormat="1" applyBorder="1" applyAlignment="1">
      <alignment horizontal="center" vertical="center" wrapText="1"/>
    </xf>
    <xf numFmtId="165" fontId="0" fillId="15" borderId="38" xfId="0" applyNumberFormat="1" applyFill="1" applyBorder="1"/>
    <xf numFmtId="172" fontId="24" fillId="0" borderId="38" xfId="0" applyNumberFormat="1" applyFont="1" applyBorder="1"/>
    <xf numFmtId="9" fontId="24" fillId="0" borderId="38" xfId="10" applyFont="1" applyBorder="1"/>
    <xf numFmtId="0" fontId="6" fillId="15" borderId="38" xfId="0" applyFont="1" applyFill="1" applyBorder="1" applyAlignment="1">
      <alignment horizontal="center" vertical="center"/>
    </xf>
    <xf numFmtId="196" fontId="6" fillId="0" borderId="38" xfId="0" applyNumberFormat="1" applyFont="1" applyBorder="1" applyAlignment="1">
      <alignment wrapText="1"/>
    </xf>
    <xf numFmtId="2" fontId="6" fillId="15" borderId="38" xfId="0" applyNumberFormat="1" applyFont="1" applyFill="1" applyBorder="1"/>
    <xf numFmtId="169" fontId="6" fillId="15" borderId="38" xfId="0" applyNumberFormat="1" applyFont="1" applyFill="1" applyBorder="1" applyAlignment="1">
      <alignment horizontal="center" vertical="center"/>
    </xf>
    <xf numFmtId="170" fontId="6" fillId="0" borderId="38" xfId="0" applyNumberFormat="1" applyFont="1" applyBorder="1" applyAlignment="1">
      <alignment horizontal="center" vertical="center" wrapText="1"/>
    </xf>
    <xf numFmtId="0" fontId="19" fillId="19" borderId="38" xfId="0" applyFont="1" applyFill="1" applyBorder="1"/>
    <xf numFmtId="169" fontId="28" fillId="31" borderId="38" xfId="0" applyNumberFormat="1" applyFont="1" applyFill="1" applyBorder="1"/>
    <xf numFmtId="9" fontId="6" fillId="0" borderId="0" xfId="0" applyNumberFormat="1" applyFont="1" applyAlignment="1">
      <alignment wrapText="1"/>
    </xf>
    <xf numFmtId="0" fontId="14" fillId="19" borderId="2" xfId="0" applyFont="1" applyFill="1" applyBorder="1" applyAlignment="1">
      <alignment wrapText="1"/>
    </xf>
    <xf numFmtId="0" fontId="14" fillId="19" borderId="13" xfId="0" applyFont="1" applyFill="1" applyBorder="1" applyAlignment="1">
      <alignment wrapText="1"/>
    </xf>
    <xf numFmtId="0" fontId="14" fillId="19" borderId="6" xfId="0" applyFont="1" applyFill="1" applyBorder="1" applyAlignment="1">
      <alignment wrapText="1"/>
    </xf>
    <xf numFmtId="165" fontId="61" fillId="15" borderId="38" xfId="0" applyNumberFormat="1" applyFont="1" applyFill="1" applyBorder="1"/>
    <xf numFmtId="165" fontId="0" fillId="21" borderId="38" xfId="0" applyNumberFormat="1" applyFill="1" applyBorder="1" applyAlignment="1">
      <alignment wrapText="1"/>
    </xf>
    <xf numFmtId="0" fontId="61" fillId="15" borderId="38" xfId="0" applyFont="1" applyFill="1" applyBorder="1"/>
    <xf numFmtId="0" fontId="31" fillId="27" borderId="38" xfId="0" applyFont="1" applyFill="1" applyBorder="1" applyAlignment="1">
      <alignment wrapText="1"/>
    </xf>
    <xf numFmtId="0" fontId="32" fillId="27" borderId="38" xfId="0" applyFont="1" applyFill="1" applyBorder="1" applyAlignment="1">
      <alignment wrapText="1"/>
    </xf>
    <xf numFmtId="175" fontId="0" fillId="0" borderId="38" xfId="0" applyNumberFormat="1" applyBorder="1"/>
    <xf numFmtId="198" fontId="24" fillId="15" borderId="38" xfId="0" applyNumberFormat="1" applyFont="1" applyFill="1" applyBorder="1"/>
    <xf numFmtId="0" fontId="24" fillId="0" borderId="38" xfId="0" applyFont="1" applyBorder="1" applyAlignment="1">
      <alignment horizontal="center"/>
    </xf>
    <xf numFmtId="0" fontId="24" fillId="8" borderId="38" xfId="0" applyFont="1" applyFill="1" applyBorder="1"/>
    <xf numFmtId="0" fontId="0" fillId="21" borderId="38" xfId="0" applyFill="1" applyBorder="1" applyAlignment="1">
      <alignment horizontal="center" vertical="center"/>
    </xf>
    <xf numFmtId="0" fontId="15" fillId="0" borderId="0" xfId="0" applyFont="1" applyAlignment="1">
      <alignment wrapText="1"/>
    </xf>
    <xf numFmtId="173" fontId="6" fillId="0" borderId="0" xfId="0" applyNumberFormat="1" applyFont="1" applyAlignment="1">
      <alignment wrapText="1"/>
    </xf>
    <xf numFmtId="168" fontId="13" fillId="56" borderId="38" xfId="0" applyNumberFormat="1" applyFont="1" applyFill="1" applyBorder="1" applyAlignment="1">
      <alignment wrapText="1"/>
    </xf>
    <xf numFmtId="202" fontId="21" fillId="0" borderId="38" xfId="0" applyNumberFormat="1" applyFont="1" applyBorder="1" applyAlignment="1">
      <alignment wrapText="1"/>
    </xf>
    <xf numFmtId="201" fontId="24" fillId="0" borderId="38" xfId="0" applyNumberFormat="1" applyFont="1" applyBorder="1" applyAlignment="1">
      <alignment horizontal="center"/>
    </xf>
    <xf numFmtId="175" fontId="14" fillId="0" borderId="38" xfId="0" applyNumberFormat="1" applyFont="1" applyBorder="1" applyAlignment="1">
      <alignment vertical="center" wrapText="1"/>
    </xf>
    <xf numFmtId="0" fontId="9" fillId="19" borderId="38" xfId="0" applyFont="1" applyFill="1" applyBorder="1"/>
    <xf numFmtId="0" fontId="6" fillId="15" borderId="0" xfId="0" applyFont="1" applyFill="1" applyAlignment="1">
      <alignment wrapText="1"/>
    </xf>
    <xf numFmtId="166" fontId="14" fillId="0" borderId="38" xfId="0" applyNumberFormat="1" applyFont="1" applyBorder="1" applyAlignment="1">
      <alignment vertical="center" wrapText="1"/>
    </xf>
    <xf numFmtId="0" fontId="23" fillId="19" borderId="13" xfId="0" applyFont="1" applyFill="1" applyBorder="1" applyAlignment="1">
      <alignment horizontal="center" vertical="center" wrapText="1"/>
    </xf>
    <xf numFmtId="0" fontId="23" fillId="19" borderId="6" xfId="0" applyFont="1" applyFill="1" applyBorder="1" applyAlignment="1">
      <alignment horizontal="center" vertical="center" wrapText="1"/>
    </xf>
    <xf numFmtId="0" fontId="14" fillId="36" borderId="38" xfId="0" applyFont="1" applyFill="1" applyBorder="1" applyAlignment="1">
      <alignment horizontal="center" vertical="center" wrapText="1"/>
    </xf>
    <xf numFmtId="0" fontId="0" fillId="36" borderId="38" xfId="0" applyFill="1" applyBorder="1" applyAlignment="1">
      <alignment horizontal="center" vertical="center"/>
    </xf>
    <xf numFmtId="2" fontId="14" fillId="36" borderId="38" xfId="0" applyNumberFormat="1" applyFont="1" applyFill="1" applyBorder="1" applyAlignment="1">
      <alignment horizontal="center" vertical="center" wrapText="1"/>
    </xf>
    <xf numFmtId="9" fontId="0" fillId="36" borderId="38" xfId="0" applyNumberFormat="1" applyFill="1" applyBorder="1" applyAlignment="1">
      <alignment horizontal="center" vertical="center" wrapText="1"/>
    </xf>
    <xf numFmtId="1" fontId="0" fillId="36" borderId="38" xfId="0" applyNumberFormat="1" applyFill="1" applyBorder="1" applyAlignment="1">
      <alignment horizontal="center" vertical="center" wrapText="1"/>
    </xf>
    <xf numFmtId="1" fontId="6" fillId="0" borderId="38" xfId="0" applyNumberFormat="1" applyFont="1" applyBorder="1"/>
    <xf numFmtId="2" fontId="24" fillId="8" borderId="38" xfId="0" applyNumberFormat="1" applyFont="1" applyFill="1" applyBorder="1"/>
    <xf numFmtId="0" fontId="6" fillId="36" borderId="38" xfId="0" applyFont="1" applyFill="1" applyBorder="1" applyAlignment="1">
      <alignment horizontal="center" vertical="center" wrapText="1"/>
    </xf>
    <xf numFmtId="0" fontId="6" fillId="36" borderId="38" xfId="0" applyFont="1" applyFill="1" applyBorder="1" applyAlignment="1">
      <alignment horizontal="center" vertical="center"/>
    </xf>
    <xf numFmtId="2" fontId="6" fillId="36" borderId="38" xfId="0" applyNumberFormat="1" applyFont="1" applyFill="1" applyBorder="1" applyAlignment="1">
      <alignment horizontal="center" vertical="center" wrapText="1"/>
    </xf>
    <xf numFmtId="9" fontId="6" fillId="36" borderId="38" xfId="10" applyFont="1" applyFill="1" applyBorder="1" applyAlignment="1">
      <alignment horizontal="center" vertical="center" wrapText="1"/>
    </xf>
    <xf numFmtId="0" fontId="39" fillId="56" borderId="38" xfId="28" applyFont="1" applyFill="1" applyBorder="1" applyAlignment="1">
      <alignment horizontal="center" vertical="center" wrapText="1"/>
    </xf>
    <xf numFmtId="0" fontId="2" fillId="0" borderId="38" xfId="28" applyBorder="1" applyAlignment="1">
      <alignment horizontal="center" vertical="center"/>
    </xf>
    <xf numFmtId="0" fontId="0" fillId="93" borderId="38" xfId="0" applyFill="1" applyBorder="1"/>
    <xf numFmtId="168" fontId="0" fillId="0" borderId="38" xfId="0" applyNumberFormat="1" applyBorder="1" applyAlignment="1">
      <alignment vertical="center" wrapText="1"/>
    </xf>
    <xf numFmtId="0" fontId="13" fillId="0" borderId="0" xfId="0" applyFont="1" applyAlignment="1">
      <alignment horizontal="center" vertical="center" wrapText="1"/>
    </xf>
    <xf numFmtId="0" fontId="13" fillId="25" borderId="38" xfId="0" applyFont="1" applyFill="1" applyBorder="1" applyAlignment="1">
      <alignment horizontal="center" vertical="center" wrapText="1"/>
    </xf>
    <xf numFmtId="176" fontId="28" fillId="31" borderId="38" xfId="0" applyNumberFormat="1" applyFont="1" applyFill="1" applyBorder="1" applyAlignment="1">
      <alignment horizontal="center" vertical="center" wrapText="1"/>
    </xf>
    <xf numFmtId="176" fontId="0" fillId="0" borderId="0" xfId="0" applyNumberFormat="1" applyAlignment="1">
      <alignment vertical="center" wrapText="1"/>
    </xf>
    <xf numFmtId="1" fontId="0" fillId="0" borderId="0" xfId="0" applyNumberFormat="1" applyAlignment="1">
      <alignment wrapText="1"/>
    </xf>
    <xf numFmtId="165" fontId="6" fillId="0" borderId="38" xfId="0" applyNumberFormat="1" applyFont="1" applyBorder="1" applyAlignment="1">
      <alignment horizontal="center" vertical="center" wrapText="1"/>
    </xf>
    <xf numFmtId="166" fontId="0" fillId="56" borderId="38" xfId="0" applyNumberFormat="1" applyFill="1" applyBorder="1"/>
    <xf numFmtId="0" fontId="68" fillId="65" borderId="43" xfId="0" applyFont="1" applyFill="1" applyBorder="1" applyAlignment="1">
      <alignment vertical="center" wrapText="1"/>
    </xf>
    <xf numFmtId="0" fontId="52" fillId="29" borderId="38" xfId="0" applyFont="1" applyFill="1" applyBorder="1" applyAlignment="1">
      <alignment vertical="center" wrapText="1"/>
    </xf>
    <xf numFmtId="0" fontId="19" fillId="0" borderId="38" xfId="0" applyFont="1" applyBorder="1" applyAlignment="1">
      <alignment horizontal="center" wrapText="1"/>
    </xf>
    <xf numFmtId="0" fontId="9" fillId="29" borderId="38" xfId="0" applyFont="1" applyFill="1" applyBorder="1" applyAlignment="1">
      <alignment wrapText="1"/>
    </xf>
    <xf numFmtId="176" fontId="28" fillId="31" borderId="38" xfId="0" applyNumberFormat="1" applyFont="1" applyFill="1" applyBorder="1" applyAlignment="1">
      <alignment vertical="center" wrapText="1"/>
    </xf>
    <xf numFmtId="176" fontId="28" fillId="31" borderId="38" xfId="0" applyNumberFormat="1" applyFont="1" applyFill="1" applyBorder="1" applyAlignment="1">
      <alignment vertical="center"/>
    </xf>
    <xf numFmtId="176" fontId="0" fillId="0" borderId="38" xfId="0" applyNumberFormat="1" applyBorder="1" applyAlignment="1">
      <alignment vertical="center" wrapText="1"/>
    </xf>
    <xf numFmtId="176" fontId="14" fillId="0" borderId="38" xfId="0" applyNumberFormat="1" applyFont="1" applyBorder="1" applyAlignment="1">
      <alignment vertical="center" wrapText="1"/>
    </xf>
    <xf numFmtId="176" fontId="21" fillId="14" borderId="38" xfId="0" applyNumberFormat="1" applyFont="1" applyFill="1" applyBorder="1" applyAlignment="1">
      <alignment vertical="center" wrapText="1"/>
    </xf>
    <xf numFmtId="176" fontId="24" fillId="14" borderId="38" xfId="0" applyNumberFormat="1" applyFont="1" applyFill="1" applyBorder="1" applyAlignment="1">
      <alignment vertical="center"/>
    </xf>
    <xf numFmtId="176" fontId="24" fillId="20" borderId="38" xfId="0" applyNumberFormat="1" applyFont="1" applyFill="1" applyBorder="1" applyAlignment="1">
      <alignment vertical="center" wrapText="1"/>
    </xf>
    <xf numFmtId="176" fontId="21" fillId="20" borderId="38" xfId="0" applyNumberFormat="1" applyFont="1" applyFill="1" applyBorder="1" applyAlignment="1">
      <alignment vertical="center" wrapText="1"/>
    </xf>
    <xf numFmtId="9" fontId="14" fillId="0" borderId="38" xfId="10" applyFont="1" applyBorder="1" applyAlignment="1">
      <alignment vertical="center" wrapText="1"/>
    </xf>
    <xf numFmtId="176" fontId="23" fillId="30" borderId="38" xfId="0" applyNumberFormat="1" applyFont="1" applyFill="1" applyBorder="1" applyAlignment="1">
      <alignment vertical="center" wrapText="1"/>
    </xf>
    <xf numFmtId="176" fontId="29" fillId="30" borderId="38" xfId="0" applyNumberFormat="1" applyFont="1" applyFill="1" applyBorder="1" applyAlignment="1">
      <alignment vertical="center"/>
    </xf>
    <xf numFmtId="176" fontId="6" fillId="0" borderId="38" xfId="0" applyNumberFormat="1" applyFont="1" applyBorder="1" applyAlignment="1">
      <alignment vertical="center" wrapText="1"/>
    </xf>
    <xf numFmtId="176" fontId="29" fillId="30" borderId="38" xfId="0" applyNumberFormat="1" applyFont="1" applyFill="1" applyBorder="1" applyAlignment="1">
      <alignment vertical="center" wrapText="1"/>
    </xf>
    <xf numFmtId="176" fontId="29" fillId="70" borderId="38" xfId="0" applyNumberFormat="1" applyFont="1" applyFill="1" applyBorder="1" applyAlignment="1">
      <alignment vertical="center" wrapText="1"/>
    </xf>
    <xf numFmtId="168" fontId="14" fillId="0" borderId="13" xfId="0" applyNumberFormat="1" applyFont="1" applyBorder="1" applyAlignment="1">
      <alignment horizontal="center" vertical="center" wrapText="1"/>
    </xf>
    <xf numFmtId="183" fontId="0" fillId="0" borderId="38" xfId="0" applyNumberFormat="1" applyBorder="1"/>
    <xf numFmtId="0" fontId="24" fillId="14" borderId="38" xfId="0" applyFont="1" applyFill="1" applyBorder="1" applyAlignment="1">
      <alignment vertical="center" wrapText="1"/>
    </xf>
    <xf numFmtId="0" fontId="24" fillId="14" borderId="38" xfId="0" applyFont="1" applyFill="1" applyBorder="1" applyAlignment="1">
      <alignment vertical="center"/>
    </xf>
    <xf numFmtId="0" fontId="24" fillId="20" borderId="38" xfId="0" applyFont="1" applyFill="1" applyBorder="1" applyAlignment="1">
      <alignment vertical="center" wrapText="1"/>
    </xf>
    <xf numFmtId="165" fontId="6" fillId="0" borderId="0" xfId="0" applyNumberFormat="1" applyFont="1" applyAlignment="1">
      <alignment wrapText="1"/>
    </xf>
    <xf numFmtId="166" fontId="14" fillId="0" borderId="2" xfId="0" applyNumberFormat="1" applyFont="1" applyBorder="1" applyAlignment="1">
      <alignment vertical="center" wrapText="1"/>
    </xf>
    <xf numFmtId="164" fontId="14" fillId="0" borderId="38" xfId="0" applyNumberFormat="1" applyFont="1" applyBorder="1" applyAlignment="1">
      <alignment horizontal="center" vertical="center" wrapText="1"/>
    </xf>
    <xf numFmtId="169" fontId="13" fillId="0" borderId="38" xfId="0" applyNumberFormat="1" applyFont="1" applyBorder="1"/>
    <xf numFmtId="169" fontId="13" fillId="0" borderId="38" xfId="0" applyNumberFormat="1" applyFont="1" applyBorder="1" applyAlignment="1">
      <alignment wrapText="1"/>
    </xf>
    <xf numFmtId="1" fontId="66" fillId="0" borderId="38" xfId="0" applyNumberFormat="1" applyFont="1" applyBorder="1" applyAlignment="1">
      <alignment horizontal="center" vertical="center" wrapText="1"/>
    </xf>
    <xf numFmtId="0" fontId="6" fillId="0" borderId="3" xfId="0" applyFont="1" applyBorder="1" applyAlignment="1">
      <alignment wrapText="1"/>
    </xf>
    <xf numFmtId="165" fontId="61" fillId="0" borderId="38" xfId="0" applyNumberFormat="1" applyFont="1" applyBorder="1"/>
    <xf numFmtId="164" fontId="13" fillId="0" borderId="38" xfId="0" applyNumberFormat="1" applyFont="1" applyBorder="1"/>
    <xf numFmtId="190" fontId="20" fillId="0" borderId="38" xfId="0" applyNumberFormat="1" applyFont="1" applyBorder="1" applyAlignment="1">
      <alignment wrapText="1"/>
    </xf>
    <xf numFmtId="197" fontId="24" fillId="8" borderId="38" xfId="0" applyNumberFormat="1" applyFont="1" applyFill="1" applyBorder="1" applyAlignment="1">
      <alignment horizontal="center"/>
    </xf>
    <xf numFmtId="0" fontId="16" fillId="0" borderId="38" xfId="0" applyFont="1" applyBorder="1" applyAlignment="1">
      <alignment wrapText="1"/>
    </xf>
    <xf numFmtId="0" fontId="13" fillId="25" borderId="38" xfId="0" applyFont="1" applyFill="1" applyBorder="1" applyAlignment="1">
      <alignment horizontal="center" vertical="center"/>
    </xf>
    <xf numFmtId="165" fontId="13" fillId="0" borderId="38" xfId="0" applyNumberFormat="1" applyFont="1" applyBorder="1" applyAlignment="1">
      <alignment horizontal="center" vertical="center"/>
    </xf>
    <xf numFmtId="165" fontId="13" fillId="0" borderId="38" xfId="0" applyNumberFormat="1" applyFont="1" applyBorder="1" applyAlignment="1">
      <alignment horizontal="center" vertical="center" wrapText="1"/>
    </xf>
    <xf numFmtId="165" fontId="61" fillId="15" borderId="38" xfId="0" applyNumberFormat="1" applyFont="1" applyFill="1" applyBorder="1" applyAlignment="1">
      <alignment horizontal="center" vertical="center"/>
    </xf>
    <xf numFmtId="165" fontId="0" fillId="0" borderId="38" xfId="0" applyNumberFormat="1" applyBorder="1" applyAlignment="1">
      <alignment horizontal="center" vertical="center" wrapText="1"/>
    </xf>
    <xf numFmtId="169" fontId="0" fillId="0" borderId="38" xfId="0" applyNumberFormat="1" applyBorder="1" applyAlignment="1">
      <alignment horizontal="center" vertical="center"/>
    </xf>
    <xf numFmtId="165" fontId="0" fillId="15" borderId="38" xfId="0" applyNumberFormat="1" applyFill="1" applyBorder="1" applyAlignment="1">
      <alignment horizontal="center" vertical="center"/>
    </xf>
    <xf numFmtId="165" fontId="0" fillId="0" borderId="38" xfId="0" applyNumberFormat="1" applyBorder="1" applyAlignment="1">
      <alignment horizontal="center" vertical="center"/>
    </xf>
    <xf numFmtId="166" fontId="0" fillId="0" borderId="38" xfId="0" applyNumberFormat="1" applyBorder="1" applyAlignment="1">
      <alignment horizontal="center" vertical="center"/>
    </xf>
    <xf numFmtId="0" fontId="9" fillId="22" borderId="38" xfId="0" applyFont="1" applyFill="1" applyBorder="1" applyAlignment="1">
      <alignment horizontal="center" vertical="center" wrapText="1"/>
    </xf>
    <xf numFmtId="173" fontId="6" fillId="15" borderId="38" xfId="0" applyNumberFormat="1" applyFont="1" applyFill="1" applyBorder="1" applyAlignment="1">
      <alignment horizontal="center" vertical="center" wrapText="1"/>
    </xf>
    <xf numFmtId="2" fontId="14" fillId="0" borderId="38" xfId="0" applyNumberFormat="1" applyFont="1" applyBorder="1" applyAlignment="1">
      <alignment wrapText="1"/>
    </xf>
    <xf numFmtId="1" fontId="24" fillId="36" borderId="38" xfId="0" applyNumberFormat="1" applyFont="1" applyFill="1" applyBorder="1" applyAlignment="1">
      <alignment horizontal="center" vertical="center"/>
    </xf>
    <xf numFmtId="0" fontId="30" fillId="0" borderId="38" xfId="0" applyFont="1" applyBorder="1" applyAlignment="1">
      <alignment wrapText="1"/>
    </xf>
    <xf numFmtId="166" fontId="13" fillId="0" borderId="38" xfId="0" applyNumberFormat="1" applyFont="1" applyBorder="1" applyAlignment="1">
      <alignment horizontal="center" vertical="center" wrapText="1"/>
    </xf>
    <xf numFmtId="166" fontId="61" fillId="15" borderId="38" xfId="0" applyNumberFormat="1" applyFont="1" applyFill="1" applyBorder="1" applyAlignment="1">
      <alignment horizontal="center" vertical="center"/>
    </xf>
    <xf numFmtId="166" fontId="0" fillId="0" borderId="38" xfId="0" applyNumberFormat="1" applyBorder="1" applyAlignment="1">
      <alignment horizontal="center" vertical="center" wrapText="1"/>
    </xf>
    <xf numFmtId="166" fontId="13" fillId="0" borderId="38" xfId="0" applyNumberFormat="1" applyFont="1" applyBorder="1" applyAlignment="1">
      <alignment horizontal="center" vertical="center"/>
    </xf>
    <xf numFmtId="1" fontId="13" fillId="0" borderId="38" xfId="0" applyNumberFormat="1" applyFont="1" applyBorder="1" applyAlignment="1">
      <alignment horizontal="center" vertical="center"/>
    </xf>
    <xf numFmtId="175" fontId="13" fillId="0" borderId="38" xfId="0" applyNumberFormat="1" applyFont="1" applyBorder="1" applyAlignment="1">
      <alignment wrapText="1"/>
    </xf>
    <xf numFmtId="175" fontId="61" fillId="15" borderId="38" xfId="0" applyNumberFormat="1" applyFont="1" applyFill="1" applyBorder="1" applyAlignment="1">
      <alignment horizontal="center" vertical="center"/>
    </xf>
    <xf numFmtId="175" fontId="0" fillId="0" borderId="38" xfId="0" applyNumberFormat="1" applyBorder="1" applyAlignment="1">
      <alignment horizontal="center" vertical="center"/>
    </xf>
    <xf numFmtId="183" fontId="0" fillId="0" borderId="38" xfId="0" applyNumberFormat="1" applyBorder="1" applyAlignment="1">
      <alignment horizontal="center" vertical="center" wrapText="1"/>
    </xf>
    <xf numFmtId="199" fontId="24" fillId="15" borderId="38" xfId="0" applyNumberFormat="1" applyFont="1" applyFill="1" applyBorder="1"/>
    <xf numFmtId="1" fontId="0" fillId="0" borderId="38" xfId="0" applyNumberFormat="1" applyBorder="1" applyAlignment="1">
      <alignment horizontal="center" wrapText="1"/>
    </xf>
    <xf numFmtId="183" fontId="14" fillId="0" borderId="38" xfId="0" applyNumberFormat="1" applyFont="1" applyBorder="1" applyAlignment="1">
      <alignment horizontal="center" vertical="center" wrapText="1"/>
    </xf>
    <xf numFmtId="183" fontId="61" fillId="15" borderId="38" xfId="0" applyNumberFormat="1" applyFont="1" applyFill="1" applyBorder="1"/>
    <xf numFmtId="166" fontId="0" fillId="0" borderId="38" xfId="0" applyNumberFormat="1" applyBorder="1" applyAlignment="1">
      <alignment wrapText="1"/>
    </xf>
    <xf numFmtId="1" fontId="0" fillId="56" borderId="0" xfId="0" applyNumberFormat="1" applyFill="1" applyAlignment="1">
      <alignment wrapText="1"/>
    </xf>
    <xf numFmtId="0" fontId="14" fillId="15" borderId="38" xfId="0" applyFont="1" applyFill="1" applyBorder="1" applyAlignment="1">
      <alignment horizontal="center" vertical="center" wrapText="1"/>
    </xf>
    <xf numFmtId="0" fontId="13" fillId="25" borderId="18" xfId="0" applyFont="1" applyFill="1" applyBorder="1"/>
    <xf numFmtId="165" fontId="0" fillId="0" borderId="44" xfId="0" applyNumberFormat="1" applyBorder="1"/>
    <xf numFmtId="0" fontId="0" fillId="0" borderId="44" xfId="0" applyBorder="1"/>
    <xf numFmtId="165" fontId="0" fillId="0" borderId="45" xfId="0" applyNumberFormat="1" applyBorder="1"/>
    <xf numFmtId="0" fontId="19" fillId="21" borderId="38" xfId="0" applyFont="1" applyFill="1" applyBorder="1" applyAlignment="1">
      <alignment horizontal="center"/>
    </xf>
    <xf numFmtId="0" fontId="29" fillId="71" borderId="38" xfId="0" applyFont="1" applyFill="1" applyBorder="1" applyAlignment="1">
      <alignment horizontal="center" vertical="center" wrapText="1"/>
    </xf>
    <xf numFmtId="169" fontId="28" fillId="72" borderId="38" xfId="0" applyNumberFormat="1" applyFont="1" applyFill="1" applyBorder="1" applyAlignment="1">
      <alignment wrapText="1"/>
    </xf>
    <xf numFmtId="0" fontId="6" fillId="56" borderId="38" xfId="0" applyFont="1" applyFill="1" applyBorder="1" applyAlignment="1">
      <alignment wrapText="1"/>
    </xf>
    <xf numFmtId="0" fontId="29" fillId="71" borderId="38" xfId="0" applyFont="1" applyFill="1" applyBorder="1" applyAlignment="1">
      <alignment horizontal="center" vertical="center"/>
    </xf>
    <xf numFmtId="1" fontId="0" fillId="56" borderId="38" xfId="0" applyNumberFormat="1" applyFill="1" applyBorder="1" applyAlignment="1">
      <alignment wrapText="1"/>
    </xf>
    <xf numFmtId="177" fontId="28" fillId="72" borderId="38" xfId="0" applyNumberFormat="1" applyFont="1" applyFill="1" applyBorder="1" applyAlignment="1">
      <alignment wrapText="1"/>
    </xf>
    <xf numFmtId="0" fontId="14" fillId="56" borderId="38" xfId="0" applyFont="1" applyFill="1" applyBorder="1" applyAlignment="1">
      <alignment wrapText="1"/>
    </xf>
    <xf numFmtId="169" fontId="28" fillId="72" borderId="38" xfId="0" applyNumberFormat="1" applyFont="1" applyFill="1" applyBorder="1"/>
    <xf numFmtId="178" fontId="14" fillId="0" borderId="38" xfId="0" applyNumberFormat="1" applyFont="1" applyBorder="1" applyAlignment="1">
      <alignment vertical="center" wrapText="1"/>
    </xf>
    <xf numFmtId="0" fontId="0" fillId="0" borderId="12" xfId="0" applyBorder="1" applyAlignment="1">
      <alignment wrapText="1"/>
    </xf>
    <xf numFmtId="0" fontId="19" fillId="14" borderId="38" xfId="0" applyFont="1" applyFill="1" applyBorder="1" applyAlignment="1">
      <alignment horizontal="center" vertical="center" wrapText="1"/>
    </xf>
    <xf numFmtId="0" fontId="33" fillId="0" borderId="38" xfId="0" applyFont="1" applyBorder="1"/>
    <xf numFmtId="0" fontId="24" fillId="0" borderId="38" xfId="0" applyFont="1" applyBorder="1" applyAlignment="1">
      <alignment wrapText="1"/>
    </xf>
    <xf numFmtId="10" fontId="6" fillId="0" borderId="38" xfId="0" applyNumberFormat="1" applyFont="1" applyBorder="1" applyAlignment="1">
      <alignment wrapText="1"/>
    </xf>
    <xf numFmtId="9" fontId="6" fillId="0" borderId="38" xfId="0" applyNumberFormat="1" applyFont="1" applyBorder="1" applyAlignment="1">
      <alignment wrapText="1"/>
    </xf>
    <xf numFmtId="172" fontId="0" fillId="15" borderId="38" xfId="0" applyNumberFormat="1" applyFill="1" applyBorder="1"/>
    <xf numFmtId="174" fontId="6" fillId="0" borderId="38" xfId="0" applyNumberFormat="1" applyFont="1" applyBorder="1"/>
    <xf numFmtId="168" fontId="0" fillId="0" borderId="38" xfId="0" applyNumberFormat="1" applyBorder="1" applyAlignment="1">
      <alignment wrapText="1"/>
    </xf>
    <xf numFmtId="180" fontId="35" fillId="0" borderId="0" xfId="0" applyNumberFormat="1" applyFont="1" applyAlignment="1">
      <alignment wrapText="1"/>
    </xf>
    <xf numFmtId="165" fontId="13" fillId="0" borderId="38" xfId="0" applyNumberFormat="1" applyFont="1" applyBorder="1" applyAlignment="1">
      <alignment horizontal="center"/>
    </xf>
    <xf numFmtId="165" fontId="13" fillId="0" borderId="38" xfId="0" applyNumberFormat="1" applyFont="1" applyBorder="1" applyAlignment="1">
      <alignment horizontal="center" wrapText="1"/>
    </xf>
    <xf numFmtId="165" fontId="61" fillId="15" borderId="38" xfId="0" applyNumberFormat="1" applyFont="1" applyFill="1" applyBorder="1" applyAlignment="1">
      <alignment horizontal="center"/>
    </xf>
    <xf numFmtId="0" fontId="13" fillId="0" borderId="38" xfId="0" applyFont="1" applyBorder="1" applyAlignment="1">
      <alignment horizontal="center"/>
    </xf>
    <xf numFmtId="169" fontId="13" fillId="0" borderId="38" xfId="0" applyNumberFormat="1" applyFont="1" applyBorder="1" applyAlignment="1">
      <alignment horizontal="center"/>
    </xf>
    <xf numFmtId="169" fontId="13" fillId="0" borderId="38" xfId="0" applyNumberFormat="1" applyFont="1" applyBorder="1" applyAlignment="1">
      <alignment horizontal="center" wrapText="1"/>
    </xf>
    <xf numFmtId="0" fontId="6" fillId="15" borderId="38" xfId="0" applyFont="1" applyFill="1" applyBorder="1" applyAlignment="1">
      <alignment wrapText="1"/>
    </xf>
    <xf numFmtId="169" fontId="14" fillId="21" borderId="38" xfId="0" applyNumberFormat="1" applyFont="1" applyFill="1" applyBorder="1" applyAlignment="1">
      <alignment horizontal="center" vertical="center" wrapText="1"/>
    </xf>
    <xf numFmtId="164" fontId="7" fillId="0" borderId="0" xfId="4" applyNumberFormat="1" applyAlignment="1">
      <alignment horizontal="center" vertical="center" wrapText="1"/>
    </xf>
    <xf numFmtId="0" fontId="47" fillId="50" borderId="38" xfId="4" applyFont="1" applyFill="1" applyBorder="1" applyAlignment="1">
      <alignment horizontal="center" vertical="center" wrapText="1"/>
    </xf>
    <xf numFmtId="0" fontId="7" fillId="50" borderId="38" xfId="4" applyFill="1" applyBorder="1" applyAlignment="1">
      <alignment horizontal="center" vertical="center" wrapText="1"/>
    </xf>
    <xf numFmtId="165" fontId="47" fillId="0" borderId="38" xfId="4" applyNumberFormat="1" applyFont="1" applyBorder="1" applyAlignment="1">
      <alignment horizontal="center" vertical="center" wrapText="1"/>
    </xf>
    <xf numFmtId="166" fontId="7" fillId="0" borderId="38" xfId="4" applyNumberFormat="1" applyBorder="1" applyAlignment="1">
      <alignment horizontal="center" vertical="center" wrapText="1"/>
    </xf>
    <xf numFmtId="166" fontId="47" fillId="0" borderId="38" xfId="4" applyNumberFormat="1" applyFont="1" applyBorder="1" applyAlignment="1">
      <alignment horizontal="center" vertical="center" wrapText="1"/>
    </xf>
    <xf numFmtId="0" fontId="21" fillId="13" borderId="38" xfId="9" applyFont="1" applyFill="1" applyBorder="1" applyAlignment="1">
      <alignment horizontal="center" vertical="center" wrapText="1"/>
    </xf>
    <xf numFmtId="0" fontId="14" fillId="20" borderId="38" xfId="9" applyFont="1" applyFill="1" applyBorder="1" applyAlignment="1">
      <alignment horizontal="center" vertical="center" wrapText="1"/>
    </xf>
    <xf numFmtId="0" fontId="24" fillId="42" borderId="38" xfId="4" applyFont="1" applyFill="1" applyBorder="1" applyAlignment="1">
      <alignment horizontal="center" vertical="center"/>
    </xf>
    <xf numFmtId="0" fontId="24" fillId="36" borderId="38" xfId="4" applyFont="1" applyFill="1" applyBorder="1" applyAlignment="1">
      <alignment horizontal="center" vertical="center"/>
    </xf>
    <xf numFmtId="0" fontId="58" fillId="19" borderId="0" xfId="4" applyFont="1" applyFill="1" applyAlignment="1">
      <alignment vertical="center" wrapText="1"/>
    </xf>
    <xf numFmtId="0" fontId="9" fillId="50" borderId="38" xfId="4" applyFont="1" applyFill="1" applyBorder="1" applyAlignment="1">
      <alignment horizontal="center" vertical="center" wrapText="1"/>
    </xf>
    <xf numFmtId="0" fontId="51" fillId="20" borderId="38" xfId="4" applyFont="1" applyFill="1" applyBorder="1" applyAlignment="1">
      <alignment horizontal="center" vertical="center" wrapText="1"/>
    </xf>
    <xf numFmtId="165" fontId="51" fillId="50" borderId="38" xfId="11" applyNumberFormat="1" applyFont="1" applyFill="1" applyBorder="1" applyAlignment="1">
      <alignment horizontal="center" vertical="center" wrapText="1"/>
    </xf>
    <xf numFmtId="1" fontId="39" fillId="0" borderId="38" xfId="4" applyNumberFormat="1" applyFont="1" applyBorder="1" applyAlignment="1">
      <alignment horizontal="center" vertical="center" wrapText="1"/>
    </xf>
    <xf numFmtId="165" fontId="47" fillId="0" borderId="38" xfId="11" applyNumberFormat="1" applyFont="1" applyBorder="1" applyAlignment="1">
      <alignment horizontal="center" vertical="center" wrapText="1"/>
    </xf>
    <xf numFmtId="0" fontId="39" fillId="56" borderId="38" xfId="4" applyFont="1" applyFill="1" applyBorder="1" applyAlignment="1">
      <alignment horizontal="center" vertical="center" wrapText="1"/>
    </xf>
    <xf numFmtId="0" fontId="39" fillId="0" borderId="38" xfId="4" applyFont="1" applyBorder="1" applyAlignment="1">
      <alignment horizontal="center" vertical="center" wrapText="1"/>
    </xf>
    <xf numFmtId="166" fontId="47" fillId="0" borderId="38" xfId="11" applyFont="1" applyBorder="1" applyAlignment="1">
      <alignment horizontal="center" vertical="center" wrapText="1"/>
    </xf>
    <xf numFmtId="175" fontId="13" fillId="0" borderId="38" xfId="11" applyNumberFormat="1" applyFont="1" applyBorder="1" applyAlignment="1">
      <alignment vertical="center"/>
    </xf>
    <xf numFmtId="0" fontId="20" fillId="0" borderId="38" xfId="4" applyFont="1" applyBorder="1" applyAlignment="1">
      <alignment vertical="center"/>
    </xf>
    <xf numFmtId="166" fontId="14" fillId="0" borderId="38" xfId="4" applyNumberFormat="1" applyFont="1" applyBorder="1" applyAlignment="1">
      <alignment vertical="center"/>
    </xf>
    <xf numFmtId="165" fontId="36" fillId="0" borderId="38" xfId="9" applyNumberFormat="1" applyFont="1" applyBorder="1" applyAlignment="1">
      <alignment vertical="center"/>
    </xf>
    <xf numFmtId="0" fontId="14" fillId="0" borderId="38" xfId="4" applyFont="1" applyBorder="1" applyAlignment="1">
      <alignment vertical="center"/>
    </xf>
    <xf numFmtId="165" fontId="14" fillId="0" borderId="38" xfId="4" applyNumberFormat="1" applyFont="1" applyBorder="1" applyAlignment="1">
      <alignment vertical="center"/>
    </xf>
    <xf numFmtId="0" fontId="22" fillId="27" borderId="38" xfId="9" applyFont="1" applyFill="1" applyBorder="1" applyAlignment="1">
      <alignment wrapText="1"/>
    </xf>
    <xf numFmtId="9" fontId="7" fillId="36" borderId="38" xfId="4" applyNumberFormat="1" applyFill="1" applyBorder="1" applyAlignment="1">
      <alignment horizontal="center" vertical="center"/>
    </xf>
    <xf numFmtId="175" fontId="7" fillId="0" borderId="38" xfId="4" applyNumberFormat="1" applyBorder="1" applyAlignment="1">
      <alignment horizontal="center" vertical="center"/>
    </xf>
    <xf numFmtId="165" fontId="7" fillId="0" borderId="38" xfId="4" applyNumberFormat="1" applyBorder="1" applyAlignment="1">
      <alignment horizontal="center" vertical="center" wrapText="1"/>
    </xf>
    <xf numFmtId="0" fontId="47" fillId="49" borderId="38" xfId="4" applyFont="1" applyFill="1" applyBorder="1" applyAlignment="1">
      <alignment vertical="center" wrapText="1"/>
    </xf>
    <xf numFmtId="1" fontId="47" fillId="49" borderId="38" xfId="4" applyNumberFormat="1" applyFont="1" applyFill="1" applyBorder="1" applyAlignment="1">
      <alignment vertical="center" wrapText="1"/>
    </xf>
    <xf numFmtId="175" fontId="47" fillId="0" borderId="38" xfId="4" applyNumberFormat="1" applyFont="1" applyBorder="1" applyAlignment="1">
      <alignment vertical="center" wrapText="1"/>
    </xf>
    <xf numFmtId="9" fontId="47" fillId="0" borderId="38" xfId="10" applyFont="1" applyBorder="1" applyAlignment="1">
      <alignment vertical="center" wrapText="1"/>
    </xf>
    <xf numFmtId="0" fontId="61" fillId="36" borderId="38" xfId="0" applyFont="1" applyFill="1" applyBorder="1"/>
    <xf numFmtId="182" fontId="24" fillId="0" borderId="38" xfId="0" applyNumberFormat="1" applyFont="1" applyBorder="1"/>
    <xf numFmtId="173" fontId="6" fillId="0" borderId="38" xfId="0" applyNumberFormat="1" applyFont="1" applyBorder="1" applyAlignment="1">
      <alignment wrapText="1"/>
    </xf>
    <xf numFmtId="169" fontId="6" fillId="21" borderId="38" xfId="0" applyNumberFormat="1" applyFont="1" applyFill="1" applyBorder="1"/>
    <xf numFmtId="179" fontId="6" fillId="15" borderId="38" xfId="0" applyNumberFormat="1" applyFont="1" applyFill="1" applyBorder="1" applyAlignment="1">
      <alignment wrapText="1"/>
    </xf>
    <xf numFmtId="173" fontId="6" fillId="15" borderId="38" xfId="0" applyNumberFormat="1" applyFont="1" applyFill="1" applyBorder="1" applyAlignment="1">
      <alignment wrapText="1"/>
    </xf>
    <xf numFmtId="169" fontId="61" fillId="15" borderId="38" xfId="0" applyNumberFormat="1" applyFont="1" applyFill="1" applyBorder="1"/>
    <xf numFmtId="0" fontId="9" fillId="0" borderId="40" xfId="0" applyFont="1" applyBorder="1" applyAlignment="1">
      <alignment horizontal="center" vertical="center"/>
    </xf>
    <xf numFmtId="0" fontId="19" fillId="0" borderId="38" xfId="0" applyFont="1" applyBorder="1" applyAlignment="1">
      <alignment horizontal="center" vertical="center"/>
    </xf>
    <xf numFmtId="0" fontId="9" fillId="0" borderId="38" xfId="0" applyFont="1" applyBorder="1" applyAlignment="1">
      <alignment horizontal="center" vertical="center"/>
    </xf>
    <xf numFmtId="9" fontId="0" fillId="15" borderId="38" xfId="0" applyNumberFormat="1" applyFill="1" applyBorder="1" applyAlignment="1">
      <alignment wrapText="1"/>
    </xf>
    <xf numFmtId="0" fontId="20" fillId="28" borderId="38" xfId="0" applyFont="1" applyFill="1" applyBorder="1" applyAlignment="1">
      <alignment horizontal="center" vertical="center" wrapText="1"/>
    </xf>
    <xf numFmtId="0" fontId="23" fillId="19" borderId="38" xfId="0" applyFont="1" applyFill="1" applyBorder="1" applyAlignment="1">
      <alignment vertical="center" wrapText="1"/>
    </xf>
    <xf numFmtId="0" fontId="13" fillId="0" borderId="7" xfId="0" applyFont="1" applyBorder="1" applyAlignment="1">
      <alignment wrapText="1"/>
    </xf>
    <xf numFmtId="169" fontId="0" fillId="0" borderId="0" xfId="0" applyNumberFormat="1" applyAlignment="1">
      <alignment wrapText="1"/>
    </xf>
    <xf numFmtId="0" fontId="13" fillId="0" borderId="38" xfId="0" applyFont="1" applyBorder="1" applyAlignment="1">
      <alignment wrapText="1"/>
    </xf>
    <xf numFmtId="165" fontId="13" fillId="21" borderId="38" xfId="0" applyNumberFormat="1" applyFont="1" applyFill="1" applyBorder="1" applyAlignment="1">
      <alignment wrapText="1"/>
    </xf>
    <xf numFmtId="10" fontId="0" fillId="15" borderId="38" xfId="0" applyNumberFormat="1" applyFill="1" applyBorder="1" applyAlignment="1">
      <alignment wrapText="1"/>
    </xf>
    <xf numFmtId="182" fontId="0" fillId="15" borderId="38" xfId="0" applyNumberFormat="1" applyFill="1" applyBorder="1" applyAlignment="1">
      <alignment wrapText="1"/>
    </xf>
    <xf numFmtId="0" fontId="12" fillId="25" borderId="38" xfId="0" applyFont="1" applyFill="1" applyBorder="1" applyAlignment="1">
      <alignment wrapText="1"/>
    </xf>
    <xf numFmtId="0" fontId="12" fillId="25" borderId="38" xfId="0" applyFont="1" applyFill="1" applyBorder="1"/>
    <xf numFmtId="166" fontId="13" fillId="21" borderId="38" xfId="0" applyNumberFormat="1" applyFont="1" applyFill="1" applyBorder="1" applyAlignment="1">
      <alignment wrapText="1"/>
    </xf>
    <xf numFmtId="0" fontId="61" fillId="15" borderId="38" xfId="0" applyFont="1" applyFill="1" applyBorder="1" applyAlignment="1">
      <alignment wrapText="1"/>
    </xf>
    <xf numFmtId="3" fontId="0" fillId="0" borderId="0" xfId="0" applyNumberFormat="1" applyAlignment="1">
      <alignment wrapText="1"/>
    </xf>
    <xf numFmtId="4" fontId="0" fillId="0" borderId="0" xfId="0" applyNumberFormat="1" applyAlignment="1">
      <alignment wrapText="1"/>
    </xf>
    <xf numFmtId="0" fontId="0" fillId="28" borderId="38" xfId="0" applyFill="1" applyBorder="1"/>
    <xf numFmtId="165" fontId="0" fillId="28" borderId="38" xfId="0" applyNumberFormat="1" applyFill="1" applyBorder="1"/>
    <xf numFmtId="1" fontId="24" fillId="15" borderId="38" xfId="0" applyNumberFormat="1" applyFont="1" applyFill="1" applyBorder="1" applyAlignment="1">
      <alignment horizontal="center"/>
    </xf>
    <xf numFmtId="1" fontId="24" fillId="0" borderId="38" xfId="0" applyNumberFormat="1" applyFont="1" applyBorder="1" applyAlignment="1">
      <alignment horizontal="center"/>
    </xf>
    <xf numFmtId="198" fontId="24" fillId="8" borderId="38" xfId="0" applyNumberFormat="1" applyFont="1" applyFill="1" applyBorder="1" applyAlignment="1">
      <alignment horizontal="center"/>
    </xf>
    <xf numFmtId="0" fontId="13" fillId="25" borderId="14" xfId="0" applyFont="1" applyFill="1" applyBorder="1" applyAlignment="1">
      <alignment wrapText="1"/>
    </xf>
    <xf numFmtId="0" fontId="0" fillId="0" borderId="46" xfId="0" applyBorder="1"/>
    <xf numFmtId="165" fontId="0" fillId="0" borderId="46" xfId="0" applyNumberFormat="1" applyBorder="1"/>
    <xf numFmtId="165" fontId="0" fillId="0" borderId="13" xfId="0" applyNumberFormat="1" applyBorder="1"/>
    <xf numFmtId="165" fontId="0" fillId="0" borderId="46" xfId="0" applyNumberFormat="1" applyBorder="1" applyAlignment="1">
      <alignment wrapText="1"/>
    </xf>
    <xf numFmtId="2" fontId="66" fillId="0" borderId="38" xfId="0" applyNumberFormat="1" applyFont="1" applyBorder="1" applyAlignment="1">
      <alignment horizontal="center" vertical="center" wrapText="1"/>
    </xf>
    <xf numFmtId="0" fontId="9" fillId="56" borderId="0" xfId="0" applyFont="1" applyFill="1" applyAlignment="1">
      <alignment horizontal="center" vertical="center" wrapText="1"/>
    </xf>
    <xf numFmtId="165" fontId="9" fillId="56" borderId="0" xfId="0" applyNumberFormat="1" applyFont="1" applyFill="1" applyAlignment="1">
      <alignment horizontal="center" vertical="center" wrapText="1"/>
    </xf>
    <xf numFmtId="0" fontId="14" fillId="37" borderId="38" xfId="0" applyFont="1" applyFill="1" applyBorder="1" applyAlignment="1">
      <alignment horizontal="center" vertical="center" wrapText="1"/>
    </xf>
    <xf numFmtId="168" fontId="14" fillId="36" borderId="38" xfId="0" applyNumberFormat="1" applyFont="1" applyFill="1" applyBorder="1" applyAlignment="1">
      <alignment horizontal="center" vertical="center" wrapText="1"/>
    </xf>
    <xf numFmtId="164" fontId="0" fillId="0" borderId="38" xfId="0" applyNumberFormat="1" applyBorder="1"/>
    <xf numFmtId="165" fontId="0" fillId="53" borderId="38" xfId="0" applyNumberFormat="1" applyFill="1" applyBorder="1" applyAlignment="1">
      <alignment wrapText="1"/>
    </xf>
    <xf numFmtId="43" fontId="24" fillId="15" borderId="38" xfId="0" applyNumberFormat="1" applyFont="1" applyFill="1" applyBorder="1"/>
    <xf numFmtId="203" fontId="6" fillId="0" borderId="38" xfId="0" applyNumberFormat="1" applyFont="1" applyBorder="1"/>
    <xf numFmtId="181" fontId="28" fillId="31" borderId="38" xfId="0" applyNumberFormat="1" applyFont="1" applyFill="1" applyBorder="1" applyAlignment="1">
      <alignment wrapText="1"/>
    </xf>
    <xf numFmtId="0" fontId="0" fillId="65" borderId="0" xfId="0" applyFill="1" applyAlignment="1">
      <alignment wrapText="1"/>
    </xf>
    <xf numFmtId="1" fontId="13" fillId="0" borderId="38" xfId="0" applyNumberFormat="1" applyFont="1" applyBorder="1" applyAlignment="1">
      <alignment wrapText="1"/>
    </xf>
    <xf numFmtId="185" fontId="6" fillId="15" borderId="38" xfId="0" applyNumberFormat="1" applyFont="1" applyFill="1" applyBorder="1" applyAlignment="1">
      <alignment wrapText="1"/>
    </xf>
    <xf numFmtId="174" fontId="6" fillId="15" borderId="38" xfId="0" applyNumberFormat="1" applyFont="1" applyFill="1" applyBorder="1"/>
    <xf numFmtId="193" fontId="6" fillId="0" borderId="38" xfId="12" applyNumberFormat="1" applyFont="1" applyBorder="1" applyAlignment="1">
      <alignment horizontal="center" wrapText="1"/>
    </xf>
    <xf numFmtId="0" fontId="14" fillId="0" borderId="38" xfId="0" applyFont="1" applyBorder="1" applyAlignment="1">
      <alignment horizontal="left" vertical="center"/>
    </xf>
    <xf numFmtId="1" fontId="14" fillId="0" borderId="38" xfId="0" applyNumberFormat="1" applyFont="1" applyBorder="1" applyAlignment="1">
      <alignment horizontal="center" vertical="center"/>
    </xf>
    <xf numFmtId="9" fontId="0" fillId="0" borderId="38" xfId="0" applyNumberFormat="1" applyBorder="1" applyAlignment="1">
      <alignment horizontal="center" vertical="center"/>
    </xf>
    <xf numFmtId="1" fontId="0" fillId="0" borderId="38" xfId="0" applyNumberFormat="1" applyBorder="1" applyAlignment="1">
      <alignment horizontal="center" vertical="center"/>
    </xf>
    <xf numFmtId="0" fontId="14" fillId="0" borderId="38" xfId="0" applyFont="1" applyBorder="1" applyAlignment="1">
      <alignment horizontal="center" vertical="center"/>
    </xf>
    <xf numFmtId="9" fontId="0" fillId="15" borderId="38" xfId="0" applyNumberFormat="1" applyFill="1" applyBorder="1" applyAlignment="1">
      <alignment horizontal="center" vertical="center"/>
    </xf>
    <xf numFmtId="1" fontId="0" fillId="0" borderId="38" xfId="0" applyNumberFormat="1" applyBorder="1" applyAlignment="1">
      <alignment vertical="center"/>
    </xf>
    <xf numFmtId="2" fontId="14" fillId="0" borderId="38" xfId="0" applyNumberFormat="1" applyFont="1" applyBorder="1" applyAlignment="1">
      <alignment horizontal="center" vertical="center"/>
    </xf>
    <xf numFmtId="0" fontId="23" fillId="30" borderId="38" xfId="0" applyFont="1" applyFill="1" applyBorder="1" applyAlignment="1">
      <alignment horizontal="center" vertical="center"/>
    </xf>
    <xf numFmtId="0" fontId="24" fillId="0" borderId="38" xfId="0" applyFont="1" applyBorder="1" applyAlignment="1">
      <alignment horizontal="center" vertical="center" wrapText="1"/>
    </xf>
    <xf numFmtId="165" fontId="21" fillId="0" borderId="38" xfId="0" applyNumberFormat="1" applyFont="1" applyBorder="1" applyAlignment="1">
      <alignment horizontal="center" vertical="center" wrapText="1"/>
    </xf>
    <xf numFmtId="169" fontId="14" fillId="0" borderId="38" xfId="0" applyNumberFormat="1" applyFont="1" applyBorder="1" applyAlignment="1">
      <alignment horizontal="center" wrapText="1"/>
    </xf>
    <xf numFmtId="9" fontId="6" fillId="0" borderId="38" xfId="0" applyNumberFormat="1" applyFont="1" applyBorder="1" applyAlignment="1">
      <alignment horizontal="center" vertical="center"/>
    </xf>
    <xf numFmtId="168" fontId="14" fillId="0" borderId="38" xfId="0" applyNumberFormat="1" applyFont="1" applyBorder="1" applyAlignment="1">
      <alignment horizontal="center" vertical="center"/>
    </xf>
    <xf numFmtId="170" fontId="14" fillId="0" borderId="38" xfId="0" applyNumberFormat="1" applyFont="1" applyBorder="1" applyAlignment="1">
      <alignment horizontal="center" vertical="center"/>
    </xf>
    <xf numFmtId="176" fontId="0" fillId="0" borderId="38" xfId="0" applyNumberFormat="1" applyBorder="1"/>
    <xf numFmtId="0" fontId="0" fillId="0" borderId="12" xfId="0" applyBorder="1" applyAlignment="1">
      <alignment horizontal="center" vertical="center"/>
    </xf>
    <xf numFmtId="0" fontId="7" fillId="0" borderId="11" xfId="0" applyFont="1" applyBorder="1" applyAlignment="1">
      <alignment horizontal="center" vertical="center"/>
    </xf>
    <xf numFmtId="1" fontId="47" fillId="0" borderId="11" xfId="0" applyNumberFormat="1" applyFont="1" applyBorder="1" applyAlignment="1">
      <alignment horizontal="center" vertical="center"/>
    </xf>
    <xf numFmtId="1" fontId="14" fillId="0" borderId="11" xfId="0" applyNumberFormat="1" applyFont="1" applyBorder="1" applyAlignment="1">
      <alignment horizontal="center" vertical="center"/>
    </xf>
    <xf numFmtId="1" fontId="0" fillId="0" borderId="11" xfId="0" applyNumberFormat="1" applyBorder="1" applyAlignment="1">
      <alignment horizontal="center" vertical="center"/>
    </xf>
    <xf numFmtId="0" fontId="24" fillId="20" borderId="38" xfId="0" applyFont="1" applyFill="1" applyBorder="1" applyAlignment="1">
      <alignment horizontal="center" vertical="center"/>
    </xf>
    <xf numFmtId="1" fontId="47" fillId="0" borderId="38" xfId="0" applyNumberFormat="1" applyFont="1" applyBorder="1" applyAlignment="1">
      <alignment horizontal="center" vertical="center"/>
    </xf>
    <xf numFmtId="2" fontId="47" fillId="0" borderId="38" xfId="0" applyNumberFormat="1" applyFont="1" applyBorder="1" applyAlignment="1">
      <alignment horizontal="center" vertical="center"/>
    </xf>
    <xf numFmtId="168" fontId="47" fillId="0" borderId="38" xfId="0" applyNumberFormat="1" applyFont="1" applyBorder="1" applyAlignment="1">
      <alignment horizontal="center" vertical="center" wrapText="1"/>
    </xf>
    <xf numFmtId="168" fontId="0" fillId="0" borderId="38" xfId="0" applyNumberFormat="1" applyBorder="1" applyAlignment="1">
      <alignment vertical="center"/>
    </xf>
    <xf numFmtId="176" fontId="6" fillId="0" borderId="38" xfId="0" applyNumberFormat="1" applyFont="1" applyBorder="1"/>
    <xf numFmtId="168" fontId="81" fillId="56" borderId="38" xfId="0" applyNumberFormat="1" applyFont="1" applyFill="1" applyBorder="1" applyAlignment="1">
      <alignment horizontal="center"/>
    </xf>
    <xf numFmtId="0" fontId="6" fillId="56" borderId="38" xfId="0" applyFont="1" applyFill="1" applyBorder="1" applyAlignment="1">
      <alignment vertical="center"/>
    </xf>
    <xf numFmtId="0" fontId="81" fillId="101" borderId="38" xfId="0" applyFont="1" applyFill="1" applyBorder="1" applyAlignment="1">
      <alignment horizontal="center" vertical="center"/>
    </xf>
    <xf numFmtId="0" fontId="81" fillId="56" borderId="38" xfId="0" applyFont="1" applyFill="1" applyBorder="1" applyAlignment="1">
      <alignment horizontal="center"/>
    </xf>
    <xf numFmtId="0" fontId="67" fillId="0" borderId="38" xfId="0" applyFont="1" applyBorder="1" applyAlignment="1">
      <alignment horizontal="center" vertical="center"/>
    </xf>
    <xf numFmtId="166" fontId="14" fillId="0" borderId="38" xfId="0" applyNumberFormat="1" applyFont="1" applyBorder="1" applyAlignment="1">
      <alignment horizontal="center" vertical="center"/>
    </xf>
    <xf numFmtId="0" fontId="42" fillId="43" borderId="38" xfId="29" applyFont="1" applyFill="1" applyBorder="1" applyAlignment="1">
      <alignment horizontal="center" vertical="center" wrapText="1"/>
    </xf>
    <xf numFmtId="0" fontId="83" fillId="56" borderId="38" xfId="0" applyFont="1" applyFill="1" applyBorder="1" applyAlignment="1">
      <alignment horizontal="center"/>
    </xf>
    <xf numFmtId="0" fontId="81" fillId="0" borderId="38" xfId="0" applyFont="1" applyBorder="1" applyAlignment="1">
      <alignment horizontal="center" vertical="center"/>
    </xf>
    <xf numFmtId="3" fontId="83" fillId="0" borderId="38" xfId="0" applyNumberFormat="1" applyFont="1" applyBorder="1" applyAlignment="1">
      <alignment horizontal="center"/>
    </xf>
    <xf numFmtId="0" fontId="42" fillId="0" borderId="38" xfId="29" applyFont="1" applyBorder="1" applyAlignment="1">
      <alignment horizontal="center" vertical="center" wrapText="1"/>
    </xf>
    <xf numFmtId="0" fontId="41" fillId="0" borderId="38" xfId="14" applyFont="1" applyBorder="1" applyAlignment="1">
      <alignment horizontal="center" vertical="center" wrapText="1"/>
    </xf>
    <xf numFmtId="0" fontId="19" fillId="0" borderId="38" xfId="14" applyFont="1" applyBorder="1"/>
    <xf numFmtId="171" fontId="39" fillId="0" borderId="38" xfId="29" applyNumberFormat="1" applyFont="1" applyBorder="1" applyAlignment="1">
      <alignment horizontal="center" vertical="center"/>
    </xf>
    <xf numFmtId="9" fontId="2" fillId="0" borderId="38" xfId="29" applyNumberFormat="1" applyBorder="1" applyAlignment="1">
      <alignment horizontal="center" vertical="center"/>
    </xf>
    <xf numFmtId="1" fontId="39" fillId="0" borderId="38" xfId="29" applyNumberFormat="1" applyFont="1" applyBorder="1" applyAlignment="1">
      <alignment horizontal="center" vertical="center" wrapText="1"/>
    </xf>
    <xf numFmtId="1" fontId="2" fillId="0" borderId="38" xfId="29" applyNumberFormat="1" applyBorder="1" applyAlignment="1">
      <alignment horizontal="center" vertical="center"/>
    </xf>
    <xf numFmtId="0" fontId="84" fillId="0" borderId="38" xfId="0" applyFont="1" applyBorder="1" applyAlignment="1">
      <alignment horizontal="center" vertical="center"/>
    </xf>
    <xf numFmtId="0" fontId="8" fillId="0" borderId="38" xfId="9" applyBorder="1" applyAlignment="1">
      <alignment horizontal="center" vertical="center"/>
    </xf>
    <xf numFmtId="1" fontId="39" fillId="0" borderId="38" xfId="29" applyNumberFormat="1" applyFont="1" applyBorder="1" applyAlignment="1">
      <alignment horizontal="center" vertical="center"/>
    </xf>
    <xf numFmtId="0" fontId="2" fillId="0" borderId="38" xfId="29" applyBorder="1" applyAlignment="1">
      <alignment vertical="center"/>
    </xf>
    <xf numFmtId="0" fontId="2" fillId="0" borderId="38" xfId="29" applyBorder="1" applyAlignment="1">
      <alignment horizontal="center" vertical="center"/>
    </xf>
    <xf numFmtId="0" fontId="39" fillId="0" borderId="38" xfId="29" applyFont="1" applyBorder="1" applyAlignment="1">
      <alignment horizontal="center" vertical="center"/>
    </xf>
    <xf numFmtId="0" fontId="38" fillId="0" borderId="38" xfId="14" applyBorder="1"/>
    <xf numFmtId="0" fontId="45" fillId="0" borderId="38" xfId="29" applyFont="1" applyBorder="1" applyAlignment="1">
      <alignment wrapText="1"/>
    </xf>
    <xf numFmtId="1" fontId="6" fillId="0" borderId="38" xfId="9" applyNumberFormat="1" applyFont="1" applyBorder="1" applyAlignment="1">
      <alignment horizontal="center"/>
    </xf>
    <xf numFmtId="2" fontId="14" fillId="0" borderId="38" xfId="9" applyNumberFormat="1" applyFont="1" applyBorder="1" applyAlignment="1">
      <alignment horizontal="center" vertical="center"/>
    </xf>
    <xf numFmtId="9" fontId="8" fillId="0" borderId="38" xfId="9" applyNumberFormat="1" applyBorder="1" applyAlignment="1">
      <alignment horizontal="center" vertical="center"/>
    </xf>
    <xf numFmtId="0" fontId="83" fillId="0" borderId="38" xfId="0" applyFont="1" applyBorder="1" applyAlignment="1">
      <alignment horizontal="center"/>
    </xf>
    <xf numFmtId="0" fontId="7" fillId="56" borderId="38" xfId="0" applyFont="1" applyFill="1" applyBorder="1" applyAlignment="1">
      <alignment horizontal="center" vertical="center"/>
    </xf>
    <xf numFmtId="1" fontId="8" fillId="0" borderId="38" xfId="9" applyNumberFormat="1" applyBorder="1" applyAlignment="1">
      <alignment horizontal="center"/>
    </xf>
    <xf numFmtId="2" fontId="0" fillId="0" borderId="38" xfId="0" applyNumberFormat="1" applyBorder="1"/>
    <xf numFmtId="0" fontId="24" fillId="0" borderId="38" xfId="0" applyFont="1" applyBorder="1" applyAlignment="1">
      <alignment horizontal="center" vertical="center"/>
    </xf>
    <xf numFmtId="1" fontId="14" fillId="36" borderId="38" xfId="0" applyNumberFormat="1" applyFont="1" applyFill="1" applyBorder="1" applyAlignment="1">
      <alignment horizontal="center" vertical="center"/>
    </xf>
    <xf numFmtId="0" fontId="41" fillId="44" borderId="38" xfId="19" applyFont="1" applyFill="1" applyBorder="1" applyAlignment="1">
      <alignment horizontal="center" vertical="center" wrapText="1"/>
    </xf>
    <xf numFmtId="0" fontId="47" fillId="0" borderId="38" xfId="4" applyFont="1" applyBorder="1" applyAlignment="1">
      <alignment horizontal="center" vertical="center"/>
    </xf>
    <xf numFmtId="2" fontId="47" fillId="0" borderId="38" xfId="4" applyNumberFormat="1" applyFont="1" applyBorder="1" applyAlignment="1">
      <alignment horizontal="center" vertical="center"/>
    </xf>
    <xf numFmtId="9" fontId="7" fillId="0" borderId="38" xfId="4" applyNumberFormat="1" applyBorder="1" applyAlignment="1">
      <alignment horizontal="center" vertical="center"/>
    </xf>
    <xf numFmtId="168" fontId="7" fillId="0" borderId="38" xfId="4" applyNumberFormat="1" applyBorder="1" applyAlignment="1">
      <alignment horizontal="center" vertical="center"/>
    </xf>
    <xf numFmtId="1" fontId="7" fillId="0" borderId="38" xfId="4" applyNumberFormat="1" applyBorder="1" applyAlignment="1">
      <alignment horizontal="center" vertical="center"/>
    </xf>
    <xf numFmtId="0" fontId="3" fillId="0" borderId="38" xfId="17" applyFont="1" applyBorder="1" applyAlignment="1">
      <alignment horizontal="center" vertical="center"/>
    </xf>
    <xf numFmtId="1" fontId="39" fillId="0" borderId="38" xfId="17" applyNumberFormat="1" applyFont="1" applyBorder="1" applyAlignment="1">
      <alignment horizontal="center" vertical="center"/>
    </xf>
    <xf numFmtId="1" fontId="8" fillId="0" borderId="38" xfId="9" applyNumberFormat="1" applyBorder="1" applyAlignment="1">
      <alignment horizontal="center" vertical="center"/>
    </xf>
    <xf numFmtId="0" fontId="0" fillId="21" borderId="38" xfId="0" applyFill="1" applyBorder="1" applyAlignment="1">
      <alignment vertical="center"/>
    </xf>
    <xf numFmtId="0" fontId="6" fillId="0" borderId="38" xfId="0" applyFont="1" applyBorder="1" applyAlignment="1">
      <alignment vertical="center"/>
    </xf>
    <xf numFmtId="0" fontId="30" fillId="0" borderId="38" xfId="0" applyFont="1" applyBorder="1" applyAlignment="1">
      <alignment vertical="center"/>
    </xf>
    <xf numFmtId="165" fontId="14" fillId="0" borderId="38" xfId="0" applyNumberFormat="1" applyFont="1" applyBorder="1" applyAlignment="1">
      <alignment horizontal="center" vertical="center"/>
    </xf>
    <xf numFmtId="0" fontId="27" fillId="0" borderId="38" xfId="0" applyFont="1" applyBorder="1" applyAlignment="1">
      <alignment vertical="center" wrapText="1"/>
    </xf>
    <xf numFmtId="166" fontId="14" fillId="0" borderId="38" xfId="0" applyNumberFormat="1" applyFont="1" applyBorder="1" applyAlignment="1">
      <alignment wrapText="1"/>
    </xf>
    <xf numFmtId="175" fontId="14" fillId="0" borderId="38" xfId="0" applyNumberFormat="1" applyFont="1" applyBorder="1" applyAlignment="1">
      <alignment horizontal="center" vertical="center"/>
    </xf>
    <xf numFmtId="0" fontId="30" fillId="0" borderId="38" xfId="0" applyFont="1" applyBorder="1"/>
    <xf numFmtId="0" fontId="14" fillId="19" borderId="48" xfId="0" applyFont="1" applyFill="1" applyBorder="1" applyAlignment="1">
      <alignment wrapText="1"/>
    </xf>
    <xf numFmtId="192" fontId="28" fillId="31" borderId="38" xfId="0" applyNumberFormat="1" applyFont="1" applyFill="1" applyBorder="1"/>
    <xf numFmtId="192" fontId="0" fillId="0" borderId="38" xfId="0" applyNumberFormat="1" applyBorder="1"/>
    <xf numFmtId="192" fontId="14" fillId="0" borderId="38" xfId="0" applyNumberFormat="1" applyFont="1" applyBorder="1" applyAlignment="1">
      <alignment wrapText="1"/>
    </xf>
    <xf numFmtId="0" fontId="0" fillId="0" borderId="38" xfId="0" applyBorder="1" applyAlignment="1">
      <alignment horizontal="left"/>
    </xf>
    <xf numFmtId="165" fontId="14" fillId="0" borderId="38" xfId="0" applyNumberFormat="1" applyFont="1" applyBorder="1" applyAlignment="1">
      <alignment vertical="center" wrapText="1"/>
    </xf>
    <xf numFmtId="0" fontId="14" fillId="15" borderId="38" xfId="0" applyFont="1" applyFill="1" applyBorder="1" applyAlignment="1">
      <alignment horizontal="center" vertical="center"/>
    </xf>
    <xf numFmtId="0" fontId="12" fillId="0" borderId="38" xfId="0" applyFont="1" applyBorder="1" applyAlignment="1">
      <alignment horizontal="center" vertical="center" wrapText="1"/>
    </xf>
    <xf numFmtId="0" fontId="81" fillId="108" borderId="38" xfId="0" applyFont="1" applyFill="1" applyBorder="1" applyAlignment="1">
      <alignment horizontal="center" vertical="center"/>
    </xf>
    <xf numFmtId="1" fontId="14" fillId="0" borderId="38" xfId="9" applyNumberFormat="1" applyFont="1" applyBorder="1" applyAlignment="1">
      <alignment horizontal="center" vertical="center"/>
    </xf>
    <xf numFmtId="165" fontId="6" fillId="0" borderId="38" xfId="0" applyNumberFormat="1" applyFont="1" applyBorder="1" applyAlignment="1">
      <alignment horizontal="center" vertical="center"/>
    </xf>
    <xf numFmtId="168" fontId="21" fillId="0" borderId="38" xfId="0" applyNumberFormat="1" applyFont="1" applyBorder="1" applyAlignment="1">
      <alignment horizontal="center" vertical="center" wrapText="1"/>
    </xf>
    <xf numFmtId="181" fontId="21" fillId="0" borderId="38" xfId="0" applyNumberFormat="1" applyFont="1" applyBorder="1" applyAlignment="1">
      <alignment horizontal="center" vertical="center" wrapText="1"/>
    </xf>
    <xf numFmtId="164" fontId="0" fillId="0" borderId="38" xfId="12" applyFont="1" applyBorder="1" applyAlignment="1">
      <alignment horizontal="center" vertical="center"/>
    </xf>
    <xf numFmtId="0" fontId="42" fillId="0" borderId="38" xfId="14" applyFont="1" applyBorder="1" applyAlignment="1">
      <alignment horizontal="center" vertical="center"/>
    </xf>
    <xf numFmtId="0" fontId="42" fillId="0" borderId="38" xfId="17" applyFont="1" applyBorder="1" applyAlignment="1">
      <alignment horizontal="center" vertical="center" wrapText="1"/>
    </xf>
    <xf numFmtId="0" fontId="4" fillId="0" borderId="38" xfId="17" applyBorder="1" applyAlignment="1">
      <alignment vertical="center"/>
    </xf>
    <xf numFmtId="1" fontId="39" fillId="36" borderId="38" xfId="17" applyNumberFormat="1" applyFont="1" applyFill="1" applyBorder="1" applyAlignment="1">
      <alignment horizontal="center" vertical="center"/>
    </xf>
    <xf numFmtId="171" fontId="39" fillId="0" borderId="38" xfId="17" applyNumberFormat="1" applyFont="1" applyBorder="1" applyAlignment="1">
      <alignment horizontal="center" vertical="center"/>
    </xf>
    <xf numFmtId="9" fontId="4" fillId="0" borderId="38" xfId="17" applyNumberFormat="1" applyBorder="1" applyAlignment="1">
      <alignment horizontal="center" vertical="center"/>
    </xf>
    <xf numFmtId="1" fontId="4" fillId="0" borderId="38" xfId="17" applyNumberFormat="1" applyBorder="1" applyAlignment="1">
      <alignment horizontal="center" vertical="center"/>
    </xf>
    <xf numFmtId="0" fontId="39" fillId="0" borderId="38" xfId="17" applyFont="1" applyBorder="1" applyAlignment="1">
      <alignment horizontal="center" vertical="center"/>
    </xf>
    <xf numFmtId="0" fontId="45" fillId="0" borderId="38" xfId="17" applyFont="1" applyBorder="1" applyAlignment="1">
      <alignment wrapText="1"/>
    </xf>
    <xf numFmtId="0" fontId="19" fillId="21" borderId="38" xfId="4" applyFont="1" applyFill="1" applyBorder="1" applyAlignment="1">
      <alignment horizontal="center" vertical="center"/>
    </xf>
    <xf numFmtId="0" fontId="47" fillId="69" borderId="38" xfId="4" applyFont="1" applyFill="1" applyBorder="1" applyAlignment="1">
      <alignment horizontal="center" vertical="center" wrapText="1"/>
    </xf>
    <xf numFmtId="0" fontId="7" fillId="56" borderId="38" xfId="4" applyFill="1" applyBorder="1" applyAlignment="1">
      <alignment horizontal="center" vertical="center"/>
    </xf>
    <xf numFmtId="0" fontId="19" fillId="0" borderId="38" xfId="0" applyFont="1" applyBorder="1" applyAlignment="1">
      <alignment horizontal="left" vertical="center" wrapText="1"/>
    </xf>
    <xf numFmtId="0" fontId="14" fillId="0" borderId="38" xfId="0" applyFont="1" applyBorder="1" applyAlignment="1">
      <alignment horizontal="center"/>
    </xf>
    <xf numFmtId="1" fontId="14" fillId="21" borderId="38" xfId="0" applyNumberFormat="1" applyFont="1" applyFill="1" applyBorder="1" applyAlignment="1">
      <alignment horizontal="left" vertical="center" wrapText="1"/>
    </xf>
    <xf numFmtId="181" fontId="28" fillId="31" borderId="38" xfId="0" applyNumberFormat="1" applyFont="1" applyFill="1" applyBorder="1"/>
    <xf numFmtId="181" fontId="0" fillId="0" borderId="38" xfId="0" applyNumberFormat="1" applyBorder="1"/>
    <xf numFmtId="181" fontId="14" fillId="0" borderId="38" xfId="0" applyNumberFormat="1" applyFont="1" applyBorder="1" applyAlignment="1">
      <alignment wrapText="1"/>
    </xf>
    <xf numFmtId="0" fontId="21" fillId="14" borderId="38" xfId="0" applyFont="1" applyFill="1" applyBorder="1" applyAlignment="1">
      <alignment horizontal="left" vertical="center"/>
    </xf>
    <xf numFmtId="0" fontId="85" fillId="20" borderId="38" xfId="0" applyFont="1" applyFill="1" applyBorder="1" applyAlignment="1">
      <alignment horizontal="center" vertical="center" wrapText="1"/>
    </xf>
    <xf numFmtId="9" fontId="0" fillId="0" borderId="38" xfId="10" applyFont="1" applyBorder="1" applyAlignment="1">
      <alignment horizontal="center" vertical="center"/>
    </xf>
    <xf numFmtId="0" fontId="21" fillId="21" borderId="38" xfId="0" applyFont="1" applyFill="1" applyBorder="1" applyAlignment="1">
      <alignment horizontal="left" vertical="center"/>
    </xf>
    <xf numFmtId="1" fontId="21" fillId="21" borderId="38" xfId="0" applyNumberFormat="1" applyFont="1" applyFill="1" applyBorder="1" applyAlignment="1">
      <alignment horizontal="left" vertical="center"/>
    </xf>
    <xf numFmtId="0" fontId="21" fillId="0" borderId="38" xfId="0" applyFont="1" applyBorder="1" applyAlignment="1">
      <alignment horizontal="left"/>
    </xf>
    <xf numFmtId="169" fontId="14" fillId="0" borderId="38" xfId="0" applyNumberFormat="1" applyFont="1" applyBorder="1" applyAlignment="1">
      <alignment horizontal="center" vertical="center"/>
    </xf>
    <xf numFmtId="0" fontId="0" fillId="19" borderId="0" xfId="0" applyFill="1"/>
    <xf numFmtId="0" fontId="11" fillId="0" borderId="40" xfId="0" applyFont="1" applyBorder="1"/>
    <xf numFmtId="0" fontId="0" fillId="0" borderId="38" xfId="0" applyBorder="1" applyAlignment="1">
      <alignment horizontal="left" vertical="center"/>
    </xf>
    <xf numFmtId="0" fontId="23" fillId="40" borderId="47" xfId="0" applyFont="1" applyFill="1" applyBorder="1" applyAlignment="1">
      <alignment horizontal="center" vertical="center" wrapText="1"/>
    </xf>
    <xf numFmtId="0" fontId="23" fillId="17" borderId="47" xfId="0" applyFont="1" applyFill="1" applyBorder="1" applyAlignment="1">
      <alignment horizontal="center" vertical="center" wrapText="1"/>
    </xf>
    <xf numFmtId="0" fontId="86" fillId="0" borderId="38" xfId="0" applyFont="1" applyBorder="1" applyAlignment="1">
      <alignment vertical="center"/>
    </xf>
    <xf numFmtId="168" fontId="86" fillId="0" borderId="38" xfId="0" applyNumberFormat="1" applyFont="1" applyBorder="1" applyAlignment="1">
      <alignment vertical="center"/>
    </xf>
    <xf numFmtId="1" fontId="86" fillId="0" borderId="38" xfId="0" applyNumberFormat="1" applyFont="1" applyBorder="1" applyAlignment="1">
      <alignment horizontal="center" vertical="center"/>
    </xf>
    <xf numFmtId="9" fontId="86" fillId="0" borderId="38" xfId="0" applyNumberFormat="1" applyFont="1" applyBorder="1" applyAlignment="1">
      <alignment horizontal="center" vertical="center"/>
    </xf>
    <xf numFmtId="168" fontId="86" fillId="0" borderId="38" xfId="0" applyNumberFormat="1" applyFont="1" applyBorder="1" applyAlignment="1">
      <alignment horizontal="center" vertical="center" wrapText="1"/>
    </xf>
    <xf numFmtId="0" fontId="20" fillId="0" borderId="0" xfId="0" applyFont="1" applyAlignment="1">
      <alignment wrapText="1"/>
    </xf>
    <xf numFmtId="9" fontId="14" fillId="0" borderId="38" xfId="10" applyFont="1" applyBorder="1" applyAlignment="1">
      <alignment horizontal="center" vertical="center" wrapText="1"/>
    </xf>
    <xf numFmtId="9" fontId="0" fillId="0" borderId="38" xfId="10" applyFont="1" applyBorder="1" applyAlignment="1">
      <alignment vertical="center"/>
    </xf>
    <xf numFmtId="169" fontId="14" fillId="0" borderId="0" xfId="0" applyNumberFormat="1" applyFont="1" applyAlignment="1">
      <alignment horizontal="center" vertical="center" wrapText="1"/>
    </xf>
    <xf numFmtId="169" fontId="25" fillId="36" borderId="38" xfId="0" applyNumberFormat="1" applyFont="1" applyFill="1" applyBorder="1" applyAlignment="1">
      <alignment wrapText="1"/>
    </xf>
    <xf numFmtId="167" fontId="6" fillId="15" borderId="38" xfId="0" applyNumberFormat="1" applyFont="1" applyFill="1" applyBorder="1" applyAlignment="1">
      <alignment horizontal="center"/>
    </xf>
    <xf numFmtId="0" fontId="0" fillId="0" borderId="49" xfId="0" applyBorder="1" applyAlignment="1">
      <alignment vertical="center"/>
    </xf>
    <xf numFmtId="0" fontId="9" fillId="0" borderId="1" xfId="0" applyFont="1" applyBorder="1" applyAlignment="1">
      <alignment horizontal="center" vertical="center" wrapText="1"/>
    </xf>
    <xf numFmtId="0" fontId="19" fillId="0" borderId="1" xfId="0" applyFont="1" applyBorder="1"/>
    <xf numFmtId="0" fontId="14" fillId="21" borderId="49" xfId="0" applyFont="1" applyFill="1" applyBorder="1" applyAlignment="1">
      <alignment horizontal="center" vertical="center" wrapText="1"/>
    </xf>
    <xf numFmtId="0" fontId="21" fillId="0" borderId="1" xfId="0" applyFont="1" applyBorder="1" applyAlignment="1">
      <alignment horizontal="center" vertical="center" wrapText="1"/>
    </xf>
    <xf numFmtId="0" fontId="19" fillId="41" borderId="0" xfId="0" applyFont="1" applyFill="1"/>
    <xf numFmtId="0" fontId="19" fillId="115" borderId="38" xfId="4" applyFont="1" applyFill="1" applyBorder="1" applyAlignment="1">
      <alignment horizontal="center" vertical="center"/>
    </xf>
    <xf numFmtId="0" fontId="28" fillId="48" borderId="0" xfId="0" applyFont="1" applyFill="1" applyAlignment="1">
      <alignment horizontal="left"/>
    </xf>
    <xf numFmtId="165" fontId="8" fillId="107" borderId="38" xfId="11" applyNumberFormat="1" applyFill="1" applyBorder="1" applyAlignment="1">
      <alignment horizontal="center" vertical="center"/>
    </xf>
    <xf numFmtId="164" fontId="47" fillId="56" borderId="38" xfId="4" applyNumberFormat="1" applyFont="1" applyFill="1" applyBorder="1" applyAlignment="1">
      <alignment horizontal="center" vertical="center"/>
    </xf>
    <xf numFmtId="165" fontId="8" fillId="56" borderId="38" xfId="9" applyNumberFormat="1" applyFill="1" applyBorder="1" applyAlignment="1">
      <alignment horizontal="center" vertical="center"/>
    </xf>
    <xf numFmtId="0" fontId="47" fillId="56" borderId="38" xfId="4" applyFont="1" applyFill="1" applyBorder="1" applyAlignment="1">
      <alignment horizontal="center" vertical="center"/>
    </xf>
    <xf numFmtId="171" fontId="16" fillId="0" borderId="0" xfId="0" applyNumberFormat="1" applyFont="1" applyAlignment="1">
      <alignment horizontal="center" vertical="center"/>
    </xf>
    <xf numFmtId="0" fontId="24" fillId="0" borderId="0" xfId="21" applyFont="1" applyAlignment="1">
      <alignment horizontal="center" vertical="center"/>
    </xf>
    <xf numFmtId="0" fontId="59" fillId="0" borderId="0" xfId="21" applyFont="1"/>
    <xf numFmtId="0" fontId="9" fillId="0" borderId="0" xfId="21" applyFont="1"/>
    <xf numFmtId="0" fontId="9" fillId="0" borderId="0" xfId="0" applyFont="1" applyAlignment="1">
      <alignment horizontal="center"/>
    </xf>
    <xf numFmtId="0" fontId="24" fillId="55" borderId="30" xfId="21" applyFont="1" applyFill="1" applyBorder="1" applyAlignment="1">
      <alignment horizontal="center" vertical="center"/>
    </xf>
    <xf numFmtId="0" fontId="9" fillId="75" borderId="1" xfId="0" applyFont="1" applyFill="1" applyBorder="1" applyAlignment="1">
      <alignment horizontal="center"/>
    </xf>
    <xf numFmtId="0" fontId="24" fillId="55" borderId="1" xfId="21" applyFont="1" applyFill="1" applyBorder="1" applyAlignment="1">
      <alignment horizontal="center" vertical="center"/>
    </xf>
    <xf numFmtId="0" fontId="9" fillId="0" borderId="1" xfId="21" applyFont="1" applyBorder="1"/>
    <xf numFmtId="0" fontId="59" fillId="0" borderId="1" xfId="21" applyFont="1" applyBorder="1"/>
    <xf numFmtId="0" fontId="24" fillId="55" borderId="8" xfId="21" applyFont="1" applyFill="1" applyBorder="1" applyAlignment="1">
      <alignment horizontal="center" vertical="center"/>
    </xf>
    <xf numFmtId="0" fontId="24" fillId="55" borderId="36" xfId="21" applyFont="1" applyFill="1" applyBorder="1" applyAlignment="1">
      <alignment horizontal="center" vertical="center"/>
    </xf>
    <xf numFmtId="0" fontId="37" fillId="38" borderId="0" xfId="0" applyFont="1" applyFill="1" applyAlignment="1">
      <alignment horizontal="center"/>
    </xf>
    <xf numFmtId="0" fontId="0" fillId="0" borderId="0" xfId="0" applyAlignment="1">
      <alignment horizontal="center"/>
    </xf>
    <xf numFmtId="0" fontId="24" fillId="55" borderId="31" xfId="21" applyFont="1" applyFill="1" applyBorder="1" applyAlignment="1">
      <alignment horizontal="center" vertical="center"/>
    </xf>
    <xf numFmtId="0" fontId="24" fillId="55" borderId="32" xfId="21" applyFont="1" applyFill="1" applyBorder="1" applyAlignment="1">
      <alignment horizontal="center" vertical="center"/>
    </xf>
    <xf numFmtId="0" fontId="87" fillId="0" borderId="0" xfId="0" applyFont="1" applyAlignment="1">
      <alignment horizontal="center" vertical="center"/>
    </xf>
    <xf numFmtId="0" fontId="27" fillId="29" borderId="38" xfId="0" applyFont="1" applyFill="1" applyBorder="1" applyAlignment="1">
      <alignment horizontal="center" vertical="center" wrapText="1"/>
    </xf>
    <xf numFmtId="0" fontId="0" fillId="74" borderId="38" xfId="0" applyFill="1" applyBorder="1"/>
    <xf numFmtId="0" fontId="0" fillId="74" borderId="38" xfId="0" applyFill="1" applyBorder="1" applyAlignment="1">
      <alignment wrapText="1"/>
    </xf>
    <xf numFmtId="0" fontId="23" fillId="23" borderId="38" xfId="0" applyFont="1" applyFill="1" applyBorder="1" applyAlignment="1">
      <alignment horizontal="center" wrapText="1"/>
    </xf>
    <xf numFmtId="0" fontId="23" fillId="23" borderId="38" xfId="0" applyFont="1" applyFill="1" applyBorder="1" applyAlignment="1">
      <alignment horizontal="center"/>
    </xf>
    <xf numFmtId="0" fontId="68" fillId="65" borderId="38" xfId="0" applyFont="1" applyFill="1" applyBorder="1" applyAlignment="1">
      <alignment horizontal="center" vertical="center" wrapText="1"/>
    </xf>
    <xf numFmtId="0" fontId="68" fillId="65" borderId="38" xfId="0" applyFont="1" applyFill="1" applyBorder="1" applyAlignment="1">
      <alignment horizontal="center" vertical="center"/>
    </xf>
    <xf numFmtId="0" fontId="23" fillId="17" borderId="38" xfId="0" applyFont="1" applyFill="1" applyBorder="1" applyAlignment="1">
      <alignment horizontal="center" vertical="center" wrapText="1"/>
    </xf>
    <xf numFmtId="0" fontId="23" fillId="19" borderId="38" xfId="0" applyFont="1" applyFill="1" applyBorder="1" applyAlignment="1">
      <alignment horizontal="center" vertical="center" wrapText="1"/>
    </xf>
    <xf numFmtId="0" fontId="0" fillId="0" borderId="0" xfId="0" applyAlignment="1">
      <alignment wrapText="1"/>
    </xf>
    <xf numFmtId="0" fontId="13" fillId="25" borderId="38" xfId="0" applyFont="1" applyFill="1" applyBorder="1" applyAlignment="1">
      <alignment horizontal="center" wrapText="1"/>
    </xf>
    <xf numFmtId="0" fontId="0" fillId="0" borderId="38" xfId="0" applyBorder="1"/>
    <xf numFmtId="0" fontId="0" fillId="0" borderId="38" xfId="0" applyBorder="1" applyAlignment="1">
      <alignment wrapText="1"/>
    </xf>
    <xf numFmtId="0" fontId="6" fillId="74" borderId="38" xfId="0" applyFont="1" applyFill="1" applyBorder="1" applyAlignment="1">
      <alignment horizontal="center"/>
    </xf>
    <xf numFmtId="0" fontId="6" fillId="74" borderId="38" xfId="0" applyFont="1" applyFill="1" applyBorder="1" applyAlignment="1">
      <alignment horizontal="center" wrapText="1"/>
    </xf>
    <xf numFmtId="0" fontId="23" fillId="19" borderId="0" xfId="0" applyFont="1" applyFill="1" applyAlignment="1">
      <alignment horizontal="center" vertical="center" wrapText="1"/>
    </xf>
    <xf numFmtId="0" fontId="20" fillId="25" borderId="38" xfId="0" applyFont="1" applyFill="1" applyBorder="1" applyAlignment="1">
      <alignment horizontal="center" wrapText="1"/>
    </xf>
    <xf numFmtId="0" fontId="6" fillId="0" borderId="38" xfId="0" applyFont="1" applyBorder="1" applyAlignment="1">
      <alignment horizontal="center"/>
    </xf>
    <xf numFmtId="0" fontId="6" fillId="0" borderId="38" xfId="0" applyFont="1" applyBorder="1" applyAlignment="1">
      <alignment horizontal="center" wrapText="1"/>
    </xf>
    <xf numFmtId="0" fontId="23" fillId="0" borderId="0" xfId="0" applyFont="1" applyAlignment="1">
      <alignment horizontal="center" vertical="center" wrapText="1"/>
    </xf>
    <xf numFmtId="0" fontId="0" fillId="0" borderId="0" xfId="0"/>
    <xf numFmtId="0" fontId="6" fillId="0" borderId="38" xfId="0" applyFont="1" applyBorder="1"/>
    <xf numFmtId="0" fontId="6" fillId="0" borderId="38" xfId="0" applyFont="1" applyBorder="1" applyAlignment="1">
      <alignment wrapText="1"/>
    </xf>
    <xf numFmtId="0" fontId="6" fillId="0" borderId="0" xfId="0" applyFont="1"/>
    <xf numFmtId="0" fontId="6" fillId="74" borderId="38" xfId="0" applyFont="1" applyFill="1" applyBorder="1"/>
    <xf numFmtId="0" fontId="6" fillId="74" borderId="38" xfId="0" applyFont="1" applyFill="1" applyBorder="1" applyAlignment="1">
      <alignment wrapText="1"/>
    </xf>
    <xf numFmtId="0" fontId="0" fillId="0" borderId="13" xfId="0" applyBorder="1" applyAlignment="1">
      <alignment wrapText="1"/>
    </xf>
    <xf numFmtId="0" fontId="27" fillId="0" borderId="0" xfId="0" applyFont="1" applyAlignment="1">
      <alignment horizontal="center" vertical="center" wrapText="1"/>
    </xf>
    <xf numFmtId="0" fontId="27" fillId="29" borderId="0" xfId="0" applyFont="1" applyFill="1" applyAlignment="1">
      <alignment horizontal="center" vertical="center" wrapText="1"/>
    </xf>
    <xf numFmtId="0" fontId="23" fillId="19" borderId="18" xfId="0" applyFont="1" applyFill="1" applyBorder="1" applyAlignment="1">
      <alignment horizontal="center" vertical="center" wrapText="1"/>
    </xf>
    <xf numFmtId="0" fontId="12" fillId="19" borderId="0" xfId="4" applyFont="1" applyFill="1" applyAlignment="1">
      <alignment horizontal="center" vertical="center" wrapText="1"/>
    </xf>
    <xf numFmtId="0" fontId="58" fillId="19" borderId="38" xfId="4" applyFont="1" applyFill="1" applyBorder="1" applyAlignment="1">
      <alignment horizontal="center" vertical="center" wrapText="1"/>
    </xf>
    <xf numFmtId="0" fontId="58" fillId="19" borderId="0" xfId="4" applyFont="1" applyFill="1" applyAlignment="1">
      <alignment horizontal="center" vertical="center" wrapText="1"/>
    </xf>
    <xf numFmtId="0" fontId="58" fillId="0" borderId="38" xfId="4" applyFont="1" applyBorder="1" applyAlignment="1">
      <alignment horizontal="center" vertical="center" wrapText="1"/>
    </xf>
    <xf numFmtId="0" fontId="58" fillId="0" borderId="0" xfId="4" applyFont="1" applyAlignment="1">
      <alignment horizontal="center" vertical="center" wrapText="1"/>
    </xf>
    <xf numFmtId="0" fontId="18" fillId="46" borderId="38" xfId="9" applyFont="1" applyFill="1" applyBorder="1" applyAlignment="1">
      <alignment horizontal="center" vertical="center" wrapText="1"/>
    </xf>
    <xf numFmtId="0" fontId="18" fillId="46" borderId="38" xfId="9" applyFont="1" applyFill="1" applyBorder="1" applyAlignment="1">
      <alignment horizontal="center" vertical="center"/>
    </xf>
    <xf numFmtId="0" fontId="18" fillId="0" borderId="0" xfId="9" applyFont="1" applyAlignment="1">
      <alignment horizontal="center" vertical="center"/>
    </xf>
    <xf numFmtId="0" fontId="58" fillId="19" borderId="18" xfId="4" applyFont="1" applyFill="1" applyBorder="1" applyAlignment="1">
      <alignment horizontal="center" vertical="center" wrapText="1"/>
    </xf>
    <xf numFmtId="0" fontId="27" fillId="0" borderId="0" xfId="0" applyFont="1" applyAlignment="1">
      <alignment horizontal="center" vertical="center" wrapText="1" readingOrder="2"/>
    </xf>
    <xf numFmtId="0" fontId="6" fillId="0" borderId="0" xfId="0" applyFont="1" applyAlignment="1">
      <alignment wrapText="1"/>
    </xf>
    <xf numFmtId="0" fontId="6" fillId="74" borderId="0" xfId="0" applyFont="1" applyFill="1"/>
    <xf numFmtId="0" fontId="6" fillId="74" borderId="0" xfId="0" applyFont="1" applyFill="1" applyAlignment="1">
      <alignment wrapText="1"/>
    </xf>
    <xf numFmtId="0" fontId="27" fillId="99" borderId="0" xfId="0" applyFont="1" applyFill="1" applyAlignment="1">
      <alignment horizontal="center" vertical="center" wrapText="1"/>
    </xf>
    <xf numFmtId="0" fontId="0" fillId="56" borderId="0" xfId="0" applyFill="1"/>
    <xf numFmtId="0" fontId="6" fillId="0" borderId="0" xfId="0" applyFont="1" applyAlignment="1">
      <alignment horizontal="center"/>
    </xf>
    <xf numFmtId="0" fontId="40" fillId="41" borderId="38" xfId="14" applyFont="1" applyFill="1" applyBorder="1" applyAlignment="1">
      <alignment horizontal="center" vertical="center" wrapText="1"/>
    </xf>
    <xf numFmtId="0" fontId="40" fillId="41" borderId="0" xfId="14" applyFont="1" applyFill="1" applyAlignment="1">
      <alignment horizontal="center" vertical="center" wrapText="1"/>
    </xf>
    <xf numFmtId="0" fontId="18" fillId="46" borderId="38" xfId="17" applyFont="1" applyFill="1" applyBorder="1" applyAlignment="1">
      <alignment horizontal="center" vertical="center" wrapText="1"/>
    </xf>
    <xf numFmtId="0" fontId="18" fillId="46" borderId="38" xfId="17" applyFont="1" applyFill="1" applyBorder="1" applyAlignment="1">
      <alignment horizontal="center" vertical="center"/>
    </xf>
    <xf numFmtId="0" fontId="0" fillId="56" borderId="0" xfId="0" applyFill="1" applyAlignment="1">
      <alignment wrapText="1"/>
    </xf>
    <xf numFmtId="0" fontId="27" fillId="29" borderId="38" xfId="0" applyFont="1" applyFill="1" applyBorder="1" applyAlignment="1">
      <alignment horizontal="center" vertical="center" wrapText="1" readingOrder="2"/>
    </xf>
    <xf numFmtId="0" fontId="23" fillId="19" borderId="4" xfId="0" applyFont="1" applyFill="1" applyBorder="1" applyAlignment="1">
      <alignment horizontal="center" vertical="center" wrapText="1"/>
    </xf>
    <xf numFmtId="1" fontId="6" fillId="0" borderId="38" xfId="0" applyNumberFormat="1" applyFont="1" applyBorder="1" applyAlignment="1">
      <alignment wrapText="1"/>
    </xf>
    <xf numFmtId="1" fontId="6" fillId="74" borderId="38" xfId="0" applyNumberFormat="1" applyFont="1" applyFill="1" applyBorder="1" applyAlignment="1">
      <alignment wrapText="1"/>
    </xf>
    <xf numFmtId="0" fontId="0" fillId="0" borderId="20" xfId="0" applyBorder="1" applyAlignment="1">
      <alignment wrapText="1"/>
    </xf>
    <xf numFmtId="0" fontId="29" fillId="73" borderId="38" xfId="0" applyFont="1" applyFill="1" applyBorder="1" applyAlignment="1">
      <alignment horizontal="center" vertical="center" wrapText="1"/>
    </xf>
    <xf numFmtId="0" fontId="29" fillId="19" borderId="38" xfId="0" applyFont="1" applyFill="1" applyBorder="1" applyAlignment="1">
      <alignment horizontal="center" vertical="center" wrapText="1"/>
    </xf>
    <xf numFmtId="0" fontId="68" fillId="65" borderId="38" xfId="9" applyFont="1" applyFill="1" applyBorder="1" applyAlignment="1">
      <alignment horizontal="center" vertical="center" wrapText="1"/>
    </xf>
    <xf numFmtId="0" fontId="68" fillId="65" borderId="38" xfId="9" applyFont="1" applyFill="1" applyBorder="1" applyAlignment="1">
      <alignment horizontal="center" vertical="center"/>
    </xf>
    <xf numFmtId="176" fontId="27" fillId="29" borderId="38" xfId="0" applyNumberFormat="1" applyFont="1" applyFill="1" applyBorder="1" applyAlignment="1">
      <alignment horizontal="center" vertical="center" wrapText="1"/>
    </xf>
    <xf numFmtId="176" fontId="0" fillId="74" borderId="38" xfId="0" applyNumberFormat="1" applyFill="1" applyBorder="1" applyAlignment="1">
      <alignment horizontal="center" vertical="center"/>
    </xf>
    <xf numFmtId="176" fontId="0" fillId="74" borderId="38" xfId="0" applyNumberFormat="1" applyFill="1" applyBorder="1" applyAlignment="1">
      <alignment horizontal="center" vertical="center" wrapText="1"/>
    </xf>
    <xf numFmtId="0" fontId="0" fillId="0" borderId="14" xfId="0" applyBorder="1"/>
    <xf numFmtId="0" fontId="23" fillId="19" borderId="2" xfId="0" applyFont="1" applyFill="1" applyBorder="1" applyAlignment="1">
      <alignment horizontal="center" vertical="center" wrapText="1"/>
    </xf>
    <xf numFmtId="0" fontId="0" fillId="0" borderId="13" xfId="0" applyBorder="1"/>
    <xf numFmtId="0" fontId="27" fillId="29" borderId="47" xfId="0" applyFont="1" applyFill="1" applyBorder="1" applyAlignment="1">
      <alignment horizontal="center" vertical="center" wrapText="1"/>
    </xf>
    <xf numFmtId="0" fontId="0" fillId="74" borderId="47" xfId="0" applyFill="1" applyBorder="1"/>
    <xf numFmtId="0" fontId="0" fillId="74" borderId="47" xfId="0" applyFill="1" applyBorder="1" applyAlignment="1">
      <alignment wrapText="1"/>
    </xf>
    <xf numFmtId="0" fontId="68" fillId="65" borderId="47" xfId="0" applyFont="1" applyFill="1" applyBorder="1" applyAlignment="1">
      <alignment horizontal="center" vertical="center" wrapText="1"/>
    </xf>
    <xf numFmtId="0" fontId="68" fillId="65" borderId="47" xfId="0" applyFont="1" applyFill="1" applyBorder="1" applyAlignment="1">
      <alignment horizontal="center" vertical="center"/>
    </xf>
    <xf numFmtId="0" fontId="13" fillId="25" borderId="38" xfId="0" applyFont="1" applyFill="1" applyBorder="1" applyAlignment="1">
      <alignment horizontal="center" vertical="center" wrapText="1"/>
    </xf>
    <xf numFmtId="0" fontId="23" fillId="23" borderId="38" xfId="0" applyFont="1" applyFill="1" applyBorder="1" applyAlignment="1">
      <alignment horizontal="center" vertical="center" wrapText="1"/>
    </xf>
    <xf numFmtId="0" fontId="0" fillId="0" borderId="38" xfId="0" applyBorder="1" applyAlignment="1">
      <alignment horizontal="center" wrapText="1"/>
    </xf>
    <xf numFmtId="0" fontId="0" fillId="0" borderId="5" xfId="0" applyBorder="1"/>
    <xf numFmtId="0" fontId="23" fillId="19" borderId="5" xfId="0" applyFont="1" applyFill="1" applyBorder="1" applyAlignment="1">
      <alignment horizontal="center" vertical="center" wrapText="1"/>
    </xf>
    <xf numFmtId="0" fontId="49" fillId="29" borderId="38" xfId="9" applyFont="1" applyFill="1" applyBorder="1" applyAlignment="1">
      <alignment horizontal="center" vertical="center" wrapText="1" readingOrder="2"/>
    </xf>
    <xf numFmtId="0" fontId="8" fillId="0" borderId="38" xfId="9" applyBorder="1"/>
    <xf numFmtId="0" fontId="8" fillId="0" borderId="38" xfId="9" applyBorder="1" applyAlignment="1">
      <alignment wrapText="1"/>
    </xf>
    <xf numFmtId="0" fontId="9" fillId="0" borderId="0" xfId="9" applyFont="1"/>
    <xf numFmtId="0" fontId="7" fillId="0" borderId="0" xfId="4" applyAlignment="1">
      <alignment horizontal="center" vertical="center"/>
    </xf>
    <xf numFmtId="0" fontId="6" fillId="45" borderId="38" xfId="0" applyFont="1" applyFill="1" applyBorder="1"/>
    <xf numFmtId="0" fontId="0" fillId="45" borderId="38" xfId="0" applyFill="1" applyBorder="1"/>
    <xf numFmtId="0" fontId="12" fillId="25" borderId="38" xfId="0" applyFont="1" applyFill="1" applyBorder="1" applyAlignment="1">
      <alignment horizontal="center" wrapText="1"/>
    </xf>
    <xf numFmtId="0" fontId="13" fillId="25" borderId="38" xfId="0" applyFont="1" applyFill="1" applyBorder="1" applyAlignment="1">
      <alignment horizontal="center"/>
    </xf>
    <xf numFmtId="0" fontId="0" fillId="45" borderId="38" xfId="0" applyFill="1" applyBorder="1" applyAlignment="1">
      <alignment wrapText="1"/>
    </xf>
    <xf numFmtId="0" fontId="23" fillId="56" borderId="0" xfId="0" applyFont="1" applyFill="1" applyAlignment="1">
      <alignment horizontal="center" vertical="center"/>
    </xf>
    <xf numFmtId="0" fontId="23" fillId="56" borderId="0" xfId="0" applyFont="1" applyFill="1" applyAlignment="1">
      <alignment horizontal="center" vertical="center" wrapText="1"/>
    </xf>
    <xf numFmtId="0" fontId="6" fillId="0" borderId="38" xfId="0" applyFont="1" applyBorder="1" applyAlignment="1">
      <alignment horizontal="center" vertical="center" wrapText="1"/>
    </xf>
    <xf numFmtId="0" fontId="0" fillId="0" borderId="18" xfId="0" applyBorder="1"/>
    <xf numFmtId="0" fontId="13" fillId="25" borderId="3" xfId="0" applyFont="1" applyFill="1" applyBorder="1" applyAlignment="1">
      <alignment horizontal="center" wrapText="1"/>
    </xf>
    <xf numFmtId="0" fontId="0" fillId="0" borderId="4" xfId="0" applyBorder="1"/>
    <xf numFmtId="0" fontId="0" fillId="0" borderId="4" xfId="0" applyBorder="1" applyAlignment="1">
      <alignment wrapText="1"/>
    </xf>
    <xf numFmtId="0" fontId="23" fillId="23" borderId="5" xfId="0" applyFont="1" applyFill="1" applyBorder="1" applyAlignment="1">
      <alignment horizontal="center" wrapText="1"/>
    </xf>
    <xf numFmtId="0" fontId="0" fillId="0" borderId="5" xfId="0" applyBorder="1" applyAlignment="1">
      <alignment wrapText="1"/>
    </xf>
    <xf numFmtId="0" fontId="27" fillId="29" borderId="5" xfId="0" applyFont="1" applyFill="1" applyBorder="1" applyAlignment="1">
      <alignment horizontal="center" vertical="center" wrapText="1"/>
    </xf>
    <xf numFmtId="0" fontId="27" fillId="29" borderId="18" xfId="0" applyFont="1" applyFill="1" applyBorder="1" applyAlignment="1">
      <alignment horizontal="center" vertical="center" wrapText="1"/>
    </xf>
    <xf numFmtId="0" fontId="23" fillId="17" borderId="0" xfId="0" applyFont="1" applyFill="1" applyAlignment="1">
      <alignment horizontal="center" vertical="center" wrapText="1"/>
    </xf>
    <xf numFmtId="0" fontId="20" fillId="25" borderId="5" xfId="0" applyFont="1" applyFill="1" applyBorder="1" applyAlignment="1">
      <alignment horizontal="center" wrapText="1"/>
    </xf>
    <xf numFmtId="0" fontId="20" fillId="25" borderId="0" xfId="0" applyFont="1" applyFill="1" applyAlignment="1">
      <alignment horizontal="center" wrapText="1"/>
    </xf>
    <xf numFmtId="0" fontId="68" fillId="65" borderId="43" xfId="0" applyFont="1" applyFill="1" applyBorder="1" applyAlignment="1">
      <alignment horizontal="center" vertical="center" wrapText="1"/>
    </xf>
    <xf numFmtId="0" fontId="68" fillId="65" borderId="43" xfId="0" applyFont="1" applyFill="1" applyBorder="1" applyAlignment="1">
      <alignment horizontal="center" vertical="center"/>
    </xf>
    <xf numFmtId="0" fontId="23" fillId="104" borderId="5" xfId="0" applyFont="1" applyFill="1" applyBorder="1" applyAlignment="1">
      <alignment horizontal="center"/>
    </xf>
    <xf numFmtId="0" fontId="0" fillId="45" borderId="5" xfId="0" applyFill="1" applyBorder="1"/>
    <xf numFmtId="0" fontId="0" fillId="74" borderId="5" xfId="0" applyFill="1" applyBorder="1"/>
    <xf numFmtId="0" fontId="13" fillId="25" borderId="3" xfId="0" applyFont="1" applyFill="1" applyBorder="1" applyAlignment="1">
      <alignment horizontal="center"/>
    </xf>
    <xf numFmtId="0" fontId="0" fillId="45" borderId="4" xfId="0" applyFill="1" applyBorder="1"/>
    <xf numFmtId="0" fontId="0" fillId="74" borderId="18" xfId="0" applyFill="1" applyBorder="1"/>
    <xf numFmtId="0" fontId="0" fillId="0" borderId="47" xfId="0" applyBorder="1"/>
    <xf numFmtId="0" fontId="23" fillId="23" borderId="5" xfId="0" applyFont="1" applyFill="1" applyBorder="1" applyAlignment="1">
      <alignment horizontal="center"/>
    </xf>
    <xf numFmtId="0" fontId="20" fillId="25" borderId="5" xfId="0" applyFont="1" applyFill="1" applyBorder="1" applyAlignment="1">
      <alignment horizontal="center"/>
    </xf>
    <xf numFmtId="0" fontId="27" fillId="29" borderId="0" xfId="0" applyFont="1" applyFill="1" applyAlignment="1">
      <alignment horizontal="center" vertical="center" wrapText="1" readingOrder="2"/>
    </xf>
    <xf numFmtId="0" fontId="20" fillId="25" borderId="4" xfId="0" applyFont="1" applyFill="1" applyBorder="1" applyAlignment="1">
      <alignment horizontal="center"/>
    </xf>
    <xf numFmtId="0" fontId="20" fillId="25" borderId="0" xfId="0" applyFont="1" applyFill="1" applyAlignment="1">
      <alignment horizontal="center"/>
    </xf>
    <xf numFmtId="0" fontId="0" fillId="74" borderId="0" xfId="0" applyFill="1"/>
    <xf numFmtId="0" fontId="23" fillId="23" borderId="4" xfId="0" applyFont="1" applyFill="1" applyBorder="1" applyAlignment="1">
      <alignment horizontal="center"/>
    </xf>
    <xf numFmtId="0" fontId="68" fillId="65" borderId="42" xfId="0" applyFont="1" applyFill="1" applyBorder="1" applyAlignment="1">
      <alignment horizontal="center" vertical="center"/>
    </xf>
    <xf numFmtId="0" fontId="40" fillId="41" borderId="18" xfId="14" applyFont="1" applyFill="1" applyBorder="1" applyAlignment="1">
      <alignment horizontal="center" vertical="center" wrapText="1"/>
    </xf>
    <xf numFmtId="0" fontId="18" fillId="46" borderId="1" xfId="29" applyFont="1" applyFill="1" applyBorder="1" applyAlignment="1">
      <alignment horizontal="center" vertical="center"/>
    </xf>
    <xf numFmtId="0" fontId="18" fillId="46" borderId="1" xfId="9" applyFont="1" applyFill="1" applyBorder="1" applyAlignment="1">
      <alignment horizontal="center" vertical="center"/>
    </xf>
    <xf numFmtId="0" fontId="58" fillId="0" borderId="18" xfId="4" applyFont="1" applyBorder="1" applyAlignment="1">
      <alignment horizontal="center" vertical="center" wrapText="1"/>
    </xf>
    <xf numFmtId="0" fontId="13" fillId="25" borderId="10" xfId="0" applyFont="1" applyFill="1" applyBorder="1" applyAlignment="1">
      <alignment horizontal="center"/>
    </xf>
    <xf numFmtId="0" fontId="29" fillId="19" borderId="4" xfId="0" applyFont="1" applyFill="1" applyBorder="1" applyAlignment="1">
      <alignment horizontal="center" vertical="center" wrapText="1"/>
    </xf>
    <xf numFmtId="0" fontId="0" fillId="0" borderId="19" xfId="0" applyBorder="1"/>
    <xf numFmtId="0" fontId="0" fillId="0" borderId="20" xfId="0" applyBorder="1"/>
    <xf numFmtId="0" fontId="0" fillId="45" borderId="4" xfId="0" applyFill="1" applyBorder="1" applyAlignment="1">
      <alignment horizontal="center"/>
    </xf>
    <xf numFmtId="0" fontId="0" fillId="45" borderId="5" xfId="0" applyFill="1" applyBorder="1" applyAlignment="1">
      <alignment horizontal="center"/>
    </xf>
    <xf numFmtId="0" fontId="18" fillId="46" borderId="1" xfId="17" applyFont="1" applyFill="1" applyBorder="1" applyAlignment="1">
      <alignment horizontal="center" vertical="center"/>
    </xf>
    <xf numFmtId="0" fontId="52" fillId="0" borderId="0" xfId="9" applyFont="1" applyAlignment="1">
      <alignment horizontal="center" vertical="center"/>
    </xf>
    <xf numFmtId="0" fontId="18" fillId="46" borderId="10" xfId="9" applyFont="1" applyFill="1" applyBorder="1" applyAlignment="1">
      <alignment horizontal="center" vertical="center"/>
    </xf>
    <xf numFmtId="0" fontId="18" fillId="46" borderId="5" xfId="9" applyFont="1" applyFill="1" applyBorder="1" applyAlignment="1">
      <alignment horizontal="center" vertical="center"/>
    </xf>
    <xf numFmtId="0" fontId="27" fillId="29" borderId="4" xfId="0" applyFont="1" applyFill="1" applyBorder="1" applyAlignment="1">
      <alignment horizontal="center" vertical="center" wrapText="1"/>
    </xf>
    <xf numFmtId="0" fontId="0" fillId="74" borderId="4" xfId="0" applyFill="1" applyBorder="1"/>
    <xf numFmtId="0" fontId="23" fillId="17" borderId="50" xfId="0" applyFont="1" applyFill="1" applyBorder="1" applyAlignment="1">
      <alignment horizontal="center" vertical="center" wrapText="1"/>
    </xf>
    <xf numFmtId="0" fontId="23" fillId="17" borderId="51" xfId="0" applyFont="1" applyFill="1" applyBorder="1" applyAlignment="1">
      <alignment horizontal="center" vertical="center" wrapText="1"/>
    </xf>
    <xf numFmtId="0" fontId="20" fillId="25" borderId="3" xfId="0" applyFont="1" applyFill="1" applyBorder="1" applyAlignment="1">
      <alignment horizontal="center"/>
    </xf>
  </cellXfs>
  <cellStyles count="32">
    <cellStyle name="Comma" xfId="12" builtinId="3"/>
    <cellStyle name="Comma 2" xfId="11" xr:uid="{18EA1BA5-0704-41E7-A012-391B0077F9D3}"/>
    <cellStyle name="Comma 3" xfId="16" xr:uid="{3D365F4C-4208-4309-B57A-8044CE14F6C7}"/>
    <cellStyle name="Comma 3 2" xfId="27" xr:uid="{214CECBC-8A4C-4039-A34E-24E358261D53}"/>
    <cellStyle name="Comma 4" xfId="18" xr:uid="{0A675ED8-89BB-4079-AB9D-B7D3C6E0BDDA}"/>
    <cellStyle name="Comma 4 2" xfId="30" xr:uid="{4532420C-C413-459B-8A5F-1F8627CA0B0B}"/>
    <cellStyle name="Normal" xfId="0" builtinId="0"/>
    <cellStyle name="Normal 10" xfId="31" xr:uid="{07CEF60A-AF2E-4494-82D0-318521082839}"/>
    <cellStyle name="Normal 2" xfId="1" xr:uid="{00000000-0005-0000-0000-000006000000}"/>
    <cellStyle name="Normal 2 2" xfId="2" xr:uid="{00000000-0005-0000-0000-000007000000}"/>
    <cellStyle name="Normal 2 2 2" xfId="3" xr:uid="{00000000-0005-0000-0000-000008000000}"/>
    <cellStyle name="Normal 2 2 2 2" xfId="4" xr:uid="{00000000-0005-0000-0000-000009000000}"/>
    <cellStyle name="Normal 2 2 2 3" xfId="19" xr:uid="{A0C47EFC-8466-4B3C-BBF0-A07CFD00619B}"/>
    <cellStyle name="Normal 2 2 3" xfId="5" xr:uid="{00000000-0005-0000-0000-00000A000000}"/>
    <cellStyle name="Normal 2 2 4" xfId="14" xr:uid="{15999F1B-21DE-4099-99DA-8C6F2A7F4172}"/>
    <cellStyle name="Normal 2 3" xfId="6" xr:uid="{00000000-0005-0000-0000-00000B000000}"/>
    <cellStyle name="Normal 2 3 2" xfId="7" xr:uid="{00000000-0005-0000-0000-00000C000000}"/>
    <cellStyle name="Normal 2 4" xfId="8" xr:uid="{00000000-0005-0000-0000-00000D000000}"/>
    <cellStyle name="Normal 2 5" xfId="13" xr:uid="{BEDDAC02-889E-4940-884F-A3E6BC16C164}"/>
    <cellStyle name="Normal 2 6" xfId="23" xr:uid="{C4FC1722-6972-4885-843A-4C1F9DFDAACC}"/>
    <cellStyle name="Normal 2 7" xfId="25" xr:uid="{D2C94E10-B01C-4ECA-A68A-C8134B54DF30}"/>
    <cellStyle name="Normal 3" xfId="9" xr:uid="{00000000-0005-0000-0000-00000E000000}"/>
    <cellStyle name="Normal 4" xfId="15" xr:uid="{47F5779C-A916-404B-AF62-18779521A302}"/>
    <cellStyle name="Normal 4 2" xfId="26" xr:uid="{1E752618-0C21-4AB7-888E-88B7BDFBA922}"/>
    <cellStyle name="Normal 4 3" xfId="28" xr:uid="{D224FDCE-50C7-4EDC-8F2E-6076C72A7AD5}"/>
    <cellStyle name="Normal 5" xfId="17" xr:uid="{8A243A6A-FF21-4FC6-85D5-99D85DC12BEF}"/>
    <cellStyle name="Normal 5 2" xfId="29" xr:uid="{7D7461FA-A73B-491C-B0BD-6D37B34A9160}"/>
    <cellStyle name="Normal 6" xfId="20" xr:uid="{02B9C210-B94F-482B-80C3-4A7C1E9CAFE5}"/>
    <cellStyle name="Normal 7" xfId="21" xr:uid="{01C06B8A-553A-4B42-9E90-C9726582D414}"/>
    <cellStyle name="Normal 8" xfId="22" xr:uid="{2F3A9262-5A8A-4FBD-B51F-A19E9BD9BA98}"/>
    <cellStyle name="Normal 9" xfId="24" xr:uid="{A9FECBB2-4940-49A4-AD68-E3CDD267D5A0}"/>
    <cellStyle name="Percent" xfId="10" builtinId="5"/>
  </cellStyles>
  <dxfs count="0"/>
  <tableStyles count="0" defaultTableStyle="TableStyleMedium2" defaultPivotStyle="PivotStyleLight16"/>
  <colors>
    <indexedColors>
      <rgbColor rgb="FF000000"/>
      <rgbColor rgb="FFFFFFFF"/>
      <rgbColor rgb="FFFF0000"/>
      <rgbColor rgb="FFFBE5D6"/>
      <rgbColor rgb="FF0000FF"/>
      <rgbColor rgb="FFFFFF00"/>
      <rgbColor rgb="FFFFCCFF"/>
      <rgbColor rgb="FFE7E6E6"/>
      <rgbColor rgb="FFC00000"/>
      <rgbColor rgb="FF008000"/>
      <rgbColor rgb="FF000080"/>
      <rgbColor rgb="FFC55A11"/>
      <rgbColor rgb="FF9966FF"/>
      <rgbColor rgb="FF2F5597"/>
      <rgbColor rgb="FFC9C9C9"/>
      <rgbColor rgb="FF7C7C7C"/>
      <rgbColor rgb="FFADB9CA"/>
      <rgbColor rgb="FF7030A0"/>
      <rgbColor rgb="FFFFF2CC"/>
      <rgbColor rgb="FFDEEBF7"/>
      <rgbColor rgb="FF660066"/>
      <rgbColor rgb="FFF4B183"/>
      <rgbColor rgb="FF0070C0"/>
      <rgbColor rgb="FFB4C7E7"/>
      <rgbColor rgb="FF000080"/>
      <rgbColor rgb="FFFF00FF"/>
      <rgbColor rgb="FFC5E0B4"/>
      <rgbColor rgb="FFF2F2F2"/>
      <rgbColor rgb="FF800080"/>
      <rgbColor rgb="FF800000"/>
      <rgbColor rgb="FF008080"/>
      <rgbColor rgb="FF0000FF"/>
      <rgbColor rgb="FFD6DCE5"/>
      <rgbColor rgb="FFDAE3F3"/>
      <rgbColor rgb="FFE2F0D9"/>
      <rgbColor rgb="FFFFE699"/>
      <rgbColor rgb="FF9DC3E6"/>
      <rgbColor rgb="FFFF99CC"/>
      <rgbColor rgb="FFAFABAB"/>
      <rgbColor rgb="FFF8CBAD"/>
      <rgbColor rgb="FF2E75B6"/>
      <rgbColor rgb="FFA9D18E"/>
      <rgbColor rgb="FF92D050"/>
      <rgbColor rgb="FFFFC000"/>
      <rgbColor rgb="FFBF9000"/>
      <rgbColor rgb="FFED7D31"/>
      <rgbColor rgb="FF595959"/>
      <rgbColor rgb="FFA6A6A6"/>
      <rgbColor rgb="FF002060"/>
      <rgbColor rgb="FF00B050"/>
      <rgbColor rgb="FF0D0D0D"/>
      <rgbColor rgb="FF333300"/>
      <rgbColor rgb="FF843C0B"/>
      <rgbColor rgb="FF833C0C"/>
      <rgbColor rgb="FF203864"/>
      <rgbColor rgb="FF333F50"/>
      <rgbColor rgb="00003366"/>
      <rgbColor rgb="00339966"/>
      <rgbColor rgb="00003300"/>
      <rgbColor rgb="00333300"/>
      <rgbColor rgb="00993300"/>
      <rgbColor rgb="00993366"/>
      <rgbColor rgb="00333399"/>
      <rgbColor rgb="00333333"/>
    </indexedColors>
    <mruColors>
      <color rgb="FFFF7C80"/>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microsoft.com/office/2006/relationships/vbaProject" Target="vbaProject.bin"/><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6</xdr:col>
      <xdr:colOff>203200</xdr:colOff>
      <xdr:row>0</xdr:row>
      <xdr:rowOff>95250</xdr:rowOff>
    </xdr:from>
    <xdr:to>
      <xdr:col>6</xdr:col>
      <xdr:colOff>1117600</xdr:colOff>
      <xdr:row>5</xdr:row>
      <xdr:rowOff>34657</xdr:rowOff>
    </xdr:to>
    <xdr:pic macro="[0]!RefreshButchery_Click">
      <xdr:nvPicPr>
        <xdr:cNvPr id="4" name="Graphic 3" descr="Cow with solid fill">
          <a:extLst>
            <a:ext uri="{FF2B5EF4-FFF2-40B4-BE49-F238E27FC236}">
              <a16:creationId xmlns:a16="http://schemas.microsoft.com/office/drawing/2014/main" id="{579707F3-D0DA-2D8C-9591-F66E923D7B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82300" y="95250"/>
          <a:ext cx="914400" cy="914400"/>
        </a:xfrm>
        <a:prstGeom prst="rect">
          <a:avLst/>
        </a:prstGeom>
      </xdr:spPr>
    </xdr:pic>
    <xdr:clientData/>
  </xdr:twoCellAnchor>
  <xdr:twoCellAnchor editAs="oneCell">
    <xdr:from>
      <xdr:col>6</xdr:col>
      <xdr:colOff>230909</xdr:colOff>
      <xdr:row>88</xdr:row>
      <xdr:rowOff>103909</xdr:rowOff>
    </xdr:from>
    <xdr:to>
      <xdr:col>6</xdr:col>
      <xdr:colOff>1145309</xdr:colOff>
      <xdr:row>93</xdr:row>
      <xdr:rowOff>109487</xdr:rowOff>
    </xdr:to>
    <xdr:pic macro="[0]!RefreshButchery_Click">
      <xdr:nvPicPr>
        <xdr:cNvPr id="2" name="Graphic 1" descr="Cow with solid fill">
          <a:extLst>
            <a:ext uri="{FF2B5EF4-FFF2-40B4-BE49-F238E27FC236}">
              <a16:creationId xmlns:a16="http://schemas.microsoft.com/office/drawing/2014/main" id="{F6044609-4FB5-4E3D-96E4-99917E3AAE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06545" y="15470909"/>
          <a:ext cx="914400" cy="9138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465404</xdr:colOff>
      <xdr:row>140</xdr:row>
      <xdr:rowOff>134494</xdr:rowOff>
    </xdr:from>
    <xdr:to>
      <xdr:col>16</xdr:col>
      <xdr:colOff>1056443</xdr:colOff>
      <xdr:row>144</xdr:row>
      <xdr:rowOff>24839</xdr:rowOff>
    </xdr:to>
    <xdr:pic macro="[0]!RecalcMasterSheet">
      <xdr:nvPicPr>
        <xdr:cNvPr id="2" name="Graphic 1" descr="Salt And Pepper with solid fill">
          <a:extLst>
            <a:ext uri="{FF2B5EF4-FFF2-40B4-BE49-F238E27FC236}">
              <a16:creationId xmlns:a16="http://schemas.microsoft.com/office/drawing/2014/main" id="{ABA56C9B-A484-41FA-83AE-502A6803B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410833" y="25851994"/>
          <a:ext cx="591039" cy="616060"/>
        </a:xfrm>
        <a:prstGeom prst="rect">
          <a:avLst/>
        </a:prstGeom>
      </xdr:spPr>
    </xdr:pic>
    <xdr:clientData/>
  </xdr:twoCellAnchor>
  <xdr:twoCellAnchor>
    <xdr:from>
      <xdr:col>34</xdr:col>
      <xdr:colOff>15393</xdr:colOff>
      <xdr:row>2</xdr:row>
      <xdr:rowOff>153940</xdr:rowOff>
    </xdr:from>
    <xdr:to>
      <xdr:col>34</xdr:col>
      <xdr:colOff>623454</xdr:colOff>
      <xdr:row>7</xdr:row>
      <xdr:rowOff>153941</xdr:rowOff>
    </xdr:to>
    <xdr:sp macro="[0]!UpdateRecipeData" textlink="">
      <xdr:nvSpPr>
        <xdr:cNvPr id="4" name="Lightning Bolt 3">
          <a:extLst>
            <a:ext uri="{FF2B5EF4-FFF2-40B4-BE49-F238E27FC236}">
              <a16:creationId xmlns:a16="http://schemas.microsoft.com/office/drawing/2014/main" id="{585151FD-718F-C171-B5DB-B132B1F544A4}"/>
            </a:ext>
          </a:extLst>
        </xdr:cNvPr>
        <xdr:cNvSpPr/>
      </xdr:nvSpPr>
      <xdr:spPr>
        <a:xfrm>
          <a:off x="31388242" y="846667"/>
          <a:ext cx="608061" cy="885152"/>
        </a:xfrm>
        <a:prstGeom prst="lightningBol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2144059</xdr:colOff>
      <xdr:row>2</xdr:row>
      <xdr:rowOff>141941</xdr:rowOff>
    </xdr:from>
    <xdr:to>
      <xdr:col>21</xdr:col>
      <xdr:colOff>1053353</xdr:colOff>
      <xdr:row>4</xdr:row>
      <xdr:rowOff>97118</xdr:rowOff>
    </xdr:to>
    <xdr:sp macro="[0]!ExportBatchTablesToPDF" textlink="">
      <xdr:nvSpPr>
        <xdr:cNvPr id="5" name="Rectangle: Rounded Corners 4">
          <a:extLst>
            <a:ext uri="{FF2B5EF4-FFF2-40B4-BE49-F238E27FC236}">
              <a16:creationId xmlns:a16="http://schemas.microsoft.com/office/drawing/2014/main" id="{99EFFE51-3113-E070-6305-A24352284241}"/>
            </a:ext>
          </a:extLst>
        </xdr:cNvPr>
        <xdr:cNvSpPr/>
      </xdr:nvSpPr>
      <xdr:spPr>
        <a:xfrm>
          <a:off x="21649765" y="8367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Batch Tables</a:t>
          </a:r>
          <a:endParaRPr lang="ar-EG" sz="1100" b="1">
            <a:solidFill>
              <a:schemeClr val="bg1"/>
            </a:solidFill>
          </a:endParaRPr>
        </a:p>
      </xdr:txBody>
    </xdr:sp>
    <xdr:clientData/>
  </xdr:twoCellAnchor>
  <xdr:twoCellAnchor>
    <xdr:from>
      <xdr:col>20</xdr:col>
      <xdr:colOff>2157755</xdr:colOff>
      <xdr:row>5</xdr:row>
      <xdr:rowOff>17930</xdr:rowOff>
    </xdr:from>
    <xdr:to>
      <xdr:col>22</xdr:col>
      <xdr:colOff>6226</xdr:colOff>
      <xdr:row>6</xdr:row>
      <xdr:rowOff>152401</xdr:rowOff>
    </xdr:to>
    <xdr:sp macro="[0]!Module9.ExportSpecialTablesToPDF" textlink="">
      <xdr:nvSpPr>
        <xdr:cNvPr id="6" name="Rectangle: Rounded Corners 5">
          <a:extLst>
            <a:ext uri="{FF2B5EF4-FFF2-40B4-BE49-F238E27FC236}">
              <a16:creationId xmlns:a16="http://schemas.microsoft.com/office/drawing/2014/main" id="{CD6C6886-EA98-4210-AC84-79A389E84128}"/>
            </a:ext>
          </a:extLst>
        </xdr:cNvPr>
        <xdr:cNvSpPr/>
      </xdr:nvSpPr>
      <xdr:spPr>
        <a:xfrm>
          <a:off x="21652255" y="1241363"/>
          <a:ext cx="1065804" cy="312271"/>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Special Tables</a:t>
          </a:r>
          <a:endParaRPr lang="ar-EG" sz="1100" b="1">
            <a:solidFill>
              <a:schemeClr val="bg1"/>
            </a:solidFill>
          </a:endParaRPr>
        </a:p>
      </xdr:txBody>
    </xdr:sp>
    <xdr:clientData/>
  </xdr:twoCellAnchor>
  <xdr:twoCellAnchor>
    <xdr:from>
      <xdr:col>20</xdr:col>
      <xdr:colOff>2150036</xdr:colOff>
      <xdr:row>7</xdr:row>
      <xdr:rowOff>58271</xdr:rowOff>
    </xdr:from>
    <xdr:to>
      <xdr:col>21</xdr:col>
      <xdr:colOff>1059330</xdr:colOff>
      <xdr:row>9</xdr:row>
      <xdr:rowOff>13447</xdr:rowOff>
    </xdr:to>
    <xdr:sp macro="[0]!Module8.ExportGarnishToPDF" textlink="">
      <xdr:nvSpPr>
        <xdr:cNvPr id="7" name="Rectangle: Rounded Corners 6">
          <a:extLst>
            <a:ext uri="{FF2B5EF4-FFF2-40B4-BE49-F238E27FC236}">
              <a16:creationId xmlns:a16="http://schemas.microsoft.com/office/drawing/2014/main" id="{5780ACDF-4056-451E-9C7F-8A8C1728BAC5}"/>
            </a:ext>
          </a:extLst>
        </xdr:cNvPr>
        <xdr:cNvSpPr/>
      </xdr:nvSpPr>
      <xdr:spPr>
        <a:xfrm>
          <a:off x="21655742" y="16495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Garnish Tables</a:t>
          </a:r>
          <a:endParaRPr lang="ar-EG" sz="1100" b="1">
            <a:solidFill>
              <a:schemeClr val="bg1"/>
            </a:solidFill>
          </a:endParaRPr>
        </a:p>
      </xdr:txBody>
    </xdr:sp>
    <xdr:clientData/>
  </xdr:twoCellAnchor>
  <xdr:twoCellAnchor>
    <xdr:from>
      <xdr:col>20</xdr:col>
      <xdr:colOff>2157506</xdr:colOff>
      <xdr:row>9</xdr:row>
      <xdr:rowOff>95623</xdr:rowOff>
    </xdr:from>
    <xdr:to>
      <xdr:col>22</xdr:col>
      <xdr:colOff>5977</xdr:colOff>
      <xdr:row>11</xdr:row>
      <xdr:rowOff>50800</xdr:rowOff>
    </xdr:to>
    <xdr:sp macro="[0]!Module10.ExportActualsToPDF" textlink="">
      <xdr:nvSpPr>
        <xdr:cNvPr id="8" name="Rectangle: Rounded Corners 7">
          <a:extLst>
            <a:ext uri="{FF2B5EF4-FFF2-40B4-BE49-F238E27FC236}">
              <a16:creationId xmlns:a16="http://schemas.microsoft.com/office/drawing/2014/main" id="{8F014FB4-C4F6-44FF-8D79-F5AC66738A25}"/>
            </a:ext>
          </a:extLst>
        </xdr:cNvPr>
        <xdr:cNvSpPr/>
      </xdr:nvSpPr>
      <xdr:spPr>
        <a:xfrm>
          <a:off x="21663212" y="2045447"/>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Actuals Tables</a:t>
          </a:r>
          <a:endParaRPr lang="ar-EG" sz="1100" b="1">
            <a:solidFill>
              <a:schemeClr val="bg1"/>
            </a:solidFill>
          </a:endParaRPr>
        </a:p>
      </xdr:txBody>
    </xdr:sp>
    <xdr:clientData/>
  </xdr:twoCellAnchor>
  <xdr:twoCellAnchor editAs="oneCell">
    <xdr:from>
      <xdr:col>16</xdr:col>
      <xdr:colOff>460375</xdr:colOff>
      <xdr:row>7</xdr:row>
      <xdr:rowOff>63500</xdr:rowOff>
    </xdr:from>
    <xdr:to>
      <xdr:col>16</xdr:col>
      <xdr:colOff>1051414</xdr:colOff>
      <xdr:row>10</xdr:row>
      <xdr:rowOff>128470</xdr:rowOff>
    </xdr:to>
    <xdr:pic macro="[0]!RecalcMasterSheet">
      <xdr:nvPicPr>
        <xdr:cNvPr id="9" name="Graphic 8" descr="Salt And Pepper with solid fill">
          <a:extLst>
            <a:ext uri="{FF2B5EF4-FFF2-40B4-BE49-F238E27FC236}">
              <a16:creationId xmlns:a16="http://schemas.microsoft.com/office/drawing/2014/main" id="{923609EB-09ED-4D20-9519-2D1BDCC84E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431125" y="1619250"/>
          <a:ext cx="591039" cy="588845"/>
        </a:xfrm>
        <a:prstGeom prst="rect">
          <a:avLst/>
        </a:prstGeom>
      </xdr:spPr>
    </xdr:pic>
    <xdr:clientData/>
  </xdr:twoCellAnchor>
  <xdr:twoCellAnchor editAs="oneCell">
    <xdr:from>
      <xdr:col>21</xdr:col>
      <xdr:colOff>84667</xdr:colOff>
      <xdr:row>13</xdr:row>
      <xdr:rowOff>12096</xdr:rowOff>
    </xdr:from>
    <xdr:to>
      <xdr:col>21</xdr:col>
      <xdr:colOff>999067</xdr:colOff>
      <xdr:row>18</xdr:row>
      <xdr:rowOff>57873</xdr:rowOff>
    </xdr:to>
    <xdr:pic macro="[0]!ExportAllToCombinedPDF">
      <xdr:nvPicPr>
        <xdr:cNvPr id="10" name="Graphic 9" descr="Chef male with solid fill">
          <a:extLst>
            <a:ext uri="{FF2B5EF4-FFF2-40B4-BE49-F238E27FC236}">
              <a16:creationId xmlns:a16="http://schemas.microsoft.com/office/drawing/2014/main" id="{62256ABC-412E-AFFF-0497-20529D73D1C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2364096" y="2630715"/>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546000</xdr:colOff>
      <xdr:row>2</xdr:row>
      <xdr:rowOff>75900</xdr:rowOff>
    </xdr:from>
    <xdr:to>
      <xdr:col>18</xdr:col>
      <xdr:colOff>215566</xdr:colOff>
      <xdr:row>6</xdr:row>
      <xdr:rowOff>75900</xdr:rowOff>
    </xdr:to>
    <xdr:pic macro="[0]!RecalcMarinationSheet">
      <xdr:nvPicPr>
        <xdr:cNvPr id="2" name="Graphic 2" descr="Chicken leg with solid fill">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a:fillRect/>
        </a:stretch>
      </xdr:blipFill>
      <xdr:spPr>
        <a:xfrm>
          <a:off x="15468500" y="755350"/>
          <a:ext cx="717050" cy="721280"/>
        </a:xfrm>
        <a:prstGeom prst="rect">
          <a:avLst/>
        </a:prstGeom>
        <a:ln w="0">
          <a:noFill/>
          <a:prstDash val="solid"/>
        </a:ln>
      </xdr:spPr>
    </xdr:pic>
    <xdr:clientData/>
  </xdr:twoCellAnchor>
  <xdr:twoCellAnchor>
    <xdr:from>
      <xdr:col>21</xdr:col>
      <xdr:colOff>127000</xdr:colOff>
      <xdr:row>2</xdr:row>
      <xdr:rowOff>36286</xdr:rowOff>
    </xdr:from>
    <xdr:to>
      <xdr:col>22</xdr:col>
      <xdr:colOff>589643</xdr:colOff>
      <xdr:row>4</xdr:row>
      <xdr:rowOff>154215</xdr:rowOff>
    </xdr:to>
    <xdr:sp macro="[0]!Module5.ExportMarinationToPDF" textlink="">
      <xdr:nvSpPr>
        <xdr:cNvPr id="3" name="Rectangle: Rounded Corners 2">
          <a:extLst>
            <a:ext uri="{FF2B5EF4-FFF2-40B4-BE49-F238E27FC236}">
              <a16:creationId xmlns:a16="http://schemas.microsoft.com/office/drawing/2014/main" id="{1157AAB6-A2A8-46A6-8748-8A65382F2F13}"/>
            </a:ext>
          </a:extLst>
        </xdr:cNvPr>
        <xdr:cNvSpPr/>
      </xdr:nvSpPr>
      <xdr:spPr>
        <a:xfrm>
          <a:off x="18297071" y="716643"/>
          <a:ext cx="1115786" cy="480786"/>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Marination Tables</a:t>
          </a:r>
          <a:endParaRPr lang="ar-EG" sz="1100" b="1">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10</xdr:col>
      <xdr:colOff>33414</xdr:colOff>
      <xdr:row>8</xdr:row>
      <xdr:rowOff>164572</xdr:rowOff>
    </xdr:to>
    <xdr:pic macro="[0]!Update_Cutting_Shapes_Ordering">
      <xdr:nvPicPr>
        <xdr:cNvPr id="2" name="Graphic 1" descr="Onion with solid fill">
          <a:extLst>
            <a:ext uri="{FF2B5EF4-FFF2-40B4-BE49-F238E27FC236}">
              <a16:creationId xmlns:a16="http://schemas.microsoft.com/office/drawing/2014/main" id="{E6423C7F-5F3F-4F24-A4F4-09E0FC1A72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703176" y="717176"/>
          <a:ext cx="690825" cy="70245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mira Fathy" id="{D0A273E1-AE59-40C9-9EFD-381E588CF6FC}" userId="f5fe407a88cb1524" providerId="Windows Live"/>
  <person displayName="Kamal Alshareef" id="{E4E539F7-EF01-4E1C-A881-E9D2CB5C903B}" userId="S::Alshareef.ka@octafoodksa.com::cb6032f9-5897-4e48-8775-ec7e07c838a6" providerId="AD"/>
</personList>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C25" dT="2026-06-23T02:19:27.89" personId="{E4E539F7-EF01-4E1C-A881-E9D2CB5C903B}" id="{1DC842B1-13E5-4C73-8113-AF5C0DA1D93B}">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634B071-63C1-479E-A95A-6D74175549F9}" parentId="{1DC842B1-13E5-4C73-8113-AF5C0DA1D93B}">
    <text xml:space="preserve">If true the Cost of Protein + Mix + Topping will be equal to the Blue Table </text>
  </threadedComment>
  <threadedComment ref="AC25" dT="2026-06-23T02:29:24.85" personId="{E4E539F7-EF01-4E1C-A881-E9D2CB5C903B}" id="{57649925-FF84-4FBB-83C5-CACD6E437374}" parentId="{1DC842B1-13E5-4C73-8113-AF5C0DA1D93B}">
    <text>Marination Cost per gram is only linked to the uncoocked chicken quantity not total with Sauce</text>
  </threadedComment>
  <threadedComment ref="AC25" dT="2026-06-23T02:34:15.40" personId="{E4E539F7-EF01-4E1C-A881-E9D2CB5C903B}" id="{0E857DDC-4BA7-45B4-A583-FAEE249271DA}" parentId="{1DC842B1-13E5-4C73-8113-AF5C0DA1D93B}">
    <text>Garnish rate is divided on the total quantity of Chicken and Sauce to get its contribution for each gm of total</text>
  </threadedComment>
  <threadedComment ref="AF28" dT="2026-06-23T02:20:15.12" personId="{E4E539F7-EF01-4E1C-A881-E9D2CB5C903B}" id="{44D9B5F2-A946-4132-B746-CFB757F18171}">
    <text>If the Equation is correct, you will have the total of Protein + Mix + Topping = to the total in the Blue Table</text>
  </threadedComment>
  <threadedComment ref="AA30" dT="2026-06-23T02:48:35.04" personId="{E4E539F7-EF01-4E1C-A881-E9D2CB5C903B}" id="{3011D849-562F-4B14-BFB9-F1AD0C7CEDA5}">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2.xml><?xml version="1.0" encoding="utf-8"?>
<ThreadedComments xmlns="http://schemas.microsoft.com/office/spreadsheetml/2018/threadedcomments" xmlns:x="http://schemas.openxmlformats.org/spreadsheetml/2006/main">
  <threadedComment ref="AA30" dT="2026-06-23T02:48:35.04" personId="{E4E539F7-EF01-4E1C-A881-E9D2CB5C903B}" id="{081DAECB-E080-489B-8A34-165D790BF053}">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3.xml><?xml version="1.0" encoding="utf-8"?>
<ThreadedComments xmlns="http://schemas.microsoft.com/office/spreadsheetml/2018/threadedcomments" xmlns:x="http://schemas.openxmlformats.org/spreadsheetml/2006/main">
  <threadedComment ref="AC25" dT="2026-06-23T02:19:27.89" personId="{E4E539F7-EF01-4E1C-A881-E9D2CB5C903B}" id="{04D417F9-FD80-4CA6-9AC1-BA13ED0B4C6D}">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0588D0F2-F9FC-4256-B041-520B018B99C9}" parentId="{04D417F9-FD80-4CA6-9AC1-BA13ED0B4C6D}">
    <text xml:space="preserve">If true the Cost of Protein + Mix + Topping will be equal to the Blue Table </text>
  </threadedComment>
  <threadedComment ref="AC25" dT="2026-06-23T02:29:24.85" personId="{E4E539F7-EF01-4E1C-A881-E9D2CB5C903B}" id="{2FD51785-1AFF-45E2-BD6A-58D02F6A182C}" parentId="{04D417F9-FD80-4CA6-9AC1-BA13ED0B4C6D}">
    <text>Marination Cost per gram is only linked to the uncoocked chicken quantity not total with Sauce</text>
  </threadedComment>
  <threadedComment ref="AC25" dT="2026-06-23T02:34:15.40" personId="{E4E539F7-EF01-4E1C-A881-E9D2CB5C903B}" id="{67DB2525-12BA-4665-8EE3-D9671BC79917}" parentId="{04D417F9-FD80-4CA6-9AC1-BA13ED0B4C6D}">
    <text>Garnish rate is divided on the total quantity of Chicken and Sauce to get its contribution for each gm of total</text>
  </threadedComment>
</ThreadedComments>
</file>

<file path=xl/threadedComments/threadedComment4.xml><?xml version="1.0" encoding="utf-8"?>
<ThreadedComments xmlns="http://schemas.microsoft.com/office/spreadsheetml/2018/threadedcomments" xmlns:x="http://schemas.openxmlformats.org/spreadsheetml/2006/main">
  <threadedComment ref="I1" dT="2026-05-02T18:45:17.51" personId="{D0A273E1-AE59-40C9-9EFD-381E588CF6FC}" id="{D1EFD38B-F35F-4F53-829B-6B853CA5068A}">
    <text xml:space="preserve">There is no weight correction. For coating as it doesn’t lose weight
</text>
  </threadedComment>
  <threadedComment ref="K1" dT="2026-05-02T18:42:37.69" personId="{D0A273E1-AE59-40C9-9EFD-381E588CF6FC}" id="{DFDC8677-3B46-4597-A78A-89DFD78B19A4}">
    <text>The coating will never lose weight during cooking; however there will be loses as it will not stick to the chicken , get burned, and 75% is high efficiency coating</text>
  </threadedComment>
  <threadedComment ref="AC25" dT="2026-06-23T02:19:27.89" personId="{E4E539F7-EF01-4E1C-A881-E9D2CB5C903B}" id="{AFA68A81-CD12-4647-8026-78AC98878D4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80E7D8-C120-463D-BEA4-B02CE0830906}" parentId="{AFA68A81-CD12-4647-8026-78AC98878D42}">
    <text xml:space="preserve">If true the Cost of Protein + Mix + Topping will be equal to the Blue Table </text>
  </threadedComment>
  <threadedComment ref="AC25" dT="2026-06-23T02:29:24.85" personId="{E4E539F7-EF01-4E1C-A881-E9D2CB5C903B}" id="{295FD4E7-0A54-4BFB-92B5-B86C62B9E13F}" parentId="{AFA68A81-CD12-4647-8026-78AC98878D42}">
    <text>Marination Cost per gram is only linked to the uncoocked chicken quantity not total with Sauce</text>
  </threadedComment>
  <threadedComment ref="AC25" dT="2026-06-23T02:34:15.40" personId="{E4E539F7-EF01-4E1C-A881-E9D2CB5C903B}" id="{19C4264B-D4E1-4768-A5C1-FA25535C0000}" parentId="{AFA68A81-CD12-4647-8026-78AC98878D42}">
    <text>Garnish rate is divided on the total quantity of Chicken and Sauce to get its contribution for each gm of total</text>
  </threadedComment>
</ThreadedComments>
</file>

<file path=xl/threadedComments/threadedComment5.xml><?xml version="1.0" encoding="utf-8"?>
<ThreadedComments xmlns="http://schemas.microsoft.com/office/spreadsheetml/2018/threadedcomments" xmlns:x="http://schemas.openxmlformats.org/spreadsheetml/2006/main">
  <threadedComment ref="AC25" dT="2026-06-23T02:19:27.89" personId="{E4E539F7-EF01-4E1C-A881-E9D2CB5C903B}" id="{ADAC1321-0D8E-452C-AD0E-7D9D38F2ED51}">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1ED7AC2E-3C01-422D-898D-FCF9DC1C4A24}" parentId="{ADAC1321-0D8E-452C-AD0E-7D9D38F2ED51}">
    <text xml:space="preserve">If true the Cost of Protein + Mix + Topping will be equal to the Blue Table </text>
  </threadedComment>
  <threadedComment ref="AC25" dT="2026-06-23T02:29:24.85" personId="{E4E539F7-EF01-4E1C-A881-E9D2CB5C903B}" id="{C01165E8-C6AD-435E-916A-F12E84AF80D2}" parentId="{ADAC1321-0D8E-452C-AD0E-7D9D38F2ED51}">
    <text>Marination Cost per gram is only linked to the uncoocked chicken quantity not total with Sauce</text>
  </threadedComment>
  <threadedComment ref="AC25" dT="2026-06-23T02:34:15.40" personId="{E4E539F7-EF01-4E1C-A881-E9D2CB5C903B}" id="{1A23ECB2-3171-4577-85E0-452C579FB2B5}" parentId="{ADAC1321-0D8E-452C-AD0E-7D9D38F2ED51}">
    <text>Garnish rate is divided on the total quantity of Chicken and Sauce to get its contribution for each gm of total</text>
  </threadedComment>
</ThreadedComments>
</file>

<file path=xl/threadedComments/threadedComment6.xml><?xml version="1.0" encoding="utf-8"?>
<ThreadedComments xmlns="http://schemas.microsoft.com/office/spreadsheetml/2018/threadedcomments" xmlns:x="http://schemas.openxmlformats.org/spreadsheetml/2006/main">
  <threadedComment ref="AC25" dT="2026-06-23T02:19:27.89" personId="{E4E539F7-EF01-4E1C-A881-E9D2CB5C903B}" id="{80258C01-47E0-4C6A-B5D0-A8F68454EA8E}">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66192683-B906-4AD6-BF34-7AA6F838DD97}" parentId="{80258C01-47E0-4C6A-B5D0-A8F68454EA8E}">
    <text xml:space="preserve">If true the Cost of Protein + Mix + Topping will be equal to the Blue Table </text>
  </threadedComment>
  <threadedComment ref="AC25" dT="2026-06-23T02:29:24.85" personId="{E4E539F7-EF01-4E1C-A881-E9D2CB5C903B}" id="{A052203C-1B2D-4051-A814-C85E8308A326}" parentId="{80258C01-47E0-4C6A-B5D0-A8F68454EA8E}">
    <text>Marination Cost per gram is only linked to the uncoocked chicken quantity not total with Sauce</text>
  </threadedComment>
  <threadedComment ref="AC25" dT="2026-06-23T02:34:15.40" personId="{E4E539F7-EF01-4E1C-A881-E9D2CB5C903B}" id="{26394F80-06EE-4897-917A-C8910B7A0B16}" parentId="{80258C01-47E0-4C6A-B5D0-A8F68454EA8E}">
    <text>Garnish rate is divided on the total quantity of Chicken and Sauce to get its contribution for each gm of total</text>
  </threadedComment>
</ThreadedComments>
</file>

<file path=xl/threadedComments/threadedComment7.xml><?xml version="1.0" encoding="utf-8"?>
<ThreadedComments xmlns="http://schemas.microsoft.com/office/spreadsheetml/2018/threadedcomments" xmlns:x="http://schemas.openxmlformats.org/spreadsheetml/2006/main">
  <threadedComment ref="AC25" dT="2026-06-23T02:19:27.89" personId="{E4E539F7-EF01-4E1C-A881-E9D2CB5C903B}" id="{003E98E4-44CF-43F4-8018-2B4370DD5E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FDE06353-5266-4D65-B999-8F5538959799}" parentId="{003E98E4-44CF-43F4-8018-2B4370DD5EF7}">
    <text xml:space="preserve">If true the Cost of Protein + Mix + Topping will be equal to the Blue Table </text>
  </threadedComment>
  <threadedComment ref="AC25" dT="2026-06-23T02:29:24.85" personId="{E4E539F7-EF01-4E1C-A881-E9D2CB5C903B}" id="{B00DC54A-2AD0-4B58-B3CC-7A478BBF44AC}" parentId="{003E98E4-44CF-43F4-8018-2B4370DD5EF7}">
    <text>Marination Cost per gram is only linked to the uncoocked chicken quantity not total with Sauce</text>
  </threadedComment>
  <threadedComment ref="AC25" dT="2026-06-23T02:34:15.40" personId="{E4E539F7-EF01-4E1C-A881-E9D2CB5C903B}" id="{0553EC14-2F26-4AA9-98E5-6AE4D7DFA385}" parentId="{003E98E4-44CF-43F4-8018-2B4370DD5EF7}">
    <text>Garnish rate is divided on the total quantity of Chicken and Sauce to get its contribution for each gm of total</text>
  </threadedComment>
</ThreadedComments>
</file>

<file path=xl/threadedComments/threadedComment8.xml><?xml version="1.0" encoding="utf-8"?>
<ThreadedComments xmlns="http://schemas.microsoft.com/office/spreadsheetml/2018/threadedcomments" xmlns:x="http://schemas.openxmlformats.org/spreadsheetml/2006/main">
  <threadedComment ref="AC25" dT="2026-06-23T02:19:27.89" personId="{E4E539F7-EF01-4E1C-A881-E9D2CB5C903B}" id="{2ECC9FD7-3B29-4CC2-9BE8-C4E5CF01D92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573BD04-81FF-4465-BAC9-40F3B47CC71E}" parentId="{2ECC9FD7-3B29-4CC2-9BE8-C4E5CF01D92F}">
    <text xml:space="preserve">If true the Cost of Protein + Mix + Topping will be equal to the Blue Table </text>
  </threadedComment>
  <threadedComment ref="AC25" dT="2026-06-23T02:29:24.85" personId="{E4E539F7-EF01-4E1C-A881-E9D2CB5C903B}" id="{3E7BB26B-DE33-49CE-9BDE-69E7D5B96765}" parentId="{2ECC9FD7-3B29-4CC2-9BE8-C4E5CF01D92F}">
    <text>Marination Cost per gram is only linked to the uncoocked chicken quantity not total with Sauce</text>
  </threadedComment>
  <threadedComment ref="AC25" dT="2026-06-23T02:34:15.40" personId="{E4E539F7-EF01-4E1C-A881-E9D2CB5C903B}" id="{1C324CD3-9943-4619-A308-64F3D1C2D114}" parentId="{2ECC9FD7-3B29-4CC2-9BE8-C4E5CF01D92F}">
    <text>Garnish rate is divided on the total quantity of Chicken and Sauce to get its contribution for each gm of total</text>
  </threadedComment>
</ThreadedComments>
</file>

<file path=xl/threadedComments/threadedComment9.xml><?xml version="1.0" encoding="utf-8"?>
<ThreadedComments xmlns="http://schemas.microsoft.com/office/spreadsheetml/2018/threadedcomments" xmlns:x="http://schemas.openxmlformats.org/spreadsheetml/2006/main">
  <threadedComment ref="AC25" dT="2026-06-23T02:19:27.89" personId="{E4E539F7-EF01-4E1C-A881-E9D2CB5C903B}" id="{15FBDEDA-BE01-4524-AC62-958B07B425D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59F39C1-DD30-4C26-8FB7-2DAF3A7D7ED5}" parentId="{15FBDEDA-BE01-4524-AC62-958B07B425D9}">
    <text xml:space="preserve">If true the Cost of Protein + Mix + Topping will be equal to the Blue Table </text>
  </threadedComment>
  <threadedComment ref="AC25" dT="2026-06-23T02:29:24.85" personId="{E4E539F7-EF01-4E1C-A881-E9D2CB5C903B}" id="{A496B6EA-5565-4715-922D-FEDB0DCA2EB9}" parentId="{15FBDEDA-BE01-4524-AC62-958B07B425D9}">
    <text>Marination Cost per gram is only linked to the uncoocked chicken quantity not total with Sauce</text>
  </threadedComment>
  <threadedComment ref="AC25" dT="2026-06-23T02:34:15.40" personId="{E4E539F7-EF01-4E1C-A881-E9D2CB5C903B}" id="{1FBE7618-1D34-4A82-A39B-5991670F029D}" parentId="{15FBDEDA-BE01-4524-AC62-958B07B425D9}">
    <text>Garnish rate is divided on the total quantity of Chicken and Sauce to get its contribution for each gm of total</text>
  </threadedComment>
</ThreadedComments>
</file>

<file path=xl/threadedComments/threadedComment10.xml><?xml version="1.0" encoding="utf-8"?>
<ThreadedComments xmlns="http://schemas.microsoft.com/office/spreadsheetml/2018/threadedcomments" xmlns:x="http://schemas.openxmlformats.org/spreadsheetml/2006/main">
  <threadedComment ref="AC25" dT="2026-06-23T02:19:27.89" personId="{E4E539F7-EF01-4E1C-A881-E9D2CB5C903B}" id="{2A66C493-8FD3-43DA-9452-DAC88E320B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2EEAE9-3490-47EF-932E-1C0744C14684}" parentId="{2A66C493-8FD3-43DA-9452-DAC88E320BF7}">
    <text xml:space="preserve">If true the Cost of Protein + Mix + Topping will be equal to the Blue Table </text>
  </threadedComment>
  <threadedComment ref="AC25" dT="2026-06-23T02:29:24.85" personId="{E4E539F7-EF01-4E1C-A881-E9D2CB5C903B}" id="{5C3E6921-BA19-45F1-B395-F31E2163978D}" parentId="{2A66C493-8FD3-43DA-9452-DAC88E320BF7}">
    <text>Marination Cost per gram is only linked to the uncoocked chicken quantity not total with Sauce</text>
  </threadedComment>
  <threadedComment ref="AC25" dT="2026-06-23T02:34:15.40" personId="{E4E539F7-EF01-4E1C-A881-E9D2CB5C903B}" id="{37AF96A8-710F-444F-AE27-8BB266B5CA13}" parentId="{2A66C493-8FD3-43DA-9452-DAC88E320BF7}">
    <text>Garnish rate is divided on the total quantity of Chicken and Sauce to get its contribution for each gm of total</text>
  </threadedComment>
</ThreadedComments>
</file>

<file path=xl/threadedComments/threadedComment11.xml><?xml version="1.0" encoding="utf-8"?>
<ThreadedComments xmlns="http://schemas.microsoft.com/office/spreadsheetml/2018/threadedcomments" xmlns:x="http://schemas.openxmlformats.org/spreadsheetml/2006/main">
  <threadedComment ref="AC25" dT="2026-06-23T02:19:27.89" personId="{E4E539F7-EF01-4E1C-A881-E9D2CB5C903B}" id="{3359F034-9006-4058-909C-6311A4116AA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391309C-2FED-4FF7-8BDE-0FCC498627E8}" parentId="{3359F034-9006-4058-909C-6311A4116AA2}">
    <text xml:space="preserve">If true the Cost of Protein + Mix + Topping will be equal to the Blue Table </text>
  </threadedComment>
  <threadedComment ref="AC25" dT="2026-06-23T02:29:24.85" personId="{E4E539F7-EF01-4E1C-A881-E9D2CB5C903B}" id="{AC324CE2-3868-40DF-9D7F-66BEE3412EB3}" parentId="{3359F034-9006-4058-909C-6311A4116AA2}">
    <text>Marination Cost per gram is only linked to the uncoocked chicken quantity not total with Sauce</text>
  </threadedComment>
  <threadedComment ref="AC25" dT="2026-06-23T02:34:15.40" personId="{E4E539F7-EF01-4E1C-A881-E9D2CB5C903B}" id="{14C7FACD-3964-4CCA-915C-736D6D41D172}" parentId="{3359F034-9006-4058-909C-6311A4116AA2}">
    <text>Garnish rate is divided on the total quantity of Chicken and Sauce to get its contribution for each gm of total</text>
  </threadedComment>
</ThreadedComments>
</file>

<file path=xl/threadedComments/threadedComment12.xml><?xml version="1.0" encoding="utf-8"?>
<ThreadedComments xmlns="http://schemas.microsoft.com/office/spreadsheetml/2018/threadedcomments" xmlns:x="http://schemas.openxmlformats.org/spreadsheetml/2006/main">
  <threadedComment ref="AC25" dT="2026-06-23T02:19:27.89" personId="{E4E539F7-EF01-4E1C-A881-E9D2CB5C903B}" id="{608F1BEB-2EAE-4E5E-8748-AE7646B10B4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93543CE-527F-455D-BB56-46C24EE8751E}" parentId="{608F1BEB-2EAE-4E5E-8748-AE7646B10B4F}">
    <text xml:space="preserve">If true the Cost of Protein + Mix + Topping will be equal to the Blue Table </text>
  </threadedComment>
  <threadedComment ref="AC25" dT="2026-06-23T02:29:24.85" personId="{E4E539F7-EF01-4E1C-A881-E9D2CB5C903B}" id="{D4B48E4F-D478-4965-8B86-1BC078DFC921}" parentId="{608F1BEB-2EAE-4E5E-8748-AE7646B10B4F}">
    <text>Marination Cost per gram is only linked to the uncoocked chicken quantity not total with Sauce</text>
  </threadedComment>
  <threadedComment ref="AC25" dT="2026-06-23T02:34:15.40" personId="{E4E539F7-EF01-4E1C-A881-E9D2CB5C903B}" id="{76E32A95-DE77-437A-88DC-28A5E5D4087E}" parentId="{608F1BEB-2EAE-4E5E-8748-AE7646B10B4F}">
    <text>Garnish rate is divided on the total quantity of Chicken and Sauce to get its contribution for each gm of total</text>
  </threadedComment>
</ThreadedComments>
</file>

<file path=xl/threadedComments/threadedComment13.xml><?xml version="1.0" encoding="utf-8"?>
<ThreadedComments xmlns="http://schemas.microsoft.com/office/spreadsheetml/2018/threadedcomments" xmlns:x="http://schemas.openxmlformats.org/spreadsheetml/2006/main">
  <threadedComment ref="AC25" dT="2026-06-23T02:19:27.89" personId="{E4E539F7-EF01-4E1C-A881-E9D2CB5C903B}" id="{9BD9F61B-E342-45B6-BB85-2CCCD1168FA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3E8B7655-37AF-49BD-8E08-371B973ACB61}" parentId="{9BD9F61B-E342-45B6-BB85-2CCCD1168FA6}">
    <text xml:space="preserve">If true the Cost of Protein + Mix + Topping will be equal to the Blue Table </text>
  </threadedComment>
  <threadedComment ref="AC25" dT="2026-06-23T02:29:24.85" personId="{E4E539F7-EF01-4E1C-A881-E9D2CB5C903B}" id="{7AC95FCA-D351-44BD-BEBE-911EA2C7DCB6}" parentId="{9BD9F61B-E342-45B6-BB85-2CCCD1168FA6}">
    <text>Marination Cost per gram is only linked to the uncoocked chicken quantity not total with Sauce</text>
  </threadedComment>
  <threadedComment ref="AC25" dT="2026-06-23T02:34:15.40" personId="{E4E539F7-EF01-4E1C-A881-E9D2CB5C903B}" id="{C1CF1D8E-295C-4661-917B-88FD3AD2A8F5}" parentId="{9BD9F61B-E342-45B6-BB85-2CCCD1168FA6}">
    <text>Garnish rate is divided on the total quantity of Chicken and Sauce to get its contribution for each gm of total</text>
  </threadedComment>
</ThreadedComments>
</file>

<file path=xl/threadedComments/threadedComment14.xml><?xml version="1.0" encoding="utf-8"?>
<ThreadedComments xmlns="http://schemas.microsoft.com/office/spreadsheetml/2018/threadedcomments" xmlns:x="http://schemas.openxmlformats.org/spreadsheetml/2006/main">
  <threadedComment ref="AC25" dT="2026-06-23T02:19:27.89" personId="{E4E539F7-EF01-4E1C-A881-E9D2CB5C903B}" id="{986678C2-DF96-4A70-B0ED-C8D57D89417A}">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18FC24D-70DF-4863-8C3B-360747E27414}" parentId="{986678C2-DF96-4A70-B0ED-C8D57D89417A}">
    <text xml:space="preserve">If true the Cost of Protein + Mix + Topping will be equal to the Blue Table </text>
  </threadedComment>
  <threadedComment ref="AC25" dT="2026-06-23T02:29:24.85" personId="{E4E539F7-EF01-4E1C-A881-E9D2CB5C903B}" id="{96DA697A-DC46-4622-BAAF-28D7B7D4F5B5}" parentId="{986678C2-DF96-4A70-B0ED-C8D57D89417A}">
    <text>Marination Cost per gram is only linked to the uncoocked chicken quantity not total with Sauce</text>
  </threadedComment>
  <threadedComment ref="AC25" dT="2026-06-23T02:34:15.40" personId="{E4E539F7-EF01-4E1C-A881-E9D2CB5C903B}" id="{C62CA56C-A3C2-4EC8-8F2F-7E8F5915D415}" parentId="{986678C2-DF96-4A70-B0ED-C8D57D89417A}">
    <text>Garnish rate is divided on the total quantity of Chicken and Sauce to get its contribution for each gm of total</text>
  </threadedComment>
</ThreadedComments>
</file>

<file path=xl/threadedComments/threadedComment15.xml><?xml version="1.0" encoding="utf-8"?>
<ThreadedComments xmlns="http://schemas.microsoft.com/office/spreadsheetml/2018/threadedcomments" xmlns:x="http://schemas.openxmlformats.org/spreadsheetml/2006/main">
  <threadedComment ref="AC25" dT="2026-06-23T02:19:27.89" personId="{E4E539F7-EF01-4E1C-A881-E9D2CB5C903B}" id="{5FBD50BE-A056-49D3-90B4-CFD6B8C9DAA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F423AE4-A5A9-45F0-A427-B12ECD60DD3E}" parentId="{5FBD50BE-A056-49D3-90B4-CFD6B8C9DAA9}">
    <text xml:space="preserve">If true the Cost of Protein + Mix + Topping will be equal to the Blue Table </text>
  </threadedComment>
  <threadedComment ref="AC25" dT="2026-06-23T02:29:24.85" personId="{E4E539F7-EF01-4E1C-A881-E9D2CB5C903B}" id="{831BCC66-8B8C-4238-8BB1-476DA205D781}" parentId="{5FBD50BE-A056-49D3-90B4-CFD6B8C9DAA9}">
    <text>Marination Cost per gram is only linked to the uncoocked chicken quantity not total with Sauce</text>
  </threadedComment>
  <threadedComment ref="AC25" dT="2026-06-23T02:34:15.40" personId="{E4E539F7-EF01-4E1C-A881-E9D2CB5C903B}" id="{BF9EC1E3-5935-411E-9B9A-6647B127BAB8}" parentId="{5FBD50BE-A056-49D3-90B4-CFD6B8C9DAA9}">
    <text>Garnish rate is divided on the total quantity of Chicken and Sauce to get its contribution for each gm of total</text>
  </threadedComment>
</ThreadedComments>
</file>

<file path=xl/threadedComments/threadedComment16.xml><?xml version="1.0" encoding="utf-8"?>
<ThreadedComments xmlns="http://schemas.microsoft.com/office/spreadsheetml/2018/threadedcomments" xmlns:x="http://schemas.openxmlformats.org/spreadsheetml/2006/main">
  <threadedComment ref="AC25" dT="2026-06-23T02:19:27.89" personId="{E4E539F7-EF01-4E1C-A881-E9D2CB5C903B}" id="{B18422E9-EF47-49B9-B040-569F9006BEC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B89CD69E-D0EB-41A7-970A-6A3B8AD2C8C3}" parentId="{B18422E9-EF47-49B9-B040-569F9006BEC9}">
    <text xml:space="preserve">If true the Cost of Protein + Mix + Topping will be equal to the Blue Table </text>
  </threadedComment>
  <threadedComment ref="AC25" dT="2026-06-23T02:29:24.85" personId="{E4E539F7-EF01-4E1C-A881-E9D2CB5C903B}" id="{3320C27D-330F-4552-8283-164E85A86EAC}" parentId="{B18422E9-EF47-49B9-B040-569F9006BEC9}">
    <text>Marination Cost per gram is only linked to the uncoocked chicken quantity not total with Sauce</text>
  </threadedComment>
  <threadedComment ref="AC25" dT="2026-06-23T02:34:15.40" personId="{E4E539F7-EF01-4E1C-A881-E9D2CB5C903B}" id="{A528BD06-7272-48D8-A572-090B9D2C2279}" parentId="{B18422E9-EF47-49B9-B040-569F9006BEC9}">
    <text>Garnish rate is divided on the total quantity of Chicken and Sauce to get its contribution for each gm of total</text>
  </threadedComment>
</ThreadedComments>
</file>

<file path=xl/threadedComments/threadedComment17.xml><?xml version="1.0" encoding="utf-8"?>
<ThreadedComments xmlns="http://schemas.microsoft.com/office/spreadsheetml/2018/threadedcomments" xmlns:x="http://schemas.openxmlformats.org/spreadsheetml/2006/main">
  <threadedComment ref="AC25" dT="2026-06-23T02:19:27.89" personId="{E4E539F7-EF01-4E1C-A881-E9D2CB5C903B}" id="{508C95CA-FC6A-4A11-86DD-9F0D520525D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44CF79F9-95F6-4BD4-873E-94D91372FDB5}" parentId="{508C95CA-FC6A-4A11-86DD-9F0D520525D6}">
    <text xml:space="preserve">If true the Cost of Protein + Mix + Topping will be equal to the Blue Table </text>
  </threadedComment>
  <threadedComment ref="AC25" dT="2026-06-23T02:29:24.85" personId="{E4E539F7-EF01-4E1C-A881-E9D2CB5C903B}" id="{15C30B99-1A21-43C6-8AC4-FEDA1918EC1A}" parentId="{508C95CA-FC6A-4A11-86DD-9F0D520525D6}">
    <text>Marination Cost per gram is only linked to the uncoocked chicken quantity not total with Sauce</text>
  </threadedComment>
  <threadedComment ref="AC25" dT="2026-06-23T02:34:15.40" personId="{E4E539F7-EF01-4E1C-A881-E9D2CB5C903B}" id="{EC8F26AE-57FE-4143-A4BC-FB8D808CE2F6}" parentId="{508C95CA-FC6A-4A11-86DD-9F0D520525D6}">
    <text>Garnish rate is divided on the total quantity of Chicken and Sauce to get its contribution for each gm of total</text>
  </threadedComment>
</ThreadedComments>
</file>

<file path=xl/threadedComments/threadedComment18.xml><?xml version="1.0" encoding="utf-8"?>
<ThreadedComments xmlns="http://schemas.microsoft.com/office/spreadsheetml/2018/threadedcomments" xmlns:x="http://schemas.openxmlformats.org/spreadsheetml/2006/main">
  <threadedComment ref="AC25" dT="2026-06-23T02:19:27.89" personId="{E4E539F7-EF01-4E1C-A881-E9D2CB5C903B}" id="{E72FB9AB-5619-4FD9-B5C3-28CC1DEC850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01E58BB-C0F0-409F-811C-F8AF68B4535C}" parentId="{E72FB9AB-5619-4FD9-B5C3-28CC1DEC8507}">
    <text xml:space="preserve">If true the Cost of Protein + Mix + Topping will be equal to the Blue Table </text>
  </threadedComment>
  <threadedComment ref="AC25" dT="2026-06-23T02:29:24.85" personId="{E4E539F7-EF01-4E1C-A881-E9D2CB5C903B}" id="{D0D48E6F-25AA-48FC-8F27-8E7F2F42D852}" parentId="{E72FB9AB-5619-4FD9-B5C3-28CC1DEC8507}">
    <text>Marination Cost per gram is only linked to the uncoocked chicken quantity not total with Sauce</text>
  </threadedComment>
  <threadedComment ref="AC25" dT="2026-06-23T02:34:15.40" personId="{E4E539F7-EF01-4E1C-A881-E9D2CB5C903B}" id="{B9889DC0-8AFD-4DC6-8DE8-00CDFCAF6DEA}" parentId="{E72FB9AB-5619-4FD9-B5C3-28CC1DEC8507}">
    <text>Garnish rate is divided on the total quantity of Chicken and Sauce to get its contribution for each gm of total</text>
  </threadedComment>
</ThreadedComments>
</file>

<file path=xl/threadedComments/threadedComment19.xml><?xml version="1.0" encoding="utf-8"?>
<ThreadedComments xmlns="http://schemas.microsoft.com/office/spreadsheetml/2018/threadedcomments" xmlns:x="http://schemas.openxmlformats.org/spreadsheetml/2006/main">
  <threadedComment ref="AC25" dT="2026-06-23T02:19:27.89" personId="{E4E539F7-EF01-4E1C-A881-E9D2CB5C903B}" id="{3BE16D37-795B-43AD-8E50-87BBD5FAF9BC}">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ED108C3-D650-4371-A610-330D72E0542B}" parentId="{3BE16D37-795B-43AD-8E50-87BBD5FAF9BC}">
    <text xml:space="preserve">If true the Cost of Protein + Mix + Topping will be equal to the Blue Table </text>
  </threadedComment>
  <threadedComment ref="AC25" dT="2026-06-23T02:29:24.85" personId="{E4E539F7-EF01-4E1C-A881-E9D2CB5C903B}" id="{ACB18F54-2AD5-4407-89F0-1445C3F335AF}" parentId="{3BE16D37-795B-43AD-8E50-87BBD5FAF9BC}">
    <text>Marination Cost per gram is only linked to the uncoocked chicken quantity not total with Sauce</text>
  </threadedComment>
  <threadedComment ref="AC25" dT="2026-06-23T02:34:15.40" personId="{E4E539F7-EF01-4E1C-A881-E9D2CB5C903B}" id="{CF131A1A-00E5-458F-B60A-BF53D8ED6CAB}" parentId="{3BE16D37-795B-43AD-8E50-87BBD5FAF9BC}">
    <text>Garnish rate is divided on the total quantity of Chicken and Sauce to get its contribution for each gm of total</text>
  </threadedComment>
</ThreadedComments>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9">
    <wetp:webextensionref xmlns:r="http://schemas.openxmlformats.org/officeDocument/2006/relationships" r:id="rId2"/>
  </wetp:taskpane>
  <wetp:taskpane dockstate="right" visibility="0" width="998" row="7">
    <wetp:webextensionref xmlns:r="http://schemas.openxmlformats.org/officeDocument/2006/relationships" r:id="rId3"/>
  </wetp:taskpane>
  <wetp:taskpane dockstate="right" visibility="0" width="350" row="2">
    <wetp:webextensionref xmlns:r="http://schemas.openxmlformats.org/officeDocument/2006/relationships" r:id="rId4"/>
  </wetp:taskpane>
</wetp:taskpanes>
</file>

<file path=xl/webextensions/webextension1.xml><?xml version="1.0" encoding="utf-8"?>
<we:webextension xmlns:we="http://schemas.microsoft.com/office/webextensions/webextension/2010/11" id="{7E35906E-07D1-4B2E-B120-8B6664BBDA80}">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s>_xldudf_AI_WEB</we:customFunctionIds>
      </we:customFunctionIdList>
    </a:ext>
  </we:extLst>
</we:webextension>
</file>

<file path=xl/webextensions/webextension2.xml><?xml version="1.0" encoding="utf-8"?>
<we:webextension xmlns:we="http://schemas.microsoft.com/office/webextensions/webextension/2010/11" id="{BCB226FB-C87C-4051-8660-E1B8D8E1D001}">
  <we:reference id="wa200009404" version="1.0.0.8" store="en-US" storeType="OMEX"/>
  <we:alternateReferences>
    <we:reference id="wa200009404" version="1.0.0.8" store="wa200009404" storeType="OMEX"/>
  </we:alternateReferences>
  <we:properties>
    <we:property name="claude.fileId" value="&quot;736a89ba-973f-479c-be8f-917b5b76a951&quot;"/>
  </we:properties>
  <we:bindings/>
  <we:snapshot xmlns:r="http://schemas.openxmlformats.org/officeDocument/2006/relationships"/>
</we:webextension>
</file>

<file path=xl/webextensions/webextension3.xml><?xml version="1.0" encoding="utf-8"?>
<we:webextension xmlns:we="http://schemas.microsoft.com/office/webextensions/webextension/2010/11" id="{809BC48D-66B1-495D-ADEC-357D97BB65CA}">
  <we:reference id="WA200010725" version="1.0.0.1" store="Omex" storeType="OMEX"/>
  <we:alternateReferences>
    <we:reference id="WA200010725" version="1.0.0.1" store="WA200010725" storeType="OMEX"/>
  </we:alternateReferences>
  <we:properties>
    <we:property name="claude.fileId" value="&quot;5104732d-4369-40cf-a052-4aa24bd2c598&quot;"/>
  </we:properties>
  <we:bindings/>
  <we:snapshot xmlns:r="http://schemas.openxmlformats.org/officeDocument/2006/relationships"/>
</we:webextension>
</file>

<file path=xl/webextensions/webextension4.xml><?xml version="1.0" encoding="utf-8"?>
<we:webextension xmlns:we="http://schemas.microsoft.com/office/webextensions/webextension/2010/11" id="{68044845-BF81-49BC-99C0-6EB882A24065}">
  <we:reference id="WA200010215" version="2.0.0.0" store="Omex" storeType="OMEX"/>
  <we:alternateReferences>
    <we:reference id="WA200010215" version="2.0.0.0" store="WA200010215" storeType="OMEX"/>
  </we:alternateReferences>
  <we:properties>
    <we:property name="bps.codex_control.document_id" value="&quot;2fd2441e-69f5-422f-9a95-273c2ff8be7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 Id="rId4" Type="http://schemas.microsoft.com/office/2017/10/relationships/threadedComment" Target="../threadedComments/threadedComment3.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30.bin"/><Relationship Id="rId4" Type="http://schemas.microsoft.com/office/2017/10/relationships/threadedComment" Target="../threadedComments/threadedComment4.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31.bin"/><Relationship Id="rId4" Type="http://schemas.microsoft.com/office/2017/10/relationships/threadedComment" Target="../threadedComments/threadedComment5.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33.bin"/><Relationship Id="rId4" Type="http://schemas.microsoft.com/office/2017/10/relationships/threadedComment" Target="../threadedComments/threadedComment6.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4.bin"/><Relationship Id="rId4" Type="http://schemas.microsoft.com/office/2017/10/relationships/threadedComment" Target="../threadedComments/threadedComment7.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50.bin"/><Relationship Id="rId4" Type="http://schemas.microsoft.com/office/2017/10/relationships/threadedComment" Target="../threadedComments/threadedComment8.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54.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55.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56.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58.bin"/><Relationship Id="rId4" Type="http://schemas.microsoft.com/office/2017/10/relationships/threadedComment" Target="../threadedComments/threadedComment9.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62.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63.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69.bin"/><Relationship Id="rId4" Type="http://schemas.microsoft.com/office/2017/10/relationships/threadedComment" Target="../threadedComments/threadedComment10.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70.bin"/><Relationship Id="rId4" Type="http://schemas.microsoft.com/office/2017/10/relationships/threadedComment" Target="../threadedComments/threadedComment11.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71.bin"/><Relationship Id="rId4" Type="http://schemas.microsoft.com/office/2017/10/relationships/threadedComment" Target="../threadedComments/threadedComment12.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72.bin"/></Relationships>
</file>

<file path=xl/worksheets/_rels/sheet76.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73.bin"/></Relationships>
</file>

<file path=xl/worksheets/_rels/sheet77.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74.bin"/><Relationship Id="rId4" Type="http://schemas.microsoft.com/office/2017/10/relationships/threadedComment" Target="../threadedComments/threadedComment13.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75.bin"/></Relationships>
</file>

<file path=xl/worksheets/_rels/sheet79.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76.bin"/></Relationships>
</file>

<file path=xl/worksheets/_rels/sheet80.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77.bin"/></Relationships>
</file>

<file path=xl/worksheets/_rels/sheet81.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78.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79.bin"/></Relationships>
</file>

<file path=xl/worksheets/_rels/sheet83.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80.bin"/></Relationships>
</file>

<file path=xl/worksheets/_rels/sheet84.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81.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9.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86.bin"/><Relationship Id="rId4" Type="http://schemas.microsoft.com/office/2017/10/relationships/threadedComment" Target="../threadedComments/threadedComment14.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87.bin"/><Relationship Id="rId4" Type="http://schemas.microsoft.com/office/2017/10/relationships/threadedComment" Target="../threadedComments/threadedComment15.xml"/></Relationships>
</file>

<file path=xl/worksheets/_rels/sheet91.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88.bin"/><Relationship Id="rId4" Type="http://schemas.microsoft.com/office/2017/10/relationships/threadedComment" Target="../threadedComments/threadedComment16.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89.bin"/><Relationship Id="rId4" Type="http://schemas.microsoft.com/office/2017/10/relationships/threadedComment" Target="../threadedComments/threadedComment17.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90.bin"/><Relationship Id="rId4" Type="http://schemas.microsoft.com/office/2017/10/relationships/threadedComment" Target="../threadedComments/threadedComment18.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91.bin"/><Relationship Id="rId4" Type="http://schemas.microsoft.com/office/2017/10/relationships/threadedComment" Target="../threadedComments/threadedComment19.xml"/></Relationships>
</file>

<file path=xl/worksheets/_rels/sheet95.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92.bin"/></Relationships>
</file>

<file path=xl/worksheets/_rels/sheet96.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93.bin"/></Relationships>
</file>

<file path=xl/worksheets/_rels/sheet97.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94.bin"/></Relationships>
</file>

<file path=xl/worksheets/_rels/sheet98.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95.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7885F-54F9-48C0-8A0A-E251A3B7C0BB}">
  <sheetPr codeName="Sheet80"/>
  <dimension ref="A1:T131"/>
  <sheetViews>
    <sheetView tabSelected="1" topLeftCell="M89" zoomScale="70" zoomScaleNormal="70" workbookViewId="0">
      <selection activeCell="N111" sqref="N111:Q117"/>
    </sheetView>
  </sheetViews>
  <sheetFormatPr defaultRowHeight="14.25" x14ac:dyDescent="0.2"/>
  <cols>
    <col min="1" max="1" width="28.625" customWidth="1"/>
    <col min="2" max="2" width="35.625" customWidth="1"/>
    <col min="3" max="3" width="38.625" customWidth="1"/>
    <col min="4" max="4" width="16.625" style="322" customWidth="1"/>
    <col min="5" max="5" width="14.625" style="324" customWidth="1"/>
    <col min="6" max="6" width="4.875" customWidth="1"/>
    <col min="7" max="7" width="18.25" customWidth="1"/>
    <col min="8" max="8" width="18.375" customWidth="1"/>
    <col min="9" max="9" width="43.25" customWidth="1"/>
    <col min="11" max="11" width="13.75" customWidth="1"/>
    <col min="12" max="12" width="36.375" customWidth="1"/>
    <col min="13" max="13" width="5.75" customWidth="1"/>
    <col min="14" max="14" width="34.75" customWidth="1"/>
    <col min="15" max="15" width="19.375" customWidth="1"/>
    <col min="16" max="16" width="11.375" customWidth="1"/>
    <col min="17" max="17" width="14.5" customWidth="1"/>
    <col min="20" max="20" width="14.75" customWidth="1"/>
  </cols>
  <sheetData>
    <row r="1" spans="1:20" ht="16.5" x14ac:dyDescent="0.25">
      <c r="A1" s="1771" t="s">
        <v>481</v>
      </c>
      <c r="B1" s="1772"/>
      <c r="C1" s="1772"/>
      <c r="D1" s="1772"/>
      <c r="E1" s="1772"/>
      <c r="I1" s="483" t="s">
        <v>697</v>
      </c>
      <c r="N1" s="483" t="s">
        <v>697</v>
      </c>
    </row>
    <row r="2" spans="1:20" ht="20.100000000000001" customHeight="1" x14ac:dyDescent="0.25">
      <c r="A2" s="320" t="s">
        <v>228</v>
      </c>
      <c r="B2" s="320" t="s">
        <v>482</v>
      </c>
      <c r="C2" s="320" t="s">
        <v>483</v>
      </c>
      <c r="D2" s="321" t="s">
        <v>484</v>
      </c>
      <c r="E2" s="323" t="s">
        <v>485</v>
      </c>
      <c r="I2" s="1773" t="s">
        <v>220</v>
      </c>
      <c r="J2" s="1774"/>
      <c r="K2" s="411" t="s">
        <v>739</v>
      </c>
      <c r="L2" s="411" t="s">
        <v>871</v>
      </c>
      <c r="M2" s="469"/>
      <c r="N2" s="445" t="s">
        <v>738</v>
      </c>
      <c r="O2" s="445" t="s">
        <v>741</v>
      </c>
      <c r="P2" s="445" t="s">
        <v>740</v>
      </c>
      <c r="Q2" s="445" t="s">
        <v>739</v>
      </c>
    </row>
    <row r="3" spans="1:20" ht="15" x14ac:dyDescent="0.25">
      <c r="A3" t="s">
        <v>16</v>
      </c>
      <c r="B3" t="s">
        <v>16</v>
      </c>
      <c r="C3" t="s">
        <v>220</v>
      </c>
      <c r="D3" s="322">
        <v>36245.110821381997</v>
      </c>
      <c r="E3" s="324">
        <v>36.245110821381999</v>
      </c>
      <c r="H3" t="s">
        <v>16</v>
      </c>
      <c r="I3" s="412" t="s">
        <v>953</v>
      </c>
      <c r="J3" s="413">
        <f>VLOOKUP(H3,A:E,4,FALSE)</f>
        <v>36245.110821381997</v>
      </c>
      <c r="K3" s="430"/>
      <c r="L3" s="430" t="s">
        <v>872</v>
      </c>
      <c r="M3" s="424"/>
      <c r="N3" s="540" t="s">
        <v>220</v>
      </c>
      <c r="O3" s="381">
        <f>(SUM(J3:J8)/S3)/T3</f>
        <v>18.059482404693284</v>
      </c>
      <c r="P3" s="57" t="s">
        <v>26</v>
      </c>
      <c r="Q3" s="188"/>
      <c r="S3" s="541">
        <v>0.86</v>
      </c>
      <c r="T3" s="530">
        <v>10000</v>
      </c>
    </row>
    <row r="4" spans="1:20" ht="15" x14ac:dyDescent="0.25">
      <c r="A4" t="s">
        <v>18</v>
      </c>
      <c r="B4" t="s">
        <v>486</v>
      </c>
      <c r="C4" t="s">
        <v>223</v>
      </c>
      <c r="D4" s="322">
        <v>43163.265306122448</v>
      </c>
      <c r="E4" s="324">
        <v>43.163265306122447</v>
      </c>
      <c r="H4" t="s">
        <v>27</v>
      </c>
      <c r="I4" s="412" t="s">
        <v>495</v>
      </c>
      <c r="J4" s="413">
        <f t="shared" ref="J4:J8" si="0">VLOOKUP(H4,A:E,4,FALSE)</f>
        <v>30847.457627118638</v>
      </c>
      <c r="K4" s="430"/>
      <c r="L4" s="430" t="s">
        <v>873</v>
      </c>
      <c r="M4" s="424"/>
      <c r="N4" s="540" t="s">
        <v>539</v>
      </c>
      <c r="O4" s="381">
        <f>(SUM(J11:J13)/S4)/T4</f>
        <v>10.185908085067748</v>
      </c>
      <c r="P4" s="57" t="s">
        <v>26</v>
      </c>
      <c r="Q4" s="188"/>
      <c r="S4" s="541">
        <v>0.55000000000000004</v>
      </c>
      <c r="T4" s="530">
        <v>18000</v>
      </c>
    </row>
    <row r="5" spans="1:20" ht="15" x14ac:dyDescent="0.25">
      <c r="A5" t="s">
        <v>22</v>
      </c>
      <c r="B5" t="s">
        <v>22</v>
      </c>
      <c r="C5" t="s">
        <v>225</v>
      </c>
      <c r="D5" s="322">
        <v>44648.148148148146</v>
      </c>
      <c r="E5" s="324">
        <v>44.648148148148145</v>
      </c>
      <c r="H5" t="s">
        <v>29</v>
      </c>
      <c r="I5" s="412" t="s">
        <v>954</v>
      </c>
      <c r="J5" s="413">
        <f t="shared" si="0"/>
        <v>30796.610169491527</v>
      </c>
      <c r="K5" s="430"/>
      <c r="L5" s="430" t="s">
        <v>872</v>
      </c>
      <c r="M5" s="424"/>
      <c r="N5" s="540" t="s">
        <v>225</v>
      </c>
      <c r="O5" s="381">
        <f>(J16/S5)/T5</f>
        <v>9.4996059889676907</v>
      </c>
      <c r="P5" s="57" t="s">
        <v>26</v>
      </c>
      <c r="Q5" s="188"/>
      <c r="S5" s="541">
        <v>0.47</v>
      </c>
      <c r="T5" s="530">
        <v>10000</v>
      </c>
    </row>
    <row r="6" spans="1:20" ht="15" x14ac:dyDescent="0.25">
      <c r="A6" t="s">
        <v>20</v>
      </c>
      <c r="B6" t="s">
        <v>294</v>
      </c>
      <c r="C6" t="s">
        <v>223</v>
      </c>
      <c r="D6" s="322">
        <v>24539.969834087475</v>
      </c>
      <c r="E6" s="324">
        <v>24.539969834087476</v>
      </c>
      <c r="H6" t="s">
        <v>33</v>
      </c>
      <c r="I6" s="412" t="s">
        <v>955</v>
      </c>
      <c r="J6" s="413">
        <f t="shared" si="0"/>
        <v>21346.153846153844</v>
      </c>
      <c r="K6" s="430"/>
      <c r="L6" s="430" t="s">
        <v>872</v>
      </c>
      <c r="M6" s="424"/>
      <c r="N6" s="540" t="s">
        <v>540</v>
      </c>
      <c r="O6" s="381">
        <f>(SUM(J19)/S6)/T6</f>
        <v>10</v>
      </c>
      <c r="P6" s="57" t="s">
        <v>45</v>
      </c>
      <c r="Q6" s="188"/>
      <c r="S6" s="541">
        <v>0.99</v>
      </c>
      <c r="T6" s="530">
        <v>1000</v>
      </c>
    </row>
    <row r="7" spans="1:20" ht="15" x14ac:dyDescent="0.25">
      <c r="A7" t="s">
        <v>24</v>
      </c>
      <c r="B7" t="s">
        <v>303</v>
      </c>
      <c r="C7" t="s">
        <v>223</v>
      </c>
      <c r="D7" s="322">
        <v>33137.254901960776</v>
      </c>
      <c r="E7" s="324">
        <v>33.137254901960773</v>
      </c>
      <c r="H7" t="s">
        <v>31</v>
      </c>
      <c r="I7" s="412" t="s">
        <v>956</v>
      </c>
      <c r="J7" s="413">
        <f t="shared" si="0"/>
        <v>17716.216216216217</v>
      </c>
      <c r="K7" s="430"/>
      <c r="L7" s="430" t="s">
        <v>874</v>
      </c>
      <c r="M7" s="424"/>
    </row>
    <row r="8" spans="1:20" ht="15" x14ac:dyDescent="0.25">
      <c r="A8" t="s">
        <v>27</v>
      </c>
      <c r="B8" t="s">
        <v>27</v>
      </c>
      <c r="C8" t="s">
        <v>220</v>
      </c>
      <c r="D8" s="322">
        <v>30847.457627118638</v>
      </c>
      <c r="E8" s="324">
        <v>30.847457627118636</v>
      </c>
      <c r="H8" t="s">
        <v>827</v>
      </c>
      <c r="I8" s="412" t="s">
        <v>957</v>
      </c>
      <c r="J8" s="413">
        <f t="shared" si="0"/>
        <v>18360</v>
      </c>
      <c r="K8" s="430"/>
      <c r="L8" s="430" t="s">
        <v>878</v>
      </c>
      <c r="M8" s="424"/>
    </row>
    <row r="9" spans="1:20" ht="15" x14ac:dyDescent="0.25">
      <c r="A9" t="s">
        <v>29</v>
      </c>
      <c r="B9" t="s">
        <v>29</v>
      </c>
      <c r="C9" t="s">
        <v>220</v>
      </c>
      <c r="D9" s="322">
        <v>30796.610169491527</v>
      </c>
      <c r="E9" s="324">
        <v>30.796610169491526</v>
      </c>
      <c r="I9" s="424"/>
      <c r="J9" s="424"/>
      <c r="K9" s="424"/>
      <c r="L9" s="424"/>
      <c r="M9" s="424"/>
    </row>
    <row r="10" spans="1:20" x14ac:dyDescent="0.2">
      <c r="A10" t="s">
        <v>33</v>
      </c>
      <c r="B10" t="s">
        <v>333</v>
      </c>
      <c r="C10" t="s">
        <v>220</v>
      </c>
      <c r="D10" s="322">
        <v>21346.153846153844</v>
      </c>
      <c r="E10" s="324">
        <v>21.346153846153843</v>
      </c>
      <c r="I10" s="1773" t="s">
        <v>539</v>
      </c>
      <c r="J10" s="1774"/>
      <c r="K10" s="411" t="s">
        <v>739</v>
      </c>
      <c r="L10" s="411" t="s">
        <v>871</v>
      </c>
      <c r="M10" s="469"/>
    </row>
    <row r="11" spans="1:20" ht="15" x14ac:dyDescent="0.25">
      <c r="A11" t="s">
        <v>827</v>
      </c>
      <c r="B11" t="s">
        <v>822</v>
      </c>
      <c r="C11" t="s">
        <v>821</v>
      </c>
      <c r="D11" s="322">
        <v>18360</v>
      </c>
      <c r="E11" s="324">
        <v>18.36</v>
      </c>
      <c r="H11" t="s">
        <v>18</v>
      </c>
      <c r="I11" s="412" t="s">
        <v>958</v>
      </c>
      <c r="J11" s="413">
        <f>VLOOKUP(H11,A:E,4,FALSE)</f>
        <v>43163.265306122448</v>
      </c>
      <c r="K11" s="430"/>
      <c r="L11" s="430" t="s">
        <v>872</v>
      </c>
      <c r="M11" s="424"/>
    </row>
    <row r="12" spans="1:20" ht="15" x14ac:dyDescent="0.25">
      <c r="A12" t="s">
        <v>31</v>
      </c>
      <c r="B12" t="s">
        <v>315</v>
      </c>
      <c r="C12" t="s">
        <v>220</v>
      </c>
      <c r="D12" s="322">
        <v>17716.216216216217</v>
      </c>
      <c r="E12" s="324">
        <v>17.716216216216218</v>
      </c>
      <c r="H12" t="s">
        <v>20</v>
      </c>
      <c r="I12" s="412" t="s">
        <v>960</v>
      </c>
      <c r="J12" s="413">
        <f>VLOOKUP(H12,A:E,4,FALSE)</f>
        <v>24539.969834087475</v>
      </c>
      <c r="K12" s="430"/>
      <c r="L12" s="430" t="s">
        <v>873</v>
      </c>
      <c r="M12" s="424"/>
    </row>
    <row r="13" spans="1:20" ht="15" x14ac:dyDescent="0.25">
      <c r="A13" t="s">
        <v>43</v>
      </c>
      <c r="B13" t="s">
        <v>43</v>
      </c>
      <c r="C13" t="s">
        <v>220</v>
      </c>
      <c r="D13" s="322">
        <v>46753.585397653187</v>
      </c>
      <c r="E13" s="324">
        <v>46.75358539765319</v>
      </c>
      <c r="H13" t="s">
        <v>24</v>
      </c>
      <c r="I13" s="412" t="s">
        <v>959</v>
      </c>
      <c r="J13" s="413">
        <f>VLOOKUP(H13,A:E,4,FALSE)</f>
        <v>33137.254901960776</v>
      </c>
      <c r="K13" s="430"/>
      <c r="L13" s="430" t="s">
        <v>872</v>
      </c>
      <c r="M13" s="424"/>
    </row>
    <row r="14" spans="1:20" ht="15" x14ac:dyDescent="0.25">
      <c r="A14" t="s">
        <v>782</v>
      </c>
      <c r="B14" t="s">
        <v>782</v>
      </c>
      <c r="C14" t="s">
        <v>225</v>
      </c>
      <c r="D14" s="322">
        <v>52814.81481481481</v>
      </c>
      <c r="E14" s="324">
        <v>52.81481481481481</v>
      </c>
      <c r="I14" s="424"/>
      <c r="J14" s="424"/>
      <c r="K14" s="424"/>
      <c r="L14" s="424"/>
      <c r="M14" s="424"/>
    </row>
    <row r="15" spans="1:20" x14ac:dyDescent="0.2">
      <c r="A15" t="s">
        <v>46</v>
      </c>
      <c r="B15" t="s">
        <v>46</v>
      </c>
      <c r="C15" t="s">
        <v>220</v>
      </c>
      <c r="D15" s="322">
        <v>27001.303780964794</v>
      </c>
      <c r="E15" s="324">
        <v>27.001303780964793</v>
      </c>
      <c r="I15" s="1773" t="s">
        <v>225</v>
      </c>
      <c r="J15" s="1774"/>
      <c r="K15" s="411" t="s">
        <v>739</v>
      </c>
      <c r="L15" s="411" t="s">
        <v>871</v>
      </c>
      <c r="M15" s="469"/>
    </row>
    <row r="16" spans="1:20" ht="15" x14ac:dyDescent="0.25">
      <c r="A16" t="s">
        <v>48</v>
      </c>
      <c r="B16" t="s">
        <v>48</v>
      </c>
      <c r="C16" t="s">
        <v>220</v>
      </c>
      <c r="D16" s="322">
        <v>49230.769230769227</v>
      </c>
      <c r="E16" s="324">
        <v>49.230769230769226</v>
      </c>
      <c r="H16" t="s">
        <v>22</v>
      </c>
      <c r="I16" s="412" t="s">
        <v>961</v>
      </c>
      <c r="J16" s="413">
        <f>VLOOKUP(H16,A:E,4,FALSE)</f>
        <v>44648.148148148146</v>
      </c>
      <c r="K16" s="430"/>
      <c r="L16" s="430" t="s">
        <v>875</v>
      </c>
      <c r="M16" s="424"/>
    </row>
    <row r="17" spans="1:20" ht="15" x14ac:dyDescent="0.25">
      <c r="A17" t="s">
        <v>51</v>
      </c>
      <c r="B17" t="s">
        <v>51</v>
      </c>
      <c r="C17" t="s">
        <v>223</v>
      </c>
      <c r="D17" s="322">
        <v>16003.016591251882</v>
      </c>
      <c r="E17" s="324">
        <v>16.003016591251882</v>
      </c>
      <c r="I17" s="470"/>
      <c r="J17" s="471"/>
      <c r="K17" s="424"/>
      <c r="L17" s="424"/>
      <c r="M17" s="424"/>
    </row>
    <row r="18" spans="1:20" ht="15" x14ac:dyDescent="0.25">
      <c r="A18" t="s">
        <v>53</v>
      </c>
      <c r="B18" t="s">
        <v>53</v>
      </c>
      <c r="C18" t="s">
        <v>220</v>
      </c>
      <c r="D18" s="322">
        <v>23063.885267275095</v>
      </c>
      <c r="E18" s="324">
        <v>23.063885267275094</v>
      </c>
      <c r="I18" s="1766" t="s">
        <v>540</v>
      </c>
      <c r="J18" s="1768"/>
      <c r="K18" s="411" t="s">
        <v>739</v>
      </c>
      <c r="L18" s="411" t="s">
        <v>871</v>
      </c>
      <c r="M18" s="424"/>
    </row>
    <row r="19" spans="1:20" ht="15" x14ac:dyDescent="0.25">
      <c r="A19" t="s">
        <v>879</v>
      </c>
      <c r="B19" t="s">
        <v>830</v>
      </c>
      <c r="C19" t="s">
        <v>223</v>
      </c>
      <c r="D19" s="322">
        <v>22307.692307692305</v>
      </c>
      <c r="E19" s="324">
        <v>22.307692307692307</v>
      </c>
      <c r="I19" s="768" t="s">
        <v>962</v>
      </c>
      <c r="J19" s="829">
        <f>All_Ingredients!AR2*100</f>
        <v>9900</v>
      </c>
      <c r="K19" s="447"/>
      <c r="L19" s="447" t="s">
        <v>892</v>
      </c>
    </row>
    <row r="20" spans="1:20" ht="15" x14ac:dyDescent="0.25">
      <c r="A20" t="s">
        <v>835</v>
      </c>
      <c r="B20" t="s">
        <v>832</v>
      </c>
      <c r="C20" t="s">
        <v>478</v>
      </c>
      <c r="D20" s="322">
        <v>21360</v>
      </c>
      <c r="E20" s="324">
        <v>21.36</v>
      </c>
      <c r="I20" s="424"/>
      <c r="J20" s="424"/>
      <c r="K20" s="424"/>
      <c r="L20" s="424"/>
    </row>
    <row r="21" spans="1:20" x14ac:dyDescent="0.2">
      <c r="A21" t="s">
        <v>836</v>
      </c>
      <c r="B21" t="s">
        <v>833</v>
      </c>
      <c r="C21" t="s">
        <v>821</v>
      </c>
      <c r="D21" s="322">
        <v>17760</v>
      </c>
      <c r="E21" s="324">
        <v>17.760000000000002</v>
      </c>
      <c r="I21" s="423"/>
      <c r="J21" s="423"/>
      <c r="K21" s="423"/>
      <c r="L21" s="423"/>
    </row>
    <row r="22" spans="1:20" ht="15" x14ac:dyDescent="0.25">
      <c r="A22" t="s">
        <v>56</v>
      </c>
      <c r="B22" t="s">
        <v>911</v>
      </c>
      <c r="C22" t="s">
        <v>223</v>
      </c>
      <c r="D22" s="322">
        <v>49490.566037735844</v>
      </c>
      <c r="E22" s="324">
        <v>49.490566037735846</v>
      </c>
      <c r="I22" s="483" t="s">
        <v>698</v>
      </c>
      <c r="N22" s="483" t="s">
        <v>698</v>
      </c>
    </row>
    <row r="23" spans="1:20" ht="15" x14ac:dyDescent="0.25">
      <c r="A23" t="s">
        <v>58</v>
      </c>
      <c r="B23" t="s">
        <v>912</v>
      </c>
      <c r="C23" t="s">
        <v>220</v>
      </c>
      <c r="D23" s="322">
        <v>30591.105820512817</v>
      </c>
      <c r="E23" s="324">
        <v>30.591105820512816</v>
      </c>
      <c r="I23" s="1764" t="s">
        <v>220</v>
      </c>
      <c r="J23" s="1761"/>
      <c r="K23" s="411" t="s">
        <v>739</v>
      </c>
      <c r="L23" s="411" t="s">
        <v>871</v>
      </c>
      <c r="N23" s="445" t="s">
        <v>738</v>
      </c>
      <c r="O23" s="445" t="s">
        <v>741</v>
      </c>
      <c r="P23" s="445" t="s">
        <v>740</v>
      </c>
      <c r="Q23" s="445" t="s">
        <v>739</v>
      </c>
    </row>
    <row r="24" spans="1:20" ht="15" x14ac:dyDescent="0.25">
      <c r="A24" t="s">
        <v>59</v>
      </c>
      <c r="B24" t="s">
        <v>370</v>
      </c>
      <c r="C24" t="s">
        <v>220</v>
      </c>
      <c r="D24" s="322">
        <v>30847.457627118634</v>
      </c>
      <c r="E24" s="324">
        <v>30.847457627118633</v>
      </c>
      <c r="H24" t="s">
        <v>43</v>
      </c>
      <c r="I24" s="412" t="s">
        <v>963</v>
      </c>
      <c r="J24" s="413">
        <f>VLOOKUP(H24,A:E,4,FALSE)</f>
        <v>46753.585397653187</v>
      </c>
      <c r="K24" s="430"/>
      <c r="L24" s="430" t="s">
        <v>876</v>
      </c>
      <c r="N24" s="540" t="s">
        <v>220</v>
      </c>
      <c r="O24" s="381">
        <f>(SUM(J24:J28)/S24)/T24</f>
        <v>19.047621357751428</v>
      </c>
      <c r="P24" s="57" t="s">
        <v>26</v>
      </c>
      <c r="Q24" s="188"/>
      <c r="S24" s="541">
        <v>0.86</v>
      </c>
      <c r="T24" s="530">
        <v>10000</v>
      </c>
    </row>
    <row r="25" spans="1:20" ht="15" x14ac:dyDescent="0.25">
      <c r="A25" t="s">
        <v>104</v>
      </c>
      <c r="B25" t="s">
        <v>104</v>
      </c>
      <c r="C25" t="s">
        <v>220</v>
      </c>
      <c r="D25" s="322">
        <v>21021.220159151191</v>
      </c>
      <c r="E25" s="324">
        <v>21.021220159151191</v>
      </c>
      <c r="H25" t="s">
        <v>46</v>
      </c>
      <c r="I25" s="412" t="s">
        <v>964</v>
      </c>
      <c r="J25" s="413">
        <f>VLOOKUP(H25,A:E,4,FALSE)</f>
        <v>27001.303780964794</v>
      </c>
      <c r="K25" s="430"/>
      <c r="L25" s="430" t="s">
        <v>872</v>
      </c>
      <c r="N25" s="540" t="s">
        <v>539</v>
      </c>
      <c r="O25" s="381">
        <f>(SUM(J31:J33)/S25)/T25</f>
        <v>8.8688156501697009</v>
      </c>
      <c r="P25" s="57" t="s">
        <v>26</v>
      </c>
      <c r="Q25" s="188"/>
      <c r="S25" s="541">
        <v>0.55000000000000004</v>
      </c>
      <c r="T25" s="530">
        <v>18000</v>
      </c>
    </row>
    <row r="26" spans="1:20" ht="15" x14ac:dyDescent="0.25">
      <c r="A26" t="s">
        <v>67</v>
      </c>
      <c r="B26" t="s">
        <v>374</v>
      </c>
      <c r="C26" t="s">
        <v>226</v>
      </c>
      <c r="D26" s="322">
        <v>38474.801061007951</v>
      </c>
      <c r="E26" s="324">
        <v>38.474801061007952</v>
      </c>
      <c r="H26" t="s">
        <v>48</v>
      </c>
      <c r="I26" s="412" t="s">
        <v>475</v>
      </c>
      <c r="J26" s="413">
        <f>VLOOKUP(H26,A:E,4,FALSE)</f>
        <v>49230.769230769227</v>
      </c>
      <c r="K26" s="430"/>
      <c r="L26" s="430" t="s">
        <v>872</v>
      </c>
      <c r="N26" s="540" t="s">
        <v>478</v>
      </c>
      <c r="O26" s="381">
        <f>(J36/S26)/T26</f>
        <v>22.020618556701031</v>
      </c>
      <c r="P26" s="57" t="s">
        <v>45</v>
      </c>
      <c r="Q26" s="188"/>
      <c r="S26" s="541">
        <v>0.97</v>
      </c>
      <c r="T26" s="530">
        <v>1000</v>
      </c>
    </row>
    <row r="27" spans="1:20" ht="15" x14ac:dyDescent="0.25">
      <c r="A27" t="s">
        <v>794</v>
      </c>
      <c r="B27" t="s">
        <v>795</v>
      </c>
      <c r="C27" t="s">
        <v>225</v>
      </c>
      <c r="D27" s="322">
        <v>44592.592592592591</v>
      </c>
      <c r="E27" s="324">
        <v>44.592592592592588</v>
      </c>
      <c r="H27" t="s">
        <v>53</v>
      </c>
      <c r="I27" s="412" t="s">
        <v>965</v>
      </c>
      <c r="J27" s="413">
        <f>VLOOKUP(H27,A:E,4,FALSE)</f>
        <v>23063.885267275095</v>
      </c>
      <c r="K27" s="430"/>
      <c r="L27" s="430" t="s">
        <v>872</v>
      </c>
      <c r="N27" s="540" t="s">
        <v>225</v>
      </c>
      <c r="O27" s="381">
        <f>(J39/S27)/T27</f>
        <v>11.23719464144996</v>
      </c>
      <c r="P27" s="57" t="s">
        <v>26</v>
      </c>
      <c r="Q27" s="188"/>
      <c r="S27" s="541">
        <v>0.47</v>
      </c>
      <c r="T27" s="530">
        <v>10000</v>
      </c>
    </row>
    <row r="28" spans="1:20" ht="15" x14ac:dyDescent="0.25">
      <c r="A28" t="s">
        <v>73</v>
      </c>
      <c r="B28" t="s">
        <v>73</v>
      </c>
      <c r="C28" t="s">
        <v>226</v>
      </c>
      <c r="D28" s="322">
        <v>20167.46909090909</v>
      </c>
      <c r="E28" s="324">
        <v>20.167469090909091</v>
      </c>
      <c r="H28" t="s">
        <v>836</v>
      </c>
      <c r="I28" s="412" t="s">
        <v>966</v>
      </c>
      <c r="J28" s="413">
        <f>VLOOKUP(H28,A:E,4,FALSE)</f>
        <v>17760</v>
      </c>
      <c r="K28" s="430"/>
      <c r="L28" s="430" t="s">
        <v>877</v>
      </c>
    </row>
    <row r="29" spans="1:20" ht="15" x14ac:dyDescent="0.25">
      <c r="A29" t="s">
        <v>74</v>
      </c>
      <c r="B29" t="s">
        <v>381</v>
      </c>
      <c r="C29" t="s">
        <v>223</v>
      </c>
      <c r="D29" s="322">
        <v>42213.759183673472</v>
      </c>
      <c r="E29" s="324">
        <v>42.213759183673474</v>
      </c>
      <c r="I29" s="424"/>
      <c r="J29" s="424"/>
      <c r="K29" s="424"/>
      <c r="L29" s="424"/>
    </row>
    <row r="30" spans="1:20" ht="15" x14ac:dyDescent="0.25">
      <c r="A30" t="s">
        <v>675</v>
      </c>
      <c r="B30" t="s">
        <v>670</v>
      </c>
      <c r="C30" t="s">
        <v>226</v>
      </c>
      <c r="D30" s="322">
        <v>9103.0303030303021</v>
      </c>
      <c r="E30" s="324">
        <v>9.1030303030303017</v>
      </c>
      <c r="I30" s="1764" t="s">
        <v>539</v>
      </c>
      <c r="J30" s="1761"/>
      <c r="K30" s="411" t="s">
        <v>739</v>
      </c>
      <c r="L30" s="411" t="s">
        <v>871</v>
      </c>
    </row>
    <row r="31" spans="1:20" ht="15" x14ac:dyDescent="0.25">
      <c r="A31" t="s">
        <v>76</v>
      </c>
      <c r="B31" t="s">
        <v>918</v>
      </c>
      <c r="C31" t="s">
        <v>220</v>
      </c>
      <c r="D31" s="322">
        <v>24596.774193548386</v>
      </c>
      <c r="E31" s="324">
        <v>24.596774193548388</v>
      </c>
      <c r="H31" t="s">
        <v>51</v>
      </c>
      <c r="I31" s="412" t="s">
        <v>967</v>
      </c>
      <c r="J31" s="413">
        <f>VLOOKUP(H31,A:E,4,FALSE)</f>
        <v>16003.016591251882</v>
      </c>
      <c r="K31" s="430"/>
      <c r="L31" s="430" t="s">
        <v>872</v>
      </c>
    </row>
    <row r="32" spans="1:20" ht="15" x14ac:dyDescent="0.25">
      <c r="A32" t="s">
        <v>77</v>
      </c>
      <c r="B32" t="s">
        <v>315</v>
      </c>
      <c r="C32" t="s">
        <v>220</v>
      </c>
      <c r="D32" s="322">
        <v>25014.619883040934</v>
      </c>
      <c r="E32" s="324">
        <v>25.014619883040933</v>
      </c>
      <c r="H32" t="s">
        <v>56</v>
      </c>
      <c r="I32" s="412" t="s">
        <v>911</v>
      </c>
      <c r="J32" s="413">
        <f>VLOOKUP(H32,A:E,4,FALSE)</f>
        <v>49490.566037735844</v>
      </c>
      <c r="K32" s="430"/>
      <c r="L32" s="430" t="s">
        <v>873</v>
      </c>
    </row>
    <row r="33" spans="1:20" ht="15" x14ac:dyDescent="0.25">
      <c r="A33" t="s">
        <v>78</v>
      </c>
      <c r="B33" t="s">
        <v>487</v>
      </c>
      <c r="C33" t="s">
        <v>220</v>
      </c>
      <c r="D33" s="322">
        <v>12235.294117647059</v>
      </c>
      <c r="E33" s="324">
        <v>12.23529411764706</v>
      </c>
      <c r="H33" t="s">
        <v>879</v>
      </c>
      <c r="I33" s="412" t="s">
        <v>968</v>
      </c>
      <c r="J33" s="413">
        <f>VLOOKUP(H33,A:E,4,FALSE)</f>
        <v>22307.692307692305</v>
      </c>
      <c r="K33" s="430"/>
      <c r="L33" s="430" t="s">
        <v>873</v>
      </c>
      <c r="N33" s="1"/>
      <c r="O33" s="1"/>
      <c r="P33" s="541"/>
      <c r="Q33" s="530"/>
      <c r="R33" s="4"/>
    </row>
    <row r="34" spans="1:20" ht="15" x14ac:dyDescent="0.25">
      <c r="A34" t="s">
        <v>843</v>
      </c>
      <c r="B34" t="s">
        <v>842</v>
      </c>
      <c r="C34" t="s">
        <v>478</v>
      </c>
      <c r="D34" s="322">
        <v>26160</v>
      </c>
      <c r="E34" s="324">
        <v>26.16</v>
      </c>
      <c r="I34" s="424"/>
      <c r="J34" s="424"/>
      <c r="K34" s="424"/>
      <c r="L34" s="424"/>
      <c r="N34" s="1"/>
      <c r="O34" s="1"/>
      <c r="P34" s="541"/>
      <c r="Q34" s="530"/>
      <c r="R34" s="4"/>
    </row>
    <row r="35" spans="1:20" ht="15" x14ac:dyDescent="0.25">
      <c r="A35" t="s">
        <v>81</v>
      </c>
      <c r="B35" t="s">
        <v>81</v>
      </c>
      <c r="C35" t="s">
        <v>220</v>
      </c>
      <c r="D35" s="322">
        <v>16031.694915254238</v>
      </c>
      <c r="E35" s="324">
        <v>16.031694915254239</v>
      </c>
      <c r="I35" s="1764" t="s">
        <v>478</v>
      </c>
      <c r="J35" s="1761"/>
      <c r="K35" s="411" t="s">
        <v>739</v>
      </c>
      <c r="L35" s="411" t="s">
        <v>871</v>
      </c>
      <c r="N35" s="1"/>
      <c r="O35" s="1"/>
      <c r="P35" s="541"/>
      <c r="Q35" s="530"/>
      <c r="R35" s="4"/>
    </row>
    <row r="36" spans="1:20" ht="15" x14ac:dyDescent="0.25">
      <c r="A36" t="s">
        <v>91</v>
      </c>
      <c r="B36" t="s">
        <v>392</v>
      </c>
      <c r="C36" t="s">
        <v>220</v>
      </c>
      <c r="D36" s="322">
        <v>43126.264406779665</v>
      </c>
      <c r="E36" s="324">
        <v>43.126264406779661</v>
      </c>
      <c r="H36" t="s">
        <v>835</v>
      </c>
      <c r="I36" s="412" t="s">
        <v>969</v>
      </c>
      <c r="J36" s="413">
        <f>VLOOKUP(H36,A:E,4,FALSE)</f>
        <v>21360</v>
      </c>
      <c r="K36" s="430"/>
      <c r="L36" s="447" t="s">
        <v>892</v>
      </c>
      <c r="N36" s="1"/>
      <c r="O36" s="1"/>
      <c r="P36" s="541"/>
      <c r="Q36" s="530"/>
      <c r="R36" s="4"/>
    </row>
    <row r="37" spans="1:20" ht="15" x14ac:dyDescent="0.25">
      <c r="A37" t="s">
        <v>96</v>
      </c>
      <c r="B37" t="s">
        <v>96</v>
      </c>
      <c r="C37" t="s">
        <v>220</v>
      </c>
      <c r="D37" s="322">
        <v>24070.588235294119</v>
      </c>
      <c r="E37" s="324">
        <v>24.070588235294117</v>
      </c>
      <c r="I37" s="424"/>
      <c r="J37" s="424"/>
      <c r="K37" s="424"/>
      <c r="L37" s="424"/>
      <c r="N37" s="1"/>
      <c r="O37" s="1"/>
      <c r="P37" s="541"/>
      <c r="Q37" s="530"/>
      <c r="R37" s="4"/>
    </row>
    <row r="38" spans="1:20" ht="15" x14ac:dyDescent="0.25">
      <c r="A38" t="s">
        <v>98</v>
      </c>
      <c r="B38" t="s">
        <v>400</v>
      </c>
      <c r="C38" t="s">
        <v>223</v>
      </c>
      <c r="D38" s="322">
        <v>30769.230769230759</v>
      </c>
      <c r="E38" s="324">
        <v>30.769230769230759</v>
      </c>
      <c r="I38" s="1764" t="s">
        <v>225</v>
      </c>
      <c r="J38" s="1761"/>
      <c r="K38" s="411" t="s">
        <v>739</v>
      </c>
      <c r="L38" s="411" t="s">
        <v>871</v>
      </c>
      <c r="N38" s="1"/>
      <c r="O38" s="1"/>
      <c r="P38" s="541"/>
      <c r="Q38" s="530"/>
      <c r="R38" s="4"/>
    </row>
    <row r="39" spans="1:20" ht="15" x14ac:dyDescent="0.25">
      <c r="A39" t="s">
        <v>102</v>
      </c>
      <c r="B39" t="s">
        <v>102</v>
      </c>
      <c r="C39" t="s">
        <v>223</v>
      </c>
      <c r="D39" s="322">
        <v>23770.739064856705</v>
      </c>
      <c r="E39" s="324">
        <v>23.770739064856706</v>
      </c>
      <c r="H39" t="s">
        <v>782</v>
      </c>
      <c r="I39" s="412" t="s">
        <v>970</v>
      </c>
      <c r="J39" s="413">
        <f>VLOOKUP(H39,A:E,4,FALSE)</f>
        <v>52814.81481481481</v>
      </c>
      <c r="K39" s="430"/>
      <c r="L39" s="430" t="s">
        <v>872</v>
      </c>
      <c r="N39" s="1"/>
      <c r="O39" s="1"/>
      <c r="P39" s="541"/>
      <c r="Q39" s="530"/>
      <c r="R39" s="4"/>
    </row>
    <row r="40" spans="1:20" ht="15" x14ac:dyDescent="0.25">
      <c r="A40" t="s">
        <v>65</v>
      </c>
      <c r="B40" t="s">
        <v>65</v>
      </c>
      <c r="C40" t="s">
        <v>220</v>
      </c>
      <c r="D40" s="322">
        <v>14837.027379400259</v>
      </c>
      <c r="E40" s="324">
        <v>14.837027379400258</v>
      </c>
      <c r="I40" s="423"/>
      <c r="J40" s="423"/>
      <c r="K40" s="423"/>
      <c r="L40" s="423"/>
      <c r="N40" s="1"/>
      <c r="O40" s="1"/>
      <c r="P40" s="541"/>
      <c r="Q40" s="530"/>
      <c r="R40" s="4"/>
    </row>
    <row r="41" spans="1:20" ht="15" x14ac:dyDescent="0.25">
      <c r="A41" t="s">
        <v>106</v>
      </c>
      <c r="B41" t="s">
        <v>106</v>
      </c>
      <c r="C41" t="s">
        <v>223</v>
      </c>
      <c r="D41" s="322">
        <v>22564.102564102559</v>
      </c>
      <c r="E41" s="324">
        <v>22.564102564102559</v>
      </c>
      <c r="N41" s="1"/>
      <c r="O41" s="1"/>
      <c r="P41" s="541"/>
      <c r="Q41" s="530"/>
      <c r="R41" s="4"/>
    </row>
    <row r="42" spans="1:20" ht="15" x14ac:dyDescent="0.25">
      <c r="A42" t="s">
        <v>787</v>
      </c>
      <c r="B42" t="s">
        <v>787</v>
      </c>
      <c r="C42" t="s">
        <v>225</v>
      </c>
      <c r="D42" s="322">
        <v>56740.740740740745</v>
      </c>
      <c r="E42" s="324">
        <v>56.740740740740748</v>
      </c>
      <c r="I42" s="483" t="s">
        <v>699</v>
      </c>
      <c r="N42" s="483" t="s">
        <v>699</v>
      </c>
    </row>
    <row r="43" spans="1:20" ht="15" x14ac:dyDescent="0.25">
      <c r="A43" t="s">
        <v>466</v>
      </c>
      <c r="B43" t="s">
        <v>468</v>
      </c>
      <c r="C43" t="s">
        <v>220</v>
      </c>
      <c r="D43" s="322">
        <v>39931.034482758623</v>
      </c>
      <c r="E43" s="324">
        <v>39.931034482758626</v>
      </c>
      <c r="I43" s="1766" t="s">
        <v>220</v>
      </c>
      <c r="J43" s="1768"/>
      <c r="K43" s="411" t="s">
        <v>739</v>
      </c>
      <c r="L43" s="411" t="s">
        <v>871</v>
      </c>
      <c r="N43" s="445" t="s">
        <v>738</v>
      </c>
      <c r="O43" s="445" t="s">
        <v>741</v>
      </c>
      <c r="P43" s="445" t="s">
        <v>740</v>
      </c>
      <c r="Q43" s="445" t="s">
        <v>739</v>
      </c>
    </row>
    <row r="44" spans="1:20" ht="15" x14ac:dyDescent="0.25">
      <c r="A44" t="s">
        <v>112</v>
      </c>
      <c r="B44" t="s">
        <v>914</v>
      </c>
      <c r="C44" t="s">
        <v>220</v>
      </c>
      <c r="D44" s="322">
        <v>30809.523809523809</v>
      </c>
      <c r="E44" s="324">
        <v>30.80952380952381</v>
      </c>
      <c r="H44" t="s">
        <v>58</v>
      </c>
      <c r="I44" s="446" t="s">
        <v>971</v>
      </c>
      <c r="J44" s="413">
        <f>VLOOKUP(H44,A:E,4,FALSE)</f>
        <v>30591.105820512817</v>
      </c>
      <c r="K44" s="447"/>
      <c r="L44" s="430" t="s">
        <v>893</v>
      </c>
      <c r="N44" s="540" t="s">
        <v>220</v>
      </c>
      <c r="O44" s="381">
        <f>(SUM(J44:J50)/S44)/T44</f>
        <v>18.643972873985263</v>
      </c>
      <c r="P44" s="57" t="s">
        <v>26</v>
      </c>
      <c r="Q44" s="188"/>
      <c r="S44" s="541">
        <v>0.86</v>
      </c>
      <c r="T44" s="530">
        <v>10000</v>
      </c>
    </row>
    <row r="45" spans="1:20" ht="15" x14ac:dyDescent="0.25">
      <c r="A45" t="s">
        <v>117</v>
      </c>
      <c r="B45" t="s">
        <v>117</v>
      </c>
      <c r="C45" t="s">
        <v>220</v>
      </c>
      <c r="D45" s="322">
        <v>25293.350717079527</v>
      </c>
      <c r="E45" s="324">
        <v>25.293350717079527</v>
      </c>
      <c r="H45" t="s">
        <v>59</v>
      </c>
      <c r="I45" s="446" t="s">
        <v>972</v>
      </c>
      <c r="J45" s="413">
        <f t="shared" ref="J45" si="1">VLOOKUP(H45,A:E,4,FALSE)</f>
        <v>30847.457627118634</v>
      </c>
      <c r="K45" s="447"/>
      <c r="L45" s="430" t="s">
        <v>876</v>
      </c>
      <c r="N45" s="540" t="s">
        <v>539</v>
      </c>
      <c r="O45" s="381">
        <f>(J62/S45)/T45</f>
        <v>4.2640160791589361</v>
      </c>
      <c r="P45" s="57" t="s">
        <v>26</v>
      </c>
      <c r="Q45" s="188"/>
      <c r="S45" s="541">
        <v>0.55000000000000004</v>
      </c>
      <c r="T45" s="530">
        <v>18000</v>
      </c>
    </row>
    <row r="46" spans="1:20" ht="15" x14ac:dyDescent="0.25">
      <c r="A46" t="s">
        <v>859</v>
      </c>
      <c r="B46" t="s">
        <v>846</v>
      </c>
      <c r="C46" t="s">
        <v>821</v>
      </c>
      <c r="D46" s="322">
        <v>23520</v>
      </c>
      <c r="E46" s="324">
        <v>23.52</v>
      </c>
      <c r="H46" t="s">
        <v>104</v>
      </c>
      <c r="I46" s="446" t="s">
        <v>983</v>
      </c>
      <c r="J46" s="413">
        <f>VLOOKUP(H46,A:E,4,FALSE)</f>
        <v>21021.220159151191</v>
      </c>
      <c r="K46" s="447"/>
      <c r="L46" s="430" t="s">
        <v>872</v>
      </c>
      <c r="N46" s="540" t="s">
        <v>540</v>
      </c>
      <c r="O46" s="381">
        <f>(SUM(J53:J55)/S46)/T46</f>
        <v>68.429596419138733</v>
      </c>
      <c r="P46" s="57" t="s">
        <v>45</v>
      </c>
      <c r="Q46" s="188"/>
      <c r="S46" s="541">
        <v>0.99</v>
      </c>
      <c r="T46" s="530">
        <v>1000</v>
      </c>
    </row>
    <row r="47" spans="1:20" ht="15" x14ac:dyDescent="0.25">
      <c r="A47" t="s">
        <v>860</v>
      </c>
      <c r="B47" t="s">
        <v>847</v>
      </c>
      <c r="C47" t="s">
        <v>220</v>
      </c>
      <c r="D47" s="322">
        <v>41516.666666666672</v>
      </c>
      <c r="E47" s="324">
        <v>41.516666666666673</v>
      </c>
      <c r="H47" t="s">
        <v>76</v>
      </c>
      <c r="I47" s="446" t="s">
        <v>936</v>
      </c>
      <c r="J47" s="413">
        <f>VLOOKUP(H47,A:E,4,FALSE)</f>
        <v>24596.774193548386</v>
      </c>
      <c r="K47" s="447"/>
      <c r="L47" s="430" t="s">
        <v>874</v>
      </c>
      <c r="N47" s="540" t="s">
        <v>225</v>
      </c>
      <c r="O47" s="381">
        <f>(J59/S47)/T47</f>
        <v>9.4877856579984243</v>
      </c>
      <c r="P47" s="57" t="s">
        <v>26</v>
      </c>
      <c r="Q47" s="188"/>
      <c r="S47" s="541">
        <v>0.47</v>
      </c>
      <c r="T47" s="530">
        <v>10000</v>
      </c>
    </row>
    <row r="48" spans="1:20" ht="15" x14ac:dyDescent="0.25">
      <c r="A48" t="s">
        <v>123</v>
      </c>
      <c r="B48" t="s">
        <v>123</v>
      </c>
      <c r="C48" t="s">
        <v>220</v>
      </c>
      <c r="D48" s="322">
        <v>17803.610169491527</v>
      </c>
      <c r="E48" s="324">
        <v>17.803610169491527</v>
      </c>
      <c r="H48" t="s">
        <v>77</v>
      </c>
      <c r="I48" s="446" t="s">
        <v>956</v>
      </c>
      <c r="J48" s="413">
        <f>VLOOKUP(H48,A:E,4,FALSE)</f>
        <v>25014.619883040934</v>
      </c>
      <c r="K48" s="447"/>
      <c r="L48" s="430" t="s">
        <v>874</v>
      </c>
      <c r="N48" s="540" t="s">
        <v>478</v>
      </c>
      <c r="O48" s="381">
        <f>(J65/S48)/T48</f>
        <v>26.969072164948454</v>
      </c>
      <c r="P48" s="57" t="s">
        <v>45</v>
      </c>
      <c r="Q48" s="188"/>
      <c r="S48" s="541">
        <v>0.97</v>
      </c>
      <c r="T48" s="530">
        <v>1000</v>
      </c>
    </row>
    <row r="49" spans="1:12" ht="15" x14ac:dyDescent="0.25">
      <c r="A49" t="s">
        <v>125</v>
      </c>
      <c r="B49" t="s">
        <v>125</v>
      </c>
      <c r="C49" t="s">
        <v>220</v>
      </c>
      <c r="D49" s="322">
        <v>48160.254237288136</v>
      </c>
      <c r="E49" s="324">
        <v>48.160254237288136</v>
      </c>
      <c r="H49" t="s">
        <v>78</v>
      </c>
      <c r="I49" s="446" t="s">
        <v>974</v>
      </c>
      <c r="J49" s="413">
        <f>VLOOKUP(H49,A:E,4,FALSE)</f>
        <v>12235.294117647059</v>
      </c>
      <c r="K49" s="447"/>
      <c r="L49" s="430" t="s">
        <v>873</v>
      </c>
    </row>
    <row r="50" spans="1:12" ht="15" x14ac:dyDescent="0.25">
      <c r="A50" t="s">
        <v>127</v>
      </c>
      <c r="B50" t="s">
        <v>127</v>
      </c>
      <c r="C50" t="s">
        <v>226</v>
      </c>
      <c r="D50" s="322">
        <v>30310.34482758621</v>
      </c>
      <c r="E50" s="324">
        <v>30.31034482758621</v>
      </c>
      <c r="H50" t="s">
        <v>81</v>
      </c>
      <c r="I50" s="446" t="s">
        <v>975</v>
      </c>
      <c r="J50" s="413">
        <f>VLOOKUP(H50,A:E,4,FALSE)</f>
        <v>16031.694915254238</v>
      </c>
      <c r="K50" s="447"/>
      <c r="L50" s="430" t="s">
        <v>873</v>
      </c>
    </row>
    <row r="51" spans="1:12" x14ac:dyDescent="0.2">
      <c r="A51" t="s">
        <v>788</v>
      </c>
      <c r="B51" t="s">
        <v>788</v>
      </c>
      <c r="C51" t="s">
        <v>225</v>
      </c>
      <c r="D51" s="322">
        <v>57629.629629629628</v>
      </c>
      <c r="E51" s="324">
        <v>57.629629629629626</v>
      </c>
    </row>
    <row r="52" spans="1:12" ht="15" x14ac:dyDescent="0.25">
      <c r="A52" t="s">
        <v>130</v>
      </c>
      <c r="B52" t="s">
        <v>130</v>
      </c>
      <c r="C52" t="s">
        <v>226</v>
      </c>
      <c r="D52" s="322">
        <v>17175.066312997351</v>
      </c>
      <c r="E52" s="324">
        <v>17.175066312997352</v>
      </c>
      <c r="I52" s="1766" t="s">
        <v>540</v>
      </c>
      <c r="J52" s="1768"/>
      <c r="K52" s="411" t="s">
        <v>739</v>
      </c>
      <c r="L52" s="411" t="s">
        <v>871</v>
      </c>
    </row>
    <row r="53" spans="1:12" ht="15" x14ac:dyDescent="0.25">
      <c r="A53" t="s">
        <v>132</v>
      </c>
      <c r="B53" t="s">
        <v>132</v>
      </c>
      <c r="C53" t="s">
        <v>220</v>
      </c>
      <c r="D53" s="322">
        <v>21590.612777053451</v>
      </c>
      <c r="E53" s="324">
        <v>21.590612777053451</v>
      </c>
      <c r="H53" t="s">
        <v>67</v>
      </c>
      <c r="I53" s="768" t="s">
        <v>976</v>
      </c>
      <c r="J53" s="769">
        <f>VLOOKUP(H53,A:E,4,FALSE)</f>
        <v>38474.801061007951</v>
      </c>
      <c r="K53" s="447"/>
      <c r="L53" s="447" t="s">
        <v>891</v>
      </c>
    </row>
    <row r="54" spans="1:12" ht="15" x14ac:dyDescent="0.25">
      <c r="A54" t="s">
        <v>134</v>
      </c>
      <c r="B54" t="s">
        <v>134</v>
      </c>
      <c r="C54" t="s">
        <v>226</v>
      </c>
      <c r="D54" s="322">
        <v>10201.145454545454</v>
      </c>
      <c r="E54" s="324">
        <v>10.201145454545454</v>
      </c>
      <c r="H54" t="s">
        <v>73</v>
      </c>
      <c r="I54" s="768" t="s">
        <v>977</v>
      </c>
      <c r="J54" s="769">
        <f>VLOOKUP(H54,A:E,4,FALSE)</f>
        <v>20167.46909090909</v>
      </c>
      <c r="K54" s="447"/>
      <c r="L54" s="447" t="s">
        <v>892</v>
      </c>
    </row>
    <row r="55" spans="1:12" ht="15" x14ac:dyDescent="0.25">
      <c r="A55" t="s">
        <v>140</v>
      </c>
      <c r="B55" t="s">
        <v>445</v>
      </c>
      <c r="C55" t="s">
        <v>226</v>
      </c>
      <c r="D55" s="322">
        <v>55091.200000000004</v>
      </c>
      <c r="E55" s="324">
        <v>55.091200000000008</v>
      </c>
      <c r="H55" t="s">
        <v>675</v>
      </c>
      <c r="I55" s="768" t="s">
        <v>1010</v>
      </c>
      <c r="J55" s="769">
        <f>VLOOKUP(H55,A:E,4,FALSE)</f>
        <v>9103.0303030303021</v>
      </c>
      <c r="K55" s="447"/>
      <c r="L55" s="447" t="s">
        <v>892</v>
      </c>
    </row>
    <row r="56" spans="1:12" ht="15" x14ac:dyDescent="0.25">
      <c r="A56" t="s">
        <v>820</v>
      </c>
      <c r="B56" t="s">
        <v>819</v>
      </c>
      <c r="C56" t="s">
        <v>821</v>
      </c>
      <c r="D56" s="322">
        <v>17880</v>
      </c>
      <c r="E56" s="324">
        <v>17.88</v>
      </c>
      <c r="I56" s="768" t="s">
        <v>978</v>
      </c>
      <c r="J56" s="798">
        <f>All_Ingredients!AR50*100</f>
        <v>7600</v>
      </c>
      <c r="K56" s="447"/>
      <c r="L56" s="447" t="s">
        <v>892</v>
      </c>
    </row>
    <row r="57" spans="1:12" ht="15" x14ac:dyDescent="0.25">
      <c r="A57" t="s">
        <v>814</v>
      </c>
      <c r="B57" t="s">
        <v>812</v>
      </c>
      <c r="C57" t="s">
        <v>220</v>
      </c>
      <c r="D57" s="322">
        <v>21118.644067796613</v>
      </c>
      <c r="E57" s="324">
        <v>21.118644067796613</v>
      </c>
      <c r="I57" s="447"/>
      <c r="J57" s="447"/>
      <c r="K57" s="447"/>
      <c r="L57" s="447"/>
    </row>
    <row r="58" spans="1:12" ht="15" x14ac:dyDescent="0.25">
      <c r="A58" t="s">
        <v>143</v>
      </c>
      <c r="B58" t="s">
        <v>916</v>
      </c>
      <c r="C58" t="s">
        <v>223</v>
      </c>
      <c r="D58" s="322">
        <v>26171.875</v>
      </c>
      <c r="E58" s="324">
        <v>26.171875</v>
      </c>
      <c r="I58" s="1766" t="s">
        <v>225</v>
      </c>
      <c r="J58" s="1768"/>
      <c r="K58" s="411" t="s">
        <v>739</v>
      </c>
      <c r="L58" s="411" t="s">
        <v>871</v>
      </c>
    </row>
    <row r="59" spans="1:12" ht="15" x14ac:dyDescent="0.25">
      <c r="A59" t="s">
        <v>145</v>
      </c>
      <c r="B59" t="s">
        <v>145</v>
      </c>
      <c r="C59" t="s">
        <v>226</v>
      </c>
      <c r="D59" s="322">
        <v>9340.6593406593402</v>
      </c>
      <c r="E59" s="324">
        <v>9.3406593406593394</v>
      </c>
      <c r="H59" t="s">
        <v>794</v>
      </c>
      <c r="I59" s="446" t="s">
        <v>979</v>
      </c>
      <c r="J59" s="413">
        <f>VLOOKUP(H59,A:E,4,FALSE)</f>
        <v>44592.592592592591</v>
      </c>
      <c r="K59" s="447"/>
      <c r="L59" s="430" t="s">
        <v>875</v>
      </c>
    </row>
    <row r="60" spans="1:12" ht="15" x14ac:dyDescent="0.25">
      <c r="A60" t="s">
        <v>148</v>
      </c>
      <c r="B60" t="s">
        <v>148</v>
      </c>
      <c r="C60" t="s">
        <v>220</v>
      </c>
      <c r="D60" s="322">
        <v>29856.584093872229</v>
      </c>
      <c r="E60" s="324">
        <v>29.856584093872229</v>
      </c>
      <c r="I60" s="447"/>
      <c r="J60" s="447"/>
      <c r="K60" s="447"/>
      <c r="L60" s="447"/>
    </row>
    <row r="61" spans="1:12" ht="15" x14ac:dyDescent="0.25">
      <c r="A61" t="s">
        <v>150</v>
      </c>
      <c r="B61" t="s">
        <v>150</v>
      </c>
      <c r="C61" t="s">
        <v>220</v>
      </c>
      <c r="D61" s="322">
        <v>55397.653194263352</v>
      </c>
      <c r="E61" s="324">
        <v>55.397653194263349</v>
      </c>
      <c r="I61" s="1766" t="s">
        <v>539</v>
      </c>
      <c r="J61" s="1768"/>
      <c r="K61" s="411" t="s">
        <v>739</v>
      </c>
      <c r="L61" s="411" t="s">
        <v>871</v>
      </c>
    </row>
    <row r="62" spans="1:12" ht="15" x14ac:dyDescent="0.25">
      <c r="A62" t="s">
        <v>151</v>
      </c>
      <c r="B62" t="s">
        <v>151</v>
      </c>
      <c r="C62" t="s">
        <v>226</v>
      </c>
      <c r="D62" s="322">
        <v>28355.437665782487</v>
      </c>
      <c r="E62" s="324">
        <v>28.355437665782485</v>
      </c>
      <c r="H62" t="s">
        <v>74</v>
      </c>
      <c r="I62" s="446" t="s">
        <v>981</v>
      </c>
      <c r="J62" s="413">
        <f>VLOOKUP(H62,A:E,4,FALSE)</f>
        <v>42213.759183673472</v>
      </c>
      <c r="K62" s="447"/>
      <c r="L62" s="430" t="s">
        <v>873</v>
      </c>
    </row>
    <row r="63" spans="1:12" ht="15" x14ac:dyDescent="0.25">
      <c r="A63" t="s">
        <v>155</v>
      </c>
      <c r="B63" t="s">
        <v>155</v>
      </c>
      <c r="C63" t="s">
        <v>220</v>
      </c>
      <c r="D63" s="322">
        <v>19700.130378096477</v>
      </c>
      <c r="E63" s="324">
        <v>19.700130378096478</v>
      </c>
      <c r="I63" s="470"/>
      <c r="J63" s="471"/>
      <c r="K63" s="424"/>
      <c r="L63" s="424"/>
    </row>
    <row r="64" spans="1:12" ht="15" x14ac:dyDescent="0.25">
      <c r="A64" t="s">
        <v>158</v>
      </c>
      <c r="B64" t="s">
        <v>158</v>
      </c>
      <c r="C64" t="s">
        <v>225</v>
      </c>
      <c r="D64" s="322">
        <v>65592.592592592584</v>
      </c>
      <c r="E64" s="324">
        <v>65.592592592592581</v>
      </c>
      <c r="I64" s="1764" t="s">
        <v>478</v>
      </c>
      <c r="J64" s="1761"/>
      <c r="K64" s="411" t="s">
        <v>739</v>
      </c>
      <c r="L64" s="411" t="s">
        <v>871</v>
      </c>
    </row>
    <row r="65" spans="1:20" ht="15" x14ac:dyDescent="0.25">
      <c r="A65" t="s">
        <v>162</v>
      </c>
      <c r="B65" t="s">
        <v>162</v>
      </c>
      <c r="C65" t="s">
        <v>220</v>
      </c>
      <c r="D65" s="322">
        <v>41980</v>
      </c>
      <c r="E65" s="324">
        <v>41.98</v>
      </c>
      <c r="H65" t="s">
        <v>843</v>
      </c>
      <c r="I65" s="412" t="s">
        <v>980</v>
      </c>
      <c r="J65" s="413">
        <f>VLOOKUP(H65,A:E,4,FALSE)</f>
        <v>26160</v>
      </c>
      <c r="K65" s="430"/>
      <c r="L65" s="447" t="s">
        <v>892</v>
      </c>
    </row>
    <row r="66" spans="1:20" x14ac:dyDescent="0.2">
      <c r="A66" t="s">
        <v>165</v>
      </c>
      <c r="B66" t="s">
        <v>804</v>
      </c>
      <c r="C66" t="s">
        <v>226</v>
      </c>
      <c r="D66" s="322">
        <v>10400</v>
      </c>
      <c r="E66" s="324">
        <v>10.4</v>
      </c>
      <c r="I66" s="429"/>
      <c r="J66" s="429"/>
      <c r="K66" s="429"/>
      <c r="L66" s="429"/>
    </row>
    <row r="67" spans="1:20" x14ac:dyDescent="0.2">
      <c r="A67" t="s">
        <v>808</v>
      </c>
      <c r="B67" t="s">
        <v>806</v>
      </c>
      <c r="C67" t="s">
        <v>478</v>
      </c>
      <c r="D67" s="322">
        <v>21960</v>
      </c>
      <c r="E67" s="324">
        <v>21.96</v>
      </c>
    </row>
    <row r="68" spans="1:20" ht="15" x14ac:dyDescent="0.25">
      <c r="A68" t="s">
        <v>170</v>
      </c>
      <c r="B68" t="s">
        <v>918</v>
      </c>
      <c r="C68" t="s">
        <v>220</v>
      </c>
      <c r="D68" s="322">
        <v>21306.451612903227</v>
      </c>
      <c r="E68" s="324">
        <v>21.306451612903228</v>
      </c>
      <c r="I68" s="483" t="s">
        <v>700</v>
      </c>
      <c r="N68" s="483" t="s">
        <v>700</v>
      </c>
    </row>
    <row r="69" spans="1:20" ht="15" x14ac:dyDescent="0.25">
      <c r="A69" t="s">
        <v>167</v>
      </c>
      <c r="B69" t="s">
        <v>465</v>
      </c>
      <c r="C69" t="s">
        <v>223</v>
      </c>
      <c r="D69" s="322">
        <v>39205.220475559152</v>
      </c>
      <c r="E69" s="324">
        <v>39.205220475559152</v>
      </c>
      <c r="I69" s="1766" t="s">
        <v>220</v>
      </c>
      <c r="J69" s="1768"/>
      <c r="K69" s="411" t="s">
        <v>739</v>
      </c>
      <c r="L69" s="411" t="s">
        <v>871</v>
      </c>
      <c r="N69" s="445" t="s">
        <v>738</v>
      </c>
      <c r="O69" s="445" t="s">
        <v>741</v>
      </c>
      <c r="P69" s="445" t="s">
        <v>740</v>
      </c>
      <c r="Q69" s="445" t="s">
        <v>739</v>
      </c>
    </row>
    <row r="70" spans="1:20" ht="15" x14ac:dyDescent="0.25">
      <c r="H70" t="s">
        <v>91</v>
      </c>
      <c r="I70" s="446" t="s">
        <v>1009</v>
      </c>
      <c r="J70" s="413">
        <f t="shared" ref="J70:J78" si="2">VLOOKUP(H70,A:E,4,FALSE)</f>
        <v>43126.264406779665</v>
      </c>
      <c r="K70" s="447"/>
      <c r="L70" s="430" t="s">
        <v>893</v>
      </c>
      <c r="N70" s="540" t="s">
        <v>220</v>
      </c>
      <c r="O70" s="381">
        <f>(SUM(J70:J78)/S70)/T70</f>
        <v>29.400169267151476</v>
      </c>
      <c r="P70" s="57" t="s">
        <v>26</v>
      </c>
      <c r="Q70" s="188"/>
      <c r="S70" s="541">
        <v>0.86</v>
      </c>
      <c r="T70" s="530">
        <v>10000</v>
      </c>
    </row>
    <row r="71" spans="1:20" ht="15" x14ac:dyDescent="0.25">
      <c r="A71" s="325" t="s">
        <v>488</v>
      </c>
      <c r="B71" s="325" t="s">
        <v>489</v>
      </c>
      <c r="H71" t="s">
        <v>96</v>
      </c>
      <c r="I71" s="446" t="s">
        <v>982</v>
      </c>
      <c r="J71" s="413">
        <f t="shared" si="2"/>
        <v>24070.588235294119</v>
      </c>
      <c r="K71" s="447"/>
      <c r="L71" s="430" t="s">
        <v>874</v>
      </c>
      <c r="N71" s="540" t="s">
        <v>539</v>
      </c>
      <c r="O71" s="381">
        <f>(SUM(J84:J86)/S71)/T71</f>
        <v>7.7882901412313137</v>
      </c>
      <c r="P71" s="57" t="s">
        <v>26</v>
      </c>
      <c r="Q71" s="188"/>
      <c r="S71" s="541">
        <v>0.55000000000000004</v>
      </c>
      <c r="T71" s="530">
        <v>18000</v>
      </c>
    </row>
    <row r="72" spans="1:20" ht="15" x14ac:dyDescent="0.25">
      <c r="A72" t="s">
        <v>220</v>
      </c>
      <c r="B72" s="324">
        <v>939.83765530156563</v>
      </c>
      <c r="H72" t="s">
        <v>65</v>
      </c>
      <c r="I72" s="446" t="s">
        <v>973</v>
      </c>
      <c r="J72" s="413">
        <f>VLOOKUP(H72,A:E,4,FALSE)</f>
        <v>14837.027379400259</v>
      </c>
      <c r="K72" s="447"/>
      <c r="L72" s="430" t="s">
        <v>872</v>
      </c>
      <c r="N72" s="540" t="s">
        <v>225</v>
      </c>
      <c r="O72" s="381">
        <f>(J81/S72)/T72</f>
        <v>12.072498029944841</v>
      </c>
      <c r="P72" s="57" t="s">
        <v>26</v>
      </c>
      <c r="Q72" s="188"/>
      <c r="S72" s="541">
        <v>0.47</v>
      </c>
      <c r="T72" s="530">
        <v>10000</v>
      </c>
    </row>
    <row r="73" spans="1:20" ht="15" x14ac:dyDescent="0.25">
      <c r="A73" t="s">
        <v>223</v>
      </c>
      <c r="B73" s="324">
        <v>373.33669203627335</v>
      </c>
      <c r="H73" t="s">
        <v>466</v>
      </c>
      <c r="I73" s="446" t="s">
        <v>984</v>
      </c>
      <c r="J73" s="413">
        <f t="shared" si="2"/>
        <v>39931.034482758623</v>
      </c>
      <c r="K73" s="447"/>
      <c r="L73" s="430" t="s">
        <v>872</v>
      </c>
    </row>
    <row r="74" spans="1:20" ht="15" x14ac:dyDescent="0.25">
      <c r="A74" t="s">
        <v>225</v>
      </c>
      <c r="B74" s="324">
        <v>322.01851851851848</v>
      </c>
      <c r="H74" t="s">
        <v>112</v>
      </c>
      <c r="I74" s="446" t="s">
        <v>985</v>
      </c>
      <c r="J74" s="413">
        <f t="shared" si="2"/>
        <v>30809.523809523809</v>
      </c>
      <c r="K74" s="447"/>
      <c r="L74" s="430" t="s">
        <v>874</v>
      </c>
    </row>
    <row r="75" spans="1:20" ht="15" x14ac:dyDescent="0.25">
      <c r="A75" t="s">
        <v>821</v>
      </c>
      <c r="B75" s="324">
        <v>77.52</v>
      </c>
      <c r="H75" t="s">
        <v>117</v>
      </c>
      <c r="I75" s="446" t="s">
        <v>986</v>
      </c>
      <c r="J75" s="413">
        <f t="shared" si="2"/>
        <v>25293.350717079527</v>
      </c>
      <c r="K75" s="447"/>
      <c r="L75" s="430" t="s">
        <v>873</v>
      </c>
    </row>
    <row r="76" spans="1:20" ht="15" x14ac:dyDescent="0.25">
      <c r="A76" t="s">
        <v>478</v>
      </c>
      <c r="B76" s="324">
        <v>69.47999999999999</v>
      </c>
      <c r="H76" s="468"/>
      <c r="I76" s="446" t="s">
        <v>937</v>
      </c>
      <c r="J76" s="413">
        <f>All_Ingredients!AV2*107</f>
        <v>9737</v>
      </c>
      <c r="K76" s="447"/>
      <c r="L76" s="430" t="s">
        <v>874</v>
      </c>
    </row>
    <row r="77" spans="1:20" ht="15" x14ac:dyDescent="0.25">
      <c r="A77" t="s">
        <v>226</v>
      </c>
      <c r="B77" s="324">
        <v>228.61915405651817</v>
      </c>
      <c r="H77" t="s">
        <v>859</v>
      </c>
      <c r="I77" s="446" t="s">
        <v>987</v>
      </c>
      <c r="J77" s="413">
        <f t="shared" si="2"/>
        <v>23520</v>
      </c>
      <c r="K77" s="447"/>
      <c r="L77" s="430" t="s">
        <v>873</v>
      </c>
    </row>
    <row r="78" spans="1:20" ht="15" x14ac:dyDescent="0.25">
      <c r="H78" t="s">
        <v>860</v>
      </c>
      <c r="I78" s="446" t="s">
        <v>988</v>
      </c>
      <c r="J78" s="413">
        <f t="shared" si="2"/>
        <v>41516.666666666672</v>
      </c>
      <c r="K78" s="447"/>
      <c r="L78" s="430" t="s">
        <v>901</v>
      </c>
    </row>
    <row r="79" spans="1:20" ht="15" customHeight="1" x14ac:dyDescent="0.2"/>
    <row r="80" spans="1:20" ht="15" x14ac:dyDescent="0.25">
      <c r="I80" s="1766" t="s">
        <v>225</v>
      </c>
      <c r="J80" s="1768"/>
      <c r="K80" s="411" t="s">
        <v>739</v>
      </c>
      <c r="L80" s="411" t="s">
        <v>871</v>
      </c>
    </row>
    <row r="81" spans="8:20" ht="15" x14ac:dyDescent="0.25">
      <c r="H81" t="s">
        <v>787</v>
      </c>
      <c r="I81" s="446" t="s">
        <v>989</v>
      </c>
      <c r="J81" s="413">
        <f>VLOOKUP(H81,A:E,4,FALSE)</f>
        <v>56740.740740740745</v>
      </c>
      <c r="K81" s="447"/>
      <c r="L81" s="430" t="s">
        <v>873</v>
      </c>
    </row>
    <row r="82" spans="8:20" ht="15" x14ac:dyDescent="0.25">
      <c r="I82" s="447"/>
      <c r="J82" s="447"/>
      <c r="K82" s="447"/>
      <c r="L82" s="447"/>
    </row>
    <row r="83" spans="8:20" x14ac:dyDescent="0.2">
      <c r="I83" s="1769" t="s">
        <v>539</v>
      </c>
      <c r="J83" s="1770"/>
      <c r="K83" s="411" t="s">
        <v>739</v>
      </c>
      <c r="L83" s="411" t="s">
        <v>871</v>
      </c>
    </row>
    <row r="84" spans="8:20" ht="15" x14ac:dyDescent="0.25">
      <c r="H84" t="s">
        <v>98</v>
      </c>
      <c r="I84" s="446" t="s">
        <v>990</v>
      </c>
      <c r="J84" s="413">
        <f>VLOOKUP(H84,A:E,4,FALSE)</f>
        <v>30769.230769230759</v>
      </c>
      <c r="K84" s="447"/>
      <c r="L84" s="430" t="s">
        <v>872</v>
      </c>
    </row>
    <row r="85" spans="8:20" ht="15" x14ac:dyDescent="0.25">
      <c r="H85" t="s">
        <v>102</v>
      </c>
      <c r="I85" s="446" t="s">
        <v>991</v>
      </c>
      <c r="J85" s="413">
        <f>VLOOKUP(H85,A:E,4,FALSE)</f>
        <v>23770.739064856705</v>
      </c>
      <c r="K85" s="447"/>
      <c r="L85" s="430" t="s">
        <v>873</v>
      </c>
    </row>
    <row r="86" spans="8:20" ht="15" x14ac:dyDescent="0.25">
      <c r="H86" t="s">
        <v>106</v>
      </c>
      <c r="I86" s="446" t="s">
        <v>992</v>
      </c>
      <c r="J86" s="413">
        <f>VLOOKUP(H86,A:E,4,FALSE)</f>
        <v>22564.102564102559</v>
      </c>
      <c r="K86" s="447"/>
      <c r="L86" s="430" t="s">
        <v>872</v>
      </c>
    </row>
    <row r="87" spans="8:20" x14ac:dyDescent="0.2">
      <c r="I87" s="429"/>
      <c r="J87" s="429"/>
      <c r="K87" s="429"/>
      <c r="L87" s="429"/>
    </row>
    <row r="90" spans="8:20" ht="15" x14ac:dyDescent="0.25">
      <c r="I90" s="483" t="s">
        <v>701</v>
      </c>
      <c r="N90" s="483" t="s">
        <v>701</v>
      </c>
    </row>
    <row r="91" spans="8:20" ht="15" x14ac:dyDescent="0.25">
      <c r="I91" s="1765" t="s">
        <v>220</v>
      </c>
      <c r="J91" s="1765"/>
      <c r="K91" s="411" t="s">
        <v>739</v>
      </c>
      <c r="L91" s="411" t="s">
        <v>871</v>
      </c>
      <c r="N91" s="445" t="s">
        <v>738</v>
      </c>
      <c r="O91" s="445" t="s">
        <v>741</v>
      </c>
      <c r="P91" s="445" t="s">
        <v>740</v>
      </c>
      <c r="Q91" s="445" t="s">
        <v>739</v>
      </c>
    </row>
    <row r="92" spans="8:20" ht="15" x14ac:dyDescent="0.25">
      <c r="H92" t="s">
        <v>123</v>
      </c>
      <c r="I92" s="179" t="s">
        <v>993</v>
      </c>
      <c r="J92" s="413">
        <f t="shared" ref="J92:J100" si="3">VLOOKUP(H92,A:E,4,FALSE)</f>
        <v>17803.610169491527</v>
      </c>
      <c r="K92" s="179"/>
      <c r="L92" s="430" t="s">
        <v>873</v>
      </c>
      <c r="N92" s="540" t="s">
        <v>220</v>
      </c>
      <c r="O92" s="381">
        <f>(SUM(J92:J97)/S92)/T92</f>
        <v>16.320479215305781</v>
      </c>
      <c r="P92" s="57" t="s">
        <v>26</v>
      </c>
      <c r="Q92" s="188"/>
      <c r="S92" s="541">
        <v>0.86</v>
      </c>
      <c r="T92" s="530">
        <v>10000</v>
      </c>
    </row>
    <row r="93" spans="8:20" ht="15" x14ac:dyDescent="0.25">
      <c r="H93" t="s">
        <v>125</v>
      </c>
      <c r="I93" s="179" t="s">
        <v>994</v>
      </c>
      <c r="J93" s="413">
        <f t="shared" si="3"/>
        <v>48160.254237288136</v>
      </c>
      <c r="K93" s="179"/>
      <c r="L93" s="430" t="s">
        <v>872</v>
      </c>
      <c r="N93" s="540" t="s">
        <v>539</v>
      </c>
      <c r="O93" s="381">
        <f>(J108/S93)/T93</f>
        <v>2.6436237373737375</v>
      </c>
      <c r="P93" s="57" t="s">
        <v>26</v>
      </c>
      <c r="Q93" s="188"/>
      <c r="S93" s="541">
        <v>0.55000000000000004</v>
      </c>
      <c r="T93" s="530">
        <v>18000</v>
      </c>
    </row>
    <row r="94" spans="8:20" ht="15" x14ac:dyDescent="0.25">
      <c r="H94" t="s">
        <v>132</v>
      </c>
      <c r="I94" s="179" t="s">
        <v>995</v>
      </c>
      <c r="J94" s="413">
        <f t="shared" si="3"/>
        <v>21590.612777053451</v>
      </c>
      <c r="K94" s="179"/>
      <c r="L94" s="430" t="s">
        <v>893</v>
      </c>
      <c r="N94" s="540" t="s">
        <v>540</v>
      </c>
      <c r="O94" s="381">
        <f>(SUM(J102:J106)/S94)/T94</f>
        <v>123.35193528867511</v>
      </c>
      <c r="P94" s="57" t="s">
        <v>45</v>
      </c>
      <c r="Q94" s="188"/>
      <c r="S94" s="541">
        <v>0.99</v>
      </c>
      <c r="T94" s="530">
        <v>1000</v>
      </c>
    </row>
    <row r="95" spans="8:20" ht="15" x14ac:dyDescent="0.25">
      <c r="I95" s="179" t="s">
        <v>937</v>
      </c>
      <c r="J95" s="381">
        <f>All_Ingredients!AV30*107</f>
        <v>13803</v>
      </c>
      <c r="K95" s="179"/>
      <c r="L95" s="430" t="s">
        <v>874</v>
      </c>
      <c r="N95" s="540" t="s">
        <v>225</v>
      </c>
      <c r="O95" s="381">
        <f>(J100/S95)/T95</f>
        <v>12.261623325453114</v>
      </c>
      <c r="P95" s="57" t="s">
        <v>26</v>
      </c>
      <c r="Q95" s="188"/>
      <c r="S95" s="541">
        <v>0.47</v>
      </c>
      <c r="T95" s="530">
        <v>10000</v>
      </c>
    </row>
    <row r="96" spans="8:20" ht="15" x14ac:dyDescent="0.25">
      <c r="H96" s="14" t="s">
        <v>820</v>
      </c>
      <c r="I96" s="179" t="s">
        <v>996</v>
      </c>
      <c r="J96" s="413">
        <f>VLOOKUP(H96,A:E,4,FALSE)</f>
        <v>17880</v>
      </c>
      <c r="K96" s="179"/>
      <c r="L96" s="430" t="s">
        <v>897</v>
      </c>
      <c r="S96" s="541"/>
      <c r="T96" s="530"/>
    </row>
    <row r="97" spans="8:19" ht="15" x14ac:dyDescent="0.25">
      <c r="H97" s="14" t="s">
        <v>814</v>
      </c>
      <c r="I97" s="179" t="s">
        <v>1011</v>
      </c>
      <c r="J97" s="413">
        <f>VLOOKUP(H97,A:E,4,FALSE)</f>
        <v>21118.644067796613</v>
      </c>
      <c r="K97" s="179"/>
      <c r="L97" s="430" t="s">
        <v>874</v>
      </c>
      <c r="S97" s="541"/>
    </row>
    <row r="98" spans="8:19" ht="15" x14ac:dyDescent="0.25">
      <c r="I98" s="179"/>
      <c r="J98" s="381"/>
      <c r="K98" s="179"/>
      <c r="L98" s="179"/>
      <c r="S98" s="541"/>
    </row>
    <row r="99" spans="8:19" ht="15" x14ac:dyDescent="0.25">
      <c r="I99" s="465" t="s">
        <v>225</v>
      </c>
      <c r="J99" s="465"/>
      <c r="K99" s="466"/>
      <c r="L99" s="411" t="s">
        <v>871</v>
      </c>
    </row>
    <row r="100" spans="8:19" ht="15" x14ac:dyDescent="0.25">
      <c r="H100" t="s">
        <v>788</v>
      </c>
      <c r="I100" s="179" t="s">
        <v>997</v>
      </c>
      <c r="J100" s="413">
        <f t="shared" si="3"/>
        <v>57629.629629629628</v>
      </c>
      <c r="K100" s="179"/>
      <c r="L100" s="430" t="s">
        <v>872</v>
      </c>
    </row>
    <row r="101" spans="8:19" ht="15" x14ac:dyDescent="0.25">
      <c r="I101" s="467" t="s">
        <v>226</v>
      </c>
      <c r="J101" s="465"/>
      <c r="K101" s="466"/>
      <c r="L101" s="411" t="s">
        <v>871</v>
      </c>
    </row>
    <row r="102" spans="8:19" ht="15" x14ac:dyDescent="0.25">
      <c r="H102" t="s">
        <v>127</v>
      </c>
      <c r="I102" s="795" t="s">
        <v>998</v>
      </c>
      <c r="J102" s="769">
        <f t="shared" ref="J102:J108" si="4">VLOOKUP(H102,A:E,4,FALSE)</f>
        <v>30310.34482758621</v>
      </c>
      <c r="K102" s="179"/>
      <c r="L102" s="447" t="s">
        <v>891</v>
      </c>
    </row>
    <row r="103" spans="8:19" ht="15" x14ac:dyDescent="0.25">
      <c r="H103" t="s">
        <v>134</v>
      </c>
      <c r="I103" s="795" t="s">
        <v>999</v>
      </c>
      <c r="J103" s="769">
        <f t="shared" si="4"/>
        <v>10201.145454545454</v>
      </c>
      <c r="K103" s="179"/>
      <c r="L103" s="447" t="s">
        <v>892</v>
      </c>
    </row>
    <row r="104" spans="8:19" ht="15" x14ac:dyDescent="0.25">
      <c r="H104" t="s">
        <v>140</v>
      </c>
      <c r="I104" s="795" t="s">
        <v>1000</v>
      </c>
      <c r="J104" s="769">
        <f t="shared" si="4"/>
        <v>55091.200000000004</v>
      </c>
      <c r="K104" s="179"/>
      <c r="L104" s="447" t="s">
        <v>892</v>
      </c>
    </row>
    <row r="105" spans="8:19" ht="15" x14ac:dyDescent="0.25">
      <c r="H105" t="s">
        <v>145</v>
      </c>
      <c r="I105" s="795" t="s">
        <v>1001</v>
      </c>
      <c r="J105" s="769">
        <f t="shared" si="4"/>
        <v>9340.6593406593402</v>
      </c>
      <c r="K105" s="179"/>
      <c r="L105" s="447" t="s">
        <v>892</v>
      </c>
    </row>
    <row r="106" spans="8:19" ht="15" x14ac:dyDescent="0.25">
      <c r="H106" t="s">
        <v>130</v>
      </c>
      <c r="I106" s="795" t="s">
        <v>1002</v>
      </c>
      <c r="J106" s="769">
        <f t="shared" si="4"/>
        <v>17175.066312997351</v>
      </c>
      <c r="K106" s="179"/>
      <c r="L106" s="447" t="s">
        <v>891</v>
      </c>
    </row>
    <row r="107" spans="8:19" ht="15" x14ac:dyDescent="0.25">
      <c r="I107" s="1765" t="s">
        <v>223</v>
      </c>
      <c r="J107" s="1765"/>
      <c r="K107" s="466"/>
      <c r="L107" s="411" t="s">
        <v>871</v>
      </c>
    </row>
    <row r="108" spans="8:19" ht="15" x14ac:dyDescent="0.25">
      <c r="H108" t="s">
        <v>143</v>
      </c>
      <c r="I108" s="179" t="s">
        <v>1003</v>
      </c>
      <c r="J108" s="413">
        <f t="shared" si="4"/>
        <v>26171.875</v>
      </c>
      <c r="K108" s="179"/>
      <c r="L108" s="430" t="s">
        <v>873</v>
      </c>
    </row>
    <row r="109" spans="8:19" x14ac:dyDescent="0.2">
      <c r="I109" s="429"/>
      <c r="J109" s="429"/>
      <c r="K109" s="429"/>
      <c r="L109" s="429"/>
    </row>
    <row r="110" spans="8:19" ht="15" x14ac:dyDescent="0.25">
      <c r="I110" s="1"/>
      <c r="J110" s="471"/>
      <c r="K110" s="1"/>
      <c r="L110" s="1"/>
    </row>
    <row r="111" spans="8:19" ht="15" x14ac:dyDescent="0.25">
      <c r="I111" s="483" t="s">
        <v>702</v>
      </c>
      <c r="N111" s="483" t="s">
        <v>702</v>
      </c>
    </row>
    <row r="112" spans="8:19" ht="15" x14ac:dyDescent="0.25">
      <c r="I112" s="1766" t="s">
        <v>220</v>
      </c>
      <c r="J112" s="1767"/>
      <c r="K112" s="411" t="s">
        <v>739</v>
      </c>
      <c r="L112" s="411" t="s">
        <v>871</v>
      </c>
      <c r="N112" s="445" t="s">
        <v>738</v>
      </c>
      <c r="O112" s="445" t="s">
        <v>741</v>
      </c>
      <c r="P112" s="445" t="s">
        <v>740</v>
      </c>
      <c r="Q112" s="445" t="s">
        <v>739</v>
      </c>
    </row>
    <row r="113" spans="8:20" ht="15" x14ac:dyDescent="0.25">
      <c r="H113" t="s">
        <v>148</v>
      </c>
      <c r="I113" s="446" t="s">
        <v>943</v>
      </c>
      <c r="J113" s="413">
        <f>VLOOKUP(H113,A:E,4,FALSE)</f>
        <v>29856.584093872229</v>
      </c>
      <c r="K113" s="462"/>
      <c r="L113" s="430" t="s">
        <v>873</v>
      </c>
      <c r="N113" s="540" t="s">
        <v>220</v>
      </c>
      <c r="O113" s="381">
        <f>(SUM(J113:J118)/S113)/T113</f>
        <v>20.707537125480844</v>
      </c>
      <c r="P113" s="57" t="s">
        <v>26</v>
      </c>
      <c r="Q113" s="188"/>
      <c r="S113" s="541">
        <v>0.86</v>
      </c>
      <c r="T113" s="530">
        <v>10000</v>
      </c>
    </row>
    <row r="114" spans="8:20" ht="15" x14ac:dyDescent="0.25">
      <c r="H114" t="s">
        <v>150</v>
      </c>
      <c r="I114" s="446" t="s">
        <v>934</v>
      </c>
      <c r="J114" s="413">
        <f>VLOOKUP(H114,A:E,4,FALSE)</f>
        <v>55397.653194263352</v>
      </c>
      <c r="K114" s="462"/>
      <c r="L114" s="430" t="s">
        <v>873</v>
      </c>
      <c r="N114" s="540" t="s">
        <v>539</v>
      </c>
      <c r="O114" s="381">
        <f>(J125/S114)/T114</f>
        <v>3.9601232803595097</v>
      </c>
      <c r="P114" s="57" t="s">
        <v>26</v>
      </c>
      <c r="Q114" s="188"/>
      <c r="S114" s="541">
        <v>0.55000000000000004</v>
      </c>
      <c r="T114" s="530">
        <v>18000</v>
      </c>
    </row>
    <row r="115" spans="8:20" ht="15" x14ac:dyDescent="0.25">
      <c r="H115" t="s">
        <v>155</v>
      </c>
      <c r="I115" s="446" t="s">
        <v>935</v>
      </c>
      <c r="J115" s="413">
        <f>VLOOKUP(H115,A:E,4,FALSE)</f>
        <v>19700.130378096477</v>
      </c>
      <c r="K115" s="462"/>
      <c r="L115" s="430" t="s">
        <v>872</v>
      </c>
      <c r="N115" s="540" t="s">
        <v>540</v>
      </c>
      <c r="O115" s="381">
        <f>(SUM(J121:J122)/S115)/T115</f>
        <v>39.146906733113624</v>
      </c>
      <c r="P115" s="57" t="s">
        <v>45</v>
      </c>
      <c r="Q115" s="188"/>
      <c r="S115" s="541">
        <v>0.99</v>
      </c>
      <c r="T115" s="530">
        <v>1000</v>
      </c>
    </row>
    <row r="116" spans="8:20" ht="15" x14ac:dyDescent="0.25">
      <c r="H116" t="s">
        <v>162</v>
      </c>
      <c r="I116" s="446" t="s">
        <v>944</v>
      </c>
      <c r="J116" s="413">
        <f>VLOOKUP(H116,A:E,4,FALSE)</f>
        <v>41980</v>
      </c>
      <c r="K116" s="462"/>
      <c r="L116" s="430" t="s">
        <v>872</v>
      </c>
      <c r="N116" s="540" t="s">
        <v>225</v>
      </c>
      <c r="O116" s="381">
        <f>(J128/S116)/T116</f>
        <v>13.9558707643814</v>
      </c>
      <c r="P116" s="57" t="s">
        <v>26</v>
      </c>
      <c r="Q116" s="188"/>
      <c r="S116" s="541">
        <v>0.47</v>
      </c>
      <c r="T116" s="530">
        <v>10000</v>
      </c>
    </row>
    <row r="117" spans="8:20" ht="15" x14ac:dyDescent="0.25">
      <c r="H117" t="s">
        <v>170</v>
      </c>
      <c r="I117" s="446" t="s">
        <v>936</v>
      </c>
      <c r="J117" s="413">
        <f>VLOOKUP(H117,A:E,4,FALSE)</f>
        <v>21306.451612903227</v>
      </c>
      <c r="K117" s="462"/>
      <c r="L117" s="430" t="s">
        <v>874</v>
      </c>
      <c r="N117" s="540" t="s">
        <v>478</v>
      </c>
      <c r="O117" s="381">
        <f>(J131/S117)/T117</f>
        <v>22.63917525773196</v>
      </c>
      <c r="P117" s="57" t="s">
        <v>45</v>
      </c>
      <c r="Q117" s="188"/>
      <c r="S117" s="541">
        <v>0.97</v>
      </c>
      <c r="T117" s="530">
        <v>1000</v>
      </c>
    </row>
    <row r="118" spans="8:20" ht="15" x14ac:dyDescent="0.25">
      <c r="H118" s="468"/>
      <c r="I118" s="446" t="s">
        <v>937</v>
      </c>
      <c r="J118" s="448">
        <f>All_Ingredients!AV60*107</f>
        <v>9844</v>
      </c>
      <c r="K118" s="462"/>
      <c r="L118" s="430" t="s">
        <v>874</v>
      </c>
    </row>
    <row r="119" spans="8:20" ht="15" x14ac:dyDescent="0.25">
      <c r="I119" s="462"/>
      <c r="J119" s="462"/>
      <c r="K119" s="462"/>
      <c r="L119" s="462"/>
    </row>
    <row r="120" spans="8:20" ht="15" x14ac:dyDescent="0.25">
      <c r="I120" s="1766" t="s">
        <v>540</v>
      </c>
      <c r="J120" s="1767"/>
      <c r="K120" s="411" t="s">
        <v>739</v>
      </c>
      <c r="L120" s="411" t="s">
        <v>871</v>
      </c>
    </row>
    <row r="121" spans="8:20" ht="15" x14ac:dyDescent="0.25">
      <c r="H121" t="s">
        <v>151</v>
      </c>
      <c r="I121" s="768" t="s">
        <v>938</v>
      </c>
      <c r="J121" s="769">
        <f>VLOOKUP(H121,A:E,4,FALSE)</f>
        <v>28355.437665782487</v>
      </c>
      <c r="K121" s="462"/>
      <c r="L121" s="447" t="s">
        <v>891</v>
      </c>
    </row>
    <row r="122" spans="8:20" ht="15" x14ac:dyDescent="0.25">
      <c r="H122" t="s">
        <v>165</v>
      </c>
      <c r="I122" s="768" t="s">
        <v>939</v>
      </c>
      <c r="J122" s="769">
        <f>VLOOKUP(H122,A:E,4,FALSE)</f>
        <v>10400</v>
      </c>
      <c r="K122" s="462"/>
      <c r="L122" s="447" t="s">
        <v>892</v>
      </c>
    </row>
    <row r="123" spans="8:20" ht="15" x14ac:dyDescent="0.25">
      <c r="I123" s="462"/>
      <c r="J123" s="462"/>
      <c r="K123" s="462"/>
      <c r="L123" s="462"/>
    </row>
    <row r="124" spans="8:20" ht="15" x14ac:dyDescent="0.25">
      <c r="I124" s="1766" t="s">
        <v>539</v>
      </c>
      <c r="J124" s="1767"/>
      <c r="K124" s="411" t="s">
        <v>739</v>
      </c>
      <c r="L124" s="411" t="s">
        <v>871</v>
      </c>
    </row>
    <row r="125" spans="8:20" ht="15" x14ac:dyDescent="0.25">
      <c r="H125" t="s">
        <v>167</v>
      </c>
      <c r="I125" s="446" t="s">
        <v>940</v>
      </c>
      <c r="J125" s="413">
        <f>VLOOKUP(H125,A:E,4,FALSE)</f>
        <v>39205.220475559152</v>
      </c>
      <c r="K125" s="462"/>
      <c r="L125" s="430" t="s">
        <v>873</v>
      </c>
    </row>
    <row r="126" spans="8:20" ht="15" x14ac:dyDescent="0.25">
      <c r="I126" s="462"/>
      <c r="J126" s="462"/>
      <c r="K126" s="462"/>
      <c r="L126" s="462"/>
    </row>
    <row r="127" spans="8:20" ht="15" x14ac:dyDescent="0.25">
      <c r="I127" s="1766" t="s">
        <v>225</v>
      </c>
      <c r="J127" s="1767"/>
      <c r="K127" s="411" t="s">
        <v>739</v>
      </c>
      <c r="L127" s="411" t="s">
        <v>871</v>
      </c>
    </row>
    <row r="128" spans="8:20" ht="15" x14ac:dyDescent="0.25">
      <c r="H128" t="s">
        <v>158</v>
      </c>
      <c r="I128" s="446" t="s">
        <v>941</v>
      </c>
      <c r="J128" s="413">
        <f>VLOOKUP(H128,A:E,4,FALSE)</f>
        <v>65592.592592592584</v>
      </c>
      <c r="K128" s="462"/>
      <c r="L128" s="430" t="s">
        <v>875</v>
      </c>
    </row>
    <row r="130" spans="8:12" ht="15" x14ac:dyDescent="0.25">
      <c r="I130" s="1764" t="s">
        <v>478</v>
      </c>
      <c r="J130" s="1761"/>
      <c r="K130" s="411" t="s">
        <v>739</v>
      </c>
      <c r="L130" s="411" t="s">
        <v>871</v>
      </c>
    </row>
    <row r="131" spans="8:12" ht="15" x14ac:dyDescent="0.25">
      <c r="H131" t="s">
        <v>808</v>
      </c>
      <c r="I131" s="412" t="s">
        <v>942</v>
      </c>
      <c r="J131" s="413">
        <f>VLOOKUP(H131,A:E,4,FALSE)</f>
        <v>21960</v>
      </c>
      <c r="K131" s="430"/>
      <c r="L131" s="447" t="s">
        <v>892</v>
      </c>
    </row>
  </sheetData>
  <mergeCells count="24">
    <mergeCell ref="A1:E1"/>
    <mergeCell ref="I61:J61"/>
    <mergeCell ref="I69:J69"/>
    <mergeCell ref="I80:J80"/>
    <mergeCell ref="I2:J2"/>
    <mergeCell ref="I10:J10"/>
    <mergeCell ref="I15:J15"/>
    <mergeCell ref="I23:J23"/>
    <mergeCell ref="I30:J30"/>
    <mergeCell ref="I18:J18"/>
    <mergeCell ref="I91:J91"/>
    <mergeCell ref="I35:J35"/>
    <mergeCell ref="I38:J38"/>
    <mergeCell ref="I43:J43"/>
    <mergeCell ref="I52:J52"/>
    <mergeCell ref="I58:J58"/>
    <mergeCell ref="I64:J64"/>
    <mergeCell ref="I83:J83"/>
    <mergeCell ref="I130:J130"/>
    <mergeCell ref="I107:J107"/>
    <mergeCell ref="I112:J112"/>
    <mergeCell ref="I120:J120"/>
    <mergeCell ref="I124:J124"/>
    <mergeCell ref="I127:J127"/>
  </mergeCells>
  <printOptions horizontalCentered="1"/>
  <pageMargins left="0.7" right="0.7" top="0.75" bottom="0.75" header="0.3" footer="0.3"/>
  <pageSetup fitToHeight="0" orientation="landscape" r:id="rId1"/>
  <headerFooter>
    <oddHeader>&amp;L&amp;BButchery&amp;R&amp;D</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W286"/>
  <sheetViews>
    <sheetView topLeftCell="W1" zoomScale="70" zoomScaleNormal="70" workbookViewId="0">
      <pane ySplit="1" topLeftCell="A2" activePane="bottomLeft" state="frozen"/>
      <selection activeCell="X1" sqref="X1"/>
      <selection pane="bottomLeft" activeCell="AM90" sqref="AM90"/>
    </sheetView>
  </sheetViews>
  <sheetFormatPr defaultColWidth="8.875" defaultRowHeight="15" x14ac:dyDescent="0.25"/>
  <cols>
    <col min="1" max="1" width="51.25" style="1" customWidth="1"/>
    <col min="2" max="2" width="11.5" style="1" customWidth="1"/>
    <col min="3" max="3" width="11.5" style="2" customWidth="1"/>
    <col min="4" max="4" width="14" style="3" customWidth="1"/>
    <col min="5" max="5" width="12.875" style="3" customWidth="1"/>
    <col min="6" max="6" width="12.25" style="643" customWidth="1"/>
    <col min="7" max="7" width="21.5" style="530" customWidth="1"/>
    <col min="8" max="8" width="22.25" style="4" customWidth="1"/>
    <col min="9" max="9" width="13.25" style="4" customWidth="1"/>
    <col min="10" max="10" width="20.75" style="5" customWidth="1"/>
    <col min="11" max="11" width="17.375" style="5" bestFit="1" customWidth="1"/>
    <col min="12" max="12" width="13.75" style="4" customWidth="1"/>
    <col min="13" max="13" width="10.75" style="4" customWidth="1"/>
    <col min="14" max="14" width="12.75" style="4" customWidth="1"/>
    <col min="15" max="16" width="12.25" style="4" customWidth="1"/>
    <col min="17" max="17" width="19.5" customWidth="1"/>
    <col min="19" max="21" width="3.875" customWidth="1"/>
    <col min="22" max="22" width="13.875" customWidth="1"/>
    <col min="23" max="34" width="2.375" customWidth="1"/>
    <col min="36" max="36" width="8.375" customWidth="1"/>
    <col min="37" max="37" width="25.375" customWidth="1"/>
    <col min="38" max="38" width="14.25" customWidth="1"/>
    <col min="39" max="39" width="9.25" customWidth="1"/>
    <col min="40" max="40" width="8.875" customWidth="1"/>
    <col min="41" max="41" width="6.75" customWidth="1"/>
    <col min="42" max="42" width="2.875" customWidth="1"/>
    <col min="43" max="43" width="25.5" customWidth="1"/>
    <col min="46" max="46" width="2.875" customWidth="1"/>
    <col min="47" max="47" width="30.75" customWidth="1"/>
  </cols>
  <sheetData>
    <row r="1" spans="1:49" ht="40.5" customHeight="1" x14ac:dyDescent="0.2">
      <c r="A1" s="6" t="s">
        <v>0</v>
      </c>
      <c r="B1" s="6" t="s">
        <v>1</v>
      </c>
      <c r="C1" s="6" t="s">
        <v>2</v>
      </c>
      <c r="D1" s="6" t="s">
        <v>3</v>
      </c>
      <c r="E1" s="7" t="s">
        <v>5</v>
      </c>
      <c r="F1" s="6" t="s">
        <v>6</v>
      </c>
      <c r="G1" s="478" t="s">
        <v>689</v>
      </c>
      <c r="H1" s="479" t="s">
        <v>690</v>
      </c>
      <c r="I1" s="478" t="s">
        <v>691</v>
      </c>
      <c r="J1" s="478" t="s">
        <v>692</v>
      </c>
      <c r="K1" s="6" t="s">
        <v>8</v>
      </c>
      <c r="L1" s="6" t="s">
        <v>9</v>
      </c>
      <c r="M1" s="6" t="s">
        <v>7</v>
      </c>
      <c r="N1" s="6" t="s">
        <v>10</v>
      </c>
      <c r="O1" s="6" t="s">
        <v>11</v>
      </c>
      <c r="Q1" s="8" t="s">
        <v>4</v>
      </c>
      <c r="R1" s="8">
        <v>4</v>
      </c>
      <c r="AJ1" s="414" t="s">
        <v>543</v>
      </c>
      <c r="AK1" s="414" t="s">
        <v>228</v>
      </c>
      <c r="AL1" s="414" t="s">
        <v>542</v>
      </c>
      <c r="AM1" s="414" t="s">
        <v>446</v>
      </c>
      <c r="AN1" s="414" t="s">
        <v>537</v>
      </c>
      <c r="AQ1" s="428" t="s">
        <v>631</v>
      </c>
      <c r="AR1" s="428" t="s">
        <v>529</v>
      </c>
      <c r="AS1" s="428" t="s">
        <v>630</v>
      </c>
      <c r="AU1" s="428" t="s">
        <v>631</v>
      </c>
      <c r="AV1" s="428" t="s">
        <v>529</v>
      </c>
      <c r="AW1" s="428" t="s">
        <v>630</v>
      </c>
    </row>
    <row r="2" spans="1:49" ht="14.25" customHeight="1" x14ac:dyDescent="0.25">
      <c r="AJ2" s="415"/>
      <c r="AK2" s="415" t="s">
        <v>499</v>
      </c>
      <c r="AL2" s="415"/>
      <c r="AM2" s="415"/>
      <c r="AN2" s="415"/>
      <c r="AQ2" s="416" t="s">
        <v>896</v>
      </c>
      <c r="AR2" s="416">
        <v>99</v>
      </c>
      <c r="AS2" s="416">
        <v>99</v>
      </c>
      <c r="AU2" s="419" t="s">
        <v>696</v>
      </c>
      <c r="AV2" s="419">
        <v>91</v>
      </c>
      <c r="AW2" s="419">
        <v>91</v>
      </c>
    </row>
    <row r="3" spans="1:49" ht="14.25" customHeight="1" x14ac:dyDescent="0.25">
      <c r="A3" s="519" t="s">
        <v>152</v>
      </c>
      <c r="B3" s="519" t="s">
        <v>153</v>
      </c>
      <c r="C3" s="520" t="s">
        <v>14</v>
      </c>
      <c r="D3" s="521">
        <v>3559.3852662989157</v>
      </c>
      <c r="E3" s="522">
        <v>17303.826854183055</v>
      </c>
      <c r="F3" s="644">
        <v>1</v>
      </c>
      <c r="G3" s="531">
        <v>25000</v>
      </c>
      <c r="H3" s="522" t="s">
        <v>154</v>
      </c>
      <c r="I3" s="523">
        <v>750</v>
      </c>
      <c r="J3" s="522">
        <f t="shared" ref="J3:J14" si="0">I3/(G3/1000)</f>
        <v>30</v>
      </c>
      <c r="K3" s="522">
        <f t="shared" ref="K3:K14" si="1">(E3/F3)/G3</f>
        <v>0.69215307416732219</v>
      </c>
      <c r="L3" s="522">
        <f>(D3/F3)/G3</f>
        <v>0.14237541065195664</v>
      </c>
      <c r="M3" s="522" t="s">
        <v>45</v>
      </c>
      <c r="N3" s="522">
        <f t="shared" ref="N3:N14" si="2">K3*I3</f>
        <v>519.11480562549161</v>
      </c>
      <c r="O3" s="522">
        <f t="shared" ref="O3:O14" si="3">L3*I3</f>
        <v>106.78155798896748</v>
      </c>
      <c r="AJ3" s="416">
        <v>1</v>
      </c>
      <c r="AK3" s="416" t="s">
        <v>16</v>
      </c>
      <c r="AL3" s="416">
        <f>AS4</f>
        <v>26800</v>
      </c>
      <c r="AM3" s="416">
        <v>1000</v>
      </c>
      <c r="AN3" s="416">
        <f>AR4</f>
        <v>187</v>
      </c>
      <c r="AQ3" s="416" t="s">
        <v>629</v>
      </c>
      <c r="AR3" s="416">
        <v>51</v>
      </c>
      <c r="AS3" s="416">
        <v>51</v>
      </c>
      <c r="AU3" s="419" t="s">
        <v>583</v>
      </c>
      <c r="AV3" s="419">
        <v>62</v>
      </c>
      <c r="AW3" s="419">
        <v>62</v>
      </c>
    </row>
    <row r="4" spans="1:49" ht="14.25" customHeight="1" x14ac:dyDescent="0.25">
      <c r="A4" s="519" t="s">
        <v>174</v>
      </c>
      <c r="B4" s="519" t="s">
        <v>153</v>
      </c>
      <c r="C4" s="520" t="s">
        <v>160</v>
      </c>
      <c r="D4" s="521">
        <v>0</v>
      </c>
      <c r="E4" s="522">
        <v>13959.998848770276</v>
      </c>
      <c r="F4" s="644">
        <v>1</v>
      </c>
      <c r="G4" s="531">
        <v>9600</v>
      </c>
      <c r="H4" s="522" t="s">
        <v>175</v>
      </c>
      <c r="I4" s="523">
        <v>95</v>
      </c>
      <c r="J4" s="522">
        <f t="shared" si="0"/>
        <v>9.8958333333333339</v>
      </c>
      <c r="K4" s="522">
        <f t="shared" si="1"/>
        <v>1.4541665467469038</v>
      </c>
      <c r="L4" s="522">
        <f t="shared" ref="L4:L14" si="4">(D4/F4)/G4</f>
        <v>0</v>
      </c>
      <c r="M4" s="522" t="s">
        <v>26</v>
      </c>
      <c r="N4" s="522">
        <f t="shared" si="2"/>
        <v>138.14582194095587</v>
      </c>
      <c r="O4" s="522">
        <f t="shared" si="3"/>
        <v>0</v>
      </c>
      <c r="AJ4" s="416">
        <v>1</v>
      </c>
      <c r="AK4" s="416" t="s">
        <v>18</v>
      </c>
      <c r="AL4" s="416">
        <f>AS7</f>
        <v>20650</v>
      </c>
      <c r="AM4" s="416">
        <v>500</v>
      </c>
      <c r="AN4" s="416">
        <f>AR7</f>
        <v>139</v>
      </c>
      <c r="AQ4" s="416" t="s">
        <v>545</v>
      </c>
      <c r="AR4" s="416">
        <v>187</v>
      </c>
      <c r="AS4" s="416">
        <v>26800</v>
      </c>
      <c r="AU4" s="419" t="s">
        <v>584</v>
      </c>
      <c r="AV4" s="419">
        <v>199</v>
      </c>
      <c r="AW4" s="419">
        <v>28260</v>
      </c>
    </row>
    <row r="5" spans="1:49" ht="14.25" customHeight="1" x14ac:dyDescent="0.25">
      <c r="A5" s="519" t="s">
        <v>166</v>
      </c>
      <c r="B5" s="519" t="s">
        <v>153</v>
      </c>
      <c r="C5" s="520" t="s">
        <v>160</v>
      </c>
      <c r="D5" s="521">
        <v>27990.679291003729</v>
      </c>
      <c r="E5" s="522">
        <v>127676.53576800376</v>
      </c>
      <c r="F5" s="644">
        <v>1</v>
      </c>
      <c r="G5" s="531">
        <v>12000</v>
      </c>
      <c r="H5" s="522" t="s">
        <v>161</v>
      </c>
      <c r="I5" s="523">
        <v>152</v>
      </c>
      <c r="J5" s="523">
        <f t="shared" si="0"/>
        <v>12.666666666666666</v>
      </c>
      <c r="K5" s="522">
        <f>(E5/F5)/G5</f>
        <v>10.639711314000312</v>
      </c>
      <c r="L5" s="522">
        <f t="shared" si="4"/>
        <v>2.3325566075836441</v>
      </c>
      <c r="M5" s="522" t="s">
        <v>26</v>
      </c>
      <c r="N5" s="522">
        <f t="shared" si="2"/>
        <v>1617.2361197280475</v>
      </c>
      <c r="O5" s="522">
        <f t="shared" si="3"/>
        <v>354.54860435271394</v>
      </c>
      <c r="AJ5" s="416">
        <v>1</v>
      </c>
      <c r="AK5" s="416" t="s">
        <v>22</v>
      </c>
      <c r="AL5" s="416">
        <f>AS12</f>
        <v>23110</v>
      </c>
      <c r="AM5" s="416">
        <v>1000</v>
      </c>
      <c r="AN5" s="416">
        <f>AR12</f>
        <v>160</v>
      </c>
      <c r="AQ5" s="416" t="s">
        <v>546</v>
      </c>
      <c r="AR5" s="416">
        <v>162</v>
      </c>
      <c r="AS5" s="416">
        <v>23050</v>
      </c>
      <c r="AU5" s="419" t="s">
        <v>547</v>
      </c>
      <c r="AV5" s="419">
        <v>24</v>
      </c>
      <c r="AW5" s="419">
        <v>3600</v>
      </c>
    </row>
    <row r="6" spans="1:49" ht="14.25" customHeight="1" x14ac:dyDescent="0.25">
      <c r="A6" s="519" t="s">
        <v>156</v>
      </c>
      <c r="B6" s="519" t="s">
        <v>153</v>
      </c>
      <c r="C6" s="520" t="s">
        <v>14</v>
      </c>
      <c r="D6" s="521">
        <v>0</v>
      </c>
      <c r="E6" s="522">
        <v>378.15876288659797</v>
      </c>
      <c r="F6" s="644">
        <v>1</v>
      </c>
      <c r="G6" s="531">
        <v>1600</v>
      </c>
      <c r="H6" s="522" t="s">
        <v>694</v>
      </c>
      <c r="I6" s="523">
        <v>73.91</v>
      </c>
      <c r="J6" s="522">
        <f t="shared" si="0"/>
        <v>46.193749999999994</v>
      </c>
      <c r="K6" s="522">
        <f>(E6/F6)/G6</f>
        <v>0.23634922680412374</v>
      </c>
      <c r="L6" s="522">
        <f t="shared" si="4"/>
        <v>0</v>
      </c>
      <c r="M6" s="522" t="s">
        <v>26</v>
      </c>
      <c r="N6" s="522">
        <f t="shared" si="2"/>
        <v>17.468571353092784</v>
      </c>
      <c r="O6" s="522">
        <f t="shared" si="3"/>
        <v>0</v>
      </c>
      <c r="AJ6" s="416">
        <v>1</v>
      </c>
      <c r="AK6" s="416" t="s">
        <v>20</v>
      </c>
      <c r="AL6" s="416">
        <f>AS9</f>
        <v>16270</v>
      </c>
      <c r="AM6" s="416">
        <v>0</v>
      </c>
      <c r="AN6" s="416">
        <f>AR9</f>
        <v>112</v>
      </c>
      <c r="AQ6" s="416" t="s">
        <v>547</v>
      </c>
      <c r="AR6" s="416">
        <v>25</v>
      </c>
      <c r="AS6" s="416">
        <v>3750</v>
      </c>
      <c r="AU6" s="419" t="s">
        <v>585</v>
      </c>
      <c r="AV6" s="419">
        <v>175</v>
      </c>
      <c r="AW6" s="419">
        <v>24660</v>
      </c>
    </row>
    <row r="7" spans="1:49" ht="14.25" customHeight="1" x14ac:dyDescent="0.25">
      <c r="A7" s="519" t="s">
        <v>168</v>
      </c>
      <c r="B7" s="519" t="s">
        <v>153</v>
      </c>
      <c r="C7" s="520" t="s">
        <v>14</v>
      </c>
      <c r="D7" s="521">
        <v>0</v>
      </c>
      <c r="E7" s="522">
        <v>1108.3916083916095</v>
      </c>
      <c r="F7" s="644">
        <v>1</v>
      </c>
      <c r="G7" s="531">
        <v>11000</v>
      </c>
      <c r="H7" s="522" t="s">
        <v>169</v>
      </c>
      <c r="I7" s="523">
        <v>149</v>
      </c>
      <c r="J7" s="522">
        <f t="shared" si="0"/>
        <v>13.545454545454545</v>
      </c>
      <c r="K7" s="522">
        <f t="shared" si="1"/>
        <v>0.10076287349014632</v>
      </c>
      <c r="L7" s="522">
        <f t="shared" si="4"/>
        <v>0</v>
      </c>
      <c r="M7" s="522" t="s">
        <v>26</v>
      </c>
      <c r="N7" s="522">
        <f t="shared" si="2"/>
        <v>15.013668150031801</v>
      </c>
      <c r="O7" s="522">
        <f t="shared" si="3"/>
        <v>0</v>
      </c>
      <c r="AJ7" s="416">
        <v>1</v>
      </c>
      <c r="AK7" s="416" t="s">
        <v>24</v>
      </c>
      <c r="AL7" s="416">
        <f>AS15</f>
        <v>21970</v>
      </c>
      <c r="AM7" s="416">
        <v>1000</v>
      </c>
      <c r="AN7" s="416">
        <f>AR15</f>
        <v>163</v>
      </c>
      <c r="AQ7" s="416" t="s">
        <v>548</v>
      </c>
      <c r="AR7" s="416">
        <v>139</v>
      </c>
      <c r="AS7" s="416">
        <v>20650</v>
      </c>
      <c r="AU7" s="419" t="s">
        <v>586</v>
      </c>
      <c r="AV7" s="419">
        <v>96</v>
      </c>
      <c r="AW7" s="419">
        <v>13640</v>
      </c>
    </row>
    <row r="8" spans="1:49" ht="14.25" customHeight="1" x14ac:dyDescent="0.25">
      <c r="A8" s="709" t="s">
        <v>229</v>
      </c>
      <c r="B8" s="709" t="s">
        <v>153</v>
      </c>
      <c r="C8" s="520" t="s">
        <v>230</v>
      </c>
      <c r="D8" s="521">
        <v>27.748314606741573</v>
      </c>
      <c r="E8" s="522">
        <v>169.28539325842695</v>
      </c>
      <c r="F8" s="644">
        <v>1</v>
      </c>
      <c r="G8" s="531">
        <v>360</v>
      </c>
      <c r="H8" s="522" t="s">
        <v>730</v>
      </c>
      <c r="I8" s="523">
        <v>156</v>
      </c>
      <c r="J8" s="522">
        <v>0.43333333333333335</v>
      </c>
      <c r="K8" s="522">
        <f t="shared" si="1"/>
        <v>0.47023720349563042</v>
      </c>
      <c r="L8" s="522">
        <f t="shared" si="4"/>
        <v>7.7078651685393254E-2</v>
      </c>
      <c r="M8" s="522" t="s">
        <v>26</v>
      </c>
      <c r="N8" s="522">
        <f t="shared" si="2"/>
        <v>73.357003745318352</v>
      </c>
      <c r="O8" s="522">
        <f t="shared" si="3"/>
        <v>12.024269662921348</v>
      </c>
      <c r="AJ8" s="416">
        <v>1</v>
      </c>
      <c r="AK8" s="416" t="s">
        <v>27</v>
      </c>
      <c r="AL8" s="416">
        <f>AS17</f>
        <v>23660</v>
      </c>
      <c r="AM8" s="416">
        <v>500</v>
      </c>
      <c r="AN8" s="416">
        <f>AR17</f>
        <v>174</v>
      </c>
      <c r="AQ8" s="416" t="s">
        <v>549</v>
      </c>
      <c r="AR8" s="416">
        <v>139</v>
      </c>
      <c r="AS8" s="416">
        <v>20650</v>
      </c>
      <c r="AU8" s="419" t="s">
        <v>558</v>
      </c>
      <c r="AV8" s="419">
        <v>66</v>
      </c>
      <c r="AW8" s="419">
        <v>9140</v>
      </c>
    </row>
    <row r="9" spans="1:49" ht="14.25" customHeight="1" x14ac:dyDescent="0.25">
      <c r="A9" s="519" t="s">
        <v>159</v>
      </c>
      <c r="B9" s="519" t="s">
        <v>153</v>
      </c>
      <c r="C9" s="520" t="s">
        <v>160</v>
      </c>
      <c r="D9" s="521">
        <v>8239.6734693877552</v>
      </c>
      <c r="E9" s="522">
        <v>51858.34024086404</v>
      </c>
      <c r="F9" s="644">
        <v>1</v>
      </c>
      <c r="G9" s="531">
        <v>12000</v>
      </c>
      <c r="H9" s="522" t="s">
        <v>161</v>
      </c>
      <c r="I9" s="523">
        <v>50.44</v>
      </c>
      <c r="J9" s="522">
        <f t="shared" si="0"/>
        <v>4.2033333333333331</v>
      </c>
      <c r="K9" s="522">
        <f t="shared" si="1"/>
        <v>4.3215283534053368</v>
      </c>
      <c r="L9" s="522">
        <f t="shared" si="4"/>
        <v>0.68663945578231289</v>
      </c>
      <c r="M9" s="522" t="s">
        <v>26</v>
      </c>
      <c r="N9" s="522">
        <f t="shared" si="2"/>
        <v>217.97789014576517</v>
      </c>
      <c r="O9" s="522">
        <f t="shared" si="3"/>
        <v>34.634094149659859</v>
      </c>
      <c r="AJ9" s="416">
        <v>1</v>
      </c>
      <c r="AK9" s="416" t="s">
        <v>29</v>
      </c>
      <c r="AL9" s="416">
        <f>AS19</f>
        <v>17170</v>
      </c>
      <c r="AM9" s="416">
        <v>1000</v>
      </c>
      <c r="AN9" s="416">
        <f>AR19</f>
        <v>117</v>
      </c>
      <c r="AQ9" s="416" t="s">
        <v>550</v>
      </c>
      <c r="AR9" s="416">
        <v>112</v>
      </c>
      <c r="AS9" s="416">
        <v>16270</v>
      </c>
      <c r="AU9" s="419" t="s">
        <v>547</v>
      </c>
      <c r="AV9" s="419">
        <v>30</v>
      </c>
      <c r="AW9" s="419">
        <v>4500</v>
      </c>
    </row>
    <row r="10" spans="1:49" ht="14.25" customHeight="1" x14ac:dyDescent="0.25">
      <c r="A10" s="519" t="s">
        <v>172</v>
      </c>
      <c r="B10" s="519" t="s">
        <v>153</v>
      </c>
      <c r="C10" s="520" t="s">
        <v>14</v>
      </c>
      <c r="D10" s="521">
        <v>0</v>
      </c>
      <c r="E10" s="522">
        <v>24578.747666251333</v>
      </c>
      <c r="F10" s="644">
        <v>1</v>
      </c>
      <c r="G10" s="531">
        <v>9200</v>
      </c>
      <c r="H10" s="522" t="s">
        <v>173</v>
      </c>
      <c r="I10" s="523">
        <v>165</v>
      </c>
      <c r="J10" s="522">
        <f t="shared" si="0"/>
        <v>17.934782608695652</v>
      </c>
      <c r="K10" s="522">
        <f t="shared" si="1"/>
        <v>2.6716030072012318</v>
      </c>
      <c r="L10" s="522">
        <f t="shared" si="4"/>
        <v>0</v>
      </c>
      <c r="M10" s="522" t="s">
        <v>26</v>
      </c>
      <c r="N10" s="522">
        <f t="shared" si="2"/>
        <v>440.81449618820324</v>
      </c>
      <c r="O10" s="522">
        <f t="shared" si="3"/>
        <v>0</v>
      </c>
      <c r="AJ10" s="416">
        <v>1</v>
      </c>
      <c r="AK10" s="416" t="s">
        <v>33</v>
      </c>
      <c r="AL10" s="416">
        <f>AS23+AS3</f>
        <v>106</v>
      </c>
      <c r="AM10" s="416">
        <v>5</v>
      </c>
      <c r="AN10" s="416">
        <f>AR23+AR3</f>
        <v>106</v>
      </c>
      <c r="AQ10" s="416" t="s">
        <v>551</v>
      </c>
      <c r="AR10" s="416">
        <v>14</v>
      </c>
      <c r="AS10" s="416">
        <v>2100</v>
      </c>
      <c r="AU10" s="419" t="s">
        <v>587</v>
      </c>
      <c r="AV10" s="419">
        <v>149</v>
      </c>
      <c r="AW10" s="419">
        <v>20400</v>
      </c>
    </row>
    <row r="11" spans="1:49" ht="14.25" customHeight="1" x14ac:dyDescent="0.25">
      <c r="A11" s="519" t="s">
        <v>705</v>
      </c>
      <c r="B11" s="519" t="s">
        <v>153</v>
      </c>
      <c r="C11" s="520" t="s">
        <v>14</v>
      </c>
      <c r="D11" s="521">
        <v>495</v>
      </c>
      <c r="E11" s="522">
        <v>1635.6104398860402</v>
      </c>
      <c r="F11" s="644">
        <v>1</v>
      </c>
      <c r="G11" s="531">
        <v>2724</v>
      </c>
      <c r="H11" s="522" t="s">
        <v>695</v>
      </c>
      <c r="I11" s="523">
        <v>185</v>
      </c>
      <c r="J11" s="522">
        <f t="shared" si="0"/>
        <v>67.91483113069016</v>
      </c>
      <c r="K11" s="522">
        <f t="shared" si="1"/>
        <v>0.60044436119164468</v>
      </c>
      <c r="L11" s="522">
        <f t="shared" si="4"/>
        <v>0.18171806167400881</v>
      </c>
      <c r="M11" s="522" t="s">
        <v>26</v>
      </c>
      <c r="N11" s="522">
        <f t="shared" si="2"/>
        <v>111.08220682045426</v>
      </c>
      <c r="O11" s="522">
        <f t="shared" si="3"/>
        <v>33.617841409691628</v>
      </c>
      <c r="AJ11" s="416">
        <v>1</v>
      </c>
      <c r="AK11" s="416" t="s">
        <v>530</v>
      </c>
      <c r="AL11" s="416">
        <f>AS38</f>
        <v>16690</v>
      </c>
      <c r="AM11" s="416">
        <v>0</v>
      </c>
      <c r="AN11" s="416">
        <f>AR38</f>
        <v>119</v>
      </c>
      <c r="AQ11" s="416" t="s">
        <v>552</v>
      </c>
      <c r="AR11" s="416">
        <v>98</v>
      </c>
      <c r="AS11" s="416">
        <v>14170</v>
      </c>
      <c r="AU11" s="419" t="s">
        <v>549</v>
      </c>
      <c r="AV11" s="419">
        <v>149</v>
      </c>
      <c r="AW11" s="419">
        <v>20400</v>
      </c>
    </row>
    <row r="12" spans="1:49" ht="14.25" customHeight="1" x14ac:dyDescent="0.25">
      <c r="A12" s="519" t="s">
        <v>948</v>
      </c>
      <c r="B12" s="519" t="s">
        <v>153</v>
      </c>
      <c r="C12" s="520" t="s">
        <v>14</v>
      </c>
      <c r="D12" s="521">
        <v>0</v>
      </c>
      <c r="E12" s="796">
        <v>3060</v>
      </c>
      <c r="F12" s="644">
        <v>1</v>
      </c>
      <c r="G12" s="531">
        <v>7200</v>
      </c>
      <c r="H12" s="522" t="s">
        <v>817</v>
      </c>
      <c r="I12" s="523">
        <v>155</v>
      </c>
      <c r="J12" s="522">
        <v>21.527777777777779</v>
      </c>
      <c r="K12" s="522">
        <v>1.5209722222222222</v>
      </c>
      <c r="L12" s="522">
        <v>1.03</v>
      </c>
      <c r="M12" s="522" t="s">
        <v>26</v>
      </c>
      <c r="N12" s="522">
        <v>235.75069444444443</v>
      </c>
      <c r="O12" s="522">
        <v>159.65</v>
      </c>
      <c r="AJ12" s="416">
        <v>1</v>
      </c>
      <c r="AK12" s="416" t="s">
        <v>827</v>
      </c>
      <c r="AL12" s="416">
        <f>AS24</f>
        <v>148</v>
      </c>
      <c r="AM12" s="416">
        <v>5</v>
      </c>
      <c r="AN12" s="416">
        <f>AR24</f>
        <v>148</v>
      </c>
      <c r="AQ12" s="416" t="s">
        <v>553</v>
      </c>
      <c r="AR12" s="416">
        <v>160</v>
      </c>
      <c r="AS12" s="416">
        <v>23110</v>
      </c>
      <c r="AU12" s="419" t="s">
        <v>588</v>
      </c>
      <c r="AV12" s="419">
        <v>107</v>
      </c>
      <c r="AW12" s="419">
        <v>15760</v>
      </c>
    </row>
    <row r="13" spans="1:49" ht="14.25" customHeight="1" x14ac:dyDescent="0.25">
      <c r="A13" s="693" t="s">
        <v>798</v>
      </c>
      <c r="B13" s="519" t="s">
        <v>153</v>
      </c>
      <c r="C13" s="520" t="s">
        <v>230</v>
      </c>
      <c r="D13" s="521">
        <v>196</v>
      </c>
      <c r="E13" s="522">
        <v>1083.9764521193094</v>
      </c>
      <c r="F13" s="644">
        <v>1</v>
      </c>
      <c r="G13" s="531">
        <f>(12*10)</f>
        <v>120</v>
      </c>
      <c r="H13" s="522" t="s">
        <v>781</v>
      </c>
      <c r="I13" s="523">
        <v>70</v>
      </c>
      <c r="J13" s="522">
        <f>I13/(G13)</f>
        <v>0.58333333333333337</v>
      </c>
      <c r="K13" s="522">
        <f t="shared" si="1"/>
        <v>9.0331371009942458</v>
      </c>
      <c r="L13" s="522">
        <f t="shared" si="4"/>
        <v>1.6333333333333333</v>
      </c>
      <c r="M13" s="522" t="s">
        <v>26</v>
      </c>
      <c r="N13" s="522">
        <f t="shared" si="2"/>
        <v>632.31959706959719</v>
      </c>
      <c r="O13" s="522">
        <f t="shared" si="3"/>
        <v>114.33333333333333</v>
      </c>
      <c r="AJ13" s="416">
        <v>1</v>
      </c>
      <c r="AK13" s="416" t="s">
        <v>31</v>
      </c>
      <c r="AL13" s="416">
        <f>AS21</f>
        <v>12110</v>
      </c>
      <c r="AM13" s="416">
        <v>1000</v>
      </c>
      <c r="AN13" s="416">
        <f>AR21</f>
        <v>85</v>
      </c>
      <c r="AQ13" s="416" t="s">
        <v>547</v>
      </c>
      <c r="AR13" s="416">
        <v>19</v>
      </c>
      <c r="AS13" s="416">
        <v>2850</v>
      </c>
      <c r="AU13" s="419" t="s">
        <v>547</v>
      </c>
      <c r="AV13" s="419">
        <v>14</v>
      </c>
      <c r="AW13" s="419">
        <v>2100</v>
      </c>
    </row>
    <row r="14" spans="1:49" x14ac:dyDescent="0.25">
      <c r="A14" s="519" t="s">
        <v>163</v>
      </c>
      <c r="B14" s="519" t="s">
        <v>153</v>
      </c>
      <c r="C14" s="520" t="s">
        <v>14</v>
      </c>
      <c r="D14" s="521">
        <v>1473.8618524332819</v>
      </c>
      <c r="E14" s="522">
        <v>17671.687244897963</v>
      </c>
      <c r="F14" s="644">
        <v>1</v>
      </c>
      <c r="G14" s="531">
        <v>10000</v>
      </c>
      <c r="H14" s="522" t="s">
        <v>164</v>
      </c>
      <c r="I14" s="523">
        <v>66.959999999999994</v>
      </c>
      <c r="J14" s="522">
        <f t="shared" si="0"/>
        <v>6.6959999999999997</v>
      </c>
      <c r="K14" s="522">
        <f t="shared" si="1"/>
        <v>1.7671687244897962</v>
      </c>
      <c r="L14" s="522">
        <f t="shared" si="4"/>
        <v>0.14738618524332819</v>
      </c>
      <c r="M14" s="522" t="s">
        <v>164</v>
      </c>
      <c r="N14" s="522">
        <f t="shared" si="2"/>
        <v>118.32961779183674</v>
      </c>
      <c r="O14" s="522">
        <f t="shared" si="3"/>
        <v>9.8689789638932552</v>
      </c>
      <c r="AJ14" s="416">
        <v>1</v>
      </c>
      <c r="AK14" s="416" t="s">
        <v>668</v>
      </c>
      <c r="AL14" s="416">
        <f>AR23+AR3</f>
        <v>106</v>
      </c>
      <c r="AM14" s="416">
        <v>0</v>
      </c>
      <c r="AN14" s="416">
        <f>AS23+AS3</f>
        <v>106</v>
      </c>
      <c r="AQ14" s="416" t="s">
        <v>554</v>
      </c>
      <c r="AR14" s="416">
        <v>141</v>
      </c>
      <c r="AS14" s="416">
        <v>20260</v>
      </c>
      <c r="AU14" s="419" t="s">
        <v>556</v>
      </c>
      <c r="AV14" s="419">
        <v>93</v>
      </c>
      <c r="AW14" s="419">
        <v>13660</v>
      </c>
    </row>
    <row r="15" spans="1:49" ht="14.25" customHeight="1" x14ac:dyDescent="0.25">
      <c r="AJ15" s="416">
        <v>1</v>
      </c>
      <c r="AK15" s="416" t="s">
        <v>35</v>
      </c>
      <c r="AL15" s="416">
        <f>AS20</f>
        <v>17170</v>
      </c>
      <c r="AM15" s="416">
        <v>0</v>
      </c>
      <c r="AN15" s="416">
        <f>AR20</f>
        <v>117</v>
      </c>
      <c r="AQ15" s="416" t="s">
        <v>555</v>
      </c>
      <c r="AR15" s="416">
        <v>163</v>
      </c>
      <c r="AS15" s="416">
        <v>21970</v>
      </c>
      <c r="AU15" s="419" t="s">
        <v>575</v>
      </c>
      <c r="AV15" s="419">
        <v>69</v>
      </c>
      <c r="AW15" s="419">
        <v>10380</v>
      </c>
    </row>
    <row r="16" spans="1:49" ht="14.25" customHeight="1" x14ac:dyDescent="0.25">
      <c r="A16" s="498" t="s">
        <v>209</v>
      </c>
      <c r="B16" s="498" t="s">
        <v>190</v>
      </c>
      <c r="C16" s="499" t="s">
        <v>160</v>
      </c>
      <c r="D16" s="500">
        <v>0</v>
      </c>
      <c r="E16" s="501">
        <v>76.348333333333315</v>
      </c>
      <c r="F16" s="502">
        <v>1</v>
      </c>
      <c r="G16" s="538">
        <f>12*500</f>
        <v>6000</v>
      </c>
      <c r="H16" s="499" t="s">
        <v>210</v>
      </c>
      <c r="I16" s="499">
        <v>170.44</v>
      </c>
      <c r="J16" s="503">
        <f>I16/6</f>
        <v>28.406666666666666</v>
      </c>
      <c r="K16" s="504">
        <f t="shared" ref="K16:K26" si="5">(E16/F16)/G16</f>
        <v>1.2724722222222219E-2</v>
      </c>
      <c r="L16" s="504">
        <f t="shared" ref="L16:L26" si="6">(D16/F16)/G16</f>
        <v>0</v>
      </c>
      <c r="M16" s="504" t="s">
        <v>26</v>
      </c>
      <c r="N16" s="504">
        <f t="shared" ref="N16:N26" si="7">K16*I16</f>
        <v>2.1688016555555549</v>
      </c>
      <c r="O16" s="504">
        <f t="shared" ref="O16:O26" si="8">L16*I16</f>
        <v>0</v>
      </c>
      <c r="AJ16" s="416">
        <v>1</v>
      </c>
      <c r="AK16" s="416" t="s">
        <v>511</v>
      </c>
      <c r="AL16" s="416">
        <f>AS5</f>
        <v>23050</v>
      </c>
      <c r="AM16" s="416">
        <v>0</v>
      </c>
      <c r="AN16" s="416">
        <f>AR5</f>
        <v>162</v>
      </c>
      <c r="AQ16" s="416" t="s">
        <v>556</v>
      </c>
      <c r="AR16" s="416">
        <v>163</v>
      </c>
      <c r="AS16" s="416">
        <v>21970</v>
      </c>
      <c r="AU16" s="419" t="s">
        <v>558</v>
      </c>
      <c r="AV16" s="419">
        <v>65</v>
      </c>
      <c r="AW16" s="419">
        <v>9780</v>
      </c>
    </row>
    <row r="17" spans="1:49" ht="14.25" customHeight="1" x14ac:dyDescent="0.25">
      <c r="A17" s="491" t="s">
        <v>189</v>
      </c>
      <c r="B17" s="491" t="s">
        <v>190</v>
      </c>
      <c r="C17" s="492" t="s">
        <v>160</v>
      </c>
      <c r="D17" s="493">
        <v>2238.4615384615404</v>
      </c>
      <c r="E17" s="494">
        <v>5421.3971742543199</v>
      </c>
      <c r="F17" s="495">
        <v>1</v>
      </c>
      <c r="G17" s="539">
        <f>3790*4</f>
        <v>15160</v>
      </c>
      <c r="H17" s="496" t="s">
        <v>191</v>
      </c>
      <c r="I17" s="497">
        <v>265</v>
      </c>
      <c r="J17" s="497">
        <f>I17/(G17/1000)</f>
        <v>17.480211081794195</v>
      </c>
      <c r="K17" s="496">
        <f t="shared" si="5"/>
        <v>0.35761195080833247</v>
      </c>
      <c r="L17" s="496">
        <f t="shared" si="6"/>
        <v>0.14765577430485094</v>
      </c>
      <c r="M17" s="496" t="s">
        <v>26</v>
      </c>
      <c r="N17" s="496">
        <f t="shared" si="7"/>
        <v>94.767166964208101</v>
      </c>
      <c r="O17" s="496">
        <f t="shared" si="8"/>
        <v>39.128780190785498</v>
      </c>
      <c r="AJ17" s="416">
        <v>1</v>
      </c>
      <c r="AK17" s="416" t="s">
        <v>38</v>
      </c>
      <c r="AL17" s="416">
        <f>AS6+AS10+AS13</f>
        <v>8700</v>
      </c>
      <c r="AM17" s="416">
        <v>0</v>
      </c>
      <c r="AN17" s="416">
        <f>AR6+AR10+AR13</f>
        <v>58</v>
      </c>
      <c r="AQ17" s="416" t="s">
        <v>557</v>
      </c>
      <c r="AR17" s="416">
        <v>174</v>
      </c>
      <c r="AS17" s="416">
        <v>23660</v>
      </c>
      <c r="AU17" s="419" t="s">
        <v>547</v>
      </c>
      <c r="AV17" s="419">
        <v>4</v>
      </c>
      <c r="AW17" s="419">
        <v>600</v>
      </c>
    </row>
    <row r="18" spans="1:49" ht="14.25" customHeight="1" x14ac:dyDescent="0.25">
      <c r="A18" s="491" t="s">
        <v>200</v>
      </c>
      <c r="B18" s="491" t="s">
        <v>190</v>
      </c>
      <c r="C18" s="492" t="s">
        <v>14</v>
      </c>
      <c r="D18" s="493">
        <v>429.05803767094812</v>
      </c>
      <c r="E18" s="494">
        <v>1237.6268645298667</v>
      </c>
      <c r="F18" s="495">
        <v>1</v>
      </c>
      <c r="G18" s="539">
        <f>750*6</f>
        <v>4500</v>
      </c>
      <c r="H18" s="496" t="s">
        <v>201</v>
      </c>
      <c r="I18" s="497">
        <v>285</v>
      </c>
      <c r="J18" s="497">
        <f t="shared" ref="J18:J26" si="9">I18/(G18/1000)</f>
        <v>63.333333333333336</v>
      </c>
      <c r="K18" s="496">
        <f t="shared" si="5"/>
        <v>0.27502819211774815</v>
      </c>
      <c r="L18" s="496">
        <f t="shared" si="6"/>
        <v>9.5346230593544024E-2</v>
      </c>
      <c r="M18" s="496" t="s">
        <v>26</v>
      </c>
      <c r="N18" s="496">
        <f t="shared" si="7"/>
        <v>78.383034753558221</v>
      </c>
      <c r="O18" s="496">
        <f t="shared" si="8"/>
        <v>27.173675719160048</v>
      </c>
      <c r="AJ18" s="416">
        <v>1</v>
      </c>
      <c r="AK18" s="416" t="s">
        <v>39</v>
      </c>
      <c r="AL18" s="416">
        <f>AS11</f>
        <v>14170</v>
      </c>
      <c r="AM18" s="416">
        <v>0</v>
      </c>
      <c r="AN18" s="416">
        <f>AR11</f>
        <v>98</v>
      </c>
      <c r="AQ18" s="416" t="s">
        <v>558</v>
      </c>
      <c r="AR18" s="416">
        <v>174</v>
      </c>
      <c r="AS18" s="416">
        <v>23660</v>
      </c>
      <c r="AU18" s="419" t="s">
        <v>591</v>
      </c>
      <c r="AV18" s="419">
        <v>101</v>
      </c>
      <c r="AW18" s="419">
        <v>14960</v>
      </c>
    </row>
    <row r="19" spans="1:49" ht="14.25" customHeight="1" x14ac:dyDescent="0.25">
      <c r="A19" s="498" t="s">
        <v>212</v>
      </c>
      <c r="B19" s="498" t="s">
        <v>190</v>
      </c>
      <c r="C19" s="499" t="s">
        <v>160</v>
      </c>
      <c r="D19" s="500">
        <v>0</v>
      </c>
      <c r="E19" s="501">
        <v>4440.7718236525388</v>
      </c>
      <c r="F19" s="502">
        <v>1</v>
      </c>
      <c r="G19" s="538">
        <v>12000</v>
      </c>
      <c r="H19" s="499" t="s">
        <v>711</v>
      </c>
      <c r="I19" s="499">
        <v>60</v>
      </c>
      <c r="J19" s="503">
        <f t="shared" si="9"/>
        <v>5</v>
      </c>
      <c r="K19" s="504">
        <f t="shared" si="5"/>
        <v>0.37006431863771155</v>
      </c>
      <c r="L19" s="504">
        <f t="shared" si="6"/>
        <v>0</v>
      </c>
      <c r="M19" s="504" t="s">
        <v>26</v>
      </c>
      <c r="N19" s="504">
        <f t="shared" si="7"/>
        <v>22.203859118262692</v>
      </c>
      <c r="O19" s="504">
        <f t="shared" si="8"/>
        <v>0</v>
      </c>
      <c r="AJ19" s="417">
        <v>2</v>
      </c>
      <c r="AK19" s="417" t="s">
        <v>43</v>
      </c>
      <c r="AL19" s="417">
        <f>AS26</f>
        <v>34860</v>
      </c>
      <c r="AM19" s="417">
        <v>1000</v>
      </c>
      <c r="AN19" s="417">
        <f>AR26</f>
        <v>240</v>
      </c>
      <c r="AQ19" s="416" t="s">
        <v>559</v>
      </c>
      <c r="AR19" s="416">
        <v>117</v>
      </c>
      <c r="AS19" s="416">
        <v>17170</v>
      </c>
      <c r="AU19" s="419" t="s">
        <v>558</v>
      </c>
      <c r="AV19" s="419">
        <v>101</v>
      </c>
      <c r="AW19" s="419">
        <v>14960</v>
      </c>
    </row>
    <row r="20" spans="1:49" ht="14.25" customHeight="1" x14ac:dyDescent="0.25">
      <c r="A20" s="491" t="s">
        <v>193</v>
      </c>
      <c r="B20" s="491" t="s">
        <v>190</v>
      </c>
      <c r="C20" s="492" t="s">
        <v>160</v>
      </c>
      <c r="D20" s="493">
        <v>1442.4750000000001</v>
      </c>
      <c r="E20" s="494">
        <v>2264.3672107644684</v>
      </c>
      <c r="F20" s="495">
        <v>1</v>
      </c>
      <c r="G20" s="539">
        <f>259*12</f>
        <v>3108</v>
      </c>
      <c r="H20" s="496" t="s">
        <v>719</v>
      </c>
      <c r="I20" s="497">
        <v>115</v>
      </c>
      <c r="J20" s="497">
        <f t="shared" si="9"/>
        <v>37.001287001286997</v>
      </c>
      <c r="K20" s="496">
        <f t="shared" si="5"/>
        <v>0.72856087862434638</v>
      </c>
      <c r="L20" s="496">
        <f t="shared" si="6"/>
        <v>0.4641167953667954</v>
      </c>
      <c r="M20" s="496" t="s">
        <v>26</v>
      </c>
      <c r="N20" s="496">
        <f t="shared" si="7"/>
        <v>83.784501041799828</v>
      </c>
      <c r="O20" s="496">
        <f t="shared" si="8"/>
        <v>53.373431467181469</v>
      </c>
      <c r="AJ20" s="417">
        <v>2</v>
      </c>
      <c r="AK20" s="417" t="s">
        <v>44</v>
      </c>
      <c r="AL20" s="417">
        <f>AS27</f>
        <v>32310</v>
      </c>
      <c r="AM20" s="417">
        <v>500</v>
      </c>
      <c r="AN20" s="417">
        <f>AR27</f>
        <v>223</v>
      </c>
      <c r="AQ20" s="416" t="s">
        <v>560</v>
      </c>
      <c r="AR20" s="416">
        <v>117</v>
      </c>
      <c r="AS20" s="416">
        <v>17170</v>
      </c>
      <c r="AU20" s="419" t="s">
        <v>784</v>
      </c>
      <c r="AV20" s="419">
        <v>220</v>
      </c>
      <c r="AW20" s="419">
        <v>30140</v>
      </c>
    </row>
    <row r="21" spans="1:49" ht="14.25" customHeight="1" x14ac:dyDescent="0.25">
      <c r="A21" s="491" t="s">
        <v>202</v>
      </c>
      <c r="B21" s="491" t="s">
        <v>190</v>
      </c>
      <c r="C21" s="492" t="s">
        <v>14</v>
      </c>
      <c r="D21" s="493">
        <v>1157.4516685014437</v>
      </c>
      <c r="E21" s="494">
        <v>2460.342827280243</v>
      </c>
      <c r="F21" s="495">
        <v>1</v>
      </c>
      <c r="G21" s="539">
        <f>3780*4</f>
        <v>15120</v>
      </c>
      <c r="H21" s="496" t="s">
        <v>720</v>
      </c>
      <c r="I21" s="497">
        <v>170</v>
      </c>
      <c r="J21" s="497">
        <f t="shared" si="9"/>
        <v>11.243386243386244</v>
      </c>
      <c r="K21" s="496">
        <f t="shared" si="5"/>
        <v>0.16272108646033354</v>
      </c>
      <c r="L21" s="496">
        <f t="shared" si="6"/>
        <v>7.6551036276550508E-2</v>
      </c>
      <c r="M21" s="496" t="s">
        <v>26</v>
      </c>
      <c r="N21" s="496">
        <f t="shared" si="7"/>
        <v>27.662584698256701</v>
      </c>
      <c r="O21" s="496">
        <f t="shared" si="8"/>
        <v>13.013676167013585</v>
      </c>
      <c r="AJ21" s="417">
        <v>2</v>
      </c>
      <c r="AK21" s="417" t="s">
        <v>782</v>
      </c>
      <c r="AL21" s="417">
        <f>AS32</f>
        <v>28020</v>
      </c>
      <c r="AM21" s="417">
        <v>500</v>
      </c>
      <c r="AN21" s="417">
        <f>AR32</f>
        <v>187</v>
      </c>
      <c r="AQ21" s="416" t="s">
        <v>561</v>
      </c>
      <c r="AR21" s="416">
        <v>85</v>
      </c>
      <c r="AS21" s="416">
        <v>12110</v>
      </c>
      <c r="AU21" s="419" t="s">
        <v>592</v>
      </c>
      <c r="AV21" s="419">
        <v>220</v>
      </c>
      <c r="AW21" s="419">
        <v>30140</v>
      </c>
    </row>
    <row r="22" spans="1:49" ht="14.25" customHeight="1" x14ac:dyDescent="0.25">
      <c r="A22" s="491" t="s">
        <v>196</v>
      </c>
      <c r="B22" s="491" t="s">
        <v>190</v>
      </c>
      <c r="C22" s="492" t="s">
        <v>160</v>
      </c>
      <c r="D22" s="493">
        <v>896.13542526837318</v>
      </c>
      <c r="E22" s="494">
        <v>1609.5123483452969</v>
      </c>
      <c r="F22" s="495">
        <v>1</v>
      </c>
      <c r="G22" s="539">
        <f>600*12</f>
        <v>7200</v>
      </c>
      <c r="H22" s="496" t="s">
        <v>197</v>
      </c>
      <c r="I22" s="497">
        <v>107</v>
      </c>
      <c r="J22" s="497">
        <f t="shared" si="9"/>
        <v>14.861111111111111</v>
      </c>
      <c r="K22" s="496">
        <f t="shared" si="5"/>
        <v>0.22354338171462457</v>
      </c>
      <c r="L22" s="496">
        <f t="shared" si="6"/>
        <v>0.12446325350949627</v>
      </c>
      <c r="M22" s="496" t="s">
        <v>26</v>
      </c>
      <c r="N22" s="496">
        <f t="shared" si="7"/>
        <v>23.919141843464828</v>
      </c>
      <c r="O22" s="496">
        <f t="shared" si="8"/>
        <v>13.317568125516102</v>
      </c>
      <c r="AJ22" s="417">
        <v>2</v>
      </c>
      <c r="AK22" s="417" t="s">
        <v>46</v>
      </c>
      <c r="AL22" s="417">
        <f>AS39</f>
        <v>19710</v>
      </c>
      <c r="AM22" s="417">
        <v>1000</v>
      </c>
      <c r="AN22" s="417">
        <f>AR39</f>
        <v>140</v>
      </c>
      <c r="AQ22" s="416" t="s">
        <v>549</v>
      </c>
      <c r="AR22" s="416">
        <v>85</v>
      </c>
      <c r="AS22" s="416">
        <v>12110</v>
      </c>
      <c r="AU22" s="419" t="s">
        <v>593</v>
      </c>
      <c r="AV22" s="419">
        <v>160</v>
      </c>
      <c r="AW22" s="419">
        <v>22660</v>
      </c>
    </row>
    <row r="23" spans="1:49" ht="14.25" customHeight="1" x14ac:dyDescent="0.25">
      <c r="A23" s="491" t="s">
        <v>192</v>
      </c>
      <c r="B23" s="491" t="s">
        <v>190</v>
      </c>
      <c r="C23" s="492" t="s">
        <v>160</v>
      </c>
      <c r="D23" s="493">
        <v>820.01700424997546</v>
      </c>
      <c r="E23" s="494">
        <v>3784.1801603657996</v>
      </c>
      <c r="F23" s="495">
        <v>1</v>
      </c>
      <c r="G23" s="539">
        <f>355*6</f>
        <v>2130</v>
      </c>
      <c r="H23" s="496" t="s">
        <v>718</v>
      </c>
      <c r="I23" s="497">
        <v>125</v>
      </c>
      <c r="J23" s="497">
        <f t="shared" si="9"/>
        <v>58.685446009389672</v>
      </c>
      <c r="K23" s="496">
        <f t="shared" si="5"/>
        <v>1.7766104039276054</v>
      </c>
      <c r="L23" s="496">
        <f t="shared" si="6"/>
        <v>0.38498450903754716</v>
      </c>
      <c r="M23" s="496" t="s">
        <v>26</v>
      </c>
      <c r="N23" s="496">
        <f t="shared" si="7"/>
        <v>222.07630049095067</v>
      </c>
      <c r="O23" s="496">
        <f t="shared" si="8"/>
        <v>48.123063629693398</v>
      </c>
      <c r="AJ23" s="417">
        <v>2</v>
      </c>
      <c r="AK23" s="417" t="s">
        <v>48</v>
      </c>
      <c r="AL23" s="417">
        <f>AS29</f>
        <v>36760</v>
      </c>
      <c r="AM23" s="417">
        <v>1000</v>
      </c>
      <c r="AN23" s="417">
        <f>AR29</f>
        <v>266</v>
      </c>
      <c r="AQ23" s="416" t="s">
        <v>562</v>
      </c>
      <c r="AR23" s="416">
        <v>55</v>
      </c>
      <c r="AS23" s="416">
        <v>55</v>
      </c>
      <c r="AU23" s="419" t="s">
        <v>594</v>
      </c>
      <c r="AV23" s="419">
        <v>160</v>
      </c>
      <c r="AW23" s="419">
        <v>22660</v>
      </c>
    </row>
    <row r="24" spans="1:49" ht="14.25" customHeight="1" x14ac:dyDescent="0.25">
      <c r="A24" s="491" t="s">
        <v>194</v>
      </c>
      <c r="B24" s="491" t="s">
        <v>190</v>
      </c>
      <c r="C24" s="492" t="s">
        <v>160</v>
      </c>
      <c r="D24" s="493">
        <v>0</v>
      </c>
      <c r="E24" s="494">
        <v>876.51714304993288</v>
      </c>
      <c r="F24" s="495">
        <v>1</v>
      </c>
      <c r="G24" s="539">
        <f>625*12</f>
        <v>7500</v>
      </c>
      <c r="H24" s="496" t="s">
        <v>195</v>
      </c>
      <c r="I24" s="497">
        <v>170</v>
      </c>
      <c r="J24" s="497">
        <f t="shared" si="9"/>
        <v>22.666666666666668</v>
      </c>
      <c r="K24" s="496">
        <f t="shared" si="5"/>
        <v>0.11686895240665772</v>
      </c>
      <c r="L24" s="496">
        <f t="shared" si="6"/>
        <v>0</v>
      </c>
      <c r="M24" s="496" t="s">
        <v>26</v>
      </c>
      <c r="N24" s="496">
        <f t="shared" si="7"/>
        <v>19.867721909131813</v>
      </c>
      <c r="O24" s="496">
        <f t="shared" si="8"/>
        <v>0</v>
      </c>
      <c r="AJ24" s="417">
        <v>2</v>
      </c>
      <c r="AK24" s="417" t="s">
        <v>51</v>
      </c>
      <c r="AL24" s="417">
        <f>AS35</f>
        <v>10610</v>
      </c>
      <c r="AM24" s="417">
        <v>0</v>
      </c>
      <c r="AN24" s="417">
        <f>AR35</f>
        <v>75</v>
      </c>
      <c r="AQ24" s="416" t="s">
        <v>828</v>
      </c>
      <c r="AR24" s="416">
        <v>148</v>
      </c>
      <c r="AS24" s="416">
        <v>148</v>
      </c>
      <c r="AU24" s="419" t="s">
        <v>595</v>
      </c>
      <c r="AV24" s="419">
        <v>137</v>
      </c>
      <c r="AW24" s="419">
        <v>18910</v>
      </c>
    </row>
    <row r="25" spans="1:49" ht="14.25" customHeight="1" x14ac:dyDescent="0.25">
      <c r="A25" s="491" t="s">
        <v>198</v>
      </c>
      <c r="B25" s="491" t="s">
        <v>190</v>
      </c>
      <c r="C25" s="492" t="s">
        <v>160</v>
      </c>
      <c r="D25" s="493">
        <v>3022.3530210361082</v>
      </c>
      <c r="E25" s="494">
        <v>22095.037124908991</v>
      </c>
      <c r="F25" s="495">
        <v>1</v>
      </c>
      <c r="G25" s="539">
        <f>4*5000</f>
        <v>20000</v>
      </c>
      <c r="H25" s="496" t="s">
        <v>199</v>
      </c>
      <c r="I25" s="497">
        <v>65</v>
      </c>
      <c r="J25" s="497">
        <f t="shared" si="9"/>
        <v>3.25</v>
      </c>
      <c r="K25" s="496">
        <f t="shared" si="5"/>
        <v>1.1047518562454495</v>
      </c>
      <c r="L25" s="496">
        <f t="shared" si="6"/>
        <v>0.15111765105180541</v>
      </c>
      <c r="M25" s="496" t="s">
        <v>26</v>
      </c>
      <c r="N25" s="496">
        <f t="shared" si="7"/>
        <v>71.808870655954209</v>
      </c>
      <c r="O25" s="496">
        <f t="shared" si="8"/>
        <v>9.8226473183673519</v>
      </c>
      <c r="AJ25" s="417">
        <v>2</v>
      </c>
      <c r="AK25" s="417" t="s">
        <v>53</v>
      </c>
      <c r="AL25" s="417">
        <f>AS37</f>
        <v>16690</v>
      </c>
      <c r="AM25" s="417">
        <v>1000</v>
      </c>
      <c r="AN25" s="417">
        <f>AR37</f>
        <v>119</v>
      </c>
      <c r="AU25" s="419" t="s">
        <v>549</v>
      </c>
      <c r="AV25" s="419">
        <v>137</v>
      </c>
      <c r="AW25" s="419">
        <v>18910</v>
      </c>
    </row>
    <row r="26" spans="1:49" ht="14.25" customHeight="1" x14ac:dyDescent="0.25">
      <c r="A26" s="491" t="s">
        <v>678</v>
      </c>
      <c r="B26" s="491" t="s">
        <v>190</v>
      </c>
      <c r="C26" s="492" t="s">
        <v>14</v>
      </c>
      <c r="D26" s="493">
        <v>9758.021485789106</v>
      </c>
      <c r="E26" s="494">
        <v>50345.491626199575</v>
      </c>
      <c r="F26" s="495">
        <v>1</v>
      </c>
      <c r="G26" s="539">
        <f>24*400</f>
        <v>9600</v>
      </c>
      <c r="H26" s="496" t="s">
        <v>157</v>
      </c>
      <c r="I26" s="497">
        <v>78.260000000000005</v>
      </c>
      <c r="J26" s="497">
        <f t="shared" si="9"/>
        <v>8.1520833333333336</v>
      </c>
      <c r="K26" s="496">
        <f t="shared" si="5"/>
        <v>5.2443220443957888</v>
      </c>
      <c r="L26" s="496">
        <f t="shared" si="6"/>
        <v>1.0164605714363653</v>
      </c>
      <c r="M26" s="496" t="s">
        <v>26</v>
      </c>
      <c r="N26" s="496">
        <f t="shared" si="7"/>
        <v>410.42064319441448</v>
      </c>
      <c r="O26" s="496">
        <f t="shared" si="8"/>
        <v>79.548204320609955</v>
      </c>
      <c r="AI26" s="14"/>
      <c r="AJ26" s="417">
        <v>2</v>
      </c>
      <c r="AK26" s="418" t="s">
        <v>834</v>
      </c>
      <c r="AL26" s="417">
        <f>AS44</f>
        <v>15820</v>
      </c>
      <c r="AM26" s="417">
        <v>1000</v>
      </c>
      <c r="AN26" s="417">
        <f>AR44</f>
        <v>109</v>
      </c>
      <c r="AQ26" s="417" t="s">
        <v>563</v>
      </c>
      <c r="AR26" s="417">
        <v>240</v>
      </c>
      <c r="AS26" s="417">
        <v>34860</v>
      </c>
      <c r="AU26" s="419" t="s">
        <v>596</v>
      </c>
      <c r="AV26" s="419">
        <v>73</v>
      </c>
      <c r="AW26" s="419">
        <v>73</v>
      </c>
    </row>
    <row r="27" spans="1:49" ht="14.25" customHeight="1" x14ac:dyDescent="0.25">
      <c r="A27" s="498" t="s">
        <v>208</v>
      </c>
      <c r="B27" s="498" t="s">
        <v>190</v>
      </c>
      <c r="C27" s="499" t="s">
        <v>160</v>
      </c>
      <c r="D27" s="500">
        <v>0</v>
      </c>
      <c r="E27" s="501">
        <v>496.89958017663685</v>
      </c>
      <c r="F27" s="502">
        <v>1</v>
      </c>
      <c r="G27" s="538">
        <f>3700*4.5</f>
        <v>16650</v>
      </c>
      <c r="H27" s="499" t="s">
        <v>712</v>
      </c>
      <c r="I27" s="499">
        <v>36</v>
      </c>
      <c r="J27" s="503">
        <f t="shared" ref="J27" si="10">I27/(G27/1000)</f>
        <v>2.1621621621621623</v>
      </c>
      <c r="K27" s="504">
        <f t="shared" ref="K27:K29" si="11">(E27/F27)/G27</f>
        <v>2.9843818629227439E-2</v>
      </c>
      <c r="L27" s="504">
        <f t="shared" ref="L27:L29" si="12">(D27/F27)/G27</f>
        <v>0</v>
      </c>
      <c r="M27" s="504" t="s">
        <v>26</v>
      </c>
      <c r="N27" s="504">
        <f t="shared" ref="N27:N29" si="13">K27*I27</f>
        <v>1.0743774706521878</v>
      </c>
      <c r="O27" s="504">
        <f t="shared" ref="O27:O29" si="14">L27*I27</f>
        <v>0</v>
      </c>
      <c r="AI27" s="14"/>
      <c r="AJ27" s="417">
        <v>2</v>
      </c>
      <c r="AK27" s="418" t="s">
        <v>835</v>
      </c>
      <c r="AL27" s="417">
        <f>AS47</f>
        <v>173</v>
      </c>
      <c r="AM27" s="417">
        <v>5</v>
      </c>
      <c r="AN27" s="417">
        <f>AS47</f>
        <v>173</v>
      </c>
      <c r="AQ27" s="417" t="s">
        <v>546</v>
      </c>
      <c r="AR27" s="417">
        <v>223</v>
      </c>
      <c r="AS27" s="417">
        <v>32310</v>
      </c>
      <c r="AU27" s="419" t="s">
        <v>844</v>
      </c>
      <c r="AV27" s="419">
        <v>171</v>
      </c>
      <c r="AW27" s="419">
        <v>24410</v>
      </c>
    </row>
    <row r="28" spans="1:49" ht="14.25" customHeight="1" x14ac:dyDescent="0.25">
      <c r="A28" s="498" t="s">
        <v>477</v>
      </c>
      <c r="B28" s="498" t="s">
        <v>190</v>
      </c>
      <c r="C28" s="499" t="s">
        <v>14</v>
      </c>
      <c r="D28" s="500">
        <v>0</v>
      </c>
      <c r="E28" s="501">
        <v>683.87640449438197</v>
      </c>
      <c r="F28" s="502">
        <v>1</v>
      </c>
      <c r="G28" s="538">
        <v>3540</v>
      </c>
      <c r="H28" s="499" t="s">
        <v>721</v>
      </c>
      <c r="I28" s="499">
        <v>125</v>
      </c>
      <c r="J28" s="503">
        <v>35.310734463276837</v>
      </c>
      <c r="K28" s="504">
        <f t="shared" si="11"/>
        <v>0.19318542499841299</v>
      </c>
      <c r="L28" s="504">
        <f t="shared" si="12"/>
        <v>0</v>
      </c>
      <c r="M28" s="504" t="s">
        <v>15</v>
      </c>
      <c r="N28" s="504">
        <f t="shared" si="13"/>
        <v>24.148178124801625</v>
      </c>
      <c r="O28" s="504">
        <f t="shared" si="14"/>
        <v>0</v>
      </c>
      <c r="AJ28" s="417">
        <v>2</v>
      </c>
      <c r="AK28" s="418" t="s">
        <v>836</v>
      </c>
      <c r="AL28" s="417">
        <f>AR48</f>
        <v>143</v>
      </c>
      <c r="AM28" s="417">
        <v>5</v>
      </c>
      <c r="AN28" s="417">
        <f>AS48</f>
        <v>143</v>
      </c>
      <c r="AQ28" s="417" t="s">
        <v>547</v>
      </c>
      <c r="AR28" s="417">
        <v>17</v>
      </c>
      <c r="AS28" s="417">
        <v>2550</v>
      </c>
      <c r="AU28" s="419" t="s">
        <v>845</v>
      </c>
      <c r="AV28" s="419">
        <v>191</v>
      </c>
      <c r="AW28" s="419">
        <v>191</v>
      </c>
    </row>
    <row r="29" spans="1:49" ht="14.25" customHeight="1" x14ac:dyDescent="0.25">
      <c r="A29" s="498" t="s">
        <v>905</v>
      </c>
      <c r="B29" s="498" t="s">
        <v>190</v>
      </c>
      <c r="C29" s="499" t="s">
        <v>160</v>
      </c>
      <c r="D29" s="500">
        <v>448.06771263418659</v>
      </c>
      <c r="E29" s="501">
        <v>448.06771263418659</v>
      </c>
      <c r="F29" s="502">
        <v>1</v>
      </c>
      <c r="G29" s="538">
        <v>3540</v>
      </c>
      <c r="H29" s="499" t="s">
        <v>907</v>
      </c>
      <c r="I29" s="499">
        <v>118</v>
      </c>
      <c r="J29" s="503">
        <f>I29/(G29/1000)</f>
        <v>33.333333333333336</v>
      </c>
      <c r="K29" s="504">
        <f t="shared" si="11"/>
        <v>0.12657280017914876</v>
      </c>
      <c r="L29" s="504">
        <f t="shared" si="12"/>
        <v>0.12657280017914876</v>
      </c>
      <c r="M29" s="504" t="s">
        <v>26</v>
      </c>
      <c r="N29" s="504">
        <f t="shared" si="13"/>
        <v>14.935590421139555</v>
      </c>
      <c r="O29" s="504">
        <f t="shared" si="14"/>
        <v>14.935590421139555</v>
      </c>
      <c r="AJ29" s="417">
        <v>2</v>
      </c>
      <c r="AK29" s="418" t="s">
        <v>56</v>
      </c>
      <c r="AL29" s="417">
        <f>AS42</f>
        <v>25730</v>
      </c>
      <c r="AM29" s="417">
        <v>500</v>
      </c>
      <c r="AN29" s="417">
        <f>AR42</f>
        <v>183</v>
      </c>
      <c r="AQ29" s="417" t="s">
        <v>564</v>
      </c>
      <c r="AR29" s="417">
        <v>266</v>
      </c>
      <c r="AS29" s="417">
        <v>36760</v>
      </c>
    </row>
    <row r="30" spans="1:49" ht="14.25" customHeight="1" x14ac:dyDescent="0.25">
      <c r="AJ30" s="417">
        <v>2</v>
      </c>
      <c r="AK30" s="417" t="s">
        <v>57</v>
      </c>
      <c r="AL30" s="417">
        <f>AS28+AS30+AS33+AS41+AS45</f>
        <v>11400</v>
      </c>
      <c r="AM30" s="417">
        <v>0</v>
      </c>
      <c r="AN30" s="417">
        <f>AR28+AR30+AR33+AR41+AR45</f>
        <v>76</v>
      </c>
      <c r="AQ30" s="417" t="s">
        <v>551</v>
      </c>
      <c r="AR30" s="417">
        <v>13</v>
      </c>
      <c r="AS30" s="417">
        <v>1950</v>
      </c>
      <c r="AU30" s="420" t="s">
        <v>696</v>
      </c>
      <c r="AV30" s="420">
        <v>129</v>
      </c>
      <c r="AW30" s="420">
        <v>129</v>
      </c>
    </row>
    <row r="31" spans="1:49" ht="13.5" customHeight="1" x14ac:dyDescent="0.25">
      <c r="A31" s="505" t="s">
        <v>207</v>
      </c>
      <c r="B31" s="505" t="s">
        <v>204</v>
      </c>
      <c r="C31" s="506" t="s">
        <v>160</v>
      </c>
      <c r="D31" s="507">
        <v>0</v>
      </c>
      <c r="E31" s="508">
        <v>15303.537387424611</v>
      </c>
      <c r="F31" s="509">
        <v>1</v>
      </c>
      <c r="G31" s="510">
        <v>1000</v>
      </c>
      <c r="H31" s="510" t="s">
        <v>205</v>
      </c>
      <c r="I31" s="511">
        <v>0</v>
      </c>
      <c r="J31" s="535">
        <f t="shared" ref="J31:J32" si="15">I31/(G31/1000)</f>
        <v>0</v>
      </c>
      <c r="K31" s="510">
        <f>(E31/F31)/G31</f>
        <v>15.30353738742461</v>
      </c>
      <c r="L31" s="510">
        <f>(D31/F31)/G31</f>
        <v>0</v>
      </c>
      <c r="M31" s="510" t="s">
        <v>205</v>
      </c>
      <c r="N31" s="510">
        <f>K31*I31</f>
        <v>0</v>
      </c>
      <c r="O31" s="510">
        <f>L31*I31</f>
        <v>0</v>
      </c>
      <c r="AJ31" s="415">
        <v>3</v>
      </c>
      <c r="AK31" s="415" t="s">
        <v>58</v>
      </c>
      <c r="AL31" s="415">
        <f>AS52</f>
        <v>27420</v>
      </c>
      <c r="AM31" s="415">
        <v>1000</v>
      </c>
      <c r="AN31" s="415">
        <f>AR52</f>
        <v>192</v>
      </c>
      <c r="AQ31" s="417" t="s">
        <v>565</v>
      </c>
      <c r="AR31" s="417">
        <v>253</v>
      </c>
      <c r="AS31" s="417">
        <v>34810</v>
      </c>
      <c r="AU31" s="420" t="s">
        <v>597</v>
      </c>
      <c r="AV31" s="420">
        <v>52</v>
      </c>
      <c r="AW31" s="420">
        <v>52</v>
      </c>
    </row>
    <row r="32" spans="1:49" ht="14.25" customHeight="1" x14ac:dyDescent="0.25">
      <c r="A32" s="505" t="s">
        <v>523</v>
      </c>
      <c r="B32" s="505" t="s">
        <v>204</v>
      </c>
      <c r="C32" s="506" t="s">
        <v>160</v>
      </c>
      <c r="D32" s="507">
        <v>34.380000000000003</v>
      </c>
      <c r="E32" s="508">
        <v>5733.0714432989689</v>
      </c>
      <c r="F32" s="509">
        <v>1</v>
      </c>
      <c r="G32" s="510">
        <v>1000</v>
      </c>
      <c r="H32" s="510" t="s">
        <v>205</v>
      </c>
      <c r="I32" s="511">
        <v>0</v>
      </c>
      <c r="J32" s="535">
        <f t="shared" si="15"/>
        <v>0</v>
      </c>
      <c r="K32" s="510">
        <f>(E32/F32)/G32</f>
        <v>5.7330714432989689</v>
      </c>
      <c r="L32" s="510">
        <f>(D32/F32)/G32</f>
        <v>3.4380000000000001E-2</v>
      </c>
      <c r="M32" s="510" t="s">
        <v>205</v>
      </c>
      <c r="N32" s="510">
        <f>K32*I32</f>
        <v>0</v>
      </c>
      <c r="O32" s="510">
        <f>L32*I32</f>
        <v>0</v>
      </c>
      <c r="AJ32" s="415">
        <v>3</v>
      </c>
      <c r="AK32" s="415" t="s">
        <v>59</v>
      </c>
      <c r="AL32" s="415">
        <f>AS55</f>
        <v>23160</v>
      </c>
      <c r="AM32" s="415">
        <v>500</v>
      </c>
      <c r="AN32" s="415">
        <f>AR55</f>
        <v>162</v>
      </c>
      <c r="AQ32" s="417" t="s">
        <v>785</v>
      </c>
      <c r="AR32" s="417">
        <v>187</v>
      </c>
      <c r="AS32" s="417">
        <v>28020</v>
      </c>
      <c r="AU32" s="420" t="s">
        <v>598</v>
      </c>
      <c r="AV32" s="420">
        <v>99</v>
      </c>
      <c r="AW32" s="420">
        <v>14470</v>
      </c>
    </row>
    <row r="33" spans="1:49" ht="14.25" customHeight="1" x14ac:dyDescent="0.25">
      <c r="A33" s="505" t="s">
        <v>211</v>
      </c>
      <c r="B33" s="505" t="s">
        <v>204</v>
      </c>
      <c r="C33" s="506" t="s">
        <v>160</v>
      </c>
      <c r="D33" s="507">
        <v>62.530612244897966</v>
      </c>
      <c r="E33" s="508">
        <v>350.1184904723122</v>
      </c>
      <c r="F33" s="509">
        <v>1</v>
      </c>
      <c r="G33" s="537">
        <v>10000</v>
      </c>
      <c r="H33" s="506" t="s">
        <v>728</v>
      </c>
      <c r="I33" s="506">
        <v>155</v>
      </c>
      <c r="J33" s="535">
        <f>I33/(G33/1000)</f>
        <v>15.5</v>
      </c>
      <c r="K33" s="510">
        <f t="shared" ref="K33:K36" si="16">(E33/F33)/G33</f>
        <v>3.5011849047231224E-2</v>
      </c>
      <c r="L33" s="510">
        <f t="shared" ref="L33:L36" si="17">(D33/F33)/G33</f>
        <v>6.2530612244897964E-3</v>
      </c>
      <c r="M33" s="510" t="s">
        <v>205</v>
      </c>
      <c r="N33" s="510">
        <f t="shared" ref="N33:N36" si="18">K33*I33</f>
        <v>5.4268366023208401</v>
      </c>
      <c r="O33" s="510">
        <f t="shared" ref="O33:O36" si="19">L33*I33</f>
        <v>0.96922448979591846</v>
      </c>
      <c r="AJ33" s="415">
        <v>3</v>
      </c>
      <c r="AK33" s="415" t="s">
        <v>63</v>
      </c>
      <c r="AL33" s="415">
        <f>AS56</f>
        <v>23160</v>
      </c>
      <c r="AM33" s="415">
        <v>500</v>
      </c>
      <c r="AN33" s="415">
        <f>AR55</f>
        <v>162</v>
      </c>
      <c r="AQ33" s="417" t="s">
        <v>547</v>
      </c>
      <c r="AR33" s="417">
        <v>16</v>
      </c>
      <c r="AS33" s="417">
        <v>2400</v>
      </c>
      <c r="AU33" s="420" t="s">
        <v>599</v>
      </c>
      <c r="AV33" s="420">
        <v>93</v>
      </c>
      <c r="AW33" s="420">
        <v>13570</v>
      </c>
    </row>
    <row r="34" spans="1:49" ht="14.25" customHeight="1" x14ac:dyDescent="0.25">
      <c r="A34" s="505" t="s">
        <v>206</v>
      </c>
      <c r="B34" s="505" t="s">
        <v>204</v>
      </c>
      <c r="C34" s="506" t="s">
        <v>160</v>
      </c>
      <c r="D34" s="507">
        <v>0</v>
      </c>
      <c r="E34" s="508">
        <v>293.47500000000002</v>
      </c>
      <c r="F34" s="509">
        <v>1</v>
      </c>
      <c r="G34" s="510">
        <f>270*24</f>
        <v>6480</v>
      </c>
      <c r="H34" s="510" t="s">
        <v>727</v>
      </c>
      <c r="I34" s="511">
        <v>95.65</v>
      </c>
      <c r="J34" s="535">
        <f t="shared" ref="J34:J36" si="20">I34/(G34/1000)</f>
        <v>14.760802469135802</v>
      </c>
      <c r="K34" s="510">
        <f t="shared" si="16"/>
        <v>4.5289351851851858E-2</v>
      </c>
      <c r="L34" s="510">
        <f t="shared" si="17"/>
        <v>0</v>
      </c>
      <c r="M34" s="510" t="s">
        <v>205</v>
      </c>
      <c r="N34" s="510">
        <f t="shared" si="18"/>
        <v>4.3319265046296307</v>
      </c>
      <c r="O34" s="510">
        <f t="shared" si="19"/>
        <v>0</v>
      </c>
      <c r="AJ34" s="415">
        <v>3</v>
      </c>
      <c r="AK34" s="415" t="s">
        <v>104</v>
      </c>
      <c r="AL34" s="415">
        <f>AS57</f>
        <v>14850</v>
      </c>
      <c r="AM34" s="415">
        <v>1000</v>
      </c>
      <c r="AN34" s="415">
        <f>AR57</f>
        <v>114</v>
      </c>
      <c r="AQ34" s="417" t="s">
        <v>556</v>
      </c>
      <c r="AR34" s="417">
        <v>171</v>
      </c>
      <c r="AS34" s="417">
        <v>25620</v>
      </c>
      <c r="AU34" s="420" t="s">
        <v>551</v>
      </c>
      <c r="AV34" s="420">
        <v>6</v>
      </c>
      <c r="AW34" s="420">
        <v>900</v>
      </c>
    </row>
    <row r="35" spans="1:49" ht="14.25" customHeight="1" x14ac:dyDescent="0.25">
      <c r="A35" s="505" t="s">
        <v>829</v>
      </c>
      <c r="B35" s="505" t="s">
        <v>204</v>
      </c>
      <c r="C35" s="506" t="s">
        <v>160</v>
      </c>
      <c r="D35" s="507">
        <v>1479.9101123595506</v>
      </c>
      <c r="E35" s="508">
        <v>3662.9213483146068</v>
      </c>
      <c r="F35" s="509">
        <v>1</v>
      </c>
      <c r="G35" s="510">
        <v>1000</v>
      </c>
      <c r="H35" s="510" t="s">
        <v>205</v>
      </c>
      <c r="I35" s="511">
        <v>0</v>
      </c>
      <c r="J35" s="535">
        <v>0</v>
      </c>
      <c r="K35" s="510">
        <f t="shared" si="16"/>
        <v>3.6629213483146068</v>
      </c>
      <c r="L35" s="510">
        <f t="shared" si="17"/>
        <v>1.4799101123595506</v>
      </c>
      <c r="M35" s="510" t="s">
        <v>205</v>
      </c>
      <c r="N35" s="510">
        <f t="shared" si="18"/>
        <v>0</v>
      </c>
      <c r="O35" s="510">
        <f t="shared" si="19"/>
        <v>0</v>
      </c>
      <c r="AJ35" s="415">
        <v>3</v>
      </c>
      <c r="AK35" s="415" t="s">
        <v>67</v>
      </c>
      <c r="AL35" s="415">
        <f>AS60</f>
        <v>28510</v>
      </c>
      <c r="AM35" s="415">
        <v>500</v>
      </c>
      <c r="AN35" s="415">
        <f>AR60</f>
        <v>195</v>
      </c>
      <c r="AQ35" s="417" t="s">
        <v>566</v>
      </c>
      <c r="AR35" s="417">
        <v>75</v>
      </c>
      <c r="AS35" s="417">
        <v>10610</v>
      </c>
      <c r="AU35" s="420" t="s">
        <v>600</v>
      </c>
      <c r="AV35" s="420">
        <v>254</v>
      </c>
      <c r="AW35" s="420">
        <v>35950</v>
      </c>
    </row>
    <row r="36" spans="1:49" ht="14.25" customHeight="1" x14ac:dyDescent="0.25">
      <c r="A36" s="505" t="s">
        <v>203</v>
      </c>
      <c r="B36" s="505" t="s">
        <v>204</v>
      </c>
      <c r="C36" s="506" t="s">
        <v>160</v>
      </c>
      <c r="D36" s="507">
        <v>10968.876923076925</v>
      </c>
      <c r="E36" s="508">
        <v>523226.54215069453</v>
      </c>
      <c r="F36" s="509">
        <v>1</v>
      </c>
      <c r="G36" s="510">
        <v>1000</v>
      </c>
      <c r="H36" s="510" t="s">
        <v>205</v>
      </c>
      <c r="I36" s="511">
        <v>0</v>
      </c>
      <c r="J36" s="535">
        <f t="shared" si="20"/>
        <v>0</v>
      </c>
      <c r="K36" s="510">
        <f t="shared" si="16"/>
        <v>523.22654215069451</v>
      </c>
      <c r="L36" s="510">
        <f t="shared" si="17"/>
        <v>10.968876923076925</v>
      </c>
      <c r="M36" s="510" t="s">
        <v>205</v>
      </c>
      <c r="N36" s="510">
        <f t="shared" si="18"/>
        <v>0</v>
      </c>
      <c r="O36" s="510">
        <f t="shared" si="19"/>
        <v>0</v>
      </c>
      <c r="U36" s="720"/>
      <c r="V36" s="720"/>
      <c r="AJ36" s="415">
        <v>3</v>
      </c>
      <c r="AK36" s="415" t="s">
        <v>794</v>
      </c>
      <c r="AL36" s="415">
        <f>AS63</f>
        <v>23580</v>
      </c>
      <c r="AM36" s="415">
        <v>500</v>
      </c>
      <c r="AN36" s="415">
        <f>AR63</f>
        <v>169</v>
      </c>
      <c r="AQ36" s="417" t="s">
        <v>558</v>
      </c>
      <c r="AR36" s="417">
        <v>75</v>
      </c>
      <c r="AS36" s="417">
        <v>10610</v>
      </c>
      <c r="AU36" s="420" t="s">
        <v>558</v>
      </c>
      <c r="AV36" s="420">
        <v>237</v>
      </c>
      <c r="AW36" s="420">
        <v>33400</v>
      </c>
    </row>
    <row r="37" spans="1:49" ht="14.25" customHeight="1" x14ac:dyDescent="0.25">
      <c r="U37" s="720"/>
      <c r="V37" s="720"/>
      <c r="AJ37" s="415">
        <v>3</v>
      </c>
      <c r="AK37" s="415" t="s">
        <v>72</v>
      </c>
      <c r="AL37" s="415">
        <f>AS66</f>
        <v>20640</v>
      </c>
      <c r="AM37" s="415">
        <v>0</v>
      </c>
      <c r="AN37" s="415">
        <f>AR66</f>
        <v>141</v>
      </c>
      <c r="AQ37" s="417" t="s">
        <v>567</v>
      </c>
      <c r="AR37" s="417">
        <v>119</v>
      </c>
      <c r="AS37" s="417">
        <v>16690</v>
      </c>
      <c r="AU37" s="420" t="s">
        <v>547</v>
      </c>
      <c r="AV37" s="420">
        <v>17</v>
      </c>
      <c r="AW37" s="420">
        <v>2550</v>
      </c>
    </row>
    <row r="38" spans="1:49" ht="14.25" customHeight="1" x14ac:dyDescent="0.25">
      <c r="A38" s="20" t="s">
        <v>704</v>
      </c>
      <c r="B38" s="20" t="s">
        <v>94</v>
      </c>
      <c r="C38" s="21" t="s">
        <v>14</v>
      </c>
      <c r="D38" s="22">
        <v>0</v>
      </c>
      <c r="E38" s="23">
        <v>101.4</v>
      </c>
      <c r="F38" s="645">
        <v>1</v>
      </c>
      <c r="G38" s="532">
        <f>12*200</f>
        <v>2400</v>
      </c>
      <c r="H38" s="23" t="s">
        <v>726</v>
      </c>
      <c r="I38" s="24">
        <v>104</v>
      </c>
      <c r="J38" s="24">
        <f>I38/(G38/1000)</f>
        <v>43.333333333333336</v>
      </c>
      <c r="K38" s="23">
        <f t="shared" ref="K38:K66" si="21">(E38/F38)/G38</f>
        <v>4.2250000000000003E-2</v>
      </c>
      <c r="L38" s="23">
        <f t="shared" ref="L38:L66" si="22">(D38/F38)/G38</f>
        <v>0</v>
      </c>
      <c r="M38" s="23" t="s">
        <v>45</v>
      </c>
      <c r="N38" s="23">
        <f t="shared" ref="N38:N66" si="23">K38*I38</f>
        <v>4.3940000000000001</v>
      </c>
      <c r="O38" s="23">
        <f t="shared" ref="O38:O66" si="24">L38*I38</f>
        <v>0</v>
      </c>
      <c r="U38" s="720"/>
      <c r="V38" s="720"/>
      <c r="AJ38" s="415">
        <v>3</v>
      </c>
      <c r="AK38" s="415" t="s">
        <v>73</v>
      </c>
      <c r="AL38" s="415">
        <f>AS66</f>
        <v>20640</v>
      </c>
      <c r="AM38" s="415">
        <v>0</v>
      </c>
      <c r="AN38" s="415">
        <f>AR66</f>
        <v>141</v>
      </c>
      <c r="AQ38" s="417" t="s">
        <v>568</v>
      </c>
      <c r="AR38" s="417">
        <v>119</v>
      </c>
      <c r="AS38" s="417">
        <v>16690</v>
      </c>
      <c r="AU38" s="420" t="s">
        <v>601</v>
      </c>
      <c r="AV38" s="420">
        <v>110</v>
      </c>
      <c r="AW38" s="420">
        <v>15560</v>
      </c>
    </row>
    <row r="39" spans="1:49" ht="14.25" customHeight="1" x14ac:dyDescent="0.25">
      <c r="A39" s="20" t="s">
        <v>135</v>
      </c>
      <c r="B39" s="20" t="s">
        <v>94</v>
      </c>
      <c r="C39" s="21" t="s">
        <v>14</v>
      </c>
      <c r="D39" s="22">
        <v>0</v>
      </c>
      <c r="E39" s="23">
        <v>69.274475524475591</v>
      </c>
      <c r="F39" s="645">
        <v>1</v>
      </c>
      <c r="G39" s="532">
        <v>1000</v>
      </c>
      <c r="H39" s="23" t="s">
        <v>45</v>
      </c>
      <c r="I39" s="24">
        <v>43</v>
      </c>
      <c r="J39" s="24">
        <f>I39</f>
        <v>43</v>
      </c>
      <c r="K39" s="23">
        <f t="shared" si="21"/>
        <v>6.927447552447559E-2</v>
      </c>
      <c r="L39" s="23">
        <f t="shared" si="22"/>
        <v>0</v>
      </c>
      <c r="M39" s="23" t="s">
        <v>45</v>
      </c>
      <c r="N39" s="23">
        <f t="shared" si="23"/>
        <v>2.9788024475524502</v>
      </c>
      <c r="O39" s="23">
        <f t="shared" si="24"/>
        <v>0</v>
      </c>
      <c r="U39" s="720"/>
      <c r="V39" s="720"/>
      <c r="AJ39" s="415">
        <v>3</v>
      </c>
      <c r="AK39" s="415" t="s">
        <v>74</v>
      </c>
      <c r="AL39" s="415">
        <f>AS68</f>
        <v>30040</v>
      </c>
      <c r="AM39" s="415">
        <v>500</v>
      </c>
      <c r="AN39" s="415">
        <f>AR68</f>
        <v>220</v>
      </c>
      <c r="AQ39" s="417" t="s">
        <v>569</v>
      </c>
      <c r="AR39" s="417">
        <v>140</v>
      </c>
      <c r="AS39" s="417">
        <v>19710</v>
      </c>
      <c r="AU39" s="420" t="s">
        <v>594</v>
      </c>
      <c r="AV39" s="420">
        <v>110</v>
      </c>
      <c r="AW39" s="420">
        <v>15560</v>
      </c>
    </row>
    <row r="40" spans="1:49" ht="14.25" customHeight="1" x14ac:dyDescent="0.25">
      <c r="A40" s="20" t="s">
        <v>99</v>
      </c>
      <c r="B40" s="20" t="s">
        <v>94</v>
      </c>
      <c r="C40" s="21" t="s">
        <v>14</v>
      </c>
      <c r="D40" s="22">
        <v>261.30718001039997</v>
      </c>
      <c r="E40" s="23">
        <v>1519.6140125831359</v>
      </c>
      <c r="F40" s="645">
        <v>1</v>
      </c>
      <c r="G40" s="532">
        <v>1000</v>
      </c>
      <c r="H40" s="23" t="s">
        <v>45</v>
      </c>
      <c r="I40" s="24">
        <v>31</v>
      </c>
      <c r="J40" s="24">
        <f t="shared" ref="J40:J56" si="25">I40/(G40/1000)</f>
        <v>31</v>
      </c>
      <c r="K40" s="23">
        <f t="shared" si="21"/>
        <v>1.5196140125831359</v>
      </c>
      <c r="L40" s="23">
        <f t="shared" si="22"/>
        <v>0.26130718001039999</v>
      </c>
      <c r="M40" s="23" t="s">
        <v>45</v>
      </c>
      <c r="N40" s="23">
        <f t="shared" si="23"/>
        <v>47.108034390077215</v>
      </c>
      <c r="O40" s="23">
        <f t="shared" si="24"/>
        <v>8.1005225803223997</v>
      </c>
      <c r="U40" s="720"/>
      <c r="V40" s="720"/>
      <c r="AJ40" s="415">
        <v>3</v>
      </c>
      <c r="AK40" s="415" t="s">
        <v>675</v>
      </c>
      <c r="AL40" s="415">
        <f>AS69</f>
        <v>30040</v>
      </c>
      <c r="AM40" s="415">
        <v>0</v>
      </c>
      <c r="AN40" s="415">
        <f>AR69</f>
        <v>220</v>
      </c>
      <c r="AQ40" s="417" t="s">
        <v>558</v>
      </c>
      <c r="AR40" s="417">
        <v>129</v>
      </c>
      <c r="AS40" s="417">
        <v>18060</v>
      </c>
      <c r="AU40" s="420" t="s">
        <v>786</v>
      </c>
      <c r="AV40" s="420">
        <v>215</v>
      </c>
      <c r="AW40" s="420">
        <v>30120</v>
      </c>
    </row>
    <row r="41" spans="1:49" ht="14.25" customHeight="1" x14ac:dyDescent="0.25">
      <c r="A41" s="20" t="s">
        <v>97</v>
      </c>
      <c r="B41" s="20" t="s">
        <v>94</v>
      </c>
      <c r="C41" s="21" t="s">
        <v>14</v>
      </c>
      <c r="D41" s="22">
        <v>0</v>
      </c>
      <c r="E41" s="23">
        <v>132.4658844848839</v>
      </c>
      <c r="F41" s="645">
        <v>1</v>
      </c>
      <c r="G41" s="532">
        <v>1000</v>
      </c>
      <c r="H41" s="23" t="s">
        <v>45</v>
      </c>
      <c r="I41" s="24">
        <v>38</v>
      </c>
      <c r="J41" s="24">
        <f t="shared" si="25"/>
        <v>38</v>
      </c>
      <c r="K41" s="23">
        <f t="shared" si="21"/>
        <v>0.13246588448488389</v>
      </c>
      <c r="L41" s="23">
        <f t="shared" si="22"/>
        <v>0</v>
      </c>
      <c r="M41" s="23" t="s">
        <v>45</v>
      </c>
      <c r="N41" s="23">
        <f t="shared" si="23"/>
        <v>5.0337036104255874</v>
      </c>
      <c r="O41" s="23">
        <f t="shared" si="24"/>
        <v>0</v>
      </c>
      <c r="U41" s="720"/>
      <c r="V41" s="720"/>
      <c r="AJ41" s="415">
        <v>3</v>
      </c>
      <c r="AK41" s="415" t="s">
        <v>76</v>
      </c>
      <c r="AL41" s="415">
        <f>AS70</f>
        <v>14250</v>
      </c>
      <c r="AM41" s="415">
        <v>1000</v>
      </c>
      <c r="AN41" s="415">
        <f>AR70</f>
        <v>101</v>
      </c>
      <c r="AQ41" s="417" t="s">
        <v>547</v>
      </c>
      <c r="AR41" s="417">
        <v>11</v>
      </c>
      <c r="AS41" s="417">
        <v>1650</v>
      </c>
      <c r="AU41" s="420" t="s">
        <v>602</v>
      </c>
      <c r="AV41" s="420">
        <v>202</v>
      </c>
      <c r="AW41" s="420">
        <v>28170</v>
      </c>
    </row>
    <row r="42" spans="1:49" ht="14.25" customHeight="1" x14ac:dyDescent="0.25">
      <c r="A42" s="20" t="s">
        <v>128</v>
      </c>
      <c r="B42" s="20" t="s">
        <v>94</v>
      </c>
      <c r="C42" s="21" t="s">
        <v>14</v>
      </c>
      <c r="D42" s="22">
        <v>0</v>
      </c>
      <c r="E42" s="23">
        <v>39.887560096153848</v>
      </c>
      <c r="F42" s="645">
        <v>1</v>
      </c>
      <c r="G42" s="532">
        <v>1000</v>
      </c>
      <c r="H42" s="23" t="s">
        <v>45</v>
      </c>
      <c r="I42" s="24">
        <v>107</v>
      </c>
      <c r="J42" s="24">
        <f t="shared" si="25"/>
        <v>107</v>
      </c>
      <c r="K42" s="23">
        <f t="shared" si="21"/>
        <v>3.9887560096153851E-2</v>
      </c>
      <c r="L42" s="23">
        <f t="shared" si="22"/>
        <v>0</v>
      </c>
      <c r="M42" s="23" t="s">
        <v>45</v>
      </c>
      <c r="N42" s="23">
        <f t="shared" si="23"/>
        <v>4.267968930288462</v>
      </c>
      <c r="O42" s="23">
        <f t="shared" si="24"/>
        <v>0</v>
      </c>
      <c r="U42" s="720"/>
      <c r="V42" s="720"/>
      <c r="AJ42" s="415">
        <v>3</v>
      </c>
      <c r="AK42" s="415" t="s">
        <v>77</v>
      </c>
      <c r="AL42" s="415">
        <f>AS72</f>
        <v>16110</v>
      </c>
      <c r="AM42" s="415">
        <v>1000</v>
      </c>
      <c r="AN42" s="415">
        <f>AR72</f>
        <v>109</v>
      </c>
      <c r="AQ42" s="417" t="s">
        <v>570</v>
      </c>
      <c r="AR42" s="417">
        <v>183</v>
      </c>
      <c r="AS42" s="417">
        <v>25730</v>
      </c>
      <c r="AU42" s="420" t="s">
        <v>547</v>
      </c>
      <c r="AV42" s="420">
        <v>13</v>
      </c>
      <c r="AW42" s="420">
        <v>1950</v>
      </c>
    </row>
    <row r="43" spans="1:49" ht="14.25" customHeight="1" x14ac:dyDescent="0.25">
      <c r="A43" s="20" t="s">
        <v>126</v>
      </c>
      <c r="B43" s="20" t="s">
        <v>94</v>
      </c>
      <c r="C43" s="21" t="s">
        <v>14</v>
      </c>
      <c r="D43" s="22">
        <v>0</v>
      </c>
      <c r="E43" s="23">
        <v>334.21352213670571</v>
      </c>
      <c r="F43" s="645">
        <v>1</v>
      </c>
      <c r="G43" s="532">
        <v>1000</v>
      </c>
      <c r="H43" s="23" t="s">
        <v>45</v>
      </c>
      <c r="I43" s="24">
        <v>125</v>
      </c>
      <c r="J43" s="24">
        <f t="shared" si="25"/>
        <v>125</v>
      </c>
      <c r="K43" s="23">
        <f t="shared" si="21"/>
        <v>0.33421352213670569</v>
      </c>
      <c r="L43" s="23">
        <f t="shared" si="22"/>
        <v>0</v>
      </c>
      <c r="M43" s="23" t="s">
        <v>45</v>
      </c>
      <c r="N43" s="23">
        <f t="shared" si="23"/>
        <v>41.776690267088213</v>
      </c>
      <c r="O43" s="23">
        <f t="shared" si="24"/>
        <v>0</v>
      </c>
      <c r="U43" s="720"/>
      <c r="V43" s="720"/>
      <c r="AJ43" s="415">
        <v>3</v>
      </c>
      <c r="AK43" s="415" t="s">
        <v>78</v>
      </c>
      <c r="AL43" s="415">
        <f>AS76</f>
        <v>310</v>
      </c>
      <c r="AM43" s="415">
        <v>2</v>
      </c>
      <c r="AN43" s="415">
        <f>AR76</f>
        <v>310</v>
      </c>
      <c r="AQ43" s="417" t="s">
        <v>549</v>
      </c>
      <c r="AR43" s="417">
        <v>183</v>
      </c>
      <c r="AS43" s="417">
        <v>25730</v>
      </c>
      <c r="AU43" s="420" t="s">
        <v>603</v>
      </c>
      <c r="AV43" s="420">
        <v>122</v>
      </c>
      <c r="AW43" s="420">
        <v>16580</v>
      </c>
    </row>
    <row r="44" spans="1:49" ht="14.25" customHeight="1" x14ac:dyDescent="0.25">
      <c r="A44" s="20" t="s">
        <v>122</v>
      </c>
      <c r="B44" s="20" t="s">
        <v>94</v>
      </c>
      <c r="C44" s="21" t="s">
        <v>14</v>
      </c>
      <c r="D44" s="22">
        <v>106.56357927786499</v>
      </c>
      <c r="E44" s="23">
        <v>540.72855684908495</v>
      </c>
      <c r="F44" s="645">
        <v>1</v>
      </c>
      <c r="G44" s="532">
        <v>1000</v>
      </c>
      <c r="H44" s="23" t="s">
        <v>45</v>
      </c>
      <c r="I44" s="24">
        <v>14</v>
      </c>
      <c r="J44" s="24">
        <f t="shared" si="25"/>
        <v>14</v>
      </c>
      <c r="K44" s="23">
        <f t="shared" si="21"/>
        <v>0.54072855684908494</v>
      </c>
      <c r="L44" s="23">
        <f t="shared" si="22"/>
        <v>0.10656357927786499</v>
      </c>
      <c r="M44" s="23" t="s">
        <v>45</v>
      </c>
      <c r="N44" s="23">
        <f t="shared" si="23"/>
        <v>7.5701997958871896</v>
      </c>
      <c r="O44" s="23">
        <f t="shared" si="24"/>
        <v>1.4918901098901098</v>
      </c>
      <c r="U44" s="720"/>
      <c r="V44" s="720"/>
      <c r="AJ44" s="415">
        <v>3</v>
      </c>
      <c r="AK44" s="415" t="s">
        <v>843</v>
      </c>
      <c r="AL44" s="415">
        <f>AR75</f>
        <v>213</v>
      </c>
      <c r="AM44" s="415">
        <v>5</v>
      </c>
      <c r="AN44" s="415">
        <f>AS75</f>
        <v>213</v>
      </c>
      <c r="AQ44" s="417" t="s">
        <v>837</v>
      </c>
      <c r="AR44" s="417">
        <v>109</v>
      </c>
      <c r="AS44" s="417">
        <v>15820</v>
      </c>
      <c r="AU44" s="420" t="s">
        <v>604</v>
      </c>
      <c r="AV44" s="420">
        <v>111</v>
      </c>
      <c r="AW44" s="420">
        <v>14930</v>
      </c>
    </row>
    <row r="45" spans="1:49" ht="14.25" customHeight="1" x14ac:dyDescent="0.25">
      <c r="A45" s="20" t="s">
        <v>120</v>
      </c>
      <c r="B45" s="20" t="s">
        <v>94</v>
      </c>
      <c r="C45" s="21" t="s">
        <v>14</v>
      </c>
      <c r="D45" s="22">
        <v>0</v>
      </c>
      <c r="E45" s="23">
        <v>87.310687064012143</v>
      </c>
      <c r="F45" s="645">
        <v>1</v>
      </c>
      <c r="G45" s="532">
        <v>1000</v>
      </c>
      <c r="H45" s="23" t="s">
        <v>45</v>
      </c>
      <c r="I45" s="24">
        <v>15</v>
      </c>
      <c r="J45" s="24">
        <f t="shared" si="25"/>
        <v>15</v>
      </c>
      <c r="K45" s="23">
        <f t="shared" si="21"/>
        <v>8.7310687064012141E-2</v>
      </c>
      <c r="L45" s="23">
        <f t="shared" si="22"/>
        <v>0</v>
      </c>
      <c r="M45" s="23" t="s">
        <v>45</v>
      </c>
      <c r="N45" s="23">
        <f t="shared" si="23"/>
        <v>1.3096603059601821</v>
      </c>
      <c r="O45" s="23">
        <f t="shared" si="24"/>
        <v>0</v>
      </c>
      <c r="U45" s="720"/>
      <c r="V45" s="720"/>
      <c r="AJ45" s="415">
        <v>3</v>
      </c>
      <c r="AK45" s="415" t="s">
        <v>81</v>
      </c>
      <c r="AL45" s="415">
        <f>AS74+AS51</f>
        <v>118</v>
      </c>
      <c r="AM45" s="415">
        <v>5</v>
      </c>
      <c r="AN45" s="415">
        <f>AR74+AR51</f>
        <v>118</v>
      </c>
      <c r="AQ45" s="417" t="s">
        <v>547</v>
      </c>
      <c r="AR45" s="417">
        <v>19</v>
      </c>
      <c r="AS45" s="417">
        <v>2850</v>
      </c>
      <c r="AU45" s="420" t="s">
        <v>547</v>
      </c>
      <c r="AV45" s="420">
        <v>11</v>
      </c>
      <c r="AW45" s="420">
        <v>1650</v>
      </c>
    </row>
    <row r="46" spans="1:49" ht="14.25" customHeight="1" x14ac:dyDescent="0.25">
      <c r="A46" s="20" t="s">
        <v>124</v>
      </c>
      <c r="B46" s="20" t="s">
        <v>94</v>
      </c>
      <c r="C46" s="21" t="s">
        <v>14</v>
      </c>
      <c r="D46" s="22">
        <v>0</v>
      </c>
      <c r="E46" s="23">
        <v>159.53850160680958</v>
      </c>
      <c r="F46" s="645">
        <v>1</v>
      </c>
      <c r="G46" s="532">
        <v>1000</v>
      </c>
      <c r="H46" s="23" t="s">
        <v>45</v>
      </c>
      <c r="I46" s="24">
        <v>37</v>
      </c>
      <c r="J46" s="24">
        <f t="shared" si="25"/>
        <v>37</v>
      </c>
      <c r="K46" s="23">
        <f t="shared" si="21"/>
        <v>0.15953850160680957</v>
      </c>
      <c r="L46" s="23">
        <f t="shared" si="22"/>
        <v>0</v>
      </c>
      <c r="M46" s="23" t="s">
        <v>45</v>
      </c>
      <c r="N46" s="23">
        <f t="shared" si="23"/>
        <v>5.9029245594519546</v>
      </c>
      <c r="O46" s="23">
        <f t="shared" si="24"/>
        <v>0</v>
      </c>
      <c r="U46" s="720"/>
      <c r="V46" s="720"/>
      <c r="AJ46" s="415">
        <v>3</v>
      </c>
      <c r="AK46" s="415" t="s">
        <v>83</v>
      </c>
      <c r="AL46" s="415">
        <f>AS65</f>
        <v>20430</v>
      </c>
      <c r="AM46" s="415">
        <v>0</v>
      </c>
      <c r="AN46" s="415">
        <f>AR65</f>
        <v>148</v>
      </c>
      <c r="AQ46" s="417" t="s">
        <v>838</v>
      </c>
      <c r="AR46" s="417">
        <v>90</v>
      </c>
      <c r="AS46" s="417">
        <v>12970</v>
      </c>
      <c r="AU46" s="420" t="s">
        <v>605</v>
      </c>
      <c r="AV46" s="420">
        <v>86</v>
      </c>
      <c r="AW46" s="420">
        <v>11950</v>
      </c>
    </row>
    <row r="47" spans="1:49" ht="14.25" customHeight="1" x14ac:dyDescent="0.25">
      <c r="A47" s="20" t="s">
        <v>107</v>
      </c>
      <c r="B47" s="20" t="s">
        <v>94</v>
      </c>
      <c r="C47" s="21" t="s">
        <v>14</v>
      </c>
      <c r="D47" s="22">
        <v>480.71409733124017</v>
      </c>
      <c r="E47" s="23">
        <v>2884.6692173016904</v>
      </c>
      <c r="F47" s="645">
        <v>1</v>
      </c>
      <c r="G47" s="532">
        <v>1000</v>
      </c>
      <c r="H47" s="23" t="s">
        <v>45</v>
      </c>
      <c r="I47" s="24">
        <v>8</v>
      </c>
      <c r="J47" s="24">
        <f t="shared" si="25"/>
        <v>8</v>
      </c>
      <c r="K47" s="23">
        <f t="shared" si="21"/>
        <v>2.8846692173016906</v>
      </c>
      <c r="L47" s="23">
        <f t="shared" si="22"/>
        <v>0.48071409733124015</v>
      </c>
      <c r="M47" s="23" t="s">
        <v>45</v>
      </c>
      <c r="N47" s="23">
        <f t="shared" si="23"/>
        <v>23.077353738413525</v>
      </c>
      <c r="O47" s="23">
        <f t="shared" si="24"/>
        <v>3.8457127786499212</v>
      </c>
      <c r="U47" s="720"/>
      <c r="V47" s="720"/>
      <c r="AH47" s="25"/>
      <c r="AJ47" s="415">
        <v>3</v>
      </c>
      <c r="AK47" s="415" t="s">
        <v>86</v>
      </c>
      <c r="AL47" s="415">
        <f>AS54</f>
        <v>24570</v>
      </c>
      <c r="AM47" s="415">
        <v>0</v>
      </c>
      <c r="AN47" s="415">
        <f>AR54</f>
        <v>173</v>
      </c>
      <c r="AQ47" s="417" t="s">
        <v>839</v>
      </c>
      <c r="AR47" s="417">
        <v>173</v>
      </c>
      <c r="AS47" s="417">
        <v>173</v>
      </c>
      <c r="AU47" s="420" t="s">
        <v>558</v>
      </c>
      <c r="AV47" s="420">
        <v>75</v>
      </c>
      <c r="AW47" s="420">
        <v>10300</v>
      </c>
    </row>
    <row r="48" spans="1:49" ht="16.5" customHeight="1" x14ac:dyDescent="0.25">
      <c r="A48" s="20" t="s">
        <v>105</v>
      </c>
      <c r="B48" s="20" t="s">
        <v>94</v>
      </c>
      <c r="C48" s="21" t="s">
        <v>14</v>
      </c>
      <c r="D48" s="22">
        <v>445.74418888042652</v>
      </c>
      <c r="E48" s="23">
        <v>3213.2989671660748</v>
      </c>
      <c r="F48" s="645">
        <v>1</v>
      </c>
      <c r="G48" s="532">
        <v>1000</v>
      </c>
      <c r="H48" s="23" t="s">
        <v>45</v>
      </c>
      <c r="I48" s="24">
        <v>15</v>
      </c>
      <c r="J48" s="24">
        <f t="shared" si="25"/>
        <v>15</v>
      </c>
      <c r="K48" s="23">
        <f t="shared" si="21"/>
        <v>3.2132989671660748</v>
      </c>
      <c r="L48" s="23">
        <f t="shared" si="22"/>
        <v>0.4457441888804265</v>
      </c>
      <c r="M48" s="23" t="s">
        <v>45</v>
      </c>
      <c r="N48" s="23">
        <f t="shared" si="23"/>
        <v>48.199484507491121</v>
      </c>
      <c r="O48" s="23">
        <f t="shared" si="24"/>
        <v>6.6861628332063976</v>
      </c>
      <c r="U48" s="720"/>
      <c r="V48" s="720"/>
      <c r="AH48" s="25"/>
      <c r="AJ48" s="415">
        <v>3</v>
      </c>
      <c r="AK48" s="415" t="s">
        <v>89</v>
      </c>
      <c r="AL48" s="415">
        <f>AS53+AS58+AS61+AS64</f>
        <v>9160</v>
      </c>
      <c r="AM48" s="415">
        <v>0</v>
      </c>
      <c r="AN48" s="415">
        <f>AR53+AR58+AR61+AR64</f>
        <v>71</v>
      </c>
      <c r="AQ48" s="417" t="s">
        <v>840</v>
      </c>
      <c r="AR48" s="417">
        <v>143</v>
      </c>
      <c r="AS48" s="417">
        <v>143</v>
      </c>
      <c r="AU48" s="420" t="s">
        <v>547</v>
      </c>
      <c r="AV48" s="420">
        <v>11</v>
      </c>
      <c r="AW48" s="420">
        <v>1650</v>
      </c>
    </row>
    <row r="49" spans="1:49" ht="14.25" customHeight="1" x14ac:dyDescent="0.25">
      <c r="A49" s="20" t="s">
        <v>103</v>
      </c>
      <c r="B49" s="20" t="s">
        <v>94</v>
      </c>
      <c r="C49" s="21" t="s">
        <v>14</v>
      </c>
      <c r="D49" s="22">
        <v>0</v>
      </c>
      <c r="E49" s="23">
        <v>195.626226002414</v>
      </c>
      <c r="F49" s="645">
        <v>1</v>
      </c>
      <c r="G49" s="532">
        <v>1000</v>
      </c>
      <c r="H49" s="23" t="s">
        <v>45</v>
      </c>
      <c r="I49" s="24">
        <v>19</v>
      </c>
      <c r="J49" s="24">
        <f t="shared" si="25"/>
        <v>19</v>
      </c>
      <c r="K49" s="23">
        <f t="shared" si="21"/>
        <v>0.195626226002414</v>
      </c>
      <c r="L49" s="23">
        <f t="shared" si="22"/>
        <v>0</v>
      </c>
      <c r="M49" s="23" t="s">
        <v>45</v>
      </c>
      <c r="N49" s="23">
        <f t="shared" si="23"/>
        <v>3.7168982940458659</v>
      </c>
      <c r="O49" s="23">
        <f t="shared" si="24"/>
        <v>0</v>
      </c>
      <c r="U49" s="720"/>
      <c r="V49" s="720"/>
      <c r="AH49" s="25"/>
      <c r="AJ49" s="419">
        <v>4</v>
      </c>
      <c r="AK49" s="419" t="s">
        <v>91</v>
      </c>
      <c r="AL49" s="419">
        <f>AW4</f>
        <v>28260</v>
      </c>
      <c r="AM49" s="419">
        <v>1000</v>
      </c>
      <c r="AN49" s="419">
        <f>AV4</f>
        <v>199</v>
      </c>
      <c r="AU49" s="420" t="s">
        <v>606</v>
      </c>
      <c r="AV49" s="420">
        <v>352</v>
      </c>
      <c r="AW49" s="420">
        <v>107600</v>
      </c>
    </row>
    <row r="50" spans="1:49" ht="14.25" customHeight="1" x14ac:dyDescent="0.25">
      <c r="A50" s="20" t="s">
        <v>108</v>
      </c>
      <c r="B50" s="20" t="s">
        <v>94</v>
      </c>
      <c r="C50" s="21" t="s">
        <v>14</v>
      </c>
      <c r="D50" s="22">
        <v>49.128728414442733</v>
      </c>
      <c r="E50" s="23">
        <v>557.86387044273613</v>
      </c>
      <c r="F50" s="645">
        <v>1</v>
      </c>
      <c r="G50" s="532">
        <v>1000</v>
      </c>
      <c r="H50" s="23" t="s">
        <v>45</v>
      </c>
      <c r="I50" s="24">
        <v>26.5</v>
      </c>
      <c r="J50" s="24">
        <f t="shared" si="25"/>
        <v>26.5</v>
      </c>
      <c r="K50" s="23">
        <f t="shared" si="21"/>
        <v>0.55786387044273611</v>
      </c>
      <c r="L50" s="23">
        <f t="shared" si="22"/>
        <v>4.9128728414442734E-2</v>
      </c>
      <c r="M50" s="23" t="s">
        <v>45</v>
      </c>
      <c r="N50" s="23">
        <f t="shared" si="23"/>
        <v>14.783392566732507</v>
      </c>
      <c r="O50" s="23">
        <f t="shared" si="24"/>
        <v>1.3019113029827325</v>
      </c>
      <c r="U50" s="720"/>
      <c r="V50" s="720"/>
      <c r="AH50" s="26"/>
      <c r="AJ50" s="419">
        <v>4</v>
      </c>
      <c r="AK50" s="419" t="s">
        <v>92</v>
      </c>
      <c r="AL50" s="419">
        <f>AW4</f>
        <v>28260</v>
      </c>
      <c r="AM50" s="419">
        <v>500</v>
      </c>
      <c r="AN50" s="419">
        <f>AV4</f>
        <v>199</v>
      </c>
      <c r="AQ50" s="415" t="s">
        <v>896</v>
      </c>
      <c r="AR50" s="415">
        <v>76</v>
      </c>
      <c r="AS50" s="415">
        <v>76</v>
      </c>
      <c r="AU50" s="420" t="s">
        <v>607</v>
      </c>
      <c r="AV50" s="420">
        <v>73</v>
      </c>
      <c r="AW50" s="420">
        <v>10440</v>
      </c>
    </row>
    <row r="51" spans="1:49" ht="14.25" customHeight="1" x14ac:dyDescent="0.25">
      <c r="A51" s="20" t="s">
        <v>131</v>
      </c>
      <c r="B51" s="20" t="s">
        <v>94</v>
      </c>
      <c r="C51" s="21" t="s">
        <v>14</v>
      </c>
      <c r="D51" s="22">
        <v>0</v>
      </c>
      <c r="E51" s="23">
        <v>24.594871794871807</v>
      </c>
      <c r="F51" s="645">
        <v>1</v>
      </c>
      <c r="G51" s="532">
        <v>1000</v>
      </c>
      <c r="H51" s="23" t="s">
        <v>45</v>
      </c>
      <c r="I51" s="24">
        <v>10</v>
      </c>
      <c r="J51" s="24">
        <f t="shared" si="25"/>
        <v>10</v>
      </c>
      <c r="K51" s="23">
        <f t="shared" si="21"/>
        <v>2.4594871794871808E-2</v>
      </c>
      <c r="L51" s="23">
        <f t="shared" si="22"/>
        <v>0</v>
      </c>
      <c r="M51" s="23" t="s">
        <v>45</v>
      </c>
      <c r="N51" s="23">
        <f t="shared" si="23"/>
        <v>0.24594871794871809</v>
      </c>
      <c r="O51" s="23">
        <f t="shared" si="24"/>
        <v>0</v>
      </c>
      <c r="Q51" s="1"/>
      <c r="U51" s="720"/>
      <c r="V51" s="720"/>
      <c r="AH51" s="26"/>
      <c r="AJ51" s="419">
        <v>4</v>
      </c>
      <c r="AK51" s="419" t="s">
        <v>96</v>
      </c>
      <c r="AL51" s="419">
        <f>AW7</f>
        <v>13640</v>
      </c>
      <c r="AM51" s="419">
        <v>0</v>
      </c>
      <c r="AN51" s="419">
        <f>AV7</f>
        <v>96</v>
      </c>
      <c r="AQ51" s="415" t="s">
        <v>571</v>
      </c>
      <c r="AR51" s="415">
        <v>52</v>
      </c>
      <c r="AS51" s="415">
        <v>52</v>
      </c>
      <c r="AU51" s="420" t="s">
        <v>546</v>
      </c>
      <c r="AV51" s="420">
        <v>73</v>
      </c>
      <c r="AW51" s="420">
        <v>10440</v>
      </c>
    </row>
    <row r="52" spans="1:49" ht="14.25" customHeight="1" x14ac:dyDescent="0.25">
      <c r="A52" s="20" t="s">
        <v>149</v>
      </c>
      <c r="B52" s="20" t="s">
        <v>94</v>
      </c>
      <c r="C52" s="21" t="s">
        <v>14</v>
      </c>
      <c r="D52" s="22">
        <v>445.83267070008662</v>
      </c>
      <c r="E52" s="23">
        <v>1386.0843772599794</v>
      </c>
      <c r="F52" s="645">
        <v>1</v>
      </c>
      <c r="G52" s="532">
        <v>1000</v>
      </c>
      <c r="H52" s="23" t="s">
        <v>45</v>
      </c>
      <c r="I52" s="24">
        <v>10</v>
      </c>
      <c r="J52" s="24">
        <f t="shared" si="25"/>
        <v>10</v>
      </c>
      <c r="K52" s="23">
        <f t="shared" si="21"/>
        <v>1.3860843772599793</v>
      </c>
      <c r="L52" s="23">
        <f t="shared" si="22"/>
        <v>0.44583267070008664</v>
      </c>
      <c r="M52" s="23" t="s">
        <v>45</v>
      </c>
      <c r="N52" s="23">
        <f t="shared" si="23"/>
        <v>13.860843772599793</v>
      </c>
      <c r="O52" s="23">
        <f t="shared" si="24"/>
        <v>4.4583267070008663</v>
      </c>
      <c r="Q52" s="1"/>
      <c r="U52" s="720"/>
      <c r="V52" s="720"/>
      <c r="AH52" s="26"/>
      <c r="AJ52" s="419">
        <v>4</v>
      </c>
      <c r="AK52" s="419" t="s">
        <v>98</v>
      </c>
      <c r="AL52" s="419">
        <f>AW10</f>
        <v>20400</v>
      </c>
      <c r="AM52" s="419">
        <v>0</v>
      </c>
      <c r="AN52" s="419">
        <f>AV10</f>
        <v>149</v>
      </c>
      <c r="AQ52" s="415" t="s">
        <v>572</v>
      </c>
      <c r="AR52" s="415">
        <v>192</v>
      </c>
      <c r="AS52" s="415">
        <v>27420</v>
      </c>
      <c r="AU52" s="420" t="s">
        <v>608</v>
      </c>
      <c r="AV52" s="420">
        <v>116</v>
      </c>
      <c r="AW52" s="420">
        <v>16250</v>
      </c>
    </row>
    <row r="53" spans="1:49" ht="14.25" customHeight="1" x14ac:dyDescent="0.25">
      <c r="A53" s="20" t="s">
        <v>141</v>
      </c>
      <c r="B53" s="20" t="s">
        <v>94</v>
      </c>
      <c r="C53" s="21" t="s">
        <v>14</v>
      </c>
      <c r="D53" s="22">
        <v>0</v>
      </c>
      <c r="E53" s="23">
        <v>17.170000000000002</v>
      </c>
      <c r="F53" s="645">
        <v>1</v>
      </c>
      <c r="G53" s="532">
        <v>34</v>
      </c>
      <c r="H53" s="23" t="s">
        <v>142</v>
      </c>
      <c r="I53" s="24">
        <v>8.5</v>
      </c>
      <c r="J53" s="24">
        <f t="shared" si="25"/>
        <v>249.99999999999997</v>
      </c>
      <c r="K53" s="23">
        <f t="shared" si="21"/>
        <v>0.505</v>
      </c>
      <c r="L53" s="23">
        <f t="shared" si="22"/>
        <v>0</v>
      </c>
      <c r="M53" s="23" t="s">
        <v>142</v>
      </c>
      <c r="N53" s="23">
        <f t="shared" si="23"/>
        <v>4.2925000000000004</v>
      </c>
      <c r="O53" s="23">
        <f t="shared" si="24"/>
        <v>0</v>
      </c>
      <c r="Q53" s="1"/>
      <c r="U53" s="720"/>
      <c r="V53" s="720"/>
      <c r="AJ53" s="419">
        <v>4</v>
      </c>
      <c r="AK53" s="419" t="s">
        <v>100</v>
      </c>
      <c r="AL53" s="419">
        <f>AW11</f>
        <v>20400</v>
      </c>
      <c r="AM53" s="419">
        <v>0</v>
      </c>
      <c r="AN53" s="419">
        <f>AV10</f>
        <v>149</v>
      </c>
      <c r="AQ53" s="415" t="s">
        <v>547</v>
      </c>
      <c r="AR53" s="415">
        <v>19</v>
      </c>
      <c r="AS53" s="415">
        <v>2850</v>
      </c>
      <c r="AU53" s="420" t="s">
        <v>549</v>
      </c>
      <c r="AV53" s="420">
        <v>116</v>
      </c>
      <c r="AW53" s="420">
        <v>16250</v>
      </c>
    </row>
    <row r="54" spans="1:49" ht="14.25" customHeight="1" x14ac:dyDescent="0.25">
      <c r="A54" s="20" t="s">
        <v>136</v>
      </c>
      <c r="B54" s="20" t="s">
        <v>94</v>
      </c>
      <c r="C54" s="21" t="s">
        <v>14</v>
      </c>
      <c r="D54" s="22">
        <v>339.67500000000001</v>
      </c>
      <c r="E54" s="23">
        <v>689.36899999999991</v>
      </c>
      <c r="F54" s="645">
        <v>1</v>
      </c>
      <c r="G54" s="532">
        <v>2400</v>
      </c>
      <c r="H54" s="23" t="s">
        <v>693</v>
      </c>
      <c r="I54" s="24">
        <v>105</v>
      </c>
      <c r="J54" s="24">
        <f t="shared" si="25"/>
        <v>43.75</v>
      </c>
      <c r="K54" s="23">
        <f t="shared" si="21"/>
        <v>0.28723708333333331</v>
      </c>
      <c r="L54" s="23">
        <f t="shared" si="22"/>
        <v>0.14153125</v>
      </c>
      <c r="M54" s="23" t="s">
        <v>137</v>
      </c>
      <c r="N54" s="23">
        <f t="shared" si="23"/>
        <v>30.159893749999998</v>
      </c>
      <c r="O54" s="23">
        <f t="shared" si="24"/>
        <v>14.86078125</v>
      </c>
      <c r="Q54" s="1"/>
      <c r="U54" s="720"/>
      <c r="V54" s="720"/>
      <c r="AJ54" s="419">
        <v>4</v>
      </c>
      <c r="AK54" s="419" t="s">
        <v>102</v>
      </c>
      <c r="AL54" s="419">
        <f>AW12</f>
        <v>15760</v>
      </c>
      <c r="AM54" s="419">
        <v>0</v>
      </c>
      <c r="AN54" s="419">
        <f>AV12</f>
        <v>107</v>
      </c>
      <c r="AQ54" s="415" t="s">
        <v>573</v>
      </c>
      <c r="AR54" s="415">
        <v>173</v>
      </c>
      <c r="AS54" s="415">
        <v>24570</v>
      </c>
      <c r="AU54" s="420" t="s">
        <v>815</v>
      </c>
      <c r="AV54" s="420">
        <v>79</v>
      </c>
      <c r="AW54" s="420">
        <v>11460</v>
      </c>
    </row>
    <row r="55" spans="1:49" ht="14.25" customHeight="1" x14ac:dyDescent="0.25">
      <c r="A55" s="20" t="s">
        <v>115</v>
      </c>
      <c r="B55" s="20" t="s">
        <v>94</v>
      </c>
      <c r="C55" s="21" t="s">
        <v>14</v>
      </c>
      <c r="D55" s="22">
        <v>0</v>
      </c>
      <c r="E55" s="23">
        <v>256.23406376518227</v>
      </c>
      <c r="F55" s="645">
        <v>1</v>
      </c>
      <c r="G55" s="532">
        <v>10000</v>
      </c>
      <c r="H55" s="23" t="s">
        <v>116</v>
      </c>
      <c r="I55" s="24">
        <v>145</v>
      </c>
      <c r="J55" s="24">
        <f t="shared" si="25"/>
        <v>14.5</v>
      </c>
      <c r="K55" s="23">
        <f t="shared" si="21"/>
        <v>2.5623406376518228E-2</v>
      </c>
      <c r="L55" s="23">
        <f t="shared" si="22"/>
        <v>0</v>
      </c>
      <c r="M55" s="23" t="s">
        <v>26</v>
      </c>
      <c r="N55" s="23">
        <f t="shared" si="23"/>
        <v>3.7153939245951428</v>
      </c>
      <c r="O55" s="23">
        <f t="shared" si="24"/>
        <v>0</v>
      </c>
      <c r="Q55" s="1"/>
      <c r="U55" s="720"/>
      <c r="V55" s="720"/>
      <c r="AJ55" s="419">
        <v>4</v>
      </c>
      <c r="AK55" s="419" t="s">
        <v>65</v>
      </c>
      <c r="AL55" s="419">
        <f>AW15</f>
        <v>10380</v>
      </c>
      <c r="AM55" s="419">
        <v>1000</v>
      </c>
      <c r="AN55" s="419">
        <f>AV15</f>
        <v>69</v>
      </c>
      <c r="AQ55" s="415" t="s">
        <v>574</v>
      </c>
      <c r="AR55" s="415">
        <v>162</v>
      </c>
      <c r="AS55" s="415">
        <v>23160</v>
      </c>
      <c r="AU55" s="420" t="s">
        <v>547</v>
      </c>
      <c r="AV55" s="420">
        <v>12</v>
      </c>
      <c r="AW55" s="420">
        <v>1800</v>
      </c>
    </row>
    <row r="56" spans="1:49" ht="14.25" customHeight="1" x14ac:dyDescent="0.25">
      <c r="A56" s="20" t="s">
        <v>703</v>
      </c>
      <c r="B56" s="20" t="s">
        <v>94</v>
      </c>
      <c r="C56" s="21" t="s">
        <v>14</v>
      </c>
      <c r="D56" s="22">
        <v>13.100994243851394</v>
      </c>
      <c r="E56" s="23">
        <v>73.51636781514226</v>
      </c>
      <c r="F56" s="645">
        <v>1</v>
      </c>
      <c r="G56" s="532">
        <v>50</v>
      </c>
      <c r="H56" s="23" t="s">
        <v>133</v>
      </c>
      <c r="I56" s="24">
        <v>2.6</v>
      </c>
      <c r="J56" s="24">
        <f t="shared" si="25"/>
        <v>52</v>
      </c>
      <c r="K56" s="23">
        <f t="shared" si="21"/>
        <v>1.4703273563028452</v>
      </c>
      <c r="L56" s="23">
        <f t="shared" si="22"/>
        <v>0.26201988487702788</v>
      </c>
      <c r="M56" s="23" t="s">
        <v>133</v>
      </c>
      <c r="N56" s="23">
        <f t="shared" si="23"/>
        <v>3.8228511263873974</v>
      </c>
      <c r="O56" s="23">
        <f t="shared" si="24"/>
        <v>0.68125170068027252</v>
      </c>
      <c r="Q56" s="1"/>
      <c r="U56" s="720"/>
      <c r="V56" s="720"/>
      <c r="AJ56" s="419">
        <v>4</v>
      </c>
      <c r="AK56" s="419" t="s">
        <v>106</v>
      </c>
      <c r="AL56" s="419">
        <f>AW18</f>
        <v>14960</v>
      </c>
      <c r="AM56" s="419">
        <v>0</v>
      </c>
      <c r="AN56" s="419">
        <f>AV18</f>
        <v>101</v>
      </c>
      <c r="AQ56" s="415" t="s">
        <v>549</v>
      </c>
      <c r="AR56" s="415">
        <v>162</v>
      </c>
      <c r="AS56" s="415">
        <v>23160</v>
      </c>
      <c r="AU56" s="420" t="s">
        <v>639</v>
      </c>
      <c r="AV56" s="420">
        <v>67</v>
      </c>
      <c r="AW56" s="420">
        <v>9660</v>
      </c>
    </row>
    <row r="57" spans="1:49" ht="14.25" customHeight="1" x14ac:dyDescent="0.25">
      <c r="A57" s="20" t="s">
        <v>139</v>
      </c>
      <c r="B57" s="20" t="s">
        <v>94</v>
      </c>
      <c r="C57" s="21" t="s">
        <v>14</v>
      </c>
      <c r="D57" s="22">
        <v>818.44314642371694</v>
      </c>
      <c r="E57" s="23">
        <v>4018.4538467108796</v>
      </c>
      <c r="F57" s="645">
        <v>1</v>
      </c>
      <c r="G57" s="532">
        <f>20*24*12</f>
        <v>5760</v>
      </c>
      <c r="H57" s="23" t="s">
        <v>26</v>
      </c>
      <c r="I57" s="24">
        <v>88</v>
      </c>
      <c r="J57" s="24">
        <f>I57/5.76</f>
        <v>15.277777777777779</v>
      </c>
      <c r="K57" s="23">
        <f t="shared" si="21"/>
        <v>0.69764823727619441</v>
      </c>
      <c r="L57" s="23">
        <f t="shared" si="22"/>
        <v>0.1420908240318953</v>
      </c>
      <c r="M57" s="23" t="s">
        <v>26</v>
      </c>
      <c r="N57" s="23">
        <f t="shared" si="23"/>
        <v>61.393044880305105</v>
      </c>
      <c r="O57" s="23">
        <f t="shared" si="24"/>
        <v>12.503992514806786</v>
      </c>
      <c r="Q57" s="1"/>
      <c r="U57" s="720"/>
      <c r="V57" s="720"/>
      <c r="AJ57" s="419">
        <v>4</v>
      </c>
      <c r="AK57" s="419" t="s">
        <v>787</v>
      </c>
      <c r="AL57" s="419">
        <f>AW20</f>
        <v>30140</v>
      </c>
      <c r="AM57" s="419">
        <v>500</v>
      </c>
      <c r="AN57" s="419">
        <f>AV20</f>
        <v>220</v>
      </c>
      <c r="AQ57" s="415" t="s">
        <v>589</v>
      </c>
      <c r="AR57" s="415">
        <v>114</v>
      </c>
      <c r="AS57" s="415">
        <v>14850</v>
      </c>
      <c r="AU57" s="420" t="s">
        <v>816</v>
      </c>
      <c r="AV57" s="420">
        <v>144</v>
      </c>
      <c r="AW57" s="420">
        <v>144</v>
      </c>
    </row>
    <row r="58" spans="1:49" ht="14.25" customHeight="1" x14ac:dyDescent="0.25">
      <c r="A58" s="20" t="s">
        <v>146</v>
      </c>
      <c r="B58" s="20" t="s">
        <v>94</v>
      </c>
      <c r="C58" s="21" t="s">
        <v>14</v>
      </c>
      <c r="D58" s="22">
        <v>408.83491789109786</v>
      </c>
      <c r="E58" s="23">
        <v>987.43042350907535</v>
      </c>
      <c r="F58" s="645">
        <v>1</v>
      </c>
      <c r="G58" s="532">
        <v>1000</v>
      </c>
      <c r="H58" s="23" t="s">
        <v>45</v>
      </c>
      <c r="I58" s="24">
        <v>12</v>
      </c>
      <c r="J58" s="24">
        <f>I58/(G58/1000)</f>
        <v>12</v>
      </c>
      <c r="K58" s="23">
        <f t="shared" si="21"/>
        <v>0.98743042350907539</v>
      </c>
      <c r="L58" s="23">
        <f t="shared" si="22"/>
        <v>0.40883491789109788</v>
      </c>
      <c r="M58" s="23" t="s">
        <v>45</v>
      </c>
      <c r="N58" s="23">
        <f t="shared" si="23"/>
        <v>11.849165082108904</v>
      </c>
      <c r="O58" s="23">
        <f t="shared" si="24"/>
        <v>4.9060190146931744</v>
      </c>
      <c r="U58" s="720"/>
      <c r="V58" s="720"/>
      <c r="AJ58" s="419">
        <v>4</v>
      </c>
      <c r="AK58" s="419" t="s">
        <v>109</v>
      </c>
      <c r="AL58" s="419">
        <f>AW21</f>
        <v>30140</v>
      </c>
      <c r="AM58" s="419">
        <v>500</v>
      </c>
      <c r="AN58" s="419">
        <f>AV21</f>
        <v>220</v>
      </c>
      <c r="AQ58" s="415" t="s">
        <v>547</v>
      </c>
      <c r="AR58" s="415">
        <v>10</v>
      </c>
      <c r="AS58" s="415">
        <v>10</v>
      </c>
      <c r="AU58" s="420" t="s">
        <v>609</v>
      </c>
      <c r="AV58" s="420">
        <v>28</v>
      </c>
      <c r="AW58" s="420">
        <v>28</v>
      </c>
    </row>
    <row r="59" spans="1:49" ht="14.25" customHeight="1" x14ac:dyDescent="0.25">
      <c r="A59" s="20" t="s">
        <v>110</v>
      </c>
      <c r="B59" s="20" t="s">
        <v>94</v>
      </c>
      <c r="C59" s="21" t="s">
        <v>14</v>
      </c>
      <c r="D59" s="22">
        <v>65.657142857142873</v>
      </c>
      <c r="E59" s="23">
        <v>462.57915204195905</v>
      </c>
      <c r="F59" s="645">
        <v>1</v>
      </c>
      <c r="G59" s="532">
        <v>2724</v>
      </c>
      <c r="H59" s="23" t="s">
        <v>111</v>
      </c>
      <c r="I59" s="24">
        <v>175</v>
      </c>
      <c r="J59" s="24">
        <f>I59/(G59/1000)</f>
        <v>64.243759177679877</v>
      </c>
      <c r="K59" s="23">
        <f t="shared" si="21"/>
        <v>0.16981613511085134</v>
      </c>
      <c r="L59" s="23">
        <f t="shared" si="22"/>
        <v>2.4103209565764637E-2</v>
      </c>
      <c r="M59" s="23" t="s">
        <v>26</v>
      </c>
      <c r="N59" s="23">
        <f t="shared" si="23"/>
        <v>29.717823644398983</v>
      </c>
      <c r="O59" s="23">
        <f t="shared" si="24"/>
        <v>4.218061674008811</v>
      </c>
      <c r="U59" s="720"/>
      <c r="V59" s="720"/>
      <c r="AJ59" s="419">
        <v>4</v>
      </c>
      <c r="AK59" s="419" t="s">
        <v>466</v>
      </c>
      <c r="AL59" s="419">
        <f>AW22</f>
        <v>22660</v>
      </c>
      <c r="AM59" s="419">
        <v>500</v>
      </c>
      <c r="AN59" s="419">
        <f>AV22</f>
        <v>160</v>
      </c>
      <c r="AQ59" s="415" t="s">
        <v>590</v>
      </c>
      <c r="AR59" s="415">
        <v>104</v>
      </c>
      <c r="AS59" s="415">
        <v>14840</v>
      </c>
    </row>
    <row r="60" spans="1:49" ht="14.25" customHeight="1" x14ac:dyDescent="0.25">
      <c r="A60" s="20" t="s">
        <v>113</v>
      </c>
      <c r="B60" s="20" t="s">
        <v>94</v>
      </c>
      <c r="C60" s="21" t="s">
        <v>14</v>
      </c>
      <c r="D60" s="22">
        <v>17.686342229199383</v>
      </c>
      <c r="E60" s="23">
        <v>130.76448537177112</v>
      </c>
      <c r="F60" s="645">
        <v>1</v>
      </c>
      <c r="G60" s="532">
        <v>1000</v>
      </c>
      <c r="H60" s="23" t="s">
        <v>45</v>
      </c>
      <c r="I60" s="24">
        <v>20</v>
      </c>
      <c r="J60" s="24">
        <f>I60/(G60/1000)</f>
        <v>20</v>
      </c>
      <c r="K60" s="23">
        <f t="shared" si="21"/>
        <v>0.13076448537177113</v>
      </c>
      <c r="L60" s="23">
        <f t="shared" si="22"/>
        <v>1.7686342229199382E-2</v>
      </c>
      <c r="M60" s="23" t="s">
        <v>45</v>
      </c>
      <c r="N60" s="23">
        <f t="shared" si="23"/>
        <v>2.6152897074354224</v>
      </c>
      <c r="O60" s="23">
        <f t="shared" si="24"/>
        <v>0.35372684458398762</v>
      </c>
      <c r="U60" s="720"/>
      <c r="V60" s="720"/>
      <c r="AJ60" s="419">
        <v>4</v>
      </c>
      <c r="AK60" s="419" t="s">
        <v>112</v>
      </c>
      <c r="AL60" s="419">
        <f>AW24</f>
        <v>18910</v>
      </c>
      <c r="AM60" s="419">
        <v>500</v>
      </c>
      <c r="AN60" s="419">
        <f>AV24</f>
        <v>137</v>
      </c>
      <c r="AQ60" s="415" t="s">
        <v>576</v>
      </c>
      <c r="AR60" s="415">
        <v>195</v>
      </c>
      <c r="AS60" s="415">
        <v>28510</v>
      </c>
      <c r="AU60" s="421" t="s">
        <v>696</v>
      </c>
      <c r="AV60" s="421">
        <v>92</v>
      </c>
      <c r="AW60" s="421">
        <v>92</v>
      </c>
    </row>
    <row r="61" spans="1:49" ht="14.25" customHeight="1" x14ac:dyDescent="0.25">
      <c r="A61" s="20" t="s">
        <v>93</v>
      </c>
      <c r="B61" s="20" t="s">
        <v>94</v>
      </c>
      <c r="C61" s="21" t="s">
        <v>14</v>
      </c>
      <c r="D61" s="22">
        <v>971.79710289023103</v>
      </c>
      <c r="E61" s="23">
        <v>7461.200171542514</v>
      </c>
      <c r="F61" s="645">
        <v>1</v>
      </c>
      <c r="G61" s="532">
        <v>50000</v>
      </c>
      <c r="H61" s="23" t="s">
        <v>95</v>
      </c>
      <c r="I61" s="24">
        <v>37</v>
      </c>
      <c r="J61" s="24">
        <f>I61/(G61/1000)</f>
        <v>0.74</v>
      </c>
      <c r="K61" s="23">
        <f t="shared" si="21"/>
        <v>0.14922400343085029</v>
      </c>
      <c r="L61" s="23">
        <f t="shared" si="22"/>
        <v>1.943594205780462E-2</v>
      </c>
      <c r="M61" s="23" t="s">
        <v>45</v>
      </c>
      <c r="N61" s="23">
        <f t="shared" si="23"/>
        <v>5.5212881269414611</v>
      </c>
      <c r="O61" s="23">
        <f t="shared" si="24"/>
        <v>0.7191298561387709</v>
      </c>
      <c r="U61" s="720"/>
      <c r="V61" s="720"/>
      <c r="AJ61" s="419">
        <v>4</v>
      </c>
      <c r="AK61" s="419" t="s">
        <v>114</v>
      </c>
      <c r="AL61" s="419">
        <f>AW24</f>
        <v>18910</v>
      </c>
      <c r="AM61" s="419">
        <v>500</v>
      </c>
      <c r="AN61" s="419">
        <f>AV24</f>
        <v>137</v>
      </c>
      <c r="AQ61" s="415" t="s">
        <v>547</v>
      </c>
      <c r="AR61" s="415">
        <v>21</v>
      </c>
      <c r="AS61" s="415">
        <v>3150</v>
      </c>
      <c r="AU61" s="421" t="s">
        <v>632</v>
      </c>
      <c r="AV61" s="421">
        <v>27</v>
      </c>
      <c r="AW61" s="421">
        <v>27</v>
      </c>
    </row>
    <row r="62" spans="1:49" ht="14.25" customHeight="1" x14ac:dyDescent="0.2">
      <c r="A62" s="730" t="s">
        <v>811</v>
      </c>
      <c r="B62" s="730" t="s">
        <v>94</v>
      </c>
      <c r="C62" s="731" t="s">
        <v>14</v>
      </c>
      <c r="D62" s="732">
        <v>184.98876404494382</v>
      </c>
      <c r="E62" s="733">
        <v>668.8089887640449</v>
      </c>
      <c r="F62" s="724">
        <v>1</v>
      </c>
      <c r="G62" s="766">
        <v>454</v>
      </c>
      <c r="H62" s="728" t="s">
        <v>904</v>
      </c>
      <c r="I62" s="766">
        <v>44</v>
      </c>
      <c r="J62" s="766">
        <v>96.916299559471369</v>
      </c>
      <c r="K62" s="759">
        <f t="shared" si="21"/>
        <v>1.4731475523437112</v>
      </c>
      <c r="L62" s="759">
        <f t="shared" si="22"/>
        <v>0.40746423798445774</v>
      </c>
      <c r="M62" s="725" t="s">
        <v>26</v>
      </c>
      <c r="N62" s="725">
        <f t="shared" si="23"/>
        <v>64.818492303123293</v>
      </c>
      <c r="O62" s="725">
        <f t="shared" si="24"/>
        <v>17.92842647131614</v>
      </c>
      <c r="U62" s="720"/>
      <c r="V62" s="720"/>
      <c r="AJ62" s="419">
        <v>4</v>
      </c>
      <c r="AK62" s="419" t="s">
        <v>117</v>
      </c>
      <c r="AL62" s="419">
        <f>AW26+AW3</f>
        <v>135</v>
      </c>
      <c r="AM62" s="419">
        <v>5</v>
      </c>
      <c r="AN62" s="419">
        <f>AV26+AV3</f>
        <v>135</v>
      </c>
      <c r="AQ62" s="415" t="s">
        <v>556</v>
      </c>
      <c r="AR62" s="415">
        <v>174</v>
      </c>
      <c r="AS62" s="415">
        <v>25360</v>
      </c>
      <c r="AU62" s="421" t="s">
        <v>633</v>
      </c>
      <c r="AV62" s="421">
        <v>155</v>
      </c>
      <c r="AW62" s="421">
        <v>21900</v>
      </c>
    </row>
    <row r="63" spans="1:49" ht="14.25" customHeight="1" x14ac:dyDescent="0.25">
      <c r="A63" s="20" t="s">
        <v>129</v>
      </c>
      <c r="B63" s="20" t="s">
        <v>94</v>
      </c>
      <c r="C63" s="21" t="s">
        <v>14</v>
      </c>
      <c r="D63" s="22">
        <v>0</v>
      </c>
      <c r="E63" s="23">
        <v>36.372170869680161</v>
      </c>
      <c r="F63" s="645">
        <v>1</v>
      </c>
      <c r="G63" s="532">
        <v>1000</v>
      </c>
      <c r="H63" s="23" t="s">
        <v>45</v>
      </c>
      <c r="I63" s="24">
        <v>31.5</v>
      </c>
      <c r="J63" s="24">
        <f>I63</f>
        <v>31.5</v>
      </c>
      <c r="K63" s="23">
        <f t="shared" si="21"/>
        <v>3.6372170869680163E-2</v>
      </c>
      <c r="L63" s="23">
        <f t="shared" si="22"/>
        <v>0</v>
      </c>
      <c r="M63" s="23" t="s">
        <v>45</v>
      </c>
      <c r="N63" s="23">
        <f t="shared" si="23"/>
        <v>1.1457233823949251</v>
      </c>
      <c r="O63" s="23">
        <f t="shared" si="24"/>
        <v>0</v>
      </c>
      <c r="U63" s="720"/>
      <c r="V63" s="720"/>
      <c r="AJ63" s="419">
        <v>4</v>
      </c>
      <c r="AK63" s="419" t="s">
        <v>859</v>
      </c>
      <c r="AL63" s="419">
        <f>AV28</f>
        <v>191</v>
      </c>
      <c r="AM63" s="419">
        <v>5</v>
      </c>
      <c r="AN63" s="419">
        <f>AW28</f>
        <v>191</v>
      </c>
      <c r="AQ63" s="415" t="s">
        <v>796</v>
      </c>
      <c r="AR63" s="415">
        <v>169</v>
      </c>
      <c r="AS63" s="415">
        <v>23580</v>
      </c>
      <c r="AU63" s="421" t="s">
        <v>547</v>
      </c>
      <c r="AV63" s="421">
        <v>15</v>
      </c>
      <c r="AW63" s="421">
        <v>2250</v>
      </c>
    </row>
    <row r="64" spans="1:49" ht="14.25" customHeight="1" x14ac:dyDescent="0.25">
      <c r="A64" s="20" t="s">
        <v>118</v>
      </c>
      <c r="B64" s="20" t="s">
        <v>94</v>
      </c>
      <c r="C64" s="21" t="s">
        <v>14</v>
      </c>
      <c r="D64" s="22">
        <v>0</v>
      </c>
      <c r="E64" s="23">
        <v>170.18667951096529</v>
      </c>
      <c r="F64" s="645">
        <v>1</v>
      </c>
      <c r="G64" s="532">
        <v>1000</v>
      </c>
      <c r="H64" s="23" t="s">
        <v>45</v>
      </c>
      <c r="I64" s="24">
        <v>15</v>
      </c>
      <c r="J64" s="24">
        <f>I64/(G64/1000)</f>
        <v>15</v>
      </c>
      <c r="K64" s="23">
        <f t="shared" si="21"/>
        <v>0.17018667951096528</v>
      </c>
      <c r="L64" s="23">
        <f t="shared" si="22"/>
        <v>0</v>
      </c>
      <c r="M64" s="23" t="s">
        <v>45</v>
      </c>
      <c r="N64" s="23">
        <f t="shared" si="23"/>
        <v>2.552800192664479</v>
      </c>
      <c r="O64" s="23">
        <f t="shared" si="24"/>
        <v>0</v>
      </c>
      <c r="U64" s="720"/>
      <c r="V64" s="720"/>
      <c r="AJ64" s="419">
        <v>4</v>
      </c>
      <c r="AK64" s="419" t="s">
        <v>860</v>
      </c>
      <c r="AL64" s="419">
        <f>AW27</f>
        <v>24410</v>
      </c>
      <c r="AM64" s="419">
        <v>500</v>
      </c>
      <c r="AN64" s="419">
        <f>AV27</f>
        <v>171</v>
      </c>
      <c r="AQ64" s="415" t="s">
        <v>547</v>
      </c>
      <c r="AR64" s="415">
        <v>21</v>
      </c>
      <c r="AS64" s="415">
        <v>3150</v>
      </c>
      <c r="AU64" s="421" t="s">
        <v>634</v>
      </c>
      <c r="AV64" s="421">
        <v>140</v>
      </c>
      <c r="AW64" s="421">
        <v>19650</v>
      </c>
    </row>
    <row r="65" spans="1:49" ht="14.25" customHeight="1" x14ac:dyDescent="0.25">
      <c r="A65" s="20" t="s">
        <v>854</v>
      </c>
      <c r="B65" s="20" t="s">
        <v>94</v>
      </c>
      <c r="C65" s="21" t="s">
        <v>14</v>
      </c>
      <c r="D65" s="22">
        <v>271.30500000000001</v>
      </c>
      <c r="E65" s="23">
        <v>271.30500000000001</v>
      </c>
      <c r="F65" s="645">
        <v>1</v>
      </c>
      <c r="G65" s="532">
        <v>1000</v>
      </c>
      <c r="H65" s="23" t="s">
        <v>45</v>
      </c>
      <c r="I65" s="24">
        <v>42</v>
      </c>
      <c r="J65" s="24">
        <f>I65/(G65/1000)</f>
        <v>42</v>
      </c>
      <c r="K65" s="23">
        <f t="shared" si="21"/>
        <v>0.27130500000000002</v>
      </c>
      <c r="L65" s="23">
        <f t="shared" si="22"/>
        <v>0.27130500000000002</v>
      </c>
      <c r="M65" s="23"/>
      <c r="N65" s="23">
        <f t="shared" si="23"/>
        <v>11.394810000000001</v>
      </c>
      <c r="O65" s="23">
        <f t="shared" si="24"/>
        <v>11.394810000000001</v>
      </c>
      <c r="U65" s="720"/>
      <c r="V65" s="720"/>
      <c r="AJ65" s="419">
        <v>4</v>
      </c>
      <c r="AK65" s="419" t="s">
        <v>861</v>
      </c>
      <c r="AL65" s="419">
        <f>AW27</f>
        <v>24410</v>
      </c>
      <c r="AM65" s="419">
        <v>0</v>
      </c>
      <c r="AN65" s="419">
        <f>AV27</f>
        <v>171</v>
      </c>
      <c r="AQ65" s="415" t="s">
        <v>577</v>
      </c>
      <c r="AR65" s="415">
        <v>148</v>
      </c>
      <c r="AS65" s="415">
        <v>20430</v>
      </c>
      <c r="AU65" s="421" t="s">
        <v>635</v>
      </c>
      <c r="AV65" s="421">
        <v>288</v>
      </c>
      <c r="AW65" s="421">
        <v>41490</v>
      </c>
    </row>
    <row r="66" spans="1:49" ht="14.25" customHeight="1" x14ac:dyDescent="0.25">
      <c r="A66" s="20" t="s">
        <v>101</v>
      </c>
      <c r="B66" s="20" t="s">
        <v>94</v>
      </c>
      <c r="C66" s="21" t="s">
        <v>14</v>
      </c>
      <c r="D66" s="22">
        <v>148.50171448193541</v>
      </c>
      <c r="E66" s="23">
        <v>446.51180212056454</v>
      </c>
      <c r="F66" s="645">
        <v>1</v>
      </c>
      <c r="G66" s="532">
        <v>1000</v>
      </c>
      <c r="H66" s="23" t="s">
        <v>45</v>
      </c>
      <c r="I66" s="24">
        <v>47</v>
      </c>
      <c r="J66" s="24">
        <f>I66/(G66/1000)</f>
        <v>47</v>
      </c>
      <c r="K66" s="23">
        <f t="shared" si="21"/>
        <v>0.44651180212056452</v>
      </c>
      <c r="L66" s="23">
        <f t="shared" si="22"/>
        <v>0.14850171448193542</v>
      </c>
      <c r="M66" s="23" t="s">
        <v>45</v>
      </c>
      <c r="N66" s="23">
        <f t="shared" si="23"/>
        <v>20.986054699666532</v>
      </c>
      <c r="O66" s="23">
        <f t="shared" si="24"/>
        <v>6.9795805806509641</v>
      </c>
      <c r="U66" s="720"/>
      <c r="V66" s="720"/>
      <c r="AJ66" s="419">
        <v>4</v>
      </c>
      <c r="AK66" s="419" t="s">
        <v>853</v>
      </c>
      <c r="AL66" s="419">
        <f>AW27</f>
        <v>24410</v>
      </c>
      <c r="AM66" s="419">
        <v>500</v>
      </c>
      <c r="AN66" s="419">
        <f>AV27</f>
        <v>171</v>
      </c>
      <c r="AQ66" s="415" t="s">
        <v>578</v>
      </c>
      <c r="AR66" s="415">
        <v>141</v>
      </c>
      <c r="AS66" s="415">
        <v>20640</v>
      </c>
      <c r="AU66" s="421" t="s">
        <v>558</v>
      </c>
      <c r="AV66" s="421">
        <v>274</v>
      </c>
      <c r="AW66" s="421">
        <v>39390</v>
      </c>
    </row>
    <row r="67" spans="1:49" ht="14.25" customHeight="1" x14ac:dyDescent="0.25">
      <c r="U67" s="720"/>
      <c r="V67" s="720"/>
      <c r="AJ67" s="419">
        <v>4</v>
      </c>
      <c r="AK67" s="419" t="s">
        <v>119</v>
      </c>
      <c r="AL67" s="419">
        <f>AW6</f>
        <v>24660</v>
      </c>
      <c r="AM67" s="419">
        <v>0</v>
      </c>
      <c r="AN67" s="419">
        <f>AV6</f>
        <v>175</v>
      </c>
      <c r="AQ67" s="415" t="s">
        <v>558</v>
      </c>
      <c r="AR67" s="415">
        <v>141</v>
      </c>
      <c r="AS67" s="415">
        <v>20640</v>
      </c>
      <c r="AU67" s="421" t="s">
        <v>547</v>
      </c>
      <c r="AV67" s="421">
        <v>14</v>
      </c>
      <c r="AW67" s="421">
        <v>2100</v>
      </c>
    </row>
    <row r="68" spans="1:49" ht="14.25" customHeight="1" x14ac:dyDescent="0.25">
      <c r="A68" s="46" t="s">
        <v>215</v>
      </c>
      <c r="B68" s="46" t="s">
        <v>213</v>
      </c>
      <c r="C68" s="47" t="s">
        <v>14</v>
      </c>
      <c r="D68" s="48">
        <v>0</v>
      </c>
      <c r="E68" s="49">
        <v>9.1440538144329899</v>
      </c>
      <c r="F68" s="50">
        <v>1</v>
      </c>
      <c r="G68" s="51">
        <v>100</v>
      </c>
      <c r="H68" s="51" t="s">
        <v>66</v>
      </c>
      <c r="I68" s="484">
        <v>4</v>
      </c>
      <c r="J68" s="484">
        <f>I68/0.1</f>
        <v>40</v>
      </c>
      <c r="K68" s="51">
        <f>(E68/F68)/G68</f>
        <v>9.1440538144329897E-2</v>
      </c>
      <c r="L68" s="51">
        <f>(D68/F68)/G68</f>
        <v>0</v>
      </c>
      <c r="M68" s="51" t="s">
        <v>42</v>
      </c>
      <c r="N68" s="51">
        <f>K68*I68</f>
        <v>0.36576215257731959</v>
      </c>
      <c r="O68" s="51">
        <f>L68*I68</f>
        <v>0</v>
      </c>
      <c r="U68" s="720"/>
      <c r="V68" s="720"/>
      <c r="AJ68" s="419">
        <v>4</v>
      </c>
      <c r="AK68" s="419" t="s">
        <v>121</v>
      </c>
      <c r="AL68" s="419">
        <f>AW5+AW9+AW13+AW17</f>
        <v>10800</v>
      </c>
      <c r="AM68" s="419">
        <v>0</v>
      </c>
      <c r="AN68" s="419">
        <f>AV5+AV9+AV13+AV17</f>
        <v>72</v>
      </c>
      <c r="AQ68" s="415" t="s">
        <v>579</v>
      </c>
      <c r="AR68" s="415">
        <v>220</v>
      </c>
      <c r="AS68" s="415">
        <v>30040</v>
      </c>
      <c r="AU68" s="421" t="s">
        <v>636</v>
      </c>
      <c r="AV68" s="421">
        <v>145</v>
      </c>
      <c r="AW68" s="421">
        <v>20880</v>
      </c>
    </row>
    <row r="69" spans="1:49" ht="14.25" customHeight="1" x14ac:dyDescent="0.25">
      <c r="A69" s="46" t="s">
        <v>217</v>
      </c>
      <c r="B69" s="46" t="s">
        <v>213</v>
      </c>
      <c r="C69" s="47" t="s">
        <v>14</v>
      </c>
      <c r="D69" s="48">
        <v>32.752485609628486</v>
      </c>
      <c r="E69" s="49">
        <v>32.752485609628486</v>
      </c>
      <c r="F69" s="50">
        <v>1</v>
      </c>
      <c r="G69" s="51">
        <v>10000</v>
      </c>
      <c r="H69" s="51" t="s">
        <v>743</v>
      </c>
      <c r="I69" s="484">
        <v>60</v>
      </c>
      <c r="J69" s="484">
        <f>I69/20</f>
        <v>3</v>
      </c>
      <c r="K69" s="51">
        <f>(E69/F69)/G69</f>
        <v>3.2752485609628488E-3</v>
      </c>
      <c r="L69" s="51">
        <f>(D69/F69)/G69</f>
        <v>3.2752485609628488E-3</v>
      </c>
      <c r="M69" s="51" t="s">
        <v>745</v>
      </c>
      <c r="N69" s="51">
        <f>K69*I69</f>
        <v>0.19651491365777093</v>
      </c>
      <c r="O69" s="51">
        <f>L69*I69</f>
        <v>0.19651491365777093</v>
      </c>
      <c r="U69" s="720"/>
      <c r="V69" s="720"/>
      <c r="AJ69" s="419">
        <v>4</v>
      </c>
      <c r="AK69" s="419" t="s">
        <v>863</v>
      </c>
      <c r="AL69" s="419">
        <f>AW54</f>
        <v>11460</v>
      </c>
      <c r="AM69" s="419">
        <v>0</v>
      </c>
      <c r="AN69" s="419">
        <f>AV54</f>
        <v>79</v>
      </c>
      <c r="AQ69" s="415" t="s">
        <v>580</v>
      </c>
      <c r="AR69" s="415">
        <v>220</v>
      </c>
      <c r="AS69" s="415">
        <v>30040</v>
      </c>
      <c r="AU69" s="421" t="s">
        <v>547</v>
      </c>
      <c r="AV69" s="421">
        <v>9</v>
      </c>
      <c r="AW69" s="421">
        <v>1350</v>
      </c>
    </row>
    <row r="70" spans="1:49" ht="14.25" customHeight="1" x14ac:dyDescent="0.25">
      <c r="A70" s="46" t="s">
        <v>214</v>
      </c>
      <c r="B70" s="46" t="s">
        <v>213</v>
      </c>
      <c r="C70" s="47" t="s">
        <v>14</v>
      </c>
      <c r="D70" s="48">
        <v>44.068864468864476</v>
      </c>
      <c r="E70" s="49">
        <v>282.0536694035311</v>
      </c>
      <c r="F70" s="50">
        <v>1</v>
      </c>
      <c r="G70" s="51">
        <v>100</v>
      </c>
      <c r="H70" s="51" t="s">
        <v>710</v>
      </c>
      <c r="I70" s="484">
        <v>3.5</v>
      </c>
      <c r="J70" s="484">
        <f>I70/(G70/1000)</f>
        <v>35</v>
      </c>
      <c r="K70" s="51">
        <f>(E70/F70)/G70</f>
        <v>2.8205366940353112</v>
      </c>
      <c r="L70" s="51">
        <f>(D70/F70)/G70</f>
        <v>0.44068864468864477</v>
      </c>
      <c r="M70" s="51" t="s">
        <v>744</v>
      </c>
      <c r="N70" s="51">
        <f>K70*I70</f>
        <v>9.8718784291235888</v>
      </c>
      <c r="O70" s="51">
        <f>L70*I70</f>
        <v>1.5424102564102566</v>
      </c>
      <c r="U70" s="720"/>
      <c r="V70" s="720"/>
      <c r="AJ70" s="420">
        <v>5</v>
      </c>
      <c r="AK70" s="420" t="s">
        <v>123</v>
      </c>
      <c r="AL70" s="420">
        <f>AW32</f>
        <v>14470</v>
      </c>
      <c r="AM70" s="420">
        <v>1000</v>
      </c>
      <c r="AN70" s="420">
        <f>AV32</f>
        <v>99</v>
      </c>
      <c r="AQ70" s="415" t="s">
        <v>581</v>
      </c>
      <c r="AR70" s="415">
        <v>101</v>
      </c>
      <c r="AS70" s="415">
        <v>14250</v>
      </c>
      <c r="AU70" s="421" t="s">
        <v>637</v>
      </c>
      <c r="AV70" s="421">
        <v>136</v>
      </c>
      <c r="AW70" s="421">
        <v>19530</v>
      </c>
    </row>
    <row r="71" spans="1:49" ht="14.25" customHeight="1" x14ac:dyDescent="0.25">
      <c r="A71" s="46" t="s">
        <v>216</v>
      </c>
      <c r="B71" s="46" t="s">
        <v>213</v>
      </c>
      <c r="C71" s="47" t="s">
        <v>14</v>
      </c>
      <c r="D71" s="48">
        <v>0</v>
      </c>
      <c r="E71" s="49">
        <v>139.88701030927837</v>
      </c>
      <c r="F71" s="50">
        <v>1</v>
      </c>
      <c r="G71" s="51">
        <v>1000</v>
      </c>
      <c r="H71" s="51" t="s">
        <v>45</v>
      </c>
      <c r="I71" s="484">
        <v>5</v>
      </c>
      <c r="J71" s="484">
        <f>I71/1</f>
        <v>5</v>
      </c>
      <c r="K71" s="51">
        <f>(E71/F71)/G71</f>
        <v>0.13988701030927836</v>
      </c>
      <c r="L71" s="51">
        <f>(D71/F71)/G71</f>
        <v>0</v>
      </c>
      <c r="M71" s="51" t="s">
        <v>45</v>
      </c>
      <c r="N71" s="51">
        <f>K71*I71</f>
        <v>0.69943505154639185</v>
      </c>
      <c r="O71" s="51">
        <f>L71*I71</f>
        <v>0</v>
      </c>
      <c r="AJ71" s="420">
        <v>5</v>
      </c>
      <c r="AK71" s="420" t="s">
        <v>125</v>
      </c>
      <c r="AL71" s="420">
        <f>AW35</f>
        <v>35950</v>
      </c>
      <c r="AM71" s="420">
        <v>1000</v>
      </c>
      <c r="AN71" s="420">
        <f>AV35</f>
        <v>254</v>
      </c>
      <c r="AQ71" s="415" t="s">
        <v>549</v>
      </c>
      <c r="AR71" s="415">
        <v>101</v>
      </c>
      <c r="AS71" s="415">
        <v>14250</v>
      </c>
      <c r="AU71" s="421" t="s">
        <v>638</v>
      </c>
      <c r="AV71" s="421">
        <v>103</v>
      </c>
      <c r="AW71" s="421">
        <v>14610</v>
      </c>
    </row>
    <row r="72" spans="1:49" ht="14.25" customHeight="1" x14ac:dyDescent="0.25">
      <c r="A72" s="46" t="s">
        <v>849</v>
      </c>
      <c r="B72" s="46" t="s">
        <v>213</v>
      </c>
      <c r="C72" s="47" t="s">
        <v>14</v>
      </c>
      <c r="D72" s="48">
        <v>171</v>
      </c>
      <c r="E72" s="49">
        <v>171</v>
      </c>
      <c r="F72" s="50">
        <v>1</v>
      </c>
      <c r="G72" s="51">
        <v>1000</v>
      </c>
      <c r="H72" s="51" t="s">
        <v>227</v>
      </c>
      <c r="I72" s="484">
        <v>10</v>
      </c>
      <c r="J72" s="484">
        <f>I72/(G72/1000)</f>
        <v>10</v>
      </c>
      <c r="K72" s="51">
        <f t="shared" ref="K72" si="26">(E72/F72)/G72</f>
        <v>0.17100000000000001</v>
      </c>
      <c r="L72" s="51">
        <f t="shared" ref="L72" si="27">(D72/F72)/G72</f>
        <v>0.17100000000000001</v>
      </c>
      <c r="M72" s="51" t="s">
        <v>227</v>
      </c>
      <c r="N72" s="51">
        <f t="shared" ref="N72" si="28">K72*I72</f>
        <v>1.7100000000000002</v>
      </c>
      <c r="O72" s="51">
        <f t="shared" ref="O72" si="29">L72*I72</f>
        <v>1.7100000000000002</v>
      </c>
      <c r="AJ72" s="420">
        <v>5</v>
      </c>
      <c r="AK72" s="420" t="s">
        <v>127</v>
      </c>
      <c r="AL72" s="420">
        <f>AW43</f>
        <v>16580</v>
      </c>
      <c r="AM72" s="420">
        <v>1000</v>
      </c>
      <c r="AN72" s="420">
        <f>AV43</f>
        <v>122</v>
      </c>
      <c r="AQ72" s="415" t="s">
        <v>561</v>
      </c>
      <c r="AR72" s="415">
        <v>109</v>
      </c>
      <c r="AS72" s="415">
        <v>16110</v>
      </c>
      <c r="AU72" s="421" t="s">
        <v>547</v>
      </c>
      <c r="AV72" s="421">
        <v>14</v>
      </c>
      <c r="AW72" s="421">
        <v>2100</v>
      </c>
    </row>
    <row r="73" spans="1:49" ht="14.25" customHeight="1" x14ac:dyDescent="0.25">
      <c r="A73" s="46" t="s">
        <v>799</v>
      </c>
      <c r="B73" s="46" t="s">
        <v>213</v>
      </c>
      <c r="C73" s="47" t="s">
        <v>14</v>
      </c>
      <c r="D73" s="48">
        <v>58.601644109689715</v>
      </c>
      <c r="E73" s="49">
        <v>376.53524679073882</v>
      </c>
      <c r="F73" s="50">
        <v>1</v>
      </c>
      <c r="G73" s="51">
        <v>100</v>
      </c>
      <c r="H73" s="51" t="s">
        <v>710</v>
      </c>
      <c r="I73" s="484">
        <v>2.25</v>
      </c>
      <c r="J73" s="484">
        <f>I73/(G73/1000)</f>
        <v>22.5</v>
      </c>
      <c r="K73" s="51">
        <f>(E73/F73)/G73</f>
        <v>3.7653524679073884</v>
      </c>
      <c r="L73" s="51">
        <f>(D73/F73)/G73</f>
        <v>0.5860164410968971</v>
      </c>
      <c r="M73" s="51" t="s">
        <v>744</v>
      </c>
      <c r="N73" s="51">
        <f>K73*I73</f>
        <v>8.4720430527916246</v>
      </c>
      <c r="O73" s="51">
        <f>L73*I73</f>
        <v>1.3185369924680184</v>
      </c>
      <c r="AJ73" s="420">
        <v>5</v>
      </c>
      <c r="AK73" s="420" t="s">
        <v>788</v>
      </c>
      <c r="AL73" s="420">
        <f>AW40</f>
        <v>30120</v>
      </c>
      <c r="AM73" s="420">
        <v>1000</v>
      </c>
      <c r="AN73" s="420">
        <f>AV40</f>
        <v>215</v>
      </c>
      <c r="AQ73" s="415" t="s">
        <v>549</v>
      </c>
      <c r="AR73" s="415">
        <v>109</v>
      </c>
      <c r="AS73" s="415">
        <v>16110</v>
      </c>
      <c r="AU73" s="421" t="s">
        <v>639</v>
      </c>
      <c r="AV73" s="421">
        <v>89</v>
      </c>
      <c r="AW73" s="421">
        <v>12510</v>
      </c>
    </row>
    <row r="74" spans="1:49" ht="14.25" customHeight="1" x14ac:dyDescent="0.25">
      <c r="AJ74" s="420">
        <v>5</v>
      </c>
      <c r="AK74" s="420" t="s">
        <v>130</v>
      </c>
      <c r="AL74" s="420">
        <f>AW46</f>
        <v>11950</v>
      </c>
      <c r="AM74" s="420">
        <v>1000</v>
      </c>
      <c r="AN74" s="420">
        <f>AV46</f>
        <v>86</v>
      </c>
      <c r="AQ74" s="415" t="s">
        <v>582</v>
      </c>
      <c r="AR74" s="415">
        <v>66</v>
      </c>
      <c r="AS74" s="415">
        <v>66</v>
      </c>
      <c r="AU74" s="421" t="s">
        <v>640</v>
      </c>
      <c r="AV74" s="421">
        <v>250</v>
      </c>
      <c r="AW74" s="421">
        <v>34420</v>
      </c>
    </row>
    <row r="75" spans="1:49" ht="14.25" customHeight="1" x14ac:dyDescent="0.25">
      <c r="A75" s="512" t="s">
        <v>469</v>
      </c>
      <c r="B75" s="512" t="s">
        <v>470</v>
      </c>
      <c r="C75" s="513" t="s">
        <v>14</v>
      </c>
      <c r="D75" s="514">
        <v>1895.7749999999999</v>
      </c>
      <c r="E75" s="515">
        <v>2308.9124999999999</v>
      </c>
      <c r="F75" s="516">
        <v>1</v>
      </c>
      <c r="G75" s="517">
        <f>12*400</f>
        <v>4800</v>
      </c>
      <c r="H75" s="517" t="s">
        <v>713</v>
      </c>
      <c r="I75" s="518">
        <v>80</v>
      </c>
      <c r="J75" s="518">
        <f t="shared" ref="J75:J81" si="30">I75/(G75/1000)</f>
        <v>16.666666666666668</v>
      </c>
      <c r="K75" s="517">
        <v>5.3362865497076024</v>
      </c>
      <c r="L75" s="517">
        <v>0</v>
      </c>
      <c r="M75" s="517" t="s">
        <v>45</v>
      </c>
      <c r="N75" s="517">
        <v>0</v>
      </c>
      <c r="O75" s="517">
        <v>0</v>
      </c>
      <c r="AJ75" s="420">
        <v>5</v>
      </c>
      <c r="AK75" s="420" t="s">
        <v>132</v>
      </c>
      <c r="AL75" s="420">
        <f>AW38</f>
        <v>15560</v>
      </c>
      <c r="AM75" s="420">
        <v>1000</v>
      </c>
      <c r="AN75" s="420">
        <f>AV38</f>
        <v>110</v>
      </c>
      <c r="AQ75" s="415" t="s">
        <v>841</v>
      </c>
      <c r="AR75" s="415">
        <v>213</v>
      </c>
      <c r="AS75" s="415">
        <v>213</v>
      </c>
      <c r="AU75" s="421" t="s">
        <v>547</v>
      </c>
      <c r="AV75" s="421">
        <v>17</v>
      </c>
      <c r="AW75" s="421">
        <v>2550</v>
      </c>
    </row>
    <row r="76" spans="1:49" ht="14.25" customHeight="1" x14ac:dyDescent="0.25">
      <c r="A76" s="512" t="s">
        <v>679</v>
      </c>
      <c r="B76" s="512" t="s">
        <v>470</v>
      </c>
      <c r="C76" s="513" t="s">
        <v>14</v>
      </c>
      <c r="D76" s="514">
        <v>0</v>
      </c>
      <c r="E76" s="515">
        <v>5174.8041237113403</v>
      </c>
      <c r="F76" s="516">
        <v>1</v>
      </c>
      <c r="G76" s="517">
        <f>20*400</f>
        <v>8000</v>
      </c>
      <c r="H76" s="517" t="s">
        <v>25</v>
      </c>
      <c r="I76" s="518">
        <v>33</v>
      </c>
      <c r="J76" s="518">
        <f t="shared" si="30"/>
        <v>4.125</v>
      </c>
      <c r="K76" s="517">
        <v>1.4916494845360828</v>
      </c>
      <c r="L76" s="517">
        <v>0</v>
      </c>
      <c r="M76" s="517" t="s">
        <v>26</v>
      </c>
      <c r="N76" s="517">
        <v>49.224432989690733</v>
      </c>
      <c r="O76" s="517">
        <v>0</v>
      </c>
      <c r="AJ76" s="420">
        <v>5</v>
      </c>
      <c r="AK76" s="420" t="s">
        <v>134</v>
      </c>
      <c r="AL76" s="420">
        <f>AW50</f>
        <v>10440</v>
      </c>
      <c r="AM76" s="420">
        <v>0</v>
      </c>
      <c r="AN76" s="420">
        <f>AV50</f>
        <v>73</v>
      </c>
      <c r="AQ76" s="415" t="s">
        <v>644</v>
      </c>
      <c r="AR76" s="415">
        <v>310</v>
      </c>
      <c r="AS76" s="415">
        <v>310</v>
      </c>
      <c r="AU76" s="421" t="s">
        <v>554</v>
      </c>
      <c r="AV76" s="421">
        <v>233</v>
      </c>
      <c r="AW76" s="421">
        <v>31870</v>
      </c>
    </row>
    <row r="77" spans="1:49" ht="14.25" customHeight="1" x14ac:dyDescent="0.25">
      <c r="A77" s="512" t="s">
        <v>680</v>
      </c>
      <c r="B77" s="512" t="s">
        <v>470</v>
      </c>
      <c r="C77" s="513" t="s">
        <v>14</v>
      </c>
      <c r="D77" s="514">
        <v>0</v>
      </c>
      <c r="E77" s="515">
        <v>8610.1052631578968</v>
      </c>
      <c r="F77" s="516">
        <v>1</v>
      </c>
      <c r="G77" s="517">
        <f>20*400</f>
        <v>8000</v>
      </c>
      <c r="H77" s="517" t="s">
        <v>25</v>
      </c>
      <c r="I77" s="518">
        <v>130</v>
      </c>
      <c r="J77" s="518">
        <f t="shared" si="30"/>
        <v>16.25</v>
      </c>
      <c r="K77" s="517">
        <v>1.4117287449392715</v>
      </c>
      <c r="L77" s="517">
        <v>0</v>
      </c>
      <c r="M77" s="517" t="s">
        <v>26</v>
      </c>
      <c r="N77" s="517">
        <v>22.940592105263161</v>
      </c>
      <c r="O77" s="517">
        <v>0</v>
      </c>
      <c r="AJ77" s="420">
        <v>5</v>
      </c>
      <c r="AK77" s="420" t="s">
        <v>138</v>
      </c>
      <c r="AL77" s="420">
        <f>AW49</f>
        <v>107600</v>
      </c>
      <c r="AM77" s="420">
        <v>1000</v>
      </c>
      <c r="AN77" s="420">
        <f>AV49</f>
        <v>352</v>
      </c>
      <c r="AU77" s="421" t="s">
        <v>641</v>
      </c>
      <c r="AV77" s="421">
        <v>141</v>
      </c>
      <c r="AW77" s="421">
        <v>19990</v>
      </c>
    </row>
    <row r="78" spans="1:49" ht="14.25" customHeight="1" x14ac:dyDescent="0.25">
      <c r="A78" s="512" t="s">
        <v>676</v>
      </c>
      <c r="B78" s="512" t="s">
        <v>470</v>
      </c>
      <c r="C78" s="513" t="s">
        <v>14</v>
      </c>
      <c r="D78" s="514">
        <v>0</v>
      </c>
      <c r="E78" s="515">
        <v>351</v>
      </c>
      <c r="F78" s="516">
        <v>1</v>
      </c>
      <c r="G78" s="517">
        <v>1000</v>
      </c>
      <c r="H78" s="517" t="s">
        <v>227</v>
      </c>
      <c r="I78" s="518">
        <v>8</v>
      </c>
      <c r="J78" s="518">
        <f t="shared" si="30"/>
        <v>8</v>
      </c>
      <c r="K78" s="517">
        <v>1.4117287449392715</v>
      </c>
      <c r="L78" s="517">
        <v>0</v>
      </c>
      <c r="M78" s="517" t="s">
        <v>26</v>
      </c>
      <c r="N78" s="517">
        <v>22.940592105263161</v>
      </c>
      <c r="O78" s="517">
        <v>0</v>
      </c>
      <c r="AJ78" s="420">
        <v>5</v>
      </c>
      <c r="AK78" s="420" t="s">
        <v>140</v>
      </c>
      <c r="AL78" s="420">
        <f>AW49</f>
        <v>107600</v>
      </c>
      <c r="AM78" s="420">
        <v>0</v>
      </c>
      <c r="AN78" s="420">
        <f>AV49</f>
        <v>352</v>
      </c>
      <c r="AU78" s="421" t="s">
        <v>558</v>
      </c>
      <c r="AV78" s="421">
        <v>141</v>
      </c>
      <c r="AW78" s="421">
        <v>19990</v>
      </c>
    </row>
    <row r="79" spans="1:49" ht="14.25" customHeight="1" x14ac:dyDescent="0.25">
      <c r="A79" s="512" t="s">
        <v>517</v>
      </c>
      <c r="B79" s="512" t="s">
        <v>470</v>
      </c>
      <c r="C79" s="513" t="s">
        <v>14</v>
      </c>
      <c r="D79" s="514">
        <v>0</v>
      </c>
      <c r="E79" s="515">
        <v>542.95920000000001</v>
      </c>
      <c r="F79" s="516">
        <v>1</v>
      </c>
      <c r="G79" s="517">
        <f>24*400</f>
        <v>9600</v>
      </c>
      <c r="H79" s="517" t="s">
        <v>714</v>
      </c>
      <c r="I79" s="518">
        <v>80</v>
      </c>
      <c r="J79" s="518">
        <f t="shared" si="30"/>
        <v>8.3333333333333339</v>
      </c>
      <c r="K79" s="517">
        <v>1.4117287449392715</v>
      </c>
      <c r="L79" s="517">
        <v>0</v>
      </c>
      <c r="M79" s="517" t="s">
        <v>26</v>
      </c>
      <c r="N79" s="517">
        <v>22.940592105263161</v>
      </c>
      <c r="O79" s="517">
        <v>0</v>
      </c>
      <c r="AJ79" s="420">
        <v>5</v>
      </c>
      <c r="AK79" s="420" t="s">
        <v>820</v>
      </c>
      <c r="AL79" s="420">
        <f>AW57</f>
        <v>144</v>
      </c>
      <c r="AM79" s="420">
        <v>5</v>
      </c>
      <c r="AN79" s="420">
        <f>AV57</f>
        <v>144</v>
      </c>
      <c r="AU79" s="421" t="s">
        <v>581</v>
      </c>
      <c r="AV79" s="421">
        <v>88</v>
      </c>
      <c r="AW79" s="421">
        <v>12210</v>
      </c>
    </row>
    <row r="80" spans="1:49" ht="14.25" customHeight="1" x14ac:dyDescent="0.25">
      <c r="A80" s="512" t="s">
        <v>516</v>
      </c>
      <c r="B80" s="512" t="s">
        <v>470</v>
      </c>
      <c r="C80" s="513" t="s">
        <v>14</v>
      </c>
      <c r="D80" s="514">
        <v>2716.8</v>
      </c>
      <c r="E80" s="515">
        <v>6681.6715564852784</v>
      </c>
      <c r="F80" s="516">
        <v>1</v>
      </c>
      <c r="G80" s="517">
        <f>2125*6</f>
        <v>12750</v>
      </c>
      <c r="H80" s="517" t="s">
        <v>218</v>
      </c>
      <c r="I80" s="518">
        <v>130</v>
      </c>
      <c r="J80" s="518">
        <f t="shared" si="30"/>
        <v>10.196078431372548</v>
      </c>
      <c r="K80" s="517">
        <v>1.4117287449392715</v>
      </c>
      <c r="L80" s="517">
        <v>0</v>
      </c>
      <c r="M80" s="517" t="s">
        <v>26</v>
      </c>
      <c r="N80" s="517">
        <v>22.940592105263161</v>
      </c>
      <c r="O80" s="517">
        <v>0</v>
      </c>
      <c r="AJ80" s="420">
        <v>5</v>
      </c>
      <c r="AK80" s="420" t="s">
        <v>814</v>
      </c>
      <c r="AL80" s="420">
        <f>AW54</f>
        <v>11460</v>
      </c>
      <c r="AM80" s="420">
        <v>1000</v>
      </c>
      <c r="AN80" s="420">
        <f>AV54</f>
        <v>79</v>
      </c>
      <c r="AU80" s="421" t="s">
        <v>549</v>
      </c>
      <c r="AV80" s="421">
        <v>88</v>
      </c>
      <c r="AW80" s="421">
        <v>12210</v>
      </c>
    </row>
    <row r="81" spans="1:49" ht="14.25" customHeight="1" x14ac:dyDescent="0.25">
      <c r="A81" s="512" t="s">
        <v>219</v>
      </c>
      <c r="B81" s="512" t="s">
        <v>470</v>
      </c>
      <c r="C81" s="513" t="s">
        <v>14</v>
      </c>
      <c r="D81" s="514">
        <v>5683.3908948194667</v>
      </c>
      <c r="E81" s="515">
        <v>5683.3908948194667</v>
      </c>
      <c r="F81" s="516">
        <v>1</v>
      </c>
      <c r="G81" s="517">
        <f>24*400</f>
        <v>9600</v>
      </c>
      <c r="H81" s="517" t="s">
        <v>714</v>
      </c>
      <c r="I81" s="518">
        <v>69</v>
      </c>
      <c r="J81" s="518">
        <f t="shared" si="30"/>
        <v>7.1875</v>
      </c>
      <c r="K81" s="517">
        <v>1.4117287449392715</v>
      </c>
      <c r="L81" s="517">
        <v>0</v>
      </c>
      <c r="M81" s="517" t="s">
        <v>26</v>
      </c>
      <c r="N81" s="517">
        <v>22.940592105263161</v>
      </c>
      <c r="O81" s="517">
        <v>0</v>
      </c>
      <c r="AJ81" s="420">
        <v>5</v>
      </c>
      <c r="AK81" s="420" t="s">
        <v>143</v>
      </c>
      <c r="AL81" s="420">
        <f>AW52</f>
        <v>16250</v>
      </c>
      <c r="AM81" s="420">
        <v>500</v>
      </c>
      <c r="AN81" s="420">
        <f>AV52</f>
        <v>116</v>
      </c>
      <c r="AU81" s="421" t="s">
        <v>642</v>
      </c>
      <c r="AV81" s="421">
        <v>152</v>
      </c>
      <c r="AW81" s="421">
        <v>22270</v>
      </c>
    </row>
    <row r="82" spans="1:49" ht="14.25" customHeight="1" x14ac:dyDescent="0.25">
      <c r="AJ82" s="420">
        <v>5</v>
      </c>
      <c r="AK82" s="420" t="s">
        <v>145</v>
      </c>
      <c r="AL82" s="420">
        <f>AW58+AW31</f>
        <v>80</v>
      </c>
      <c r="AM82" s="420">
        <v>5</v>
      </c>
      <c r="AN82" s="420">
        <f>AV58+AV31</f>
        <v>80</v>
      </c>
      <c r="AU82" s="421" t="s">
        <v>549</v>
      </c>
      <c r="AV82" s="421">
        <v>152</v>
      </c>
      <c r="AW82" s="421">
        <v>22270</v>
      </c>
    </row>
    <row r="83" spans="1:49" ht="14.25" customHeight="1" x14ac:dyDescent="0.25">
      <c r="A83" s="27" t="s">
        <v>176</v>
      </c>
      <c r="B83" s="27" t="s">
        <v>177</v>
      </c>
      <c r="C83" s="28" t="s">
        <v>14</v>
      </c>
      <c r="D83" s="29">
        <v>69</v>
      </c>
      <c r="E83" s="30">
        <v>3278.2789457333338</v>
      </c>
      <c r="F83" s="31">
        <v>1</v>
      </c>
      <c r="G83" s="32">
        <v>1000</v>
      </c>
      <c r="H83" s="32" t="s">
        <v>45</v>
      </c>
      <c r="I83" s="490">
        <v>39</v>
      </c>
      <c r="J83" s="490">
        <f>I83/(G83/1000)</f>
        <v>39</v>
      </c>
      <c r="K83" s="32">
        <f>(E83/F83)/G83</f>
        <v>3.2782789457333337</v>
      </c>
      <c r="L83" s="32">
        <f>(D83/F83)/G83</f>
        <v>6.9000000000000006E-2</v>
      </c>
      <c r="M83" s="32" t="s">
        <v>45</v>
      </c>
      <c r="N83" s="32">
        <f>K83*I83</f>
        <v>127.85287888360001</v>
      </c>
      <c r="O83" s="32">
        <f>L83*I83</f>
        <v>2.6910000000000003</v>
      </c>
      <c r="AJ83" s="420">
        <v>5</v>
      </c>
      <c r="AK83" s="420" t="s">
        <v>512</v>
      </c>
      <c r="AL83" s="420">
        <f>AW51</f>
        <v>10440</v>
      </c>
      <c r="AM83" s="420">
        <v>0</v>
      </c>
      <c r="AN83" s="420">
        <f>AV51</f>
        <v>73</v>
      </c>
      <c r="AU83" s="421" t="s">
        <v>643</v>
      </c>
      <c r="AV83" s="421">
        <v>68</v>
      </c>
      <c r="AW83" s="421">
        <v>68</v>
      </c>
    </row>
    <row r="84" spans="1:49" ht="14.25" customHeight="1" x14ac:dyDescent="0.25">
      <c r="A84" s="27" t="s">
        <v>178</v>
      </c>
      <c r="B84" s="27" t="s">
        <v>177</v>
      </c>
      <c r="C84" s="28" t="s">
        <v>14</v>
      </c>
      <c r="D84" s="29">
        <v>249.71242804814244</v>
      </c>
      <c r="E84" s="30">
        <v>1779.2273403288443</v>
      </c>
      <c r="F84" s="31">
        <v>1</v>
      </c>
      <c r="G84" s="32">
        <v>1000</v>
      </c>
      <c r="H84" s="32" t="s">
        <v>45</v>
      </c>
      <c r="I84" s="490">
        <v>40</v>
      </c>
      <c r="J84" s="490">
        <f>I84/(G84/1000)</f>
        <v>40</v>
      </c>
      <c r="K84" s="32">
        <f>(E84/F84)/G84</f>
        <v>1.7792273403288443</v>
      </c>
      <c r="L84" s="32">
        <f>(D84/F84)/G84</f>
        <v>0.24971242804814245</v>
      </c>
      <c r="M84" s="32" t="s">
        <v>45</v>
      </c>
      <c r="N84" s="32">
        <f>K84*I84</f>
        <v>71.169093613153777</v>
      </c>
      <c r="O84" s="32">
        <f>L84*I84</f>
        <v>9.9884971219256986</v>
      </c>
      <c r="AJ84" s="420">
        <v>5</v>
      </c>
      <c r="AK84" s="420" t="s">
        <v>147</v>
      </c>
      <c r="AL84" s="420">
        <f>AW34+AW37+AW42+AW45+AW48+AW55</f>
        <v>10500</v>
      </c>
      <c r="AM84" s="420">
        <v>0</v>
      </c>
      <c r="AN84" s="420">
        <f>AV34+AV37+AV42+AV45+AV48+AV55</f>
        <v>70</v>
      </c>
      <c r="AU84" s="421" t="s">
        <v>809</v>
      </c>
      <c r="AV84" s="421">
        <v>178</v>
      </c>
      <c r="AW84" s="421">
        <v>178</v>
      </c>
    </row>
    <row r="85" spans="1:49" ht="14.25" customHeight="1" x14ac:dyDescent="0.25">
      <c r="A85" s="27" t="s">
        <v>952</v>
      </c>
      <c r="B85" s="27" t="s">
        <v>177</v>
      </c>
      <c r="C85" s="28" t="s">
        <v>14</v>
      </c>
      <c r="D85" s="29">
        <v>0</v>
      </c>
      <c r="E85" s="30">
        <v>220</v>
      </c>
      <c r="F85" s="31">
        <v>1</v>
      </c>
      <c r="G85" s="32">
        <v>1000</v>
      </c>
      <c r="H85" s="32" t="s">
        <v>227</v>
      </c>
      <c r="I85" s="490">
        <v>40</v>
      </c>
      <c r="J85" s="490">
        <f>I85/(G85/1000)</f>
        <v>40</v>
      </c>
      <c r="K85" s="32">
        <f t="shared" ref="K85:K87" si="31">(E85/F85)/G85</f>
        <v>0.22</v>
      </c>
      <c r="L85" s="32">
        <f t="shared" ref="L85:L87" si="32">(D85/F85)/G85</f>
        <v>0</v>
      </c>
      <c r="M85" s="32" t="s">
        <v>45</v>
      </c>
      <c r="N85" s="32">
        <f t="shared" ref="N85:N87" si="33">K85*I85</f>
        <v>8.8000000000000007</v>
      </c>
      <c r="O85" s="32">
        <f t="shared" ref="O85:O87" si="34">L85*I85</f>
        <v>0</v>
      </c>
      <c r="AJ85" s="420">
        <v>5</v>
      </c>
      <c r="AK85" s="420" t="s">
        <v>531</v>
      </c>
      <c r="AL85" s="420">
        <f>AW73</f>
        <v>12510</v>
      </c>
      <c r="AM85" s="420">
        <v>500</v>
      </c>
      <c r="AN85" s="420">
        <f>AV73</f>
        <v>89</v>
      </c>
    </row>
    <row r="86" spans="1:49" ht="14.25" customHeight="1" x14ac:dyDescent="0.25">
      <c r="A86" s="27" t="s">
        <v>677</v>
      </c>
      <c r="B86" s="27" t="s">
        <v>177</v>
      </c>
      <c r="C86" s="28" t="s">
        <v>14</v>
      </c>
      <c r="D86" s="29">
        <v>0</v>
      </c>
      <c r="E86" s="30">
        <v>4.8</v>
      </c>
      <c r="F86" s="31">
        <v>1</v>
      </c>
      <c r="G86" s="32">
        <v>1000</v>
      </c>
      <c r="H86" s="32" t="s">
        <v>227</v>
      </c>
      <c r="I86" s="490">
        <v>13</v>
      </c>
      <c r="J86" s="490">
        <f>I86/(G86/1000)</f>
        <v>13</v>
      </c>
      <c r="K86" s="32">
        <f t="shared" si="31"/>
        <v>4.7999999999999996E-3</v>
      </c>
      <c r="L86" s="32">
        <f t="shared" si="32"/>
        <v>0</v>
      </c>
      <c r="M86" s="32" t="s">
        <v>45</v>
      </c>
      <c r="N86" s="32">
        <f t="shared" si="33"/>
        <v>6.2399999999999997E-2</v>
      </c>
      <c r="O86" s="32">
        <f t="shared" si="34"/>
        <v>0</v>
      </c>
      <c r="AJ86" s="420">
        <v>5</v>
      </c>
      <c r="AK86" s="420" t="s">
        <v>532</v>
      </c>
      <c r="AL86" s="420">
        <f>AW64</f>
        <v>19650</v>
      </c>
      <c r="AM86" s="420">
        <v>500</v>
      </c>
      <c r="AN86" s="420">
        <f>AV64</f>
        <v>140</v>
      </c>
    </row>
    <row r="87" spans="1:49" ht="14.25" customHeight="1" x14ac:dyDescent="0.25">
      <c r="A87" s="27" t="s">
        <v>681</v>
      </c>
      <c r="B87" s="27" t="s">
        <v>177</v>
      </c>
      <c r="C87" s="28" t="s">
        <v>14</v>
      </c>
      <c r="D87" s="29">
        <v>0</v>
      </c>
      <c r="E87" s="30">
        <v>220</v>
      </c>
      <c r="F87" s="31">
        <v>1</v>
      </c>
      <c r="G87" s="32">
        <v>1000</v>
      </c>
      <c r="H87" s="32" t="s">
        <v>227</v>
      </c>
      <c r="I87" s="490">
        <v>160</v>
      </c>
      <c r="J87" s="490">
        <f>I87/(G87/1000)</f>
        <v>160</v>
      </c>
      <c r="K87" s="32">
        <f t="shared" si="31"/>
        <v>0.22</v>
      </c>
      <c r="L87" s="32">
        <f t="shared" si="32"/>
        <v>0</v>
      </c>
      <c r="M87" s="32" t="s">
        <v>45</v>
      </c>
      <c r="N87" s="32">
        <f t="shared" si="33"/>
        <v>35.200000000000003</v>
      </c>
      <c r="O87" s="32">
        <f t="shared" si="34"/>
        <v>0</v>
      </c>
      <c r="AJ87" s="421">
        <v>6</v>
      </c>
      <c r="AK87" s="421" t="s">
        <v>148</v>
      </c>
      <c r="AL87" s="421">
        <f>AW62</f>
        <v>21900</v>
      </c>
      <c r="AM87" s="421">
        <v>1000</v>
      </c>
      <c r="AN87" s="421">
        <f>AV62</f>
        <v>155</v>
      </c>
    </row>
    <row r="88" spans="1:49" ht="14.25" customHeight="1" x14ac:dyDescent="0.25">
      <c r="A88" s="27" t="s">
        <v>184</v>
      </c>
      <c r="B88" s="27" t="s">
        <v>177</v>
      </c>
      <c r="C88" s="28" t="s">
        <v>14</v>
      </c>
      <c r="D88" s="29">
        <v>0</v>
      </c>
      <c r="E88" s="30">
        <v>735.15</v>
      </c>
      <c r="F88" s="31">
        <v>1</v>
      </c>
      <c r="G88" s="32">
        <v>1000</v>
      </c>
      <c r="H88" s="32" t="s">
        <v>45</v>
      </c>
      <c r="I88" s="490">
        <v>17.5</v>
      </c>
      <c r="J88" s="490">
        <f>I88</f>
        <v>17.5</v>
      </c>
      <c r="K88" s="32">
        <f>(E88/F88)/G88</f>
        <v>0.73514999999999997</v>
      </c>
      <c r="L88" s="32">
        <f>(D88/F88)/G88</f>
        <v>0</v>
      </c>
      <c r="M88" s="32" t="s">
        <v>45</v>
      </c>
      <c r="N88" s="32">
        <f>K88*I88</f>
        <v>12.865124999999999</v>
      </c>
      <c r="O88" s="32">
        <f>L88*I88</f>
        <v>0</v>
      </c>
      <c r="AJ88" s="421">
        <v>6</v>
      </c>
      <c r="AK88" s="421" t="s">
        <v>150</v>
      </c>
      <c r="AL88" s="421">
        <f>AW65</f>
        <v>41490</v>
      </c>
      <c r="AM88" s="421">
        <v>1000</v>
      </c>
      <c r="AN88" s="421">
        <f>AV65</f>
        <v>288</v>
      </c>
    </row>
    <row r="89" spans="1:49" ht="14.25" customHeight="1" x14ac:dyDescent="0.25">
      <c r="B89" s="9"/>
      <c r="C89" s="10"/>
      <c r="D89" s="11"/>
      <c r="E89" s="12">
        <v>84.396768535990304</v>
      </c>
      <c r="F89" s="646"/>
      <c r="G89" s="533"/>
      <c r="H89" s="480"/>
      <c r="I89" s="481"/>
      <c r="J89" s="481"/>
      <c r="K89" s="13"/>
      <c r="L89" s="13"/>
      <c r="M89" s="13"/>
      <c r="N89" s="13"/>
      <c r="O89" s="13"/>
      <c r="AJ89" s="421">
        <v>6</v>
      </c>
      <c r="AK89" s="421" t="s">
        <v>151</v>
      </c>
      <c r="AL89" s="421">
        <f>AW68</f>
        <v>20880</v>
      </c>
      <c r="AM89" s="421">
        <v>500</v>
      </c>
      <c r="AN89" s="421">
        <f>AV68</f>
        <v>145</v>
      </c>
    </row>
    <row r="90" spans="1:49" ht="14.25" customHeight="1" x14ac:dyDescent="0.25">
      <c r="A90" s="33" t="s">
        <v>181</v>
      </c>
      <c r="B90" s="33" t="s">
        <v>180</v>
      </c>
      <c r="C90" s="34" t="s">
        <v>14</v>
      </c>
      <c r="D90" s="35">
        <v>298.71180842279114</v>
      </c>
      <c r="E90" s="36">
        <v>692.65891535545177</v>
      </c>
      <c r="F90" s="37">
        <v>1</v>
      </c>
      <c r="G90" s="38">
        <v>20000</v>
      </c>
      <c r="H90" s="38" t="s">
        <v>182</v>
      </c>
      <c r="I90" s="488">
        <v>130</v>
      </c>
      <c r="J90" s="488">
        <f>I90/20</f>
        <v>6.5</v>
      </c>
      <c r="K90" s="39">
        <f>(E90/F90)/G90</f>
        <v>3.4632945767772587E-2</v>
      </c>
      <c r="L90" s="39">
        <f>(D90/F90)/G90</f>
        <v>1.4935590421139558E-2</v>
      </c>
      <c r="M90" s="38" t="s">
        <v>45</v>
      </c>
      <c r="N90" s="39">
        <f>K90*I90</f>
        <v>4.5022829498104366</v>
      </c>
      <c r="O90" s="39">
        <f>L90*I90</f>
        <v>1.9416267547481425</v>
      </c>
      <c r="AJ90" s="421">
        <v>6</v>
      </c>
      <c r="AK90" s="421" t="s">
        <v>155</v>
      </c>
      <c r="AL90" s="421">
        <f>AW71</f>
        <v>14610</v>
      </c>
      <c r="AM90" s="421">
        <v>500</v>
      </c>
      <c r="AN90" s="421">
        <f>AV71</f>
        <v>103</v>
      </c>
    </row>
    <row r="91" spans="1:49" ht="14.25" customHeight="1" x14ac:dyDescent="0.25">
      <c r="A91" s="33" t="s">
        <v>183</v>
      </c>
      <c r="B91" s="33" t="s">
        <v>180</v>
      </c>
      <c r="C91" s="34" t="s">
        <v>14</v>
      </c>
      <c r="D91" s="35">
        <v>750.36734693877554</v>
      </c>
      <c r="E91" s="36">
        <v>4435.2150052488187</v>
      </c>
      <c r="F91" s="37">
        <v>1</v>
      </c>
      <c r="G91" s="38">
        <f>4*2000</f>
        <v>8000</v>
      </c>
      <c r="H91" s="38" t="s">
        <v>722</v>
      </c>
      <c r="I91" s="488">
        <v>136</v>
      </c>
      <c r="J91" s="488">
        <f>I91/(G91/1000)</f>
        <v>17</v>
      </c>
      <c r="K91" s="38">
        <f>(E91/F91)/G91</f>
        <v>0.55440187565610233</v>
      </c>
      <c r="L91" s="38">
        <f>(D91/F91)/G91</f>
        <v>9.3795918367346937E-2</v>
      </c>
      <c r="M91" s="38" t="s">
        <v>45</v>
      </c>
      <c r="N91" s="38">
        <f>K91*I91</f>
        <v>75.398655089229919</v>
      </c>
      <c r="O91" s="38">
        <f>L91*I91</f>
        <v>12.756244897959183</v>
      </c>
      <c r="AJ91" s="421">
        <v>6</v>
      </c>
      <c r="AK91" s="421" t="s">
        <v>158</v>
      </c>
      <c r="AL91" s="421">
        <f>AW74</f>
        <v>34420</v>
      </c>
      <c r="AM91" s="421">
        <v>1000</v>
      </c>
      <c r="AN91" s="421">
        <f>AV74</f>
        <v>250</v>
      </c>
    </row>
    <row r="92" spans="1:49" ht="14.25" customHeight="1" x14ac:dyDescent="0.25">
      <c r="A92" s="33" t="s">
        <v>179</v>
      </c>
      <c r="B92" s="33" t="s">
        <v>180</v>
      </c>
      <c r="C92" s="34" t="s">
        <v>14</v>
      </c>
      <c r="D92" s="35">
        <v>0</v>
      </c>
      <c r="E92" s="36">
        <v>95.314521193092716</v>
      </c>
      <c r="F92" s="37">
        <v>1</v>
      </c>
      <c r="G92" s="38">
        <v>10000</v>
      </c>
      <c r="H92" s="38" t="s">
        <v>723</v>
      </c>
      <c r="I92" s="488">
        <v>27</v>
      </c>
      <c r="J92" s="488">
        <f>I92/(G92/1000)</f>
        <v>2.7</v>
      </c>
      <c r="K92" s="39">
        <f>(E92/F92)/G92</f>
        <v>9.5314521193092718E-3</v>
      </c>
      <c r="L92" s="39">
        <f>(D92/F92)/G92</f>
        <v>0</v>
      </c>
      <c r="M92" s="38" t="s">
        <v>45</v>
      </c>
      <c r="N92" s="39">
        <f>K92*I92</f>
        <v>0.25734920722135035</v>
      </c>
      <c r="O92" s="39">
        <f>L92*I92</f>
        <v>0</v>
      </c>
      <c r="AJ92" s="421">
        <v>6</v>
      </c>
      <c r="AK92" s="421" t="s">
        <v>162</v>
      </c>
      <c r="AL92" s="421">
        <f>AW77</f>
        <v>19990</v>
      </c>
      <c r="AM92" s="421">
        <v>1000</v>
      </c>
      <c r="AN92" s="421">
        <f>AV77</f>
        <v>141</v>
      </c>
    </row>
    <row r="93" spans="1:49" ht="14.25" customHeight="1" x14ac:dyDescent="0.25">
      <c r="B93" s="9"/>
      <c r="C93" s="10"/>
      <c r="D93" s="11"/>
      <c r="E93" s="12"/>
      <c r="F93" s="646"/>
      <c r="G93" s="533"/>
      <c r="H93" s="480"/>
      <c r="I93" s="481"/>
      <c r="J93" s="481"/>
      <c r="K93" s="13"/>
      <c r="L93" s="13"/>
      <c r="M93" s="13"/>
      <c r="N93" s="13"/>
      <c r="O93" s="13"/>
      <c r="AJ93" s="421">
        <v>6</v>
      </c>
      <c r="AK93" s="421" t="s">
        <v>165</v>
      </c>
      <c r="AL93" s="421">
        <f>AW83+AW61</f>
        <v>95</v>
      </c>
      <c r="AM93" s="421">
        <v>5</v>
      </c>
      <c r="AN93" s="421">
        <f>AV83+AV61</f>
        <v>95</v>
      </c>
    </row>
    <row r="94" spans="1:49" ht="14.25" customHeight="1" x14ac:dyDescent="0.25">
      <c r="A94" s="40" t="s">
        <v>188</v>
      </c>
      <c r="B94" s="40" t="s">
        <v>186</v>
      </c>
      <c r="C94" s="41" t="s">
        <v>14</v>
      </c>
      <c r="D94" s="42">
        <v>1849.8876404494381</v>
      </c>
      <c r="E94" s="43">
        <v>14767.457744442698</v>
      </c>
      <c r="F94" s="44">
        <v>1</v>
      </c>
      <c r="G94" s="45">
        <v>12000</v>
      </c>
      <c r="H94" s="45" t="s">
        <v>725</v>
      </c>
      <c r="I94" s="489">
        <v>102</v>
      </c>
      <c r="J94" s="489">
        <f>I94/(G94/1000)</f>
        <v>8.5</v>
      </c>
      <c r="K94" s="45">
        <f>(E94/F94)/G94</f>
        <v>1.2306214787035581</v>
      </c>
      <c r="L94" s="45">
        <f>(D94/F94)/G94</f>
        <v>0.15415730337078651</v>
      </c>
      <c r="M94" s="45" t="s">
        <v>45</v>
      </c>
      <c r="N94" s="45">
        <f>K94*I94</f>
        <v>125.52339082776292</v>
      </c>
      <c r="O94" s="45">
        <f>L94*I94</f>
        <v>15.724044943820223</v>
      </c>
      <c r="AJ94" s="421">
        <v>6</v>
      </c>
      <c r="AK94" s="421" t="s">
        <v>808</v>
      </c>
      <c r="AL94" s="421">
        <f>AV84</f>
        <v>178</v>
      </c>
      <c r="AM94" s="421">
        <v>5</v>
      </c>
      <c r="AN94" s="421">
        <f>AW84</f>
        <v>178</v>
      </c>
    </row>
    <row r="95" spans="1:49" ht="14.25" customHeight="1" x14ac:dyDescent="0.25">
      <c r="A95" s="40" t="s">
        <v>187</v>
      </c>
      <c r="B95" s="40" t="s">
        <v>186</v>
      </c>
      <c r="C95" s="41" t="s">
        <v>14</v>
      </c>
      <c r="D95" s="42">
        <v>1616.0995519262501</v>
      </c>
      <c r="E95" s="43">
        <v>6710.7493894600675</v>
      </c>
      <c r="F95" s="653">
        <v>0.9</v>
      </c>
      <c r="G95" s="45">
        <v>25000</v>
      </c>
      <c r="H95" s="45" t="s">
        <v>227</v>
      </c>
      <c r="I95" s="489">
        <v>58</v>
      </c>
      <c r="J95" s="489">
        <f>I95/(G95/1000)</f>
        <v>2.3199999999999998</v>
      </c>
      <c r="K95" s="45">
        <f>(E95/F95)/G95</f>
        <v>0.29825552842044745</v>
      </c>
      <c r="L95" s="45">
        <f>(D95/F95)/G95</f>
        <v>7.182664675227779E-2</v>
      </c>
      <c r="M95" s="45" t="s">
        <v>45</v>
      </c>
      <c r="N95" s="45">
        <f>K95*I95</f>
        <v>17.298820648385952</v>
      </c>
      <c r="O95" s="45">
        <f>L95*I95</f>
        <v>4.1659455116321116</v>
      </c>
      <c r="AJ95" s="421">
        <v>6</v>
      </c>
      <c r="AK95" s="421" t="s">
        <v>170</v>
      </c>
      <c r="AL95" s="421">
        <f>AW79</f>
        <v>12210</v>
      </c>
      <c r="AM95" s="421">
        <v>1000</v>
      </c>
      <c r="AN95" s="421">
        <f>AV79</f>
        <v>88</v>
      </c>
    </row>
    <row r="96" spans="1:49" ht="14.25" customHeight="1" x14ac:dyDescent="0.25">
      <c r="A96" s="40" t="s">
        <v>185</v>
      </c>
      <c r="B96" s="40" t="s">
        <v>186</v>
      </c>
      <c r="C96" s="41" t="s">
        <v>14</v>
      </c>
      <c r="D96" s="42">
        <v>267.99183673469389</v>
      </c>
      <c r="E96" s="43">
        <v>4749.6675957503885</v>
      </c>
      <c r="F96" s="44">
        <v>1</v>
      </c>
      <c r="G96" s="45">
        <f>1*10000</f>
        <v>10000</v>
      </c>
      <c r="H96" s="45" t="s">
        <v>724</v>
      </c>
      <c r="I96" s="489">
        <f>17</f>
        <v>17</v>
      </c>
      <c r="J96" s="489">
        <f>I96/(G96/1000)</f>
        <v>1.7</v>
      </c>
      <c r="K96" s="45">
        <f>(E96/F96)/G96</f>
        <v>0.47496675957503887</v>
      </c>
      <c r="L96" s="45">
        <f>(D96/F96)/G96</f>
        <v>2.6799183673469389E-2</v>
      </c>
      <c r="M96" s="45" t="s">
        <v>45</v>
      </c>
      <c r="N96" s="45">
        <f>K96*I96</f>
        <v>8.0744349127756614</v>
      </c>
      <c r="O96" s="45">
        <f>L96*I96</f>
        <v>0.45558612244897961</v>
      </c>
      <c r="AJ96" s="421">
        <v>6</v>
      </c>
      <c r="AK96" s="421" t="s">
        <v>167</v>
      </c>
      <c r="AL96" s="421">
        <f>AW81</f>
        <v>22270</v>
      </c>
      <c r="AM96" s="421">
        <v>500</v>
      </c>
      <c r="AN96" s="421">
        <f>AV81</f>
        <v>152</v>
      </c>
    </row>
    <row r="97" spans="1:40" ht="14.25" customHeight="1" x14ac:dyDescent="0.25">
      <c r="AJ97" s="421">
        <v>6</v>
      </c>
      <c r="AK97" s="421" t="s">
        <v>513</v>
      </c>
      <c r="AL97" s="421">
        <f>AW70</f>
        <v>19530</v>
      </c>
      <c r="AM97" s="421">
        <v>0</v>
      </c>
      <c r="AN97" s="421">
        <f>AV70</f>
        <v>136</v>
      </c>
    </row>
    <row r="98" spans="1:40" ht="14.25" customHeight="1" x14ac:dyDescent="0.25">
      <c r="A98" s="15" t="s">
        <v>90</v>
      </c>
      <c r="B98" s="15" t="s">
        <v>80</v>
      </c>
      <c r="C98" s="16" t="s">
        <v>14</v>
      </c>
      <c r="D98" s="17">
        <v>0</v>
      </c>
      <c r="E98" s="18">
        <v>24.645879587628865</v>
      </c>
      <c r="F98" s="647">
        <v>1</v>
      </c>
      <c r="G98" s="534">
        <v>100</v>
      </c>
      <c r="H98" s="18" t="s">
        <v>742</v>
      </c>
      <c r="I98" s="19">
        <v>3.04</v>
      </c>
      <c r="J98" s="19">
        <f>I98/1</f>
        <v>3.04</v>
      </c>
      <c r="K98" s="18">
        <f>(E98/F98)/G98</f>
        <v>0.24645879587628866</v>
      </c>
      <c r="L98" s="18">
        <f>(D98/F98)/G98</f>
        <v>0</v>
      </c>
      <c r="M98" s="18" t="s">
        <v>14</v>
      </c>
      <c r="N98" s="18">
        <f>K98*I98</f>
        <v>0.7492347394639175</v>
      </c>
      <c r="O98" s="18">
        <f>L98*I98</f>
        <v>0</v>
      </c>
      <c r="AJ98" s="421">
        <v>6</v>
      </c>
      <c r="AK98" s="421" t="s">
        <v>171</v>
      </c>
      <c r="AL98" s="421">
        <f>AW63+AW67+AW69+AW72+AW75</f>
        <v>10350</v>
      </c>
      <c r="AM98" s="421">
        <v>0</v>
      </c>
      <c r="AN98" s="421">
        <f>AV63+AV67+AV69+AV72+AV75</f>
        <v>69</v>
      </c>
    </row>
    <row r="99" spans="1:40" ht="14.25" customHeight="1" x14ac:dyDescent="0.25">
      <c r="A99" s="15" t="s">
        <v>87</v>
      </c>
      <c r="B99" s="15" t="s">
        <v>80</v>
      </c>
      <c r="C99" s="16" t="s">
        <v>14</v>
      </c>
      <c r="D99" s="17">
        <v>0</v>
      </c>
      <c r="E99" s="18">
        <v>25.050915865384624</v>
      </c>
      <c r="F99" s="647">
        <v>1</v>
      </c>
      <c r="G99" s="534">
        <v>200</v>
      </c>
      <c r="H99" s="18" t="s">
        <v>88</v>
      </c>
      <c r="I99" s="19">
        <v>4</v>
      </c>
      <c r="J99" s="19">
        <f>I99/0.2</f>
        <v>20</v>
      </c>
      <c r="K99" s="18">
        <f>(E99/F99)/G99</f>
        <v>0.12525457932692313</v>
      </c>
      <c r="L99" s="326">
        <f>(D99/F99)/G99</f>
        <v>0</v>
      </c>
      <c r="M99" s="18" t="s">
        <v>42</v>
      </c>
      <c r="N99" s="18">
        <f>K99*I99</f>
        <v>0.50101831730769253</v>
      </c>
      <c r="O99" s="18">
        <f>L99*I99</f>
        <v>0</v>
      </c>
    </row>
    <row r="100" spans="1:40" ht="14.25" customHeight="1" x14ac:dyDescent="0.25">
      <c r="A100" s="15" t="s">
        <v>84</v>
      </c>
      <c r="B100" s="15" t="s">
        <v>80</v>
      </c>
      <c r="C100" s="16" t="s">
        <v>14</v>
      </c>
      <c r="D100" s="17">
        <v>9.3795918367346935</v>
      </c>
      <c r="E100" s="18">
        <v>16.755834641548933</v>
      </c>
      <c r="F100" s="647">
        <v>1</v>
      </c>
      <c r="G100" s="534">
        <v>142</v>
      </c>
      <c r="H100" s="18" t="s">
        <v>85</v>
      </c>
      <c r="I100" s="19">
        <v>20</v>
      </c>
      <c r="J100" s="19">
        <f>I100/0.142</f>
        <v>140.84507042253523</v>
      </c>
      <c r="K100" s="18">
        <f>(E100/F100)/G100</f>
        <v>0.11799883550386572</v>
      </c>
      <c r="L100" s="326">
        <f>(D100/F100)/G100</f>
        <v>6.6053463638976712E-2</v>
      </c>
      <c r="M100" s="18" t="s">
        <v>42</v>
      </c>
      <c r="N100" s="18">
        <f>K100*I100</f>
        <v>2.3599767100773144</v>
      </c>
      <c r="O100" s="18">
        <f>L100*I100</f>
        <v>1.3210692727795341</v>
      </c>
    </row>
    <row r="101" spans="1:40" ht="14.25" customHeight="1" x14ac:dyDescent="0.25">
      <c r="A101" s="15" t="s">
        <v>82</v>
      </c>
      <c r="B101" s="15" t="s">
        <v>80</v>
      </c>
      <c r="C101" s="16" t="s">
        <v>14</v>
      </c>
      <c r="D101" s="17">
        <v>13.195095836734694</v>
      </c>
      <c r="E101" s="18">
        <v>158.8318861871013</v>
      </c>
      <c r="F101" s="647">
        <v>1</v>
      </c>
      <c r="G101" s="534">
        <v>142</v>
      </c>
      <c r="H101" s="18" t="s">
        <v>85</v>
      </c>
      <c r="I101" s="19">
        <v>21</v>
      </c>
      <c r="J101" s="482">
        <f>I101/(G101/1000)</f>
        <v>147.88732394366198</v>
      </c>
      <c r="K101" s="18">
        <f>(E101/F101)/G101</f>
        <v>1.118534409768319</v>
      </c>
      <c r="L101" s="326">
        <f>(D101/F101)/G101</f>
        <v>9.2923210117849958E-2</v>
      </c>
      <c r="M101" s="18" t="s">
        <v>42</v>
      </c>
      <c r="N101" s="18">
        <f>K101*I101</f>
        <v>23.4892226051347</v>
      </c>
      <c r="O101" s="18">
        <f>L101*I101</f>
        <v>1.9513874124748491</v>
      </c>
    </row>
    <row r="102" spans="1:40" ht="14.25" customHeight="1" x14ac:dyDescent="0.25">
      <c r="A102" s="15" t="s">
        <v>79</v>
      </c>
      <c r="B102" s="15" t="s">
        <v>80</v>
      </c>
      <c r="C102" s="16" t="s">
        <v>14</v>
      </c>
      <c r="D102" s="17">
        <v>3.4795918367346932</v>
      </c>
      <c r="E102" s="18">
        <v>6.7018140589569164</v>
      </c>
      <c r="F102" s="647">
        <v>1</v>
      </c>
      <c r="G102" s="534">
        <v>1000</v>
      </c>
      <c r="H102" s="18" t="s">
        <v>45</v>
      </c>
      <c r="I102" s="19">
        <v>7</v>
      </c>
      <c r="J102" s="19">
        <f>I102*(G102/1000)</f>
        <v>7</v>
      </c>
      <c r="K102" s="18">
        <f>(E102/F102)/G102</f>
        <v>6.7018140589569161E-3</v>
      </c>
      <c r="L102" s="326">
        <f>(D102/F102)/G102</f>
        <v>3.479591836734693E-3</v>
      </c>
      <c r="M102" s="18" t="s">
        <v>45</v>
      </c>
      <c r="N102" s="18">
        <f>K102*I102</f>
        <v>4.6912698412698413E-2</v>
      </c>
      <c r="O102" s="18">
        <f>L102*I102</f>
        <v>2.4357142857142852E-2</v>
      </c>
    </row>
    <row r="103" spans="1:40" ht="14.25" customHeight="1" x14ac:dyDescent="0.25"/>
    <row r="104" spans="1:40" ht="14.25" customHeight="1" x14ac:dyDescent="0.25">
      <c r="A104" s="342" t="s">
        <v>500</v>
      </c>
      <c r="B104" s="342" t="s">
        <v>515</v>
      </c>
      <c r="C104" s="342" t="s">
        <v>14</v>
      </c>
      <c r="D104" s="384">
        <v>0</v>
      </c>
      <c r="E104" s="343">
        <v>6907.3684210526317</v>
      </c>
      <c r="F104" s="487">
        <v>1</v>
      </c>
      <c r="G104" s="485">
        <f>24*400</f>
        <v>9600</v>
      </c>
      <c r="H104" s="485" t="s">
        <v>717</v>
      </c>
      <c r="I104" s="486">
        <v>98</v>
      </c>
      <c r="J104" s="486">
        <f t="shared" ref="J104:J109" si="35">I104/(G104/1000)</f>
        <v>10.208333333333334</v>
      </c>
      <c r="K104" s="546">
        <f>(E104/F104)/G104</f>
        <v>0.71951754385964917</v>
      </c>
      <c r="L104" s="546">
        <f>(D104/F104)/G104</f>
        <v>0</v>
      </c>
      <c r="M104" s="544" t="s">
        <v>26</v>
      </c>
      <c r="N104" s="545">
        <f>K104*I104</f>
        <v>70.512719298245614</v>
      </c>
      <c r="O104" s="545">
        <f>L104*I104</f>
        <v>0</v>
      </c>
    </row>
    <row r="105" spans="1:40" ht="14.25" customHeight="1" x14ac:dyDescent="0.25">
      <c r="A105" s="342" t="s">
        <v>404</v>
      </c>
      <c r="B105" s="342" t="s">
        <v>515</v>
      </c>
      <c r="C105" s="342" t="s">
        <v>14</v>
      </c>
      <c r="D105" s="384">
        <v>4896</v>
      </c>
      <c r="E105" s="343">
        <v>4896</v>
      </c>
      <c r="F105" s="487">
        <v>1</v>
      </c>
      <c r="G105" s="485">
        <f>24*450</f>
        <v>10800</v>
      </c>
      <c r="H105" s="485" t="s">
        <v>716</v>
      </c>
      <c r="I105" s="486">
        <v>90</v>
      </c>
      <c r="J105" s="486">
        <f t="shared" si="35"/>
        <v>8.3333333333333321</v>
      </c>
      <c r="K105" s="546">
        <f t="shared" ref="K105:K109" si="36">(E105/F105)/G105</f>
        <v>0.45333333333333331</v>
      </c>
      <c r="L105" s="546">
        <f t="shared" ref="L105:L109" si="37">(D105/F105)/G105</f>
        <v>0.45333333333333331</v>
      </c>
      <c r="M105" s="544" t="s">
        <v>26</v>
      </c>
      <c r="N105" s="545">
        <f t="shared" ref="N105:N109" si="38">K105*I105</f>
        <v>40.799999999999997</v>
      </c>
      <c r="O105" s="545">
        <f t="shared" ref="O105:O109" si="39">L105*I105</f>
        <v>40.799999999999997</v>
      </c>
    </row>
    <row r="106" spans="1:40" ht="14.25" customHeight="1" x14ac:dyDescent="0.25">
      <c r="A106" s="342" t="s">
        <v>441</v>
      </c>
      <c r="B106" s="342" t="s">
        <v>515</v>
      </c>
      <c r="C106" s="342" t="s">
        <v>14</v>
      </c>
      <c r="D106" s="384">
        <v>0</v>
      </c>
      <c r="E106" s="343">
        <v>7443.1167685834489</v>
      </c>
      <c r="F106" s="487">
        <v>1</v>
      </c>
      <c r="G106" s="485">
        <f>12*454</f>
        <v>5448</v>
      </c>
      <c r="H106" s="485" t="s">
        <v>715</v>
      </c>
      <c r="I106" s="486">
        <v>165</v>
      </c>
      <c r="J106" s="486">
        <f t="shared" si="35"/>
        <v>30.2863436123348</v>
      </c>
      <c r="K106" s="546">
        <f t="shared" si="36"/>
        <v>1.3662108606063599</v>
      </c>
      <c r="L106" s="546">
        <f t="shared" si="37"/>
        <v>0</v>
      </c>
      <c r="M106" s="544" t="s">
        <v>26</v>
      </c>
      <c r="N106" s="545">
        <f t="shared" si="38"/>
        <v>225.42479200004939</v>
      </c>
      <c r="O106" s="545">
        <f t="shared" si="39"/>
        <v>0</v>
      </c>
    </row>
    <row r="107" spans="1:40" ht="14.25" customHeight="1" x14ac:dyDescent="0.25">
      <c r="A107" s="342" t="s">
        <v>506</v>
      </c>
      <c r="B107" s="342" t="s">
        <v>515</v>
      </c>
      <c r="C107" s="342" t="s">
        <v>14</v>
      </c>
      <c r="D107" s="384">
        <v>7503.6734693877552</v>
      </c>
      <c r="E107" s="343">
        <v>7503.6734693877552</v>
      </c>
      <c r="F107" s="487">
        <v>1</v>
      </c>
      <c r="G107" s="485">
        <f>450*24</f>
        <v>10800</v>
      </c>
      <c r="H107" s="485" t="s">
        <v>716</v>
      </c>
      <c r="I107" s="486">
        <v>95</v>
      </c>
      <c r="J107" s="486">
        <f t="shared" si="35"/>
        <v>8.7962962962962958</v>
      </c>
      <c r="K107" s="546">
        <f t="shared" si="36"/>
        <v>0.69478458049886627</v>
      </c>
      <c r="L107" s="546">
        <f t="shared" si="37"/>
        <v>0.69478458049886627</v>
      </c>
      <c r="M107" s="544" t="s">
        <v>26</v>
      </c>
      <c r="N107" s="545">
        <f t="shared" si="38"/>
        <v>66.004535147392289</v>
      </c>
      <c r="O107" s="545">
        <f t="shared" si="39"/>
        <v>66.004535147392289</v>
      </c>
    </row>
    <row r="108" spans="1:40" ht="14.25" customHeight="1" x14ac:dyDescent="0.25">
      <c r="A108" s="342" t="s">
        <v>505</v>
      </c>
      <c r="B108" s="342" t="s">
        <v>515</v>
      </c>
      <c r="C108" s="342" t="s">
        <v>14</v>
      </c>
      <c r="D108" s="384">
        <v>0</v>
      </c>
      <c r="E108" s="343">
        <v>5735.757575757576</v>
      </c>
      <c r="F108" s="487">
        <v>1</v>
      </c>
      <c r="G108" s="485">
        <f>24*450</f>
        <v>10800</v>
      </c>
      <c r="H108" s="485" t="s">
        <v>716</v>
      </c>
      <c r="I108" s="486">
        <f>100</f>
        <v>100</v>
      </c>
      <c r="J108" s="486">
        <f t="shared" si="35"/>
        <v>9.2592592592592595</v>
      </c>
      <c r="K108" s="546">
        <f t="shared" si="36"/>
        <v>0.53108866442199776</v>
      </c>
      <c r="L108" s="546">
        <f>(D108/F108)/G108</f>
        <v>0</v>
      </c>
      <c r="M108" s="544" t="s">
        <v>26</v>
      </c>
      <c r="N108" s="545">
        <f t="shared" si="38"/>
        <v>53.108866442199776</v>
      </c>
      <c r="O108" s="545">
        <f t="shared" si="39"/>
        <v>0</v>
      </c>
    </row>
    <row r="109" spans="1:40" ht="14.25" customHeight="1" x14ac:dyDescent="0.25">
      <c r="A109" s="342" t="s">
        <v>508</v>
      </c>
      <c r="B109" s="342" t="s">
        <v>515</v>
      </c>
      <c r="C109" s="342" t="s">
        <v>14</v>
      </c>
      <c r="D109" s="384">
        <v>0</v>
      </c>
      <c r="E109" s="343">
        <v>9988.272277227723</v>
      </c>
      <c r="F109" s="487">
        <v>1</v>
      </c>
      <c r="G109" s="485">
        <f>24*450</f>
        <v>10800</v>
      </c>
      <c r="H109" s="485" t="s">
        <v>716</v>
      </c>
      <c r="I109" s="486">
        <v>98</v>
      </c>
      <c r="J109" s="486">
        <f t="shared" si="35"/>
        <v>9.0740740740740726</v>
      </c>
      <c r="K109" s="546">
        <f t="shared" si="36"/>
        <v>0.92484002566923362</v>
      </c>
      <c r="L109" s="546">
        <f t="shared" si="37"/>
        <v>0</v>
      </c>
      <c r="M109" s="544" t="s">
        <v>26</v>
      </c>
      <c r="N109" s="545">
        <f t="shared" si="38"/>
        <v>90.634322515584898</v>
      </c>
      <c r="O109" s="545">
        <f t="shared" si="39"/>
        <v>0</v>
      </c>
    </row>
    <row r="110" spans="1:40" ht="14.25" customHeight="1" x14ac:dyDescent="0.25">
      <c r="A110" s="342" t="s">
        <v>851</v>
      </c>
      <c r="B110" s="342" t="s">
        <v>515</v>
      </c>
      <c r="C110" s="342" t="s">
        <v>14</v>
      </c>
      <c r="D110" s="384">
        <v>9667.3267326732675</v>
      </c>
      <c r="E110" s="343">
        <v>9667.3267326732675</v>
      </c>
      <c r="F110" s="487">
        <v>1</v>
      </c>
      <c r="G110" s="485">
        <v>200</v>
      </c>
      <c r="H110" s="485" t="s">
        <v>1004</v>
      </c>
      <c r="I110" s="486">
        <v>182</v>
      </c>
      <c r="J110" s="486">
        <f t="shared" ref="J110" si="40">I110/(G110/1000)</f>
        <v>910</v>
      </c>
      <c r="K110" s="546">
        <f t="shared" ref="K110" si="41">(E110/F110)/G110</f>
        <v>48.336633663366335</v>
      </c>
      <c r="L110" s="546">
        <f t="shared" ref="L110" si="42">(D110/F110)/G110</f>
        <v>48.336633663366335</v>
      </c>
      <c r="M110" s="544"/>
      <c r="N110" s="545">
        <f t="shared" ref="N110" si="43">K110*I110</f>
        <v>8797.2673267326736</v>
      </c>
      <c r="O110" s="545">
        <f t="shared" ref="O110" si="44">L110*I110</f>
        <v>8797.2673267326736</v>
      </c>
    </row>
    <row r="111" spans="1:40" ht="14.25" customHeight="1" x14ac:dyDescent="0.25"/>
    <row r="112" spans="1:40" ht="14.25" customHeight="1" x14ac:dyDescent="0.25">
      <c r="A112" s="40" t="s">
        <v>800</v>
      </c>
      <c r="B112" s="40" t="s">
        <v>778</v>
      </c>
      <c r="C112" s="41" t="s">
        <v>230</v>
      </c>
      <c r="D112" s="42">
        <v>0</v>
      </c>
      <c r="E112" s="43">
        <v>319</v>
      </c>
      <c r="F112" s="44">
        <v>1</v>
      </c>
      <c r="G112" s="45">
        <v>1</v>
      </c>
      <c r="H112" s="41" t="s">
        <v>230</v>
      </c>
      <c r="I112" s="489">
        <v>0.5</v>
      </c>
      <c r="J112" s="489">
        <f>I112</f>
        <v>0.5</v>
      </c>
      <c r="K112" s="45">
        <f>(E112/F112)/G112</f>
        <v>319</v>
      </c>
      <c r="L112" s="45">
        <f>(D112/F112)/G112</f>
        <v>0</v>
      </c>
      <c r="M112" s="41" t="s">
        <v>230</v>
      </c>
      <c r="N112" s="45">
        <f>K112*I112</f>
        <v>159.5</v>
      </c>
      <c r="O112" s="45">
        <f>L112*I112</f>
        <v>0</v>
      </c>
    </row>
    <row r="113" spans="1:15" ht="14.25" customHeight="1" x14ac:dyDescent="0.25">
      <c r="A113" s="40" t="s">
        <v>801</v>
      </c>
      <c r="B113" s="40" t="s">
        <v>778</v>
      </c>
      <c r="C113" s="41" t="s">
        <v>230</v>
      </c>
      <c r="D113" s="42">
        <v>140</v>
      </c>
      <c r="E113" s="43">
        <v>218</v>
      </c>
      <c r="F113" s="44">
        <v>1</v>
      </c>
      <c r="G113" s="45">
        <v>1</v>
      </c>
      <c r="H113" s="41" t="s">
        <v>230</v>
      </c>
      <c r="I113" s="489">
        <v>1</v>
      </c>
      <c r="J113" s="489">
        <f t="shared" ref="J113:J114" si="45">I113</f>
        <v>1</v>
      </c>
      <c r="K113" s="45">
        <f>(E113/F113)/G113</f>
        <v>218</v>
      </c>
      <c r="L113" s="45">
        <f>(D113/F113)/G113</f>
        <v>140</v>
      </c>
      <c r="M113" s="41" t="s">
        <v>230</v>
      </c>
      <c r="N113" s="45">
        <f>K113*I113</f>
        <v>218</v>
      </c>
      <c r="O113" s="45">
        <f>L113*I113</f>
        <v>140</v>
      </c>
    </row>
    <row r="114" spans="1:15" ht="14.25" customHeight="1" x14ac:dyDescent="0.25">
      <c r="A114" s="40" t="s">
        <v>775</v>
      </c>
      <c r="B114" s="40" t="s">
        <v>778</v>
      </c>
      <c r="C114" s="41" t="s">
        <v>230</v>
      </c>
      <c r="D114" s="42">
        <v>196</v>
      </c>
      <c r="E114" s="43">
        <v>1151</v>
      </c>
      <c r="F114" s="44">
        <v>1</v>
      </c>
      <c r="G114" s="45">
        <v>1</v>
      </c>
      <c r="H114" s="41" t="s">
        <v>230</v>
      </c>
      <c r="I114" s="489">
        <v>0.6</v>
      </c>
      <c r="J114" s="489">
        <f t="shared" si="45"/>
        <v>0.6</v>
      </c>
      <c r="K114" s="45">
        <f>(E114/F114)/G114</f>
        <v>1151</v>
      </c>
      <c r="L114" s="45">
        <f>(D114/F114)/G114</f>
        <v>196</v>
      </c>
      <c r="M114" s="41" t="s">
        <v>230</v>
      </c>
      <c r="N114" s="45">
        <f>K114*I114</f>
        <v>690.6</v>
      </c>
      <c r="O114" s="45">
        <f>L114*I114</f>
        <v>117.6</v>
      </c>
    </row>
    <row r="115" spans="1:15" ht="14.25" customHeight="1" x14ac:dyDescent="0.25"/>
    <row r="116" spans="1:15" ht="14.25" customHeight="1" x14ac:dyDescent="0.25">
      <c r="A116" s="528" t="s">
        <v>709</v>
      </c>
      <c r="B116" s="528" t="s">
        <v>13</v>
      </c>
      <c r="C116" s="529" t="s">
        <v>14</v>
      </c>
      <c r="D116" s="554">
        <v>0</v>
      </c>
      <c r="E116" s="555">
        <v>13.902165</v>
      </c>
      <c r="F116" s="648">
        <v>0.52</v>
      </c>
      <c r="G116" s="556">
        <v>100</v>
      </c>
      <c r="H116" s="555" t="s">
        <v>66</v>
      </c>
      <c r="I116" s="557">
        <v>10</v>
      </c>
      <c r="J116" s="557">
        <f t="shared" ref="J116:J134" si="46">I116/(G116/1000)</f>
        <v>100</v>
      </c>
      <c r="K116" s="555">
        <f>(E116/F116)/G116</f>
        <v>0.26734932692307689</v>
      </c>
      <c r="L116" s="558">
        <f>(D116/F116)/G116</f>
        <v>0</v>
      </c>
      <c r="M116" s="555" t="s">
        <v>42</v>
      </c>
      <c r="N116" s="555">
        <f t="shared" ref="N116:N129" si="47">K116*I116</f>
        <v>2.6734932692307689</v>
      </c>
      <c r="O116" s="555">
        <f t="shared" ref="O116:O129" si="48">L116*I116</f>
        <v>0</v>
      </c>
    </row>
    <row r="117" spans="1:15" ht="14.25" customHeight="1" x14ac:dyDescent="0.25">
      <c r="A117" s="559" t="s">
        <v>19</v>
      </c>
      <c r="B117" s="559" t="s">
        <v>13</v>
      </c>
      <c r="C117" s="560" t="s">
        <v>14</v>
      </c>
      <c r="D117" s="561">
        <v>13615.018416587385</v>
      </c>
      <c r="E117" s="562">
        <v>35835.688416587385</v>
      </c>
      <c r="F117" s="794">
        <v>0.8</v>
      </c>
      <c r="G117" s="563">
        <v>1000</v>
      </c>
      <c r="H117" s="562" t="s">
        <v>15</v>
      </c>
      <c r="I117" s="564">
        <v>2.6</v>
      </c>
      <c r="J117" s="564">
        <f t="shared" si="46"/>
        <v>2.6</v>
      </c>
      <c r="K117" s="562">
        <f>(E117/F117)/G117</f>
        <v>44.794610520734224</v>
      </c>
      <c r="L117" s="558">
        <f t="shared" ref="L117:L149" si="49">(D117/F117)/G117</f>
        <v>17.018773020734233</v>
      </c>
      <c r="M117" s="562" t="s">
        <v>15</v>
      </c>
      <c r="N117" s="562">
        <f t="shared" si="47"/>
        <v>116.46598735390899</v>
      </c>
      <c r="O117" s="562">
        <f t="shared" si="48"/>
        <v>44.248809853909009</v>
      </c>
    </row>
    <row r="118" spans="1:15" ht="14.25" customHeight="1" x14ac:dyDescent="0.25">
      <c r="A118" s="559" t="s">
        <v>50</v>
      </c>
      <c r="B118" s="559" t="s">
        <v>13</v>
      </c>
      <c r="C118" s="560" t="s">
        <v>14</v>
      </c>
      <c r="D118" s="561">
        <v>864</v>
      </c>
      <c r="E118" s="562">
        <v>4596.8</v>
      </c>
      <c r="F118" s="649">
        <v>0.75</v>
      </c>
      <c r="G118" s="563">
        <v>1000</v>
      </c>
      <c r="H118" s="562" t="s">
        <v>45</v>
      </c>
      <c r="I118" s="564">
        <v>20</v>
      </c>
      <c r="J118" s="564">
        <f t="shared" si="46"/>
        <v>20</v>
      </c>
      <c r="K118" s="562">
        <f>(E118/F118)/G118</f>
        <v>6.1290666666666667</v>
      </c>
      <c r="L118" s="558">
        <f t="shared" si="49"/>
        <v>1.1519999999999999</v>
      </c>
      <c r="M118" s="562" t="s">
        <v>45</v>
      </c>
      <c r="N118" s="562">
        <f t="shared" si="47"/>
        <v>122.58133333333333</v>
      </c>
      <c r="O118" s="562">
        <f t="shared" si="48"/>
        <v>23.04</v>
      </c>
    </row>
    <row r="119" spans="1:15" ht="14.25" customHeight="1" x14ac:dyDescent="0.25">
      <c r="A119" s="528" t="s">
        <v>60</v>
      </c>
      <c r="B119" s="528" t="s">
        <v>13</v>
      </c>
      <c r="C119" s="529" t="s">
        <v>14</v>
      </c>
      <c r="D119" s="554">
        <v>329.52169353042052</v>
      </c>
      <c r="E119" s="555">
        <v>1606.6996001402072</v>
      </c>
      <c r="F119" s="648">
        <v>0.94</v>
      </c>
      <c r="G119" s="556">
        <v>825</v>
      </c>
      <c r="H119" s="555" t="s">
        <v>62</v>
      </c>
      <c r="I119" s="557">
        <v>3</v>
      </c>
      <c r="J119" s="557">
        <f t="shared" si="46"/>
        <v>3.6363636363636367</v>
      </c>
      <c r="K119" s="555">
        <f>(E119/F119)/G119</f>
        <v>2.0718241136559734</v>
      </c>
      <c r="L119" s="558">
        <f>(D119/F119)/G119</f>
        <v>0.4249151431726893</v>
      </c>
      <c r="M119" s="555" t="s">
        <v>42</v>
      </c>
      <c r="N119" s="555">
        <f t="shared" si="47"/>
        <v>6.2154723409679207</v>
      </c>
      <c r="O119" s="555">
        <f t="shared" si="48"/>
        <v>1.274745429518068</v>
      </c>
    </row>
    <row r="120" spans="1:15" ht="14.25" customHeight="1" x14ac:dyDescent="0.25">
      <c r="A120" s="528" t="s">
        <v>824</v>
      </c>
      <c r="B120" s="528" t="s">
        <v>13</v>
      </c>
      <c r="C120" s="529" t="s">
        <v>14</v>
      </c>
      <c r="D120" s="554">
        <v>0</v>
      </c>
      <c r="E120" s="555">
        <v>1530</v>
      </c>
      <c r="F120" s="648">
        <v>0.81</v>
      </c>
      <c r="G120" s="556">
        <v>1000</v>
      </c>
      <c r="H120" s="555" t="s">
        <v>15</v>
      </c>
      <c r="I120" s="557">
        <v>3</v>
      </c>
      <c r="J120" s="557">
        <f t="shared" si="46"/>
        <v>3</v>
      </c>
      <c r="K120" s="555">
        <f>(E120/F120)/G120</f>
        <v>1.8888888888888886</v>
      </c>
      <c r="L120" s="558">
        <f>(D120/F120)/G120</f>
        <v>0</v>
      </c>
      <c r="M120" s="555" t="s">
        <v>227</v>
      </c>
      <c r="N120" s="555">
        <f t="shared" si="47"/>
        <v>5.6666666666666661</v>
      </c>
      <c r="O120" s="555">
        <f t="shared" si="48"/>
        <v>0</v>
      </c>
    </row>
    <row r="121" spans="1:15" ht="14.25" customHeight="1" x14ac:dyDescent="0.25">
      <c r="A121" s="528" t="s">
        <v>666</v>
      </c>
      <c r="B121" s="528" t="s">
        <v>13</v>
      </c>
      <c r="C121" s="529" t="s">
        <v>14</v>
      </c>
      <c r="D121" s="554">
        <v>45.640000000000008</v>
      </c>
      <c r="E121" s="555">
        <v>997.75999999999988</v>
      </c>
      <c r="F121" s="648">
        <v>0.65</v>
      </c>
      <c r="G121" s="556">
        <v>1000</v>
      </c>
      <c r="H121" s="555" t="s">
        <v>45</v>
      </c>
      <c r="I121" s="557">
        <v>45</v>
      </c>
      <c r="J121" s="557">
        <f t="shared" si="46"/>
        <v>45</v>
      </c>
      <c r="K121" s="555">
        <f>(E121/F121)</f>
        <v>1535.0153846153844</v>
      </c>
      <c r="L121" s="558">
        <f t="shared" si="49"/>
        <v>7.0215384615384624E-2</v>
      </c>
      <c r="M121" s="555" t="s">
        <v>15</v>
      </c>
      <c r="N121" s="555">
        <f t="shared" si="47"/>
        <v>69075.692307692298</v>
      </c>
      <c r="O121" s="555">
        <f t="shared" si="48"/>
        <v>3.1596923076923082</v>
      </c>
    </row>
    <row r="122" spans="1:15" ht="14.25" customHeight="1" x14ac:dyDescent="0.25">
      <c r="A122" s="528" t="s">
        <v>75</v>
      </c>
      <c r="B122" s="528" t="s">
        <v>13</v>
      </c>
      <c r="C122" s="529" t="s">
        <v>14</v>
      </c>
      <c r="D122" s="554">
        <v>0</v>
      </c>
      <c r="E122" s="555">
        <v>64.123076923076965</v>
      </c>
      <c r="F122" s="648">
        <v>0.6</v>
      </c>
      <c r="G122" s="556">
        <v>100</v>
      </c>
      <c r="H122" s="555" t="s">
        <v>66</v>
      </c>
      <c r="I122" s="557">
        <v>9</v>
      </c>
      <c r="J122" s="557">
        <f t="shared" si="46"/>
        <v>90</v>
      </c>
      <c r="K122" s="555">
        <f t="shared" ref="K122:K129" si="50">(E122/F122)/G122</f>
        <v>1.0687179487179495</v>
      </c>
      <c r="L122" s="558">
        <f t="shared" si="49"/>
        <v>0</v>
      </c>
      <c r="M122" s="555" t="s">
        <v>42</v>
      </c>
      <c r="N122" s="555">
        <f t="shared" si="47"/>
        <v>9.6184615384615455</v>
      </c>
      <c r="O122" s="555">
        <f t="shared" si="48"/>
        <v>0</v>
      </c>
    </row>
    <row r="123" spans="1:15" ht="14.25" customHeight="1" x14ac:dyDescent="0.25">
      <c r="A123" s="528" t="s">
        <v>70</v>
      </c>
      <c r="B123" s="528" t="s">
        <v>13</v>
      </c>
      <c r="C123" s="529" t="s">
        <v>14</v>
      </c>
      <c r="D123" s="554">
        <v>0</v>
      </c>
      <c r="E123" s="555">
        <v>236.36250000000001</v>
      </c>
      <c r="F123" s="648">
        <v>0.71</v>
      </c>
      <c r="G123" s="556">
        <v>1000</v>
      </c>
      <c r="H123" s="555" t="s">
        <v>71</v>
      </c>
      <c r="I123" s="557">
        <v>3</v>
      </c>
      <c r="J123" s="557">
        <f t="shared" si="46"/>
        <v>3</v>
      </c>
      <c r="K123" s="555">
        <f t="shared" si="50"/>
        <v>0.33290492957746481</v>
      </c>
      <c r="L123" s="558">
        <f t="shared" si="49"/>
        <v>0</v>
      </c>
      <c r="M123" s="555" t="s">
        <v>42</v>
      </c>
      <c r="N123" s="555">
        <f t="shared" si="47"/>
        <v>0.99871478873239439</v>
      </c>
      <c r="O123" s="555">
        <f t="shared" si="48"/>
        <v>0</v>
      </c>
    </row>
    <row r="124" spans="1:15" ht="14.25" customHeight="1" x14ac:dyDescent="0.25">
      <c r="A124" s="559" t="s">
        <v>23</v>
      </c>
      <c r="B124" s="559" t="s">
        <v>13</v>
      </c>
      <c r="C124" s="560" t="s">
        <v>14</v>
      </c>
      <c r="D124" s="561">
        <v>0</v>
      </c>
      <c r="E124" s="562">
        <v>10320</v>
      </c>
      <c r="F124" s="649">
        <v>0.82</v>
      </c>
      <c r="G124" s="563">
        <v>1000</v>
      </c>
      <c r="H124" s="562" t="s">
        <v>15</v>
      </c>
      <c r="I124" s="564">
        <v>3</v>
      </c>
      <c r="J124" s="564">
        <f t="shared" si="46"/>
        <v>3</v>
      </c>
      <c r="K124" s="562">
        <f t="shared" si="50"/>
        <v>12.585365853658537</v>
      </c>
      <c r="L124" s="558">
        <f t="shared" si="49"/>
        <v>0</v>
      </c>
      <c r="M124" s="562" t="s">
        <v>15</v>
      </c>
      <c r="N124" s="562">
        <f t="shared" si="47"/>
        <v>37.756097560975611</v>
      </c>
      <c r="O124" s="562">
        <f t="shared" si="48"/>
        <v>0</v>
      </c>
    </row>
    <row r="125" spans="1:15" ht="14.25" customHeight="1" x14ac:dyDescent="0.25">
      <c r="A125" s="559" t="s">
        <v>731</v>
      </c>
      <c r="B125" s="559" t="s">
        <v>13</v>
      </c>
      <c r="C125" s="560" t="s">
        <v>14</v>
      </c>
      <c r="D125" s="561">
        <v>1750.8571428571429</v>
      </c>
      <c r="E125" s="562">
        <v>1750.8571428571429</v>
      </c>
      <c r="F125" s="649">
        <v>1</v>
      </c>
      <c r="G125" s="563">
        <v>125</v>
      </c>
      <c r="H125" s="562" t="s">
        <v>732</v>
      </c>
      <c r="I125" s="564">
        <v>10</v>
      </c>
      <c r="J125" s="564">
        <f t="shared" si="46"/>
        <v>80</v>
      </c>
      <c r="K125" s="562">
        <f t="shared" si="50"/>
        <v>14.006857142857143</v>
      </c>
      <c r="L125" s="558">
        <f>(D125/F125)/G125</f>
        <v>14.006857142857143</v>
      </c>
      <c r="M125" s="562" t="s">
        <v>37</v>
      </c>
      <c r="N125" s="562">
        <f t="shared" si="47"/>
        <v>140.06857142857143</v>
      </c>
      <c r="O125" s="562">
        <f t="shared" si="48"/>
        <v>140.06857142857143</v>
      </c>
    </row>
    <row r="126" spans="1:15" ht="14.25" customHeight="1" x14ac:dyDescent="0.25">
      <c r="A126" s="559" t="s">
        <v>707</v>
      </c>
      <c r="B126" s="559" t="s">
        <v>13</v>
      </c>
      <c r="C126" s="560" t="s">
        <v>14</v>
      </c>
      <c r="D126" s="561">
        <v>0</v>
      </c>
      <c r="E126" s="562">
        <v>2488.089743589745</v>
      </c>
      <c r="F126" s="649">
        <v>1</v>
      </c>
      <c r="G126" s="563">
        <v>135</v>
      </c>
      <c r="H126" s="562" t="s">
        <v>52</v>
      </c>
      <c r="I126" s="564">
        <v>5.5</v>
      </c>
      <c r="J126" s="564">
        <f t="shared" si="46"/>
        <v>40.74074074074074</v>
      </c>
      <c r="K126" s="562">
        <f t="shared" si="50"/>
        <v>18.430294396961074</v>
      </c>
      <c r="L126" s="558">
        <f t="shared" si="49"/>
        <v>0</v>
      </c>
      <c r="M126" s="562" t="s">
        <v>37</v>
      </c>
      <c r="N126" s="562">
        <f t="shared" si="47"/>
        <v>101.36661918328591</v>
      </c>
      <c r="O126" s="562">
        <f t="shared" si="48"/>
        <v>0</v>
      </c>
    </row>
    <row r="127" spans="1:15" ht="14.25" customHeight="1" x14ac:dyDescent="0.25">
      <c r="A127" s="528" t="s">
        <v>708</v>
      </c>
      <c r="B127" s="528" t="s">
        <v>13</v>
      </c>
      <c r="C127" s="529" t="s">
        <v>14</v>
      </c>
      <c r="D127" s="554">
        <v>0</v>
      </c>
      <c r="E127" s="555">
        <v>41.832898518600615</v>
      </c>
      <c r="F127" s="650">
        <v>0.5</v>
      </c>
      <c r="G127" s="556">
        <v>100</v>
      </c>
      <c r="H127" s="555" t="s">
        <v>66</v>
      </c>
      <c r="I127" s="557">
        <v>9</v>
      </c>
      <c r="J127" s="557">
        <f t="shared" si="46"/>
        <v>90</v>
      </c>
      <c r="K127" s="555">
        <f t="shared" si="50"/>
        <v>0.83665797037201228</v>
      </c>
      <c r="L127" s="558">
        <f>(D127/F127)/G127</f>
        <v>0</v>
      </c>
      <c r="M127" s="555" t="s">
        <v>42</v>
      </c>
      <c r="N127" s="555">
        <f t="shared" si="47"/>
        <v>7.529921733348111</v>
      </c>
      <c r="O127" s="555">
        <f t="shared" si="48"/>
        <v>0</v>
      </c>
    </row>
    <row r="128" spans="1:15" ht="14.25" customHeight="1" x14ac:dyDescent="0.25">
      <c r="A128" s="559" t="s">
        <v>706</v>
      </c>
      <c r="B128" s="559" t="s">
        <v>13</v>
      </c>
      <c r="C128" s="560" t="s">
        <v>14</v>
      </c>
      <c r="D128" s="561">
        <v>2579.6949107444952</v>
      </c>
      <c r="E128" s="562">
        <v>13597.677692630716</v>
      </c>
      <c r="F128" s="649">
        <v>1</v>
      </c>
      <c r="G128" s="563">
        <v>1000</v>
      </c>
      <c r="H128" s="562" t="s">
        <v>45</v>
      </c>
      <c r="I128" s="564">
        <v>10.5</v>
      </c>
      <c r="J128" s="564">
        <f t="shared" si="46"/>
        <v>10.5</v>
      </c>
      <c r="K128" s="562">
        <f t="shared" si="50"/>
        <v>13.597677692630716</v>
      </c>
      <c r="L128" s="558">
        <f t="shared" si="49"/>
        <v>2.5796949107444953</v>
      </c>
      <c r="M128" s="562" t="s">
        <v>45</v>
      </c>
      <c r="N128" s="562">
        <f t="shared" si="47"/>
        <v>142.77561577262253</v>
      </c>
      <c r="O128" s="562">
        <f t="shared" si="48"/>
        <v>27.086796562817202</v>
      </c>
    </row>
    <row r="129" spans="1:15" ht="13.5" customHeight="1" x14ac:dyDescent="0.25">
      <c r="A129" s="565" t="s">
        <v>54</v>
      </c>
      <c r="B129" s="565" t="s">
        <v>13</v>
      </c>
      <c r="C129" s="566" t="s">
        <v>14</v>
      </c>
      <c r="D129" s="567">
        <v>550.61736403624673</v>
      </c>
      <c r="E129" s="568">
        <v>3690.3343176135704</v>
      </c>
      <c r="F129" s="651">
        <v>0.87</v>
      </c>
      <c r="G129" s="569">
        <v>1000</v>
      </c>
      <c r="H129" s="568" t="s">
        <v>45</v>
      </c>
      <c r="I129" s="570">
        <v>7</v>
      </c>
      <c r="J129" s="570">
        <f t="shared" si="46"/>
        <v>7</v>
      </c>
      <c r="K129" s="568">
        <f t="shared" si="50"/>
        <v>4.2417635834638743</v>
      </c>
      <c r="L129" s="558">
        <f t="shared" si="49"/>
        <v>0.63289352188074333</v>
      </c>
      <c r="M129" s="568" t="s">
        <v>45</v>
      </c>
      <c r="N129" s="568">
        <f t="shared" si="47"/>
        <v>29.692345084247119</v>
      </c>
      <c r="O129" s="568">
        <f t="shared" si="48"/>
        <v>4.4302546531652034</v>
      </c>
    </row>
    <row r="130" spans="1:15" ht="14.25" customHeight="1" x14ac:dyDescent="0.25">
      <c r="A130" s="559" t="s">
        <v>524</v>
      </c>
      <c r="B130" s="559" t="s">
        <v>13</v>
      </c>
      <c r="C130" s="560" t="s">
        <v>14</v>
      </c>
      <c r="D130" s="561">
        <v>85.95</v>
      </c>
      <c r="E130" s="562">
        <v>151.72500000000002</v>
      </c>
      <c r="F130" s="649">
        <v>0.56999999999999995</v>
      </c>
      <c r="G130" s="563">
        <v>1000</v>
      </c>
      <c r="H130" s="562" t="s">
        <v>45</v>
      </c>
      <c r="I130" s="564">
        <v>5</v>
      </c>
      <c r="J130" s="564">
        <f t="shared" si="46"/>
        <v>5</v>
      </c>
      <c r="K130" s="562"/>
      <c r="L130" s="558">
        <f t="shared" si="49"/>
        <v>0.15078947368421056</v>
      </c>
      <c r="M130" s="568" t="s">
        <v>45</v>
      </c>
      <c r="N130" s="562"/>
      <c r="O130" s="562"/>
    </row>
    <row r="131" spans="1:15" ht="14.25" customHeight="1" x14ac:dyDescent="0.25">
      <c r="A131" s="559" t="s">
        <v>32</v>
      </c>
      <c r="B131" s="559" t="s">
        <v>13</v>
      </c>
      <c r="C131" s="560" t="s">
        <v>14</v>
      </c>
      <c r="D131" s="561">
        <v>1920.45</v>
      </c>
      <c r="E131" s="562">
        <v>13110.807248805804</v>
      </c>
      <c r="F131" s="649">
        <v>0.69</v>
      </c>
      <c r="G131" s="563">
        <v>1000</v>
      </c>
      <c r="H131" s="562" t="s">
        <v>15</v>
      </c>
      <c r="I131" s="564">
        <v>4</v>
      </c>
      <c r="J131" s="564">
        <f t="shared" si="46"/>
        <v>4</v>
      </c>
      <c r="K131" s="562">
        <f t="shared" ref="K131:K143" si="51">(E131/F131)/G131</f>
        <v>19.001169925805517</v>
      </c>
      <c r="L131" s="558">
        <f t="shared" si="49"/>
        <v>2.7832608695652175</v>
      </c>
      <c r="M131" s="562" t="s">
        <v>15</v>
      </c>
      <c r="N131" s="562">
        <f t="shared" ref="N131:N143" si="52">K131*I131</f>
        <v>76.004679703222067</v>
      </c>
      <c r="O131" s="562">
        <f t="shared" ref="O131:O151" si="53">L131*I131</f>
        <v>11.13304347826087</v>
      </c>
    </row>
    <row r="132" spans="1:15" x14ac:dyDescent="0.25">
      <c r="A132" s="559" t="s">
        <v>34</v>
      </c>
      <c r="B132" s="559" t="s">
        <v>13</v>
      </c>
      <c r="C132" s="560" t="s">
        <v>14</v>
      </c>
      <c r="D132" s="561">
        <v>49.128728414442733</v>
      </c>
      <c r="E132" s="562">
        <v>569.13509110472205</v>
      </c>
      <c r="F132" s="649">
        <v>0.86</v>
      </c>
      <c r="G132" s="563">
        <v>1000</v>
      </c>
      <c r="H132" s="562" t="s">
        <v>15</v>
      </c>
      <c r="I132" s="564">
        <v>14</v>
      </c>
      <c r="J132" s="564">
        <f t="shared" si="46"/>
        <v>14</v>
      </c>
      <c r="K132" s="571">
        <f t="shared" si="51"/>
        <v>0.66178498965665356</v>
      </c>
      <c r="L132" s="558">
        <f t="shared" si="49"/>
        <v>5.7126428388886902E-2</v>
      </c>
      <c r="M132" s="562" t="s">
        <v>15</v>
      </c>
      <c r="N132" s="562">
        <f t="shared" si="52"/>
        <v>9.26498985519315</v>
      </c>
      <c r="O132" s="562">
        <f t="shared" si="53"/>
        <v>0.79976999744441657</v>
      </c>
    </row>
    <row r="133" spans="1:15" ht="14.25" customHeight="1" x14ac:dyDescent="0.25">
      <c r="A133" s="559" t="s">
        <v>40</v>
      </c>
      <c r="B133" s="559" t="s">
        <v>13</v>
      </c>
      <c r="C133" s="560" t="s">
        <v>14</v>
      </c>
      <c r="D133" s="561">
        <v>0</v>
      </c>
      <c r="E133" s="562">
        <v>1134.1880341880349</v>
      </c>
      <c r="F133" s="649">
        <v>0.84</v>
      </c>
      <c r="G133" s="563">
        <v>1350</v>
      </c>
      <c r="H133" s="562" t="s">
        <v>41</v>
      </c>
      <c r="I133" s="564">
        <v>4</v>
      </c>
      <c r="J133" s="564">
        <f t="shared" si="46"/>
        <v>2.9629629629629628</v>
      </c>
      <c r="K133" s="562">
        <f t="shared" si="51"/>
        <v>1.0001658149806305</v>
      </c>
      <c r="L133" s="558">
        <f t="shared" si="49"/>
        <v>0</v>
      </c>
      <c r="M133" s="562" t="s">
        <v>42</v>
      </c>
      <c r="N133" s="562">
        <f t="shared" si="52"/>
        <v>4.000663259922522</v>
      </c>
      <c r="O133" s="562">
        <f t="shared" si="53"/>
        <v>0</v>
      </c>
    </row>
    <row r="134" spans="1:15" x14ac:dyDescent="0.25">
      <c r="A134" s="559" t="s">
        <v>951</v>
      </c>
      <c r="B134" s="559" t="s">
        <v>13</v>
      </c>
      <c r="C134" s="560" t="s">
        <v>14</v>
      </c>
      <c r="D134" s="561">
        <v>0</v>
      </c>
      <c r="E134" s="562">
        <v>10660</v>
      </c>
      <c r="F134" s="794">
        <v>0.5</v>
      </c>
      <c r="G134" s="563">
        <v>1000</v>
      </c>
      <c r="H134" s="562" t="s">
        <v>45</v>
      </c>
      <c r="I134" s="564">
        <v>8.5</v>
      </c>
      <c r="J134" s="564">
        <f t="shared" si="46"/>
        <v>8.5</v>
      </c>
      <c r="K134" s="562">
        <f t="shared" si="51"/>
        <v>21.32</v>
      </c>
      <c r="L134" s="558">
        <f t="shared" si="49"/>
        <v>0</v>
      </c>
      <c r="M134" s="562" t="s">
        <v>45</v>
      </c>
      <c r="N134" s="562">
        <f t="shared" si="52"/>
        <v>181.22</v>
      </c>
      <c r="O134" s="562">
        <f t="shared" si="53"/>
        <v>0</v>
      </c>
    </row>
    <row r="135" spans="1:15" x14ac:dyDescent="0.25">
      <c r="A135" s="565" t="s">
        <v>737</v>
      </c>
      <c r="B135" s="565" t="s">
        <v>13</v>
      </c>
      <c r="C135" s="566" t="s">
        <v>14</v>
      </c>
      <c r="D135" s="567">
        <v>0</v>
      </c>
      <c r="E135" s="568">
        <v>13.301020408163271</v>
      </c>
      <c r="F135" s="651">
        <v>0.85</v>
      </c>
      <c r="G135" s="569">
        <v>1000</v>
      </c>
      <c r="H135" s="568" t="s">
        <v>45</v>
      </c>
      <c r="I135" s="570">
        <v>30</v>
      </c>
      <c r="J135" s="570">
        <f>I135</f>
        <v>30</v>
      </c>
      <c r="K135" s="568">
        <f t="shared" si="51"/>
        <v>1.5648259303721497E-2</v>
      </c>
      <c r="L135" s="558">
        <f t="shared" si="49"/>
        <v>0</v>
      </c>
      <c r="M135" s="568" t="s">
        <v>45</v>
      </c>
      <c r="N135" s="568">
        <f t="shared" si="52"/>
        <v>0.46944777911164493</v>
      </c>
      <c r="O135" s="568">
        <f t="shared" si="53"/>
        <v>0</v>
      </c>
    </row>
    <row r="136" spans="1:15" x14ac:dyDescent="0.25">
      <c r="A136" s="565" t="s">
        <v>825</v>
      </c>
      <c r="B136" s="565" t="s">
        <v>13</v>
      </c>
      <c r="C136" s="566" t="s">
        <v>14</v>
      </c>
      <c r="D136" s="567">
        <v>0</v>
      </c>
      <c r="E136" s="568">
        <v>85.955056179775283</v>
      </c>
      <c r="F136" s="651">
        <v>0.9</v>
      </c>
      <c r="G136" s="569">
        <v>1000</v>
      </c>
      <c r="H136" s="568" t="s">
        <v>45</v>
      </c>
      <c r="I136" s="570">
        <v>4.5</v>
      </c>
      <c r="J136" s="570">
        <f>I136/(G137/1000)</f>
        <v>4.5</v>
      </c>
      <c r="K136" s="568">
        <f t="shared" si="51"/>
        <v>9.5505617977528087E-2</v>
      </c>
      <c r="L136" s="695">
        <f t="shared" si="49"/>
        <v>0</v>
      </c>
      <c r="M136" s="568" t="s">
        <v>227</v>
      </c>
      <c r="N136" s="568">
        <f t="shared" si="52"/>
        <v>0.4297752808988764</v>
      </c>
      <c r="O136" s="568">
        <f t="shared" si="53"/>
        <v>0</v>
      </c>
    </row>
    <row r="137" spans="1:15" x14ac:dyDescent="0.25">
      <c r="A137" s="565" t="s">
        <v>736</v>
      </c>
      <c r="B137" s="565" t="s">
        <v>13</v>
      </c>
      <c r="C137" s="566" t="s">
        <v>14</v>
      </c>
      <c r="D137" s="567">
        <v>0</v>
      </c>
      <c r="E137" s="568">
        <v>26.602040816326543</v>
      </c>
      <c r="F137" s="651">
        <v>0.9</v>
      </c>
      <c r="G137" s="569">
        <v>1000</v>
      </c>
      <c r="H137" s="568" t="s">
        <v>45</v>
      </c>
      <c r="I137" s="570">
        <v>30</v>
      </c>
      <c r="J137" s="570">
        <f>I137</f>
        <v>30</v>
      </c>
      <c r="K137" s="568">
        <f t="shared" si="51"/>
        <v>2.9557823129251714E-2</v>
      </c>
      <c r="L137" s="695">
        <f t="shared" si="49"/>
        <v>0</v>
      </c>
      <c r="M137" s="568" t="s">
        <v>45</v>
      </c>
      <c r="N137" s="568">
        <f t="shared" si="52"/>
        <v>0.88673469387755144</v>
      </c>
      <c r="O137" s="568">
        <f t="shared" si="53"/>
        <v>0</v>
      </c>
    </row>
    <row r="138" spans="1:15" x14ac:dyDescent="0.25">
      <c r="A138" s="528" t="s">
        <v>68</v>
      </c>
      <c r="B138" s="528" t="s">
        <v>13</v>
      </c>
      <c r="C138" s="529" t="s">
        <v>14</v>
      </c>
      <c r="D138" s="554">
        <v>77</v>
      </c>
      <c r="E138" s="555">
        <v>274.43393611596741</v>
      </c>
      <c r="F138" s="648">
        <v>0.43</v>
      </c>
      <c r="G138" s="556">
        <v>900</v>
      </c>
      <c r="H138" s="555" t="s">
        <v>69</v>
      </c>
      <c r="I138" s="557">
        <v>3</v>
      </c>
      <c r="J138" s="557">
        <f t="shared" ref="J138:J144" si="54">I138/(G138/1000)</f>
        <v>3.333333333333333</v>
      </c>
      <c r="K138" s="555">
        <f t="shared" si="51"/>
        <v>0.70913161787071688</v>
      </c>
      <c r="L138" s="558">
        <f t="shared" si="49"/>
        <v>0.19896640826873385</v>
      </c>
      <c r="M138" s="555" t="s">
        <v>42</v>
      </c>
      <c r="N138" s="555">
        <f t="shared" si="52"/>
        <v>2.1273948536121505</v>
      </c>
      <c r="O138" s="555">
        <f t="shared" si="53"/>
        <v>0.5968992248062015</v>
      </c>
    </row>
    <row r="139" spans="1:15" x14ac:dyDescent="0.25">
      <c r="A139" s="559" t="s">
        <v>733</v>
      </c>
      <c r="B139" s="559" t="s">
        <v>13</v>
      </c>
      <c r="C139" s="560" t="s">
        <v>14</v>
      </c>
      <c r="D139" s="561">
        <v>3663.9041949515813</v>
      </c>
      <c r="E139" s="562">
        <v>6138.4321160101154</v>
      </c>
      <c r="F139" s="649">
        <v>1</v>
      </c>
      <c r="G139" s="563">
        <v>250</v>
      </c>
      <c r="H139" s="562" t="s">
        <v>36</v>
      </c>
      <c r="I139" s="564">
        <v>5.5</v>
      </c>
      <c r="J139" s="564">
        <f t="shared" si="54"/>
        <v>22</v>
      </c>
      <c r="K139" s="562">
        <f t="shared" si="51"/>
        <v>24.553728464040461</v>
      </c>
      <c r="L139" s="558">
        <f>(D139/F139)/G139</f>
        <v>14.655616779806325</v>
      </c>
      <c r="M139" s="562" t="s">
        <v>37</v>
      </c>
      <c r="N139" s="562">
        <f t="shared" si="52"/>
        <v>135.04550655222255</v>
      </c>
      <c r="O139" s="562">
        <f t="shared" si="53"/>
        <v>80.605892288934783</v>
      </c>
    </row>
    <row r="140" spans="1:15" x14ac:dyDescent="0.25">
      <c r="A140" s="559" t="s">
        <v>12</v>
      </c>
      <c r="B140" s="559" t="s">
        <v>13</v>
      </c>
      <c r="C140" s="560" t="s">
        <v>14</v>
      </c>
      <c r="D140" s="561">
        <v>15801.585542265018</v>
      </c>
      <c r="E140" s="562">
        <v>91417.050063683069</v>
      </c>
      <c r="F140" s="649">
        <v>0.9</v>
      </c>
      <c r="G140" s="563">
        <v>1000</v>
      </c>
      <c r="H140" s="562" t="s">
        <v>15</v>
      </c>
      <c r="I140" s="564">
        <v>3</v>
      </c>
      <c r="J140" s="564">
        <f t="shared" si="54"/>
        <v>3</v>
      </c>
      <c r="K140" s="562">
        <f t="shared" si="51"/>
        <v>101.57450007075896</v>
      </c>
      <c r="L140" s="558">
        <f t="shared" si="49"/>
        <v>17.557317269183354</v>
      </c>
      <c r="M140" s="562" t="s">
        <v>15</v>
      </c>
      <c r="N140" s="562">
        <f t="shared" si="52"/>
        <v>304.72350021227686</v>
      </c>
      <c r="O140" s="562">
        <f t="shared" si="53"/>
        <v>52.671951807550059</v>
      </c>
    </row>
    <row r="141" spans="1:15" x14ac:dyDescent="0.25">
      <c r="A141" s="559" t="s">
        <v>49</v>
      </c>
      <c r="B141" s="559" t="s">
        <v>13</v>
      </c>
      <c r="C141" s="560" t="s">
        <v>14</v>
      </c>
      <c r="D141" s="561">
        <v>0</v>
      </c>
      <c r="E141" s="562">
        <v>1900.6</v>
      </c>
      <c r="F141" s="652">
        <v>0.5</v>
      </c>
      <c r="G141" s="563">
        <v>1000</v>
      </c>
      <c r="H141" s="562" t="s">
        <v>45</v>
      </c>
      <c r="I141" s="564">
        <v>4.5</v>
      </c>
      <c r="J141" s="564">
        <f t="shared" si="54"/>
        <v>4.5</v>
      </c>
      <c r="K141" s="562">
        <f t="shared" si="51"/>
        <v>3.8011999999999997</v>
      </c>
      <c r="L141" s="558">
        <f t="shared" si="49"/>
        <v>0</v>
      </c>
      <c r="M141" s="562" t="s">
        <v>45</v>
      </c>
      <c r="N141" s="562">
        <f t="shared" si="52"/>
        <v>17.105399999999999</v>
      </c>
      <c r="O141" s="562">
        <f t="shared" si="53"/>
        <v>0</v>
      </c>
    </row>
    <row r="142" spans="1:15" x14ac:dyDescent="0.25">
      <c r="A142" s="559" t="s">
        <v>21</v>
      </c>
      <c r="B142" s="559" t="s">
        <v>13</v>
      </c>
      <c r="C142" s="560" t="s">
        <v>14</v>
      </c>
      <c r="D142" s="561">
        <v>34786.936842358533</v>
      </c>
      <c r="E142" s="562">
        <v>147812.68501282774</v>
      </c>
      <c r="F142" s="649">
        <v>0.9</v>
      </c>
      <c r="G142" s="563">
        <v>1000</v>
      </c>
      <c r="H142" s="562" t="s">
        <v>15</v>
      </c>
      <c r="I142" s="564">
        <v>2.2999999999999998</v>
      </c>
      <c r="J142" s="564">
        <f t="shared" si="54"/>
        <v>2.2999999999999998</v>
      </c>
      <c r="K142" s="562">
        <f t="shared" si="51"/>
        <v>164.23631668091969</v>
      </c>
      <c r="L142" s="558">
        <f t="shared" si="49"/>
        <v>38.652152047065037</v>
      </c>
      <c r="M142" s="562" t="s">
        <v>15</v>
      </c>
      <c r="N142" s="562">
        <f t="shared" si="52"/>
        <v>377.74352836611524</v>
      </c>
      <c r="O142" s="562">
        <f t="shared" si="53"/>
        <v>88.899949708249579</v>
      </c>
    </row>
    <row r="143" spans="1:15" x14ac:dyDescent="0.25">
      <c r="A143" s="559" t="s">
        <v>28</v>
      </c>
      <c r="B143" s="559" t="s">
        <v>13</v>
      </c>
      <c r="C143" s="560" t="s">
        <v>14</v>
      </c>
      <c r="D143" s="561">
        <v>2869.95</v>
      </c>
      <c r="E143" s="562">
        <v>10862.426133853338</v>
      </c>
      <c r="F143" s="649">
        <v>0.73</v>
      </c>
      <c r="G143" s="563">
        <v>1000</v>
      </c>
      <c r="H143" s="562" t="s">
        <v>15</v>
      </c>
      <c r="I143" s="564">
        <v>8.5</v>
      </c>
      <c r="J143" s="564">
        <f t="shared" si="54"/>
        <v>8.5</v>
      </c>
      <c r="K143" s="562">
        <f t="shared" si="51"/>
        <v>14.880035799799094</v>
      </c>
      <c r="L143" s="558">
        <f t="shared" si="49"/>
        <v>3.9314383561643838</v>
      </c>
      <c r="M143" s="562" t="s">
        <v>15</v>
      </c>
      <c r="N143" s="562">
        <f t="shared" si="52"/>
        <v>126.4803042982923</v>
      </c>
      <c r="O143" s="562">
        <f t="shared" si="53"/>
        <v>33.417226027397263</v>
      </c>
    </row>
    <row r="144" spans="1:15" x14ac:dyDescent="0.25">
      <c r="A144" s="559" t="s">
        <v>471</v>
      </c>
      <c r="B144" s="559" t="s">
        <v>13</v>
      </c>
      <c r="C144" s="560" t="s">
        <v>14</v>
      </c>
      <c r="D144" s="561">
        <v>2316</v>
      </c>
      <c r="E144" s="562">
        <v>2316</v>
      </c>
      <c r="F144" s="652">
        <v>0.88</v>
      </c>
      <c r="G144" s="563">
        <v>1000</v>
      </c>
      <c r="H144" s="562" t="s">
        <v>45</v>
      </c>
      <c r="I144" s="564">
        <v>3</v>
      </c>
      <c r="J144" s="564">
        <f t="shared" si="54"/>
        <v>3</v>
      </c>
      <c r="K144" s="562"/>
      <c r="L144" s="558">
        <f>(D144/F144)/G144</f>
        <v>2.6318181818181818</v>
      </c>
      <c r="M144" s="562" t="s">
        <v>15</v>
      </c>
      <c r="N144" s="562"/>
      <c r="O144" s="562">
        <f t="shared" si="53"/>
        <v>7.8954545454545455</v>
      </c>
    </row>
    <row r="145" spans="1:16" x14ac:dyDescent="0.25">
      <c r="A145" s="559" t="s">
        <v>807</v>
      </c>
      <c r="B145" s="559" t="s">
        <v>13</v>
      </c>
      <c r="C145" s="560" t="s">
        <v>14</v>
      </c>
      <c r="D145" s="561">
        <v>0</v>
      </c>
      <c r="E145" s="562">
        <v>19605</v>
      </c>
      <c r="F145" s="652">
        <v>0.66</v>
      </c>
      <c r="G145" s="563">
        <v>1000</v>
      </c>
      <c r="H145" s="562" t="s">
        <v>15</v>
      </c>
      <c r="I145" s="564">
        <v>3.5</v>
      </c>
      <c r="J145" s="564">
        <f>I145/(G145/1000)</f>
        <v>3.5</v>
      </c>
      <c r="K145" s="562">
        <f t="shared" ref="K145" si="55">(E145/F145)/G145</f>
        <v>29.704545454545453</v>
      </c>
      <c r="L145" s="558">
        <f t="shared" ref="L145" si="56">(D145/F145)/G145</f>
        <v>0</v>
      </c>
      <c r="M145" s="562" t="s">
        <v>45</v>
      </c>
      <c r="N145" s="562">
        <f t="shared" ref="N145" si="57">K145*I145</f>
        <v>103.96590909090909</v>
      </c>
      <c r="O145" s="562">
        <f t="shared" si="53"/>
        <v>0</v>
      </c>
    </row>
    <row r="146" spans="1:16" x14ac:dyDescent="0.25">
      <c r="A146" s="528" t="s">
        <v>735</v>
      </c>
      <c r="B146" s="528" t="s">
        <v>13</v>
      </c>
      <c r="C146" s="529" t="s">
        <v>14</v>
      </c>
      <c r="D146" s="554">
        <v>0</v>
      </c>
      <c r="E146" s="555">
        <v>62.153018106229482</v>
      </c>
      <c r="F146" s="650">
        <v>0.74</v>
      </c>
      <c r="G146" s="556">
        <v>100</v>
      </c>
      <c r="H146" s="555" t="s">
        <v>66</v>
      </c>
      <c r="I146" s="557">
        <v>10</v>
      </c>
      <c r="J146" s="557">
        <f>I146/0.1</f>
        <v>100</v>
      </c>
      <c r="K146" s="555">
        <f>(E146/F146)/G146</f>
        <v>0.83990565008418216</v>
      </c>
      <c r="L146" s="558">
        <f t="shared" si="49"/>
        <v>0</v>
      </c>
      <c r="M146" s="555" t="s">
        <v>42</v>
      </c>
      <c r="N146" s="555">
        <f>K146*I146</f>
        <v>8.3990565008418212</v>
      </c>
      <c r="O146" s="555">
        <f t="shared" si="53"/>
        <v>0</v>
      </c>
    </row>
    <row r="147" spans="1:16" x14ac:dyDescent="0.25">
      <c r="A147" s="559" t="s">
        <v>17</v>
      </c>
      <c r="B147" s="559" t="s">
        <v>13</v>
      </c>
      <c r="C147" s="560" t="s">
        <v>14</v>
      </c>
      <c r="D147" s="561">
        <v>13698.645211930929</v>
      </c>
      <c r="E147" s="562">
        <v>85773.961725824935</v>
      </c>
      <c r="F147" s="649">
        <v>0.98</v>
      </c>
      <c r="G147" s="563">
        <v>1000</v>
      </c>
      <c r="H147" s="562" t="s">
        <v>15</v>
      </c>
      <c r="I147" s="564">
        <v>3.5</v>
      </c>
      <c r="J147" s="564">
        <f>I147/(G147/1000)</f>
        <v>3.5</v>
      </c>
      <c r="K147" s="562">
        <f>(E147/F147)/G147</f>
        <v>87.52445074063769</v>
      </c>
      <c r="L147" s="558">
        <f t="shared" si="49"/>
        <v>13.978209399929518</v>
      </c>
      <c r="M147" s="562" t="s">
        <v>15</v>
      </c>
      <c r="N147" s="562">
        <f>K147*I147</f>
        <v>306.33557759223191</v>
      </c>
      <c r="O147" s="562">
        <f t="shared" si="53"/>
        <v>48.923732899753318</v>
      </c>
    </row>
    <row r="148" spans="1:16" x14ac:dyDescent="0.25">
      <c r="A148" s="559" t="s">
        <v>30</v>
      </c>
      <c r="B148" s="559" t="s">
        <v>13</v>
      </c>
      <c r="C148" s="560" t="s">
        <v>14</v>
      </c>
      <c r="D148" s="561">
        <v>949.95</v>
      </c>
      <c r="E148" s="562">
        <v>9413.2841718827258</v>
      </c>
      <c r="F148" s="649">
        <v>0.71</v>
      </c>
      <c r="G148" s="563">
        <v>1000</v>
      </c>
      <c r="H148" s="562" t="s">
        <v>15</v>
      </c>
      <c r="I148" s="564">
        <v>8.5</v>
      </c>
      <c r="J148" s="564">
        <f>I148/(G148/1000)</f>
        <v>8.5</v>
      </c>
      <c r="K148" s="562">
        <f>(E148/F148)/G148</f>
        <v>13.258146720961586</v>
      </c>
      <c r="L148" s="558">
        <f t="shared" si="49"/>
        <v>1.3379577464788732</v>
      </c>
      <c r="M148" s="562" t="s">
        <v>15</v>
      </c>
      <c r="N148" s="562">
        <f>K148*I148</f>
        <v>112.69424712817347</v>
      </c>
      <c r="O148" s="562">
        <f t="shared" si="53"/>
        <v>11.372640845070423</v>
      </c>
      <c r="P148" s="4">
        <v>0.55000000000000004</v>
      </c>
    </row>
    <row r="149" spans="1:16" x14ac:dyDescent="0.25">
      <c r="A149" s="770" t="s">
        <v>64</v>
      </c>
      <c r="B149" s="770" t="s">
        <v>13</v>
      </c>
      <c r="C149" s="771" t="s">
        <v>14</v>
      </c>
      <c r="D149" s="772">
        <v>0</v>
      </c>
      <c r="E149" s="562">
        <v>673.76404494382018</v>
      </c>
      <c r="F149" s="649">
        <v>0.65</v>
      </c>
      <c r="G149" s="563">
        <v>905</v>
      </c>
      <c r="H149" s="562" t="s">
        <v>729</v>
      </c>
      <c r="I149" s="564">
        <v>3.5</v>
      </c>
      <c r="J149" s="564">
        <v>3.5</v>
      </c>
      <c r="K149" s="562">
        <f>(E149/F149)/G149</f>
        <v>1.1453702421484406</v>
      </c>
      <c r="L149" s="558">
        <f t="shared" si="49"/>
        <v>0</v>
      </c>
      <c r="M149" s="562" t="s">
        <v>42</v>
      </c>
      <c r="N149" s="562">
        <f t="shared" ref="N149" si="58">K149*I149</f>
        <v>4.0087958475195418</v>
      </c>
      <c r="O149" s="562">
        <f>L149*I149</f>
        <v>0</v>
      </c>
      <c r="P149" s="4">
        <v>0.45</v>
      </c>
    </row>
    <row r="150" spans="1:16" x14ac:dyDescent="0.25">
      <c r="A150" s="770" t="s">
        <v>855</v>
      </c>
      <c r="B150" s="770" t="s">
        <v>13</v>
      </c>
      <c r="C150" s="771" t="s">
        <v>14</v>
      </c>
      <c r="D150" s="772">
        <v>2987.1180842279114</v>
      </c>
      <c r="E150" s="562">
        <v>2987.1180842279114</v>
      </c>
      <c r="F150" s="794">
        <v>0.8</v>
      </c>
      <c r="G150" s="563">
        <v>1000</v>
      </c>
      <c r="H150" s="562" t="s">
        <v>45</v>
      </c>
      <c r="I150" s="564">
        <v>3</v>
      </c>
      <c r="J150" s="564">
        <f t="shared" ref="J150" si="59">I150/(G150/1000)</f>
        <v>3</v>
      </c>
      <c r="K150" s="562"/>
      <c r="L150" s="558">
        <f>(D150/F150)/G150</f>
        <v>3.7338976052848887</v>
      </c>
      <c r="M150" s="562" t="s">
        <v>15</v>
      </c>
      <c r="N150" s="562"/>
      <c r="O150" s="562">
        <f t="shared" ref="O150" si="60">L150*I150</f>
        <v>11.201692815854667</v>
      </c>
    </row>
    <row r="151" spans="1:16" x14ac:dyDescent="0.25">
      <c r="A151" s="559" t="s">
        <v>47</v>
      </c>
      <c r="B151" s="559" t="s">
        <v>13</v>
      </c>
      <c r="C151" s="560" t="s">
        <v>14</v>
      </c>
      <c r="D151" s="561">
        <v>7958.5986230922363</v>
      </c>
      <c r="E151" s="562">
        <v>28955.598623092235</v>
      </c>
      <c r="F151" s="652">
        <v>0.78</v>
      </c>
      <c r="G151" s="563">
        <v>1000</v>
      </c>
      <c r="H151" s="562" t="s">
        <v>45</v>
      </c>
      <c r="I151" s="564">
        <v>3.7</v>
      </c>
      <c r="J151" s="564">
        <f>I151/(G151/1000)</f>
        <v>3.7</v>
      </c>
      <c r="K151" s="562">
        <f>(E151/F151)/G151</f>
        <v>37.122562337297737</v>
      </c>
      <c r="L151" s="558">
        <f>(D151/F151)/G151</f>
        <v>10.20333156806697</v>
      </c>
      <c r="M151" s="562" t="s">
        <v>45</v>
      </c>
      <c r="N151" s="562">
        <f>K151*I151</f>
        <v>137.35348064800164</v>
      </c>
      <c r="O151" s="562">
        <f t="shared" si="53"/>
        <v>37.752326801847794</v>
      </c>
    </row>
    <row r="152" spans="1:16" x14ac:dyDescent="0.25">
      <c r="B152" s="9"/>
      <c r="C152" s="10"/>
      <c r="D152" s="11"/>
      <c r="E152" s="12"/>
      <c r="F152" s="646"/>
      <c r="G152" s="533"/>
      <c r="H152" s="480"/>
      <c r="I152" s="481"/>
      <c r="J152" s="481"/>
      <c r="K152" s="13"/>
      <c r="L152" s="13"/>
      <c r="M152" s="13"/>
      <c r="N152" s="13"/>
      <c r="O152" s="13"/>
    </row>
    <row r="153" spans="1:16" x14ac:dyDescent="0.25">
      <c r="A153" s="53" t="s">
        <v>220</v>
      </c>
      <c r="B153" s="53" t="s">
        <v>221</v>
      </c>
      <c r="C153" s="54" t="s">
        <v>14</v>
      </c>
      <c r="D153" s="55">
        <v>219584.45569750271</v>
      </c>
      <c r="E153" s="56">
        <v>875600.39660618757</v>
      </c>
      <c r="F153" s="694">
        <v>0.86</v>
      </c>
      <c r="G153" s="57">
        <v>10000</v>
      </c>
      <c r="H153" s="57" t="s">
        <v>116</v>
      </c>
      <c r="I153" s="536">
        <v>171</v>
      </c>
      <c r="J153" s="57">
        <f t="shared" ref="J153:J159" si="61">I153/(G153/1000)</f>
        <v>17.100000000000001</v>
      </c>
      <c r="K153" s="57">
        <f t="shared" ref="K153:K159" si="62">(E153/F153)/G153</f>
        <v>101.81399960537065</v>
      </c>
      <c r="L153" s="57">
        <f t="shared" ref="L153:L159" si="63">(D153/F153)/G153</f>
        <v>25.533076243895664</v>
      </c>
      <c r="M153" s="57" t="s">
        <v>26</v>
      </c>
      <c r="N153" s="57">
        <f t="shared" ref="N153:N159" si="64">K153*I153</f>
        <v>17410.193932518381</v>
      </c>
      <c r="O153" s="57">
        <f t="shared" ref="O153:O159" si="65">L153*I153</f>
        <v>4366.1560377061587</v>
      </c>
    </row>
    <row r="154" spans="1:16" x14ac:dyDescent="0.25">
      <c r="A154" s="53" t="s">
        <v>821</v>
      </c>
      <c r="B154" s="53" t="s">
        <v>221</v>
      </c>
      <c r="C154" s="54" t="s">
        <v>14</v>
      </c>
      <c r="D154" s="55">
        <v>23520</v>
      </c>
      <c r="E154" s="56">
        <v>77520</v>
      </c>
      <c r="F154" s="694">
        <v>0.95</v>
      </c>
      <c r="G154" s="57">
        <v>10000</v>
      </c>
      <c r="H154" s="57" t="s">
        <v>116</v>
      </c>
      <c r="I154" s="536">
        <v>171</v>
      </c>
      <c r="J154" s="57">
        <f t="shared" ref="J154" si="66">I154/(G154/1000)</f>
        <v>17.100000000000001</v>
      </c>
      <c r="K154" s="57">
        <f t="shared" ref="K154" si="67">(E154/F154)/G154</f>
        <v>8.16</v>
      </c>
      <c r="L154" s="57">
        <f t="shared" ref="L154" si="68">(D154/F154)/G154</f>
        <v>2.4757894736842108</v>
      </c>
      <c r="M154" s="57" t="s">
        <v>26</v>
      </c>
      <c r="N154" s="57">
        <f t="shared" ref="N154" si="69">K154*I154</f>
        <v>1395.3600000000001</v>
      </c>
      <c r="O154" s="57">
        <f t="shared" ref="O154" si="70">L154*I154</f>
        <v>423.36</v>
      </c>
    </row>
    <row r="155" spans="1:16" x14ac:dyDescent="0.25">
      <c r="A155" s="53" t="s">
        <v>225</v>
      </c>
      <c r="B155" s="442" t="s">
        <v>221</v>
      </c>
      <c r="C155" s="54" t="s">
        <v>14</v>
      </c>
      <c r="D155" s="55">
        <v>56740.740740740745</v>
      </c>
      <c r="E155" s="56">
        <v>295333.33333333331</v>
      </c>
      <c r="F155" s="694">
        <v>0.47</v>
      </c>
      <c r="G155" s="57">
        <v>10000</v>
      </c>
      <c r="H155" s="57" t="s">
        <v>116</v>
      </c>
      <c r="I155" s="536">
        <v>120</v>
      </c>
      <c r="J155" s="57">
        <f t="shared" si="61"/>
        <v>12</v>
      </c>
      <c r="K155" s="57">
        <f>(E155/F155)/G155</f>
        <v>62.836879432624116</v>
      </c>
      <c r="L155" s="443">
        <f t="shared" si="63"/>
        <v>12.072498029944841</v>
      </c>
      <c r="M155" s="443" t="s">
        <v>26</v>
      </c>
      <c r="N155" s="57">
        <f t="shared" si="64"/>
        <v>7540.4255319148942</v>
      </c>
      <c r="O155" s="57">
        <f t="shared" si="65"/>
        <v>1448.6997635933808</v>
      </c>
    </row>
    <row r="156" spans="1:16" x14ac:dyDescent="0.25">
      <c r="A156" s="53" t="s">
        <v>223</v>
      </c>
      <c r="B156" s="53" t="s">
        <v>221</v>
      </c>
      <c r="C156" s="54" t="s">
        <v>14</v>
      </c>
      <c r="D156" s="55">
        <v>77104.072398190023</v>
      </c>
      <c r="E156" s="56">
        <v>353381.11428872263</v>
      </c>
      <c r="F156" s="694">
        <v>0.55000000000000004</v>
      </c>
      <c r="G156" s="57">
        <v>18000</v>
      </c>
      <c r="H156" s="57" t="s">
        <v>224</v>
      </c>
      <c r="I156" s="536">
        <f>470*P148</f>
        <v>258.5</v>
      </c>
      <c r="J156" s="57">
        <f t="shared" si="61"/>
        <v>14.361111111111111</v>
      </c>
      <c r="K156" s="57">
        <f t="shared" si="62"/>
        <v>35.695062049365916</v>
      </c>
      <c r="L156" s="57">
        <f t="shared" si="63"/>
        <v>7.7882901412313137</v>
      </c>
      <c r="M156" s="57" t="s">
        <v>26</v>
      </c>
      <c r="N156" s="57">
        <f>K156*I156</f>
        <v>9227.1735397610901</v>
      </c>
      <c r="O156" s="57">
        <f t="shared" si="65"/>
        <v>2013.2730015082946</v>
      </c>
    </row>
    <row r="157" spans="1:16" x14ac:dyDescent="0.25">
      <c r="A157" s="53" t="s">
        <v>226</v>
      </c>
      <c r="B157" s="53" t="s">
        <v>221</v>
      </c>
      <c r="C157" s="54" t="s">
        <v>14</v>
      </c>
      <c r="D157" s="55">
        <v>0</v>
      </c>
      <c r="E157" s="56">
        <v>215575.18588675692</v>
      </c>
      <c r="F157" s="694">
        <v>0.99</v>
      </c>
      <c r="G157" s="57">
        <v>18000</v>
      </c>
      <c r="H157" s="57" t="s">
        <v>224</v>
      </c>
      <c r="I157" s="536">
        <f>470*P149</f>
        <v>211.5</v>
      </c>
      <c r="J157" s="57">
        <f t="shared" si="61"/>
        <v>11.75</v>
      </c>
      <c r="K157" s="58">
        <f>((E157/F157)/G157)-(K156*(1-F156)*F157)</f>
        <v>-3.8047771976077254</v>
      </c>
      <c r="L157" s="57">
        <f>(D157/F157)/G157</f>
        <v>0</v>
      </c>
      <c r="M157" s="57" t="s">
        <v>45</v>
      </c>
      <c r="N157" s="57">
        <f>K157*I157</f>
        <v>-804.71037729403395</v>
      </c>
      <c r="O157" s="57">
        <f>L157*I157</f>
        <v>0</v>
      </c>
    </row>
    <row r="158" spans="1:16" x14ac:dyDescent="0.25">
      <c r="A158" s="53" t="s">
        <v>222</v>
      </c>
      <c r="B158" s="53" t="s">
        <v>221</v>
      </c>
      <c r="C158" s="54" t="s">
        <v>14</v>
      </c>
      <c r="D158" s="55">
        <v>924.94382022471905</v>
      </c>
      <c r="E158" s="56">
        <v>5832.6292134831456</v>
      </c>
      <c r="F158" s="694">
        <v>1</v>
      </c>
      <c r="G158" s="57">
        <v>1000</v>
      </c>
      <c r="H158" s="57" t="s">
        <v>45</v>
      </c>
      <c r="I158" s="536">
        <v>30</v>
      </c>
      <c r="J158" s="57">
        <f t="shared" si="61"/>
        <v>30</v>
      </c>
      <c r="K158" s="58">
        <f t="shared" si="62"/>
        <v>5.8326292134831457</v>
      </c>
      <c r="L158" s="58">
        <f t="shared" si="63"/>
        <v>0.92494382022471899</v>
      </c>
      <c r="M158" s="57" t="s">
        <v>45</v>
      </c>
      <c r="N158" s="57">
        <f t="shared" si="64"/>
        <v>174.97887640449437</v>
      </c>
      <c r="O158" s="57">
        <f t="shared" si="65"/>
        <v>27.74831460674157</v>
      </c>
    </row>
    <row r="159" spans="1:16" x14ac:dyDescent="0.25">
      <c r="A159" s="53" t="s">
        <v>478</v>
      </c>
      <c r="B159" s="53" t="s">
        <v>221</v>
      </c>
      <c r="C159" s="54" t="s">
        <v>14</v>
      </c>
      <c r="D159" s="55">
        <v>0</v>
      </c>
      <c r="E159" s="56">
        <v>60600</v>
      </c>
      <c r="F159" s="694">
        <v>0.97</v>
      </c>
      <c r="G159" s="57">
        <v>1000</v>
      </c>
      <c r="H159" s="57" t="s">
        <v>45</v>
      </c>
      <c r="I159" s="536">
        <v>37.82</v>
      </c>
      <c r="J159" s="57">
        <f t="shared" si="61"/>
        <v>37.82</v>
      </c>
      <c r="K159" s="57">
        <f t="shared" si="62"/>
        <v>62.47422680412371</v>
      </c>
      <c r="L159" s="57">
        <f t="shared" si="63"/>
        <v>0</v>
      </c>
      <c r="M159" s="57" t="s">
        <v>45</v>
      </c>
      <c r="N159" s="57">
        <f t="shared" si="64"/>
        <v>2362.7752577319588</v>
      </c>
      <c r="O159" s="57">
        <f t="shared" si="65"/>
        <v>0</v>
      </c>
    </row>
    <row r="181" spans="21:22" x14ac:dyDescent="0.25">
      <c r="U181" s="1760"/>
      <c r="V181" s="1760"/>
    </row>
    <row r="182" spans="21:22" x14ac:dyDescent="0.25">
      <c r="U182" s="470"/>
      <c r="V182" s="471"/>
    </row>
    <row r="183" spans="21:22" x14ac:dyDescent="0.25">
      <c r="U183" s="470"/>
      <c r="V183" s="471"/>
    </row>
    <row r="184" spans="21:22" x14ac:dyDescent="0.25">
      <c r="U184" s="470"/>
      <c r="V184" s="471"/>
    </row>
    <row r="185" spans="21:22" x14ac:dyDescent="0.25">
      <c r="U185" s="470"/>
      <c r="V185" s="471"/>
    </row>
    <row r="186" spans="21:22" x14ac:dyDescent="0.25">
      <c r="U186" s="470"/>
      <c r="V186" s="471"/>
    </row>
    <row r="187" spans="21:22" x14ac:dyDescent="0.25">
      <c r="U187" s="424"/>
      <c r="V187" s="424"/>
    </row>
    <row r="188" spans="21:22" x14ac:dyDescent="0.25">
      <c r="U188" s="1760"/>
      <c r="V188" s="1760"/>
    </row>
    <row r="193" spans="21:22" x14ac:dyDescent="0.25">
      <c r="U193" s="1760"/>
      <c r="V193" s="1760"/>
    </row>
    <row r="194" spans="21:22" x14ac:dyDescent="0.25">
      <c r="U194" s="470"/>
      <c r="V194" s="471"/>
    </row>
    <row r="197" spans="21:22" x14ac:dyDescent="0.25">
      <c r="U197" s="1760"/>
      <c r="V197" s="1761"/>
    </row>
    <row r="198" spans="21:22" x14ac:dyDescent="0.25">
      <c r="U198" s="470"/>
      <c r="V198" s="471"/>
    </row>
    <row r="199" spans="21:22" x14ac:dyDescent="0.25">
      <c r="U199" s="470"/>
      <c r="V199" s="471"/>
    </row>
    <row r="200" spans="21:22" x14ac:dyDescent="0.25">
      <c r="U200" s="470"/>
      <c r="V200" s="471"/>
    </row>
    <row r="201" spans="21:22" x14ac:dyDescent="0.25">
      <c r="U201" s="470"/>
      <c r="V201" s="471"/>
    </row>
    <row r="202" spans="21:22" x14ac:dyDescent="0.25">
      <c r="U202" s="424"/>
      <c r="V202" s="424"/>
    </row>
    <row r="203" spans="21:22" x14ac:dyDescent="0.25">
      <c r="U203" s="1760"/>
      <c r="V203" s="1761"/>
    </row>
    <row r="204" spans="21:22" x14ac:dyDescent="0.25">
      <c r="U204" s="470"/>
      <c r="V204" s="471"/>
    </row>
    <row r="205" spans="21:22" x14ac:dyDescent="0.25">
      <c r="U205" s="470"/>
      <c r="V205" s="471"/>
    </row>
    <row r="206" spans="21:22" x14ac:dyDescent="0.25">
      <c r="U206" s="424"/>
      <c r="V206" s="424"/>
    </row>
    <row r="207" spans="21:22" x14ac:dyDescent="0.25">
      <c r="U207" s="1760"/>
      <c r="V207" s="1761"/>
    </row>
    <row r="210" spans="21:22" x14ac:dyDescent="0.25">
      <c r="U210" s="1760"/>
      <c r="V210" s="1761"/>
    </row>
    <row r="211" spans="21:22" x14ac:dyDescent="0.25">
      <c r="U211" s="470"/>
      <c r="V211" s="471"/>
    </row>
    <row r="213" spans="21:22" x14ac:dyDescent="0.25">
      <c r="U213" s="1760"/>
      <c r="V213" s="1761"/>
    </row>
    <row r="214" spans="21:22" x14ac:dyDescent="0.25">
      <c r="U214" s="470"/>
      <c r="V214" s="472"/>
    </row>
    <row r="215" spans="21:22" x14ac:dyDescent="0.25">
      <c r="U215" s="470"/>
      <c r="V215" s="472"/>
    </row>
    <row r="216" spans="21:22" x14ac:dyDescent="0.25">
      <c r="U216" s="470"/>
      <c r="V216" s="472"/>
    </row>
    <row r="217" spans="21:22" x14ac:dyDescent="0.25">
      <c r="U217" s="470"/>
      <c r="V217" s="472"/>
    </row>
    <row r="218" spans="21:22" x14ac:dyDescent="0.25">
      <c r="U218" s="470"/>
      <c r="V218" s="472"/>
    </row>
    <row r="219" spans="21:22" x14ac:dyDescent="0.25">
      <c r="U219" s="470"/>
      <c r="V219" s="472"/>
    </row>
    <row r="220" spans="21:22" x14ac:dyDescent="0.25">
      <c r="U220" s="470"/>
      <c r="V220" s="472"/>
    </row>
    <row r="221" spans="21:22" x14ac:dyDescent="0.25">
      <c r="U221" s="424"/>
      <c r="V221" s="424"/>
    </row>
    <row r="222" spans="21:22" x14ac:dyDescent="0.25">
      <c r="U222" s="1760"/>
      <c r="V222" s="1761"/>
    </row>
    <row r="227" spans="21:22" x14ac:dyDescent="0.25">
      <c r="U227" s="1760"/>
      <c r="V227" s="1761"/>
    </row>
    <row r="228" spans="21:22" x14ac:dyDescent="0.25">
      <c r="U228" s="470"/>
      <c r="V228" s="472"/>
    </row>
    <row r="229" spans="21:22" x14ac:dyDescent="0.25">
      <c r="U229" s="424"/>
      <c r="V229" s="424"/>
    </row>
    <row r="230" spans="21:22" x14ac:dyDescent="0.25">
      <c r="U230" s="1760"/>
      <c r="V230" s="1761"/>
    </row>
    <row r="231" spans="21:22" x14ac:dyDescent="0.25">
      <c r="U231" s="470"/>
      <c r="V231" s="472"/>
    </row>
    <row r="234" spans="21:22" x14ac:dyDescent="0.25">
      <c r="U234" s="1760"/>
      <c r="V234" s="1761"/>
    </row>
    <row r="243" spans="21:22" x14ac:dyDescent="0.25">
      <c r="U243" s="1760"/>
      <c r="V243" s="1761"/>
    </row>
    <row r="244" spans="21:22" x14ac:dyDescent="0.25">
      <c r="U244" s="470"/>
      <c r="V244" s="472"/>
    </row>
    <row r="245" spans="21:22" x14ac:dyDescent="0.25">
      <c r="U245" s="424"/>
      <c r="V245" s="424"/>
    </row>
    <row r="246" spans="21:22" x14ac:dyDescent="0.25">
      <c r="U246" s="1760"/>
      <c r="V246" s="1761"/>
    </row>
    <row r="247" spans="21:22" x14ac:dyDescent="0.25">
      <c r="U247" s="470"/>
      <c r="V247" s="472"/>
    </row>
    <row r="248" spans="21:22" x14ac:dyDescent="0.25">
      <c r="U248" s="470"/>
      <c r="V248" s="472"/>
    </row>
    <row r="249" spans="21:22" x14ac:dyDescent="0.25">
      <c r="U249" s="470"/>
      <c r="V249" s="472"/>
    </row>
    <row r="252" spans="21:22" x14ac:dyDescent="0.25">
      <c r="U252" s="1763"/>
      <c r="V252" s="1763"/>
    </row>
    <row r="265" spans="21:22" x14ac:dyDescent="0.25">
      <c r="U265" s="1763"/>
      <c r="V265" s="1763"/>
    </row>
    <row r="266" spans="21:22" x14ac:dyDescent="0.25">
      <c r="U266" s="1"/>
      <c r="V266" s="472"/>
    </row>
    <row r="271" spans="21:22" x14ac:dyDescent="0.25">
      <c r="U271" s="1760"/>
      <c r="V271" s="1762"/>
    </row>
    <row r="279" spans="21:22" x14ac:dyDescent="0.25">
      <c r="U279" s="1760"/>
      <c r="V279" s="1762"/>
    </row>
    <row r="280" spans="21:22" x14ac:dyDescent="0.25">
      <c r="U280" s="470"/>
      <c r="V280" s="472"/>
    </row>
    <row r="281" spans="21:22" x14ac:dyDescent="0.25">
      <c r="U281" s="470"/>
      <c r="V281" s="472"/>
    </row>
    <row r="282" spans="21:22" x14ac:dyDescent="0.25">
      <c r="U282" s="474"/>
      <c r="V282" s="474"/>
    </row>
    <row r="283" spans="21:22" x14ac:dyDescent="0.25">
      <c r="U283" s="1760"/>
      <c r="V283" s="1762"/>
    </row>
    <row r="284" spans="21:22" x14ac:dyDescent="0.25">
      <c r="U284" s="470"/>
      <c r="V284" s="472"/>
    </row>
    <row r="285" spans="21:22" x14ac:dyDescent="0.25">
      <c r="U285" s="474"/>
      <c r="V285" s="474"/>
    </row>
    <row r="286" spans="21:22" x14ac:dyDescent="0.25">
      <c r="U286" s="1760"/>
      <c r="V286" s="1762"/>
    </row>
  </sheetData>
  <autoFilter ref="A1:O311" xr:uid="{00000000-0001-0000-0000-000000000000}"/>
  <mergeCells count="20">
    <mergeCell ref="U283:V283"/>
    <mergeCell ref="U286:V286"/>
    <mergeCell ref="U271:V271"/>
    <mergeCell ref="U227:V227"/>
    <mergeCell ref="U222:V222"/>
    <mergeCell ref="U230:V230"/>
    <mergeCell ref="U243:V243"/>
    <mergeCell ref="U246:V246"/>
    <mergeCell ref="U252:V252"/>
    <mergeCell ref="U265:V265"/>
    <mergeCell ref="U279:V279"/>
    <mergeCell ref="U234:V234"/>
    <mergeCell ref="U181:V181"/>
    <mergeCell ref="U203:V203"/>
    <mergeCell ref="U213:V213"/>
    <mergeCell ref="U210:V210"/>
    <mergeCell ref="U188:V188"/>
    <mergeCell ref="U197:V197"/>
    <mergeCell ref="U193:V193"/>
    <mergeCell ref="U207:V207"/>
  </mergeCells>
  <pageMargins left="0.7" right="0.7" top="0.75" bottom="0.75"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7030A0"/>
  </sheetPr>
  <dimension ref="A1:AK86"/>
  <sheetViews>
    <sheetView zoomScale="55" zoomScaleNormal="55" workbookViewId="0">
      <selection activeCell="U29" sqref="U29"/>
    </sheetView>
  </sheetViews>
  <sheetFormatPr defaultColWidth="8.75" defaultRowHeight="14.25" x14ac:dyDescent="0.2"/>
  <cols>
    <col min="1" max="1" width="46.5" style="228" customWidth="1"/>
    <col min="2" max="2" width="14.875" style="228" bestFit="1" customWidth="1"/>
    <col min="3" max="3" width="10.25" style="228" customWidth="1"/>
    <col min="4" max="4" width="17.875" style="228" customWidth="1"/>
    <col min="5" max="5" width="13.75" style="228" customWidth="1"/>
    <col min="6" max="6" width="10.875" style="228" customWidth="1"/>
    <col min="7" max="7" width="25.25" style="89" customWidth="1"/>
    <col min="8" max="8" width="23.75" style="89" customWidth="1"/>
    <col min="9" max="9" width="14.75" style="89" customWidth="1"/>
    <col min="10" max="10" width="20.75" style="89" customWidth="1"/>
    <col min="11" max="11" width="18.875" style="89" customWidth="1"/>
    <col min="12" max="12" width="16.75" style="89" bestFit="1" customWidth="1"/>
    <col min="13" max="13" width="15.75" style="89" bestFit="1" customWidth="1"/>
    <col min="14" max="14" width="18.25" style="89" bestFit="1" customWidth="1"/>
    <col min="15" max="15" width="16.25" style="89" bestFit="1" customWidth="1"/>
    <col min="16" max="16" width="5.25" style="228" customWidth="1"/>
    <col min="17" max="17" width="6.375" style="228" bestFit="1" customWidth="1"/>
    <col min="18" max="18" width="6.75" style="228" customWidth="1"/>
    <col min="19" max="23" width="8.75" style="228"/>
    <col min="24" max="35" width="2" style="228" customWidth="1"/>
    <col min="36" max="36" width="4.25" style="228" bestFit="1" customWidth="1"/>
    <col min="37" max="37" width="38.125" style="228" customWidth="1"/>
    <col min="38" max="38" width="11.25" style="228" customWidth="1"/>
    <col min="39" max="16384" width="8.75" style="228"/>
  </cols>
  <sheetData>
    <row r="1" spans="1:37" ht="39.75" customHeight="1" x14ac:dyDescent="0.2">
      <c r="A1" s="59" t="s">
        <v>0</v>
      </c>
      <c r="B1" s="59" t="s">
        <v>1</v>
      </c>
      <c r="C1" s="59" t="s">
        <v>2</v>
      </c>
      <c r="D1" s="59" t="s">
        <v>3</v>
      </c>
      <c r="E1" s="60" t="s">
        <v>5</v>
      </c>
      <c r="F1" s="59" t="s">
        <v>6</v>
      </c>
      <c r="G1" s="478" t="s">
        <v>689</v>
      </c>
      <c r="H1" s="479" t="s">
        <v>690</v>
      </c>
      <c r="I1" s="478" t="s">
        <v>691</v>
      </c>
      <c r="J1" s="478" t="s">
        <v>692</v>
      </c>
      <c r="K1" s="59" t="s">
        <v>8</v>
      </c>
      <c r="L1" s="59" t="s">
        <v>9</v>
      </c>
      <c r="M1" s="59" t="s">
        <v>7</v>
      </c>
      <c r="N1" s="59" t="s">
        <v>10</v>
      </c>
      <c r="O1" s="59" t="s">
        <v>11</v>
      </c>
      <c r="Q1" s="8" t="s">
        <v>4</v>
      </c>
      <c r="R1" s="8">
        <v>5</v>
      </c>
    </row>
    <row r="2" spans="1:37" ht="23.25" x14ac:dyDescent="0.2">
      <c r="A2" s="767"/>
      <c r="B2" s="767"/>
      <c r="C2" s="767"/>
      <c r="D2" s="767"/>
      <c r="E2" s="767"/>
      <c r="F2" s="698"/>
      <c r="G2" s="698"/>
      <c r="H2" s="698"/>
      <c r="I2" s="698"/>
      <c r="J2" s="698"/>
      <c r="K2" s="698"/>
      <c r="L2" s="755"/>
      <c r="M2" s="755"/>
      <c r="N2" s="524"/>
      <c r="O2" s="524"/>
      <c r="AJ2" s="701"/>
      <c r="AK2" s="701"/>
    </row>
    <row r="3" spans="1:37" ht="14.25" customHeight="1" x14ac:dyDescent="0.2">
      <c r="A3" s="702" t="s">
        <v>152</v>
      </c>
      <c r="B3" s="702" t="s">
        <v>153</v>
      </c>
      <c r="C3" s="703" t="s">
        <v>14</v>
      </c>
      <c r="D3" s="704">
        <v>422.37288135593224</v>
      </c>
      <c r="E3" s="705">
        <v>1113.9968476533265</v>
      </c>
      <c r="F3" s="702">
        <v>1</v>
      </c>
      <c r="G3" s="706">
        <v>25000</v>
      </c>
      <c r="H3" s="706" t="s">
        <v>154</v>
      </c>
      <c r="I3" s="706">
        <v>750</v>
      </c>
      <c r="J3" s="707">
        <v>30</v>
      </c>
      <c r="K3" s="756">
        <f t="shared" ref="K3:K9" si="0">(E3/F3)/G3</f>
        <v>4.4559873906133064E-2</v>
      </c>
      <c r="L3" s="756">
        <f t="shared" ref="L3:L9" si="1">(D3/F3)/G3</f>
        <v>1.6894915254237291E-2</v>
      </c>
      <c r="M3" s="703" t="s">
        <v>15</v>
      </c>
      <c r="N3" s="703">
        <f t="shared" ref="N3:N9" si="2">K3*I3</f>
        <v>33.419905429599801</v>
      </c>
      <c r="O3" s="703">
        <f t="shared" ref="O3:O9" si="3">L3*I3</f>
        <v>12.671186440677968</v>
      </c>
      <c r="AJ3" s="708">
        <v>1</v>
      </c>
      <c r="AK3" s="708" t="s">
        <v>16</v>
      </c>
    </row>
    <row r="4" spans="1:37" ht="14.25" customHeight="1" x14ac:dyDescent="0.2">
      <c r="A4" s="702" t="s">
        <v>174</v>
      </c>
      <c r="B4" s="702" t="s">
        <v>153</v>
      </c>
      <c r="C4" s="703" t="s">
        <v>160</v>
      </c>
      <c r="D4" s="704">
        <v>0</v>
      </c>
      <c r="E4" s="705">
        <v>403.91134289439373</v>
      </c>
      <c r="F4" s="702">
        <v>1</v>
      </c>
      <c r="G4" s="706">
        <v>9600</v>
      </c>
      <c r="H4" s="706" t="s">
        <v>175</v>
      </c>
      <c r="I4" s="706">
        <v>95</v>
      </c>
      <c r="J4" s="707">
        <v>9.8958333333333339</v>
      </c>
      <c r="K4" s="756">
        <f t="shared" si="0"/>
        <v>4.207409821816601E-2</v>
      </c>
      <c r="L4" s="756">
        <f t="shared" si="1"/>
        <v>0</v>
      </c>
      <c r="M4" s="703" t="s">
        <v>15</v>
      </c>
      <c r="N4" s="703">
        <f t="shared" si="2"/>
        <v>3.9970393307257708</v>
      </c>
      <c r="O4" s="703">
        <f t="shared" si="3"/>
        <v>0</v>
      </c>
      <c r="AJ4" s="708">
        <v>1</v>
      </c>
      <c r="AK4" s="708" t="s">
        <v>22</v>
      </c>
    </row>
    <row r="5" spans="1:37" ht="14.25" customHeight="1" x14ac:dyDescent="0.2">
      <c r="A5" s="702" t="s">
        <v>166</v>
      </c>
      <c r="B5" s="702" t="s">
        <v>153</v>
      </c>
      <c r="C5" s="703" t="s">
        <v>160</v>
      </c>
      <c r="D5" s="704">
        <v>0</v>
      </c>
      <c r="E5" s="705">
        <v>1597.2413793103449</v>
      </c>
      <c r="F5" s="702">
        <v>1</v>
      </c>
      <c r="G5" s="706">
        <v>12000</v>
      </c>
      <c r="H5" s="706" t="s">
        <v>161</v>
      </c>
      <c r="I5" s="706">
        <v>152</v>
      </c>
      <c r="J5" s="707">
        <v>12.666666666666666</v>
      </c>
      <c r="K5" s="756">
        <f t="shared" si="0"/>
        <v>0.13310344827586207</v>
      </c>
      <c r="L5" s="756">
        <f t="shared" si="1"/>
        <v>0</v>
      </c>
      <c r="M5" s="703" t="s">
        <v>15</v>
      </c>
      <c r="N5" s="703">
        <f t="shared" si="2"/>
        <v>20.231724137931035</v>
      </c>
      <c r="O5" s="703">
        <f t="shared" si="3"/>
        <v>0</v>
      </c>
      <c r="AJ5" s="708">
        <v>1</v>
      </c>
      <c r="AK5" s="708" t="s">
        <v>27</v>
      </c>
    </row>
    <row r="6" spans="1:37" ht="14.25" customHeight="1" x14ac:dyDescent="0.2">
      <c r="A6" s="702" t="s">
        <v>949</v>
      </c>
      <c r="B6" s="702" t="s">
        <v>153</v>
      </c>
      <c r="C6" s="703" t="s">
        <v>14</v>
      </c>
      <c r="D6" s="704">
        <v>0</v>
      </c>
      <c r="E6" s="705">
        <v>561.64705882352939</v>
      </c>
      <c r="F6" s="702">
        <v>1</v>
      </c>
      <c r="G6" s="706">
        <v>5000</v>
      </c>
      <c r="H6" s="706" t="s">
        <v>15</v>
      </c>
      <c r="I6" s="706">
        <v>56.52</v>
      </c>
      <c r="J6" s="707">
        <v>11.304</v>
      </c>
      <c r="K6" s="756">
        <f t="shared" si="0"/>
        <v>0.11232941176470587</v>
      </c>
      <c r="L6" s="756">
        <f t="shared" si="1"/>
        <v>0</v>
      </c>
      <c r="M6" s="703" t="s">
        <v>15</v>
      </c>
      <c r="N6" s="703">
        <f t="shared" si="2"/>
        <v>6.3488583529411766</v>
      </c>
      <c r="O6" s="703">
        <f t="shared" si="3"/>
        <v>0</v>
      </c>
      <c r="AJ6" s="708">
        <v>1</v>
      </c>
      <c r="AK6" s="708" t="s">
        <v>29</v>
      </c>
    </row>
    <row r="7" spans="1:37" ht="14.25" customHeight="1" x14ac:dyDescent="0.2">
      <c r="A7" s="702" t="s">
        <v>172</v>
      </c>
      <c r="B7" s="702" t="s">
        <v>153</v>
      </c>
      <c r="C7" s="703" t="s">
        <v>14</v>
      </c>
      <c r="D7" s="704">
        <v>0</v>
      </c>
      <c r="E7" s="705">
        <v>399.31034482758622</v>
      </c>
      <c r="F7" s="702">
        <v>1</v>
      </c>
      <c r="G7" s="706">
        <v>9200</v>
      </c>
      <c r="H7" s="706" t="s">
        <v>173</v>
      </c>
      <c r="I7" s="706">
        <v>165</v>
      </c>
      <c r="J7" s="707">
        <v>17.934782608695652</v>
      </c>
      <c r="K7" s="756">
        <f t="shared" si="0"/>
        <v>4.3403298350824591E-2</v>
      </c>
      <c r="L7" s="756">
        <f t="shared" si="1"/>
        <v>0</v>
      </c>
      <c r="M7" s="703" t="s">
        <v>15</v>
      </c>
      <c r="N7" s="703">
        <f t="shared" si="2"/>
        <v>7.1615442278860577</v>
      </c>
      <c r="O7" s="703">
        <f t="shared" si="3"/>
        <v>0</v>
      </c>
      <c r="AJ7" s="708">
        <v>2</v>
      </c>
      <c r="AK7" s="708" t="s">
        <v>43</v>
      </c>
    </row>
    <row r="8" spans="1:37" ht="14.25" customHeight="1" x14ac:dyDescent="0.2">
      <c r="A8" s="702" t="s">
        <v>705</v>
      </c>
      <c r="B8" s="702" t="s">
        <v>153</v>
      </c>
      <c r="C8" s="703" t="s">
        <v>14</v>
      </c>
      <c r="D8" s="704">
        <v>0</v>
      </c>
      <c r="E8" s="705">
        <v>160.47058823529412</v>
      </c>
      <c r="F8" s="702">
        <v>1</v>
      </c>
      <c r="G8" s="706">
        <v>2724</v>
      </c>
      <c r="H8" s="706" t="s">
        <v>695</v>
      </c>
      <c r="I8" s="706">
        <v>185</v>
      </c>
      <c r="J8" s="707">
        <v>67.91483113069016</v>
      </c>
      <c r="K8" s="756">
        <f t="shared" si="0"/>
        <v>5.8909907575364948E-2</v>
      </c>
      <c r="L8" s="756">
        <f t="shared" si="1"/>
        <v>0</v>
      </c>
      <c r="M8" s="703" t="s">
        <v>15</v>
      </c>
      <c r="N8" s="703">
        <f t="shared" si="2"/>
        <v>10.898332901442515</v>
      </c>
      <c r="O8" s="703">
        <f t="shared" si="3"/>
        <v>0</v>
      </c>
      <c r="AJ8" s="708">
        <v>2</v>
      </c>
      <c r="AK8" s="708" t="s">
        <v>782</v>
      </c>
    </row>
    <row r="9" spans="1:37" ht="14.25" customHeight="1" x14ac:dyDescent="0.2">
      <c r="A9" s="702" t="s">
        <v>163</v>
      </c>
      <c r="B9" s="702" t="s">
        <v>153</v>
      </c>
      <c r="C9" s="703" t="s">
        <v>14</v>
      </c>
      <c r="D9" s="704">
        <v>3463.9449152542375</v>
      </c>
      <c r="E9" s="705">
        <v>5969.366620959403</v>
      </c>
      <c r="F9" s="702">
        <v>1</v>
      </c>
      <c r="G9" s="706">
        <v>10000</v>
      </c>
      <c r="H9" s="706" t="s">
        <v>164</v>
      </c>
      <c r="I9" s="706">
        <v>66.959999999999994</v>
      </c>
      <c r="J9" s="707">
        <v>6.6959999999999997</v>
      </c>
      <c r="K9" s="756">
        <f t="shared" si="0"/>
        <v>0.59693666209594032</v>
      </c>
      <c r="L9" s="756">
        <f t="shared" si="1"/>
        <v>0.34639449152542373</v>
      </c>
      <c r="M9" s="703" t="s">
        <v>15</v>
      </c>
      <c r="N9" s="703">
        <f t="shared" si="2"/>
        <v>39.97087889394416</v>
      </c>
      <c r="O9" s="703">
        <f t="shared" si="3"/>
        <v>23.19457515254237</v>
      </c>
      <c r="AJ9" s="708">
        <v>2</v>
      </c>
      <c r="AK9" s="708" t="s">
        <v>46</v>
      </c>
    </row>
    <row r="10" spans="1:37" ht="14.25" customHeight="1" x14ac:dyDescent="0.2">
      <c r="A10" s="524"/>
      <c r="B10" s="524"/>
      <c r="C10" s="524"/>
      <c r="D10" s="524"/>
      <c r="E10" s="525"/>
      <c r="F10" s="524"/>
      <c r="G10" s="526"/>
      <c r="H10" s="527"/>
      <c r="I10" s="526"/>
      <c r="J10" s="526"/>
      <c r="K10" s="524"/>
      <c r="L10" s="524"/>
      <c r="M10" s="524"/>
      <c r="N10" s="524"/>
      <c r="O10" s="524"/>
      <c r="AJ10" s="708">
        <v>2</v>
      </c>
      <c r="AK10" s="708" t="s">
        <v>48</v>
      </c>
    </row>
    <row r="11" spans="1:37" ht="14.25" customHeight="1" x14ac:dyDescent="0.2">
      <c r="A11" s="710" t="s">
        <v>189</v>
      </c>
      <c r="B11" s="710" t="s">
        <v>190</v>
      </c>
      <c r="C11" s="711" t="s">
        <v>160</v>
      </c>
      <c r="D11" s="712">
        <v>0</v>
      </c>
      <c r="E11" s="713">
        <v>167.08865710560627</v>
      </c>
      <c r="F11" s="710">
        <v>1</v>
      </c>
      <c r="G11" s="714">
        <v>15160</v>
      </c>
      <c r="H11" s="714" t="s">
        <v>191</v>
      </c>
      <c r="I11" s="714">
        <v>265</v>
      </c>
      <c r="J11" s="715">
        <v>17.480211081794195</v>
      </c>
      <c r="K11" s="757">
        <f t="shared" ref="K11:K18" si="4">(E11/F11)/G11</f>
        <v>1.1021679228601996E-2</v>
      </c>
      <c r="L11" s="757">
        <f t="shared" ref="L11:L18" si="5">(D11/F11)/G11</f>
        <v>0</v>
      </c>
      <c r="M11" s="711" t="s">
        <v>15</v>
      </c>
      <c r="N11" s="711">
        <f t="shared" ref="N11:N18" si="6">K11*I11</f>
        <v>2.920744995579529</v>
      </c>
      <c r="O11" s="711">
        <f t="shared" ref="O11:O18" si="7">L11*I11</f>
        <v>0</v>
      </c>
      <c r="AJ11" s="708">
        <v>2</v>
      </c>
      <c r="AK11" s="708" t="s">
        <v>53</v>
      </c>
    </row>
    <row r="12" spans="1:37" ht="14.25" customHeight="1" x14ac:dyDescent="0.2">
      <c r="A12" s="710" t="s">
        <v>212</v>
      </c>
      <c r="B12" s="710" t="s">
        <v>190</v>
      </c>
      <c r="C12" s="711" t="s">
        <v>160</v>
      </c>
      <c r="D12" s="712">
        <v>6425.3944825231274</v>
      </c>
      <c r="E12" s="713">
        <v>31678.569192954561</v>
      </c>
      <c r="F12" s="710">
        <v>1</v>
      </c>
      <c r="G12" s="714">
        <v>12000</v>
      </c>
      <c r="H12" s="714" t="s">
        <v>711</v>
      </c>
      <c r="I12" s="714">
        <v>60</v>
      </c>
      <c r="J12" s="715">
        <v>5</v>
      </c>
      <c r="K12" s="757">
        <f t="shared" si="4"/>
        <v>2.6398807660795467</v>
      </c>
      <c r="L12" s="757">
        <f t="shared" si="5"/>
        <v>0.53544954021026059</v>
      </c>
      <c r="M12" s="711" t="s">
        <v>26</v>
      </c>
      <c r="N12" s="711">
        <f t="shared" si="6"/>
        <v>158.39284596477279</v>
      </c>
      <c r="O12" s="711">
        <f t="shared" si="7"/>
        <v>32.126972412615636</v>
      </c>
      <c r="AJ12" s="708">
        <v>3</v>
      </c>
      <c r="AK12" s="708" t="s">
        <v>58</v>
      </c>
    </row>
    <row r="13" spans="1:37" ht="14.25" customHeight="1" x14ac:dyDescent="0.2">
      <c r="A13" s="710" t="s">
        <v>202</v>
      </c>
      <c r="B13" s="710" t="s">
        <v>190</v>
      </c>
      <c r="C13" s="711" t="s">
        <v>14</v>
      </c>
      <c r="D13" s="712">
        <v>1728.8888888888887</v>
      </c>
      <c r="E13" s="713">
        <v>8049.9646800339715</v>
      </c>
      <c r="F13" s="710">
        <v>1</v>
      </c>
      <c r="G13" s="714">
        <v>15120</v>
      </c>
      <c r="H13" s="714" t="s">
        <v>720</v>
      </c>
      <c r="I13" s="714">
        <v>170</v>
      </c>
      <c r="J13" s="715">
        <v>11.243386243386244</v>
      </c>
      <c r="K13" s="757">
        <f t="shared" si="4"/>
        <v>0.53240507143081817</v>
      </c>
      <c r="L13" s="757">
        <f t="shared" si="5"/>
        <v>0.11434450323339211</v>
      </c>
      <c r="M13" s="711" t="s">
        <v>15</v>
      </c>
      <c r="N13" s="711">
        <f t="shared" si="6"/>
        <v>90.508862143239085</v>
      </c>
      <c r="O13" s="711">
        <f t="shared" si="7"/>
        <v>19.43856554967666</v>
      </c>
      <c r="AJ13" s="708">
        <v>3</v>
      </c>
      <c r="AK13" s="708" t="s">
        <v>59</v>
      </c>
    </row>
    <row r="14" spans="1:37" ht="14.25" customHeight="1" x14ac:dyDescent="0.2">
      <c r="A14" s="710" t="s">
        <v>192</v>
      </c>
      <c r="B14" s="710" t="s">
        <v>190</v>
      </c>
      <c r="C14" s="711" t="s">
        <v>160</v>
      </c>
      <c r="D14" s="712">
        <v>35.607220338983055</v>
      </c>
      <c r="E14" s="713">
        <v>35.607220338983055</v>
      </c>
      <c r="F14" s="710">
        <v>1</v>
      </c>
      <c r="G14" s="714">
        <v>2130</v>
      </c>
      <c r="H14" s="714" t="s">
        <v>718</v>
      </c>
      <c r="I14" s="714">
        <v>125</v>
      </c>
      <c r="J14" s="715">
        <v>58.685446009389672</v>
      </c>
      <c r="K14" s="757">
        <f t="shared" si="4"/>
        <v>1.6717004853982656E-2</v>
      </c>
      <c r="L14" s="757">
        <f t="shared" si="5"/>
        <v>1.6717004853982656E-2</v>
      </c>
      <c r="M14" s="711" t="s">
        <v>15</v>
      </c>
      <c r="N14" s="711">
        <f t="shared" si="6"/>
        <v>2.0896256067478318</v>
      </c>
      <c r="O14" s="711">
        <f t="shared" si="7"/>
        <v>2.0896256067478318</v>
      </c>
      <c r="AJ14" s="708">
        <v>4</v>
      </c>
      <c r="AK14" s="708" t="s">
        <v>65</v>
      </c>
    </row>
    <row r="15" spans="1:37" ht="14.25" customHeight="1" x14ac:dyDescent="0.2">
      <c r="A15" s="710" t="s">
        <v>208</v>
      </c>
      <c r="B15" s="716" t="s">
        <v>190</v>
      </c>
      <c r="C15" s="711" t="s">
        <v>160</v>
      </c>
      <c r="D15" s="712">
        <v>1406.5614531491287</v>
      </c>
      <c r="E15" s="713">
        <v>7857.735308839824</v>
      </c>
      <c r="F15" s="710">
        <v>1</v>
      </c>
      <c r="G15" s="714">
        <v>16650</v>
      </c>
      <c r="H15" s="714" t="s">
        <v>712</v>
      </c>
      <c r="I15" s="714">
        <v>36</v>
      </c>
      <c r="J15" s="715">
        <v>2.1621621621621623</v>
      </c>
      <c r="K15" s="757">
        <f t="shared" si="4"/>
        <v>0.4719360545849744</v>
      </c>
      <c r="L15" s="757">
        <f t="shared" si="5"/>
        <v>8.4478165354302026E-2</v>
      </c>
      <c r="M15" s="711" t="s">
        <v>15</v>
      </c>
      <c r="N15" s="711">
        <f t="shared" si="6"/>
        <v>16.989697965059079</v>
      </c>
      <c r="O15" s="711">
        <f t="shared" si="7"/>
        <v>3.0412139527548732</v>
      </c>
      <c r="AJ15" s="708">
        <v>3</v>
      </c>
      <c r="AK15" s="708" t="s">
        <v>67</v>
      </c>
    </row>
    <row r="16" spans="1:37" ht="14.25" customHeight="1" x14ac:dyDescent="0.2">
      <c r="A16" s="717" t="s">
        <v>678</v>
      </c>
      <c r="B16" s="717" t="s">
        <v>190</v>
      </c>
      <c r="C16" s="718" t="s">
        <v>14</v>
      </c>
      <c r="D16" s="493">
        <v>2111.8644067796613</v>
      </c>
      <c r="E16" s="719">
        <v>2111.8644067796613</v>
      </c>
      <c r="F16" s="710">
        <v>1</v>
      </c>
      <c r="G16" s="714">
        <v>9600</v>
      </c>
      <c r="H16" s="714" t="s">
        <v>157</v>
      </c>
      <c r="I16" s="714">
        <v>78.260000000000005</v>
      </c>
      <c r="J16" s="715">
        <v>8.1520833333333336</v>
      </c>
      <c r="K16" s="757">
        <f t="shared" si="4"/>
        <v>0.21998587570621472</v>
      </c>
      <c r="L16" s="757">
        <f t="shared" si="5"/>
        <v>0.21998587570621472</v>
      </c>
      <c r="M16" s="711" t="s">
        <v>26</v>
      </c>
      <c r="N16" s="711">
        <f t="shared" si="6"/>
        <v>17.216094632768364</v>
      </c>
      <c r="O16" s="711">
        <f t="shared" si="7"/>
        <v>17.216094632768364</v>
      </c>
      <c r="AJ16" s="708">
        <v>3</v>
      </c>
      <c r="AK16" s="708" t="s">
        <v>794</v>
      </c>
    </row>
    <row r="17" spans="1:37" ht="14.25" customHeight="1" x14ac:dyDescent="0.25">
      <c r="A17" s="491" t="s">
        <v>193</v>
      </c>
      <c r="B17" s="491" t="s">
        <v>190</v>
      </c>
      <c r="C17" s="492" t="s">
        <v>160</v>
      </c>
      <c r="D17" s="493">
        <v>0</v>
      </c>
      <c r="E17" s="494">
        <v>996.40000000000009</v>
      </c>
      <c r="F17" s="710">
        <v>1</v>
      </c>
      <c r="G17" s="539">
        <v>3108</v>
      </c>
      <c r="H17" s="496" t="s">
        <v>719</v>
      </c>
      <c r="I17" s="497">
        <v>115</v>
      </c>
      <c r="J17" s="497">
        <v>37.001287001286997</v>
      </c>
      <c r="K17" s="496">
        <f t="shared" si="4"/>
        <v>0.32059202059202063</v>
      </c>
      <c r="L17" s="496">
        <f t="shared" si="5"/>
        <v>0</v>
      </c>
      <c r="M17" s="496" t="s">
        <v>26</v>
      </c>
      <c r="N17" s="496">
        <f t="shared" si="6"/>
        <v>36.868082368082369</v>
      </c>
      <c r="O17" s="496">
        <f t="shared" si="7"/>
        <v>0</v>
      </c>
      <c r="AJ17" s="708">
        <v>3</v>
      </c>
      <c r="AK17" s="708" t="s">
        <v>78</v>
      </c>
    </row>
    <row r="18" spans="1:37" ht="14.25" customHeight="1" x14ac:dyDescent="0.25">
      <c r="A18" s="491" t="s">
        <v>196</v>
      </c>
      <c r="B18" s="491" t="s">
        <v>190</v>
      </c>
      <c r="C18" s="492" t="s">
        <v>160</v>
      </c>
      <c r="D18" s="493">
        <v>0</v>
      </c>
      <c r="E18" s="494">
        <v>830.33333333333348</v>
      </c>
      <c r="F18" s="710">
        <v>1</v>
      </c>
      <c r="G18" s="539">
        <v>7200</v>
      </c>
      <c r="H18" s="496" t="s">
        <v>197</v>
      </c>
      <c r="I18" s="497">
        <v>107</v>
      </c>
      <c r="J18" s="497">
        <v>14.861111111111111</v>
      </c>
      <c r="K18" s="496">
        <f t="shared" si="4"/>
        <v>0.11532407407407409</v>
      </c>
      <c r="L18" s="496">
        <f t="shared" si="5"/>
        <v>0</v>
      </c>
      <c r="M18" s="496" t="s">
        <v>26</v>
      </c>
      <c r="N18" s="496">
        <f t="shared" si="6"/>
        <v>12.339675925925928</v>
      </c>
      <c r="O18" s="496">
        <f t="shared" si="7"/>
        <v>0</v>
      </c>
      <c r="AJ18" s="708">
        <v>3</v>
      </c>
      <c r="AK18" s="708" t="s">
        <v>81</v>
      </c>
    </row>
    <row r="19" spans="1:37" ht="14.25" customHeight="1" x14ac:dyDescent="0.2">
      <c r="A19" s="723"/>
      <c r="B19" s="723"/>
      <c r="C19" s="698"/>
      <c r="D19" s="721"/>
      <c r="E19" s="722"/>
      <c r="F19" s="723"/>
      <c r="G19" s="177"/>
      <c r="H19" s="177"/>
      <c r="I19" s="177"/>
      <c r="J19" s="778"/>
      <c r="K19" s="758"/>
      <c r="L19" s="758"/>
      <c r="M19" s="698"/>
      <c r="N19" s="698"/>
      <c r="O19" s="698"/>
      <c r="AJ19" s="708">
        <v>4</v>
      </c>
      <c r="AK19" s="708" t="s">
        <v>91</v>
      </c>
    </row>
    <row r="20" spans="1:37" ht="14.25" customHeight="1" x14ac:dyDescent="0.25">
      <c r="A20" s="505" t="s">
        <v>203</v>
      </c>
      <c r="B20" s="505" t="s">
        <v>204</v>
      </c>
      <c r="C20" s="506" t="s">
        <v>160</v>
      </c>
      <c r="D20" s="507">
        <v>0</v>
      </c>
      <c r="E20" s="508">
        <v>1660.666666666667</v>
      </c>
      <c r="F20" s="509">
        <v>1</v>
      </c>
      <c r="G20" s="510">
        <v>1000</v>
      </c>
      <c r="H20" s="510" t="s">
        <v>205</v>
      </c>
      <c r="I20" s="511">
        <v>0</v>
      </c>
      <c r="J20" s="535">
        <v>0</v>
      </c>
      <c r="K20" s="510">
        <f t="shared" ref="K20" si="8">(E20/F20)/G20</f>
        <v>1.660666666666667</v>
      </c>
      <c r="L20" s="510">
        <f t="shared" ref="L20" si="9">(D20/F20)/G20</f>
        <v>0</v>
      </c>
      <c r="M20" s="510" t="s">
        <v>205</v>
      </c>
      <c r="N20" s="510">
        <f t="shared" ref="N20" si="10">K20*I20</f>
        <v>0</v>
      </c>
      <c r="O20" s="510">
        <f t="shared" ref="O20" si="11">L20*I20</f>
        <v>0</v>
      </c>
      <c r="AJ20" s="708">
        <v>4</v>
      </c>
      <c r="AK20" s="708" t="s">
        <v>96</v>
      </c>
    </row>
    <row r="21" spans="1:37" ht="14.25" customHeight="1" x14ac:dyDescent="0.25">
      <c r="A21" s="505" t="s">
        <v>829</v>
      </c>
      <c r="B21" s="505" t="s">
        <v>204</v>
      </c>
      <c r="C21" s="506" t="s">
        <v>160</v>
      </c>
      <c r="D21" s="507">
        <v>0</v>
      </c>
      <c r="E21" s="508">
        <v>0</v>
      </c>
      <c r="F21" s="509">
        <v>1</v>
      </c>
      <c r="G21" s="510">
        <v>1000</v>
      </c>
      <c r="H21" s="510" t="s">
        <v>205</v>
      </c>
      <c r="I21" s="511">
        <v>0</v>
      </c>
      <c r="J21" s="535">
        <v>0</v>
      </c>
      <c r="K21" s="510">
        <f t="shared" ref="K21" si="12">(E21/F21)/G21</f>
        <v>0</v>
      </c>
      <c r="L21" s="510">
        <f t="shared" ref="L21" si="13">(D21/F21)/G21</f>
        <v>0</v>
      </c>
      <c r="M21" s="510" t="s">
        <v>205</v>
      </c>
      <c r="N21" s="510">
        <f t="shared" ref="N21" si="14">K21*I21</f>
        <v>0</v>
      </c>
      <c r="O21" s="510">
        <f t="shared" ref="O21" si="15">L21*I21</f>
        <v>0</v>
      </c>
      <c r="AJ21" s="708">
        <v>4</v>
      </c>
      <c r="AK21" s="708" t="s">
        <v>104</v>
      </c>
    </row>
    <row r="22" spans="1:37" ht="14.25" customHeight="1" x14ac:dyDescent="0.2">
      <c r="A22" s="720"/>
      <c r="B22" s="720"/>
      <c r="C22" s="177"/>
      <c r="D22" s="721"/>
      <c r="E22" s="722"/>
      <c r="F22" s="723"/>
      <c r="G22" s="698"/>
      <c r="H22" s="698"/>
      <c r="I22" s="698"/>
      <c r="J22" s="698"/>
      <c r="K22" s="758"/>
      <c r="L22" s="758"/>
      <c r="M22" s="698"/>
      <c r="N22" s="698"/>
      <c r="O22" s="698"/>
      <c r="AJ22" s="708">
        <v>4</v>
      </c>
      <c r="AK22" s="708" t="s">
        <v>787</v>
      </c>
    </row>
    <row r="23" spans="1:37" ht="14.25" customHeight="1" x14ac:dyDescent="0.2">
      <c r="A23" s="724" t="s">
        <v>704</v>
      </c>
      <c r="B23" s="724" t="s">
        <v>94</v>
      </c>
      <c r="C23" s="725" t="s">
        <v>14</v>
      </c>
      <c r="D23" s="726">
        <v>474.85411140583562</v>
      </c>
      <c r="E23" s="727">
        <v>1035.5968169761272</v>
      </c>
      <c r="F23" s="724">
        <v>1</v>
      </c>
      <c r="G23" s="728">
        <v>2400</v>
      </c>
      <c r="H23" s="728" t="s">
        <v>726</v>
      </c>
      <c r="I23" s="728">
        <v>104</v>
      </c>
      <c r="J23" s="728">
        <v>43.333333333333336</v>
      </c>
      <c r="K23" s="759">
        <f t="shared" ref="K23:K41" si="16">(E23/F23)/G23</f>
        <v>0.43149867374005302</v>
      </c>
      <c r="L23" s="759">
        <f t="shared" ref="L23:L41" si="17">(D23/F23)/G23</f>
        <v>0.19785587975243152</v>
      </c>
      <c r="M23" s="725" t="s">
        <v>15</v>
      </c>
      <c r="N23" s="725">
        <f t="shared" ref="N23:N41" si="18">K23*I23</f>
        <v>44.875862068965517</v>
      </c>
      <c r="O23" s="725">
        <f t="shared" ref="O23:O41" si="19">L23*I23</f>
        <v>20.577011494252879</v>
      </c>
      <c r="AJ23" s="708">
        <v>4</v>
      </c>
      <c r="AK23" s="708" t="s">
        <v>466</v>
      </c>
    </row>
    <row r="24" spans="1:37" ht="14.25" customHeight="1" x14ac:dyDescent="0.2">
      <c r="A24" s="724" t="s">
        <v>99</v>
      </c>
      <c r="B24" s="724" t="s">
        <v>94</v>
      </c>
      <c r="C24" s="725" t="s">
        <v>14</v>
      </c>
      <c r="D24" s="726">
        <v>76.261786118125855</v>
      </c>
      <c r="E24" s="727">
        <v>515.68724711497623</v>
      </c>
      <c r="F24" s="724">
        <v>1</v>
      </c>
      <c r="G24" s="728">
        <v>1000</v>
      </c>
      <c r="H24" s="728" t="s">
        <v>45</v>
      </c>
      <c r="I24" s="728">
        <v>31</v>
      </c>
      <c r="J24" s="728">
        <v>31</v>
      </c>
      <c r="K24" s="759">
        <f t="shared" si="16"/>
        <v>0.51568724711497627</v>
      </c>
      <c r="L24" s="759">
        <f t="shared" si="17"/>
        <v>7.6261786118125854E-2</v>
      </c>
      <c r="M24" s="725" t="s">
        <v>15</v>
      </c>
      <c r="N24" s="725">
        <f t="shared" si="18"/>
        <v>15.986304660564265</v>
      </c>
      <c r="O24" s="725">
        <f t="shared" si="19"/>
        <v>2.3641153696619015</v>
      </c>
      <c r="AJ24" s="708">
        <v>4</v>
      </c>
      <c r="AK24" s="708" t="s">
        <v>117</v>
      </c>
    </row>
    <row r="25" spans="1:37" ht="14.25" customHeight="1" x14ac:dyDescent="0.2">
      <c r="A25" s="724" t="s">
        <v>97</v>
      </c>
      <c r="B25" s="724" t="s">
        <v>94</v>
      </c>
      <c r="C25" s="725" t="s">
        <v>14</v>
      </c>
      <c r="D25" s="726">
        <v>75.775862068965523</v>
      </c>
      <c r="E25" s="727">
        <v>75.775862068965523</v>
      </c>
      <c r="F25" s="724">
        <v>1</v>
      </c>
      <c r="G25" s="728">
        <v>1000</v>
      </c>
      <c r="H25" s="728" t="s">
        <v>45</v>
      </c>
      <c r="I25" s="728">
        <v>38</v>
      </c>
      <c r="J25" s="728">
        <v>38</v>
      </c>
      <c r="K25" s="759">
        <f t="shared" si="16"/>
        <v>7.5775862068965527E-2</v>
      </c>
      <c r="L25" s="759">
        <f t="shared" si="17"/>
        <v>7.5775862068965527E-2</v>
      </c>
      <c r="M25" s="725" t="s">
        <v>15</v>
      </c>
      <c r="N25" s="725">
        <f t="shared" si="18"/>
        <v>2.8794827586206901</v>
      </c>
      <c r="O25" s="725">
        <f t="shared" si="19"/>
        <v>2.8794827586206901</v>
      </c>
      <c r="AJ25" s="708">
        <v>4</v>
      </c>
      <c r="AK25" s="708" t="s">
        <v>860</v>
      </c>
    </row>
    <row r="26" spans="1:37" ht="14.25" customHeight="1" x14ac:dyDescent="0.2">
      <c r="A26" s="724" t="s">
        <v>128</v>
      </c>
      <c r="B26" s="724" t="s">
        <v>94</v>
      </c>
      <c r="C26" s="725" t="s">
        <v>14</v>
      </c>
      <c r="D26" s="726">
        <v>0</v>
      </c>
      <c r="E26" s="727">
        <v>44.580901856763923</v>
      </c>
      <c r="F26" s="724">
        <v>1</v>
      </c>
      <c r="G26" s="728">
        <v>1000</v>
      </c>
      <c r="H26" s="728" t="s">
        <v>45</v>
      </c>
      <c r="I26" s="728">
        <v>107</v>
      </c>
      <c r="J26" s="728">
        <v>107</v>
      </c>
      <c r="K26" s="759">
        <f t="shared" si="16"/>
        <v>4.4580901856763923E-2</v>
      </c>
      <c r="L26" s="759">
        <f t="shared" si="17"/>
        <v>0</v>
      </c>
      <c r="M26" s="725" t="s">
        <v>15</v>
      </c>
      <c r="N26" s="725">
        <f t="shared" si="18"/>
        <v>4.7701564986737397</v>
      </c>
      <c r="O26" s="725">
        <f t="shared" si="19"/>
        <v>0</v>
      </c>
      <c r="AJ26" s="708">
        <v>5</v>
      </c>
      <c r="AK26" s="708" t="s">
        <v>123</v>
      </c>
    </row>
    <row r="27" spans="1:37" ht="14.25" customHeight="1" x14ac:dyDescent="0.2">
      <c r="A27" s="724" t="s">
        <v>126</v>
      </c>
      <c r="B27" s="724" t="s">
        <v>94</v>
      </c>
      <c r="C27" s="725" t="s">
        <v>14</v>
      </c>
      <c r="D27" s="726">
        <v>48.160254237288136</v>
      </c>
      <c r="E27" s="727">
        <v>62.997281616688397</v>
      </c>
      <c r="F27" s="724">
        <v>1</v>
      </c>
      <c r="G27" s="728">
        <v>1000</v>
      </c>
      <c r="H27" s="728" t="s">
        <v>45</v>
      </c>
      <c r="I27" s="728">
        <v>125</v>
      </c>
      <c r="J27" s="728">
        <v>125</v>
      </c>
      <c r="K27" s="759">
        <f t="shared" si="16"/>
        <v>6.2997281616688397E-2</v>
      </c>
      <c r="L27" s="759">
        <f t="shared" si="17"/>
        <v>4.8160254237288133E-2</v>
      </c>
      <c r="M27" s="725" t="s">
        <v>15</v>
      </c>
      <c r="N27" s="725">
        <f t="shared" si="18"/>
        <v>7.8746602020860497</v>
      </c>
      <c r="O27" s="725">
        <f t="shared" si="19"/>
        <v>6.020031779661017</v>
      </c>
      <c r="AJ27" s="708">
        <v>5</v>
      </c>
      <c r="AK27" s="708" t="s">
        <v>125</v>
      </c>
    </row>
    <row r="28" spans="1:37" ht="14.25" customHeight="1" x14ac:dyDescent="0.2">
      <c r="A28" s="724" t="s">
        <v>122</v>
      </c>
      <c r="B28" s="724" t="s">
        <v>94</v>
      </c>
      <c r="C28" s="725" t="s">
        <v>14</v>
      </c>
      <c r="D28" s="726">
        <v>24.080127118644068</v>
      </c>
      <c r="E28" s="727">
        <v>49.472159820295524</v>
      </c>
      <c r="F28" s="724">
        <v>1</v>
      </c>
      <c r="G28" s="728">
        <v>1000</v>
      </c>
      <c r="H28" s="728" t="s">
        <v>45</v>
      </c>
      <c r="I28" s="728">
        <v>14</v>
      </c>
      <c r="J28" s="728">
        <v>14</v>
      </c>
      <c r="K28" s="759">
        <f t="shared" si="16"/>
        <v>4.9472159820295521E-2</v>
      </c>
      <c r="L28" s="759">
        <f t="shared" si="17"/>
        <v>2.4080127118644067E-2</v>
      </c>
      <c r="M28" s="725" t="s">
        <v>15</v>
      </c>
      <c r="N28" s="725">
        <f t="shared" si="18"/>
        <v>0.6926102374841373</v>
      </c>
      <c r="O28" s="725">
        <f t="shared" si="19"/>
        <v>0.33712177966101692</v>
      </c>
      <c r="AJ28" s="708">
        <v>5</v>
      </c>
      <c r="AK28" s="708" t="s">
        <v>127</v>
      </c>
    </row>
    <row r="29" spans="1:37" ht="14.25" customHeight="1" x14ac:dyDescent="0.2">
      <c r="A29" s="724" t="s">
        <v>124</v>
      </c>
      <c r="B29" s="724" t="s">
        <v>94</v>
      </c>
      <c r="C29" s="725" t="s">
        <v>14</v>
      </c>
      <c r="D29" s="726">
        <v>0</v>
      </c>
      <c r="E29" s="727">
        <v>43.834419817470661</v>
      </c>
      <c r="F29" s="724">
        <v>1</v>
      </c>
      <c r="G29" s="728">
        <v>1000</v>
      </c>
      <c r="H29" s="728" t="s">
        <v>45</v>
      </c>
      <c r="I29" s="728">
        <v>37</v>
      </c>
      <c r="J29" s="728">
        <v>37</v>
      </c>
      <c r="K29" s="759">
        <f t="shared" si="16"/>
        <v>4.383441981747066E-2</v>
      </c>
      <c r="L29" s="759">
        <f t="shared" si="17"/>
        <v>0</v>
      </c>
      <c r="M29" s="725" t="s">
        <v>15</v>
      </c>
      <c r="N29" s="725">
        <f t="shared" si="18"/>
        <v>1.6218735332464145</v>
      </c>
      <c r="O29" s="725">
        <f t="shared" si="19"/>
        <v>0</v>
      </c>
      <c r="AJ29" s="708">
        <v>5</v>
      </c>
      <c r="AK29" s="708" t="s">
        <v>788</v>
      </c>
    </row>
    <row r="30" spans="1:37" ht="14.25" customHeight="1" x14ac:dyDescent="0.2">
      <c r="A30" s="724" t="s">
        <v>107</v>
      </c>
      <c r="B30" s="724" t="s">
        <v>94</v>
      </c>
      <c r="C30" s="725" t="s">
        <v>14</v>
      </c>
      <c r="D30" s="726">
        <v>626.4470980757992</v>
      </c>
      <c r="E30" s="727">
        <v>1523.4830584706497</v>
      </c>
      <c r="F30" s="724">
        <v>1</v>
      </c>
      <c r="G30" s="728">
        <v>1000</v>
      </c>
      <c r="H30" s="728" t="s">
        <v>45</v>
      </c>
      <c r="I30" s="728">
        <v>8</v>
      </c>
      <c r="J30" s="728">
        <v>8</v>
      </c>
      <c r="K30" s="759">
        <f t="shared" si="16"/>
        <v>1.5234830584706496</v>
      </c>
      <c r="L30" s="759">
        <f t="shared" si="17"/>
        <v>0.62644709807579924</v>
      </c>
      <c r="M30" s="725" t="s">
        <v>15</v>
      </c>
      <c r="N30" s="725">
        <f t="shared" si="18"/>
        <v>12.187864467765197</v>
      </c>
      <c r="O30" s="725">
        <f t="shared" si="19"/>
        <v>5.0115767846063939</v>
      </c>
      <c r="AJ30" s="708">
        <v>5</v>
      </c>
      <c r="AK30" s="708" t="s">
        <v>130</v>
      </c>
    </row>
    <row r="31" spans="1:37" ht="14.25" customHeight="1" x14ac:dyDescent="0.2">
      <c r="A31" s="724" t="s">
        <v>105</v>
      </c>
      <c r="B31" s="724" t="s">
        <v>94</v>
      </c>
      <c r="C31" s="725" t="s">
        <v>14</v>
      </c>
      <c r="D31" s="726">
        <v>924.27464672614451</v>
      </c>
      <c r="E31" s="727">
        <v>2602.8931935864307</v>
      </c>
      <c r="F31" s="724">
        <v>1</v>
      </c>
      <c r="G31" s="728">
        <v>1000</v>
      </c>
      <c r="H31" s="728" t="s">
        <v>45</v>
      </c>
      <c r="I31" s="728">
        <v>15</v>
      </c>
      <c r="J31" s="728">
        <v>15</v>
      </c>
      <c r="K31" s="759">
        <f t="shared" si="16"/>
        <v>2.6028931935864308</v>
      </c>
      <c r="L31" s="759">
        <f t="shared" si="17"/>
        <v>0.92427464672614446</v>
      </c>
      <c r="M31" s="725" t="s">
        <v>15</v>
      </c>
      <c r="N31" s="725">
        <f t="shared" si="18"/>
        <v>39.04339790379646</v>
      </c>
      <c r="O31" s="725">
        <f t="shared" si="19"/>
        <v>13.864119700892166</v>
      </c>
      <c r="AJ31" s="708">
        <v>5</v>
      </c>
      <c r="AK31" s="708" t="s">
        <v>132</v>
      </c>
    </row>
    <row r="32" spans="1:37" ht="14.25" customHeight="1" x14ac:dyDescent="0.2">
      <c r="A32" s="724" t="s">
        <v>108</v>
      </c>
      <c r="B32" s="724" t="s">
        <v>94</v>
      </c>
      <c r="C32" s="725" t="s">
        <v>14</v>
      </c>
      <c r="D32" s="726">
        <v>0</v>
      </c>
      <c r="E32" s="727">
        <v>316.23207301173397</v>
      </c>
      <c r="F32" s="724">
        <v>1</v>
      </c>
      <c r="G32" s="728">
        <v>1000</v>
      </c>
      <c r="H32" s="728" t="s">
        <v>45</v>
      </c>
      <c r="I32" s="728">
        <v>26.5</v>
      </c>
      <c r="J32" s="728">
        <v>26.5</v>
      </c>
      <c r="K32" s="759">
        <f t="shared" si="16"/>
        <v>0.31623207301173395</v>
      </c>
      <c r="L32" s="759">
        <f t="shared" si="17"/>
        <v>0</v>
      </c>
      <c r="M32" s="725" t="s">
        <v>15</v>
      </c>
      <c r="N32" s="725">
        <f t="shared" si="18"/>
        <v>8.3801499348109498</v>
      </c>
      <c r="O32" s="725">
        <f t="shared" si="19"/>
        <v>0</v>
      </c>
      <c r="AJ32" s="708">
        <v>5</v>
      </c>
      <c r="AK32" s="708" t="s">
        <v>814</v>
      </c>
    </row>
    <row r="33" spans="1:37" ht="14.25" customHeight="1" x14ac:dyDescent="0.2">
      <c r="A33" s="724" t="s">
        <v>149</v>
      </c>
      <c r="B33" s="724" t="s">
        <v>94</v>
      </c>
      <c r="C33" s="725" t="s">
        <v>14</v>
      </c>
      <c r="D33" s="726">
        <v>237.42705570291781</v>
      </c>
      <c r="E33" s="727">
        <v>1140.5484084880638</v>
      </c>
      <c r="F33" s="724">
        <v>1</v>
      </c>
      <c r="G33" s="728">
        <v>1000</v>
      </c>
      <c r="H33" s="728" t="s">
        <v>45</v>
      </c>
      <c r="I33" s="728">
        <v>10</v>
      </c>
      <c r="J33" s="728">
        <v>10</v>
      </c>
      <c r="K33" s="759">
        <f t="shared" si="16"/>
        <v>1.1405484084880639</v>
      </c>
      <c r="L33" s="759">
        <f t="shared" si="17"/>
        <v>0.23742705570291781</v>
      </c>
      <c r="M33" s="725" t="s">
        <v>15</v>
      </c>
      <c r="N33" s="725">
        <f t="shared" si="18"/>
        <v>11.405484084880639</v>
      </c>
      <c r="O33" s="725">
        <f t="shared" si="19"/>
        <v>2.374270557029178</v>
      </c>
      <c r="AJ33" s="708">
        <v>6</v>
      </c>
      <c r="AK33" s="708" t="s">
        <v>148</v>
      </c>
    </row>
    <row r="34" spans="1:37" ht="14.25" customHeight="1" x14ac:dyDescent="0.2">
      <c r="A34" s="724" t="s">
        <v>144</v>
      </c>
      <c r="B34" s="724" t="s">
        <v>94</v>
      </c>
      <c r="C34" s="725" t="s">
        <v>14</v>
      </c>
      <c r="D34" s="726">
        <v>237.42705570291781</v>
      </c>
      <c r="E34" s="727">
        <v>517.79840848806361</v>
      </c>
      <c r="F34" s="729">
        <v>1</v>
      </c>
      <c r="G34" s="728">
        <v>1000</v>
      </c>
      <c r="H34" s="728" t="s">
        <v>15</v>
      </c>
      <c r="I34" s="728">
        <v>18</v>
      </c>
      <c r="J34" s="728">
        <v>18</v>
      </c>
      <c r="K34" s="759">
        <f t="shared" si="16"/>
        <v>0.51779840848806358</v>
      </c>
      <c r="L34" s="759">
        <f t="shared" si="17"/>
        <v>0.23742705570291781</v>
      </c>
      <c r="M34" s="725" t="s">
        <v>15</v>
      </c>
      <c r="N34" s="725">
        <f t="shared" si="18"/>
        <v>9.3203713527851448</v>
      </c>
      <c r="O34" s="725">
        <f t="shared" si="19"/>
        <v>4.2736870026525207</v>
      </c>
      <c r="AJ34" s="708">
        <v>6</v>
      </c>
      <c r="AK34" s="708" t="s">
        <v>150</v>
      </c>
    </row>
    <row r="35" spans="1:37" ht="14.25" customHeight="1" x14ac:dyDescent="0.2">
      <c r="A35" s="724" t="s">
        <v>141</v>
      </c>
      <c r="B35" s="724" t="s">
        <v>94</v>
      </c>
      <c r="C35" s="725" t="s">
        <v>14</v>
      </c>
      <c r="D35" s="726">
        <v>0</v>
      </c>
      <c r="E35" s="727">
        <v>4.0117647058823529</v>
      </c>
      <c r="F35" s="729">
        <v>1</v>
      </c>
      <c r="G35" s="728">
        <v>34</v>
      </c>
      <c r="H35" s="728" t="s">
        <v>142</v>
      </c>
      <c r="I35" s="728">
        <v>8.5</v>
      </c>
      <c r="J35" s="728">
        <v>249.99999999999997</v>
      </c>
      <c r="K35" s="759">
        <f t="shared" si="16"/>
        <v>0.11799307958477509</v>
      </c>
      <c r="L35" s="759">
        <f t="shared" si="17"/>
        <v>0</v>
      </c>
      <c r="M35" s="725" t="s">
        <v>15</v>
      </c>
      <c r="N35" s="725">
        <f t="shared" si="18"/>
        <v>1.0029411764705882</v>
      </c>
      <c r="O35" s="725">
        <f t="shared" si="19"/>
        <v>0</v>
      </c>
      <c r="AJ35" s="708">
        <v>6</v>
      </c>
      <c r="AK35" s="708" t="s">
        <v>151</v>
      </c>
    </row>
    <row r="36" spans="1:37" ht="14.25" customHeight="1" x14ac:dyDescent="0.2">
      <c r="A36" s="724" t="s">
        <v>703</v>
      </c>
      <c r="B36" s="724" t="s">
        <v>94</v>
      </c>
      <c r="C36" s="725" t="s">
        <v>14</v>
      </c>
      <c r="D36" s="726">
        <v>24.080127118644068</v>
      </c>
      <c r="E36" s="727">
        <v>38.917154498044326</v>
      </c>
      <c r="F36" s="729">
        <v>1</v>
      </c>
      <c r="G36" s="728">
        <v>50</v>
      </c>
      <c r="H36" s="728" t="s">
        <v>133</v>
      </c>
      <c r="I36" s="728">
        <v>2.6</v>
      </c>
      <c r="J36" s="728">
        <v>52</v>
      </c>
      <c r="K36" s="759">
        <f t="shared" si="16"/>
        <v>0.77834308996088652</v>
      </c>
      <c r="L36" s="759">
        <f t="shared" si="17"/>
        <v>0.48160254237288136</v>
      </c>
      <c r="M36" s="725" t="s">
        <v>15</v>
      </c>
      <c r="N36" s="725">
        <f t="shared" si="18"/>
        <v>2.0236920338983051</v>
      </c>
      <c r="O36" s="725">
        <f t="shared" si="19"/>
        <v>1.2521666101694915</v>
      </c>
      <c r="AJ36" s="708">
        <v>6</v>
      </c>
      <c r="AK36" s="708" t="s">
        <v>155</v>
      </c>
    </row>
    <row r="37" spans="1:37" ht="14.25" customHeight="1" x14ac:dyDescent="0.2">
      <c r="A37" s="724" t="s">
        <v>110</v>
      </c>
      <c r="B37" s="724" t="s">
        <v>94</v>
      </c>
      <c r="C37" s="725" t="s">
        <v>14</v>
      </c>
      <c r="D37" s="726">
        <v>146.21684671260945</v>
      </c>
      <c r="E37" s="727">
        <v>354.85995408159226</v>
      </c>
      <c r="F37" s="724">
        <v>1</v>
      </c>
      <c r="G37" s="728">
        <v>2724</v>
      </c>
      <c r="H37" s="728" t="s">
        <v>111</v>
      </c>
      <c r="I37" s="728">
        <v>175</v>
      </c>
      <c r="J37" s="728">
        <v>64.243759177679877</v>
      </c>
      <c r="K37" s="759">
        <f t="shared" si="16"/>
        <v>0.13027164246754488</v>
      </c>
      <c r="L37" s="759">
        <f t="shared" si="17"/>
        <v>5.3677256502426378E-2</v>
      </c>
      <c r="M37" s="725" t="s">
        <v>15</v>
      </c>
      <c r="N37" s="725">
        <f t="shared" si="18"/>
        <v>22.797537431820356</v>
      </c>
      <c r="O37" s="725">
        <f t="shared" si="19"/>
        <v>9.3935198879246169</v>
      </c>
      <c r="AJ37" s="708">
        <v>6</v>
      </c>
      <c r="AK37" s="708" t="s">
        <v>158</v>
      </c>
    </row>
    <row r="38" spans="1:37" ht="14.25" customHeight="1" x14ac:dyDescent="0.2">
      <c r="A38" s="724" t="s">
        <v>113</v>
      </c>
      <c r="B38" s="724" t="s">
        <v>94</v>
      </c>
      <c r="C38" s="725" t="s">
        <v>14</v>
      </c>
      <c r="D38" s="726">
        <v>24.080127118644068</v>
      </c>
      <c r="E38" s="727">
        <v>216.74457961669586</v>
      </c>
      <c r="F38" s="724">
        <v>1</v>
      </c>
      <c r="G38" s="728">
        <v>1000</v>
      </c>
      <c r="H38" s="728" t="s">
        <v>45</v>
      </c>
      <c r="I38" s="728">
        <v>20</v>
      </c>
      <c r="J38" s="728">
        <v>20</v>
      </c>
      <c r="K38" s="759">
        <f t="shared" si="16"/>
        <v>0.21674457961669585</v>
      </c>
      <c r="L38" s="759">
        <f t="shared" si="17"/>
        <v>2.4080127118644067E-2</v>
      </c>
      <c r="M38" s="725" t="s">
        <v>15</v>
      </c>
      <c r="N38" s="725">
        <f t="shared" si="18"/>
        <v>4.3348915923339169</v>
      </c>
      <c r="O38" s="725">
        <f t="shared" si="19"/>
        <v>0.48160254237288136</v>
      </c>
    </row>
    <row r="39" spans="1:37" ht="14.25" customHeight="1" x14ac:dyDescent="0.2">
      <c r="A39" s="724" t="s">
        <v>93</v>
      </c>
      <c r="B39" s="724" t="s">
        <v>94</v>
      </c>
      <c r="C39" s="725" t="s">
        <v>14</v>
      </c>
      <c r="D39" s="726">
        <v>487.55635327183722</v>
      </c>
      <c r="E39" s="727">
        <v>1160.4368661993087</v>
      </c>
      <c r="F39" s="724">
        <v>1</v>
      </c>
      <c r="G39" s="728">
        <v>50000</v>
      </c>
      <c r="H39" s="728" t="s">
        <v>95</v>
      </c>
      <c r="I39" s="728">
        <v>37</v>
      </c>
      <c r="J39" s="728">
        <v>0.74</v>
      </c>
      <c r="K39" s="759">
        <f t="shared" si="16"/>
        <v>2.3208737323986175E-2</v>
      </c>
      <c r="L39" s="759">
        <f t="shared" si="17"/>
        <v>9.7511270654367446E-3</v>
      </c>
      <c r="M39" s="725" t="s">
        <v>15</v>
      </c>
      <c r="N39" s="725">
        <f t="shared" si="18"/>
        <v>0.85872328098748851</v>
      </c>
      <c r="O39" s="725">
        <f t="shared" si="19"/>
        <v>0.36079170142115957</v>
      </c>
    </row>
    <row r="40" spans="1:37" ht="14.25" customHeight="1" x14ac:dyDescent="0.2">
      <c r="A40" s="724" t="s">
        <v>118</v>
      </c>
      <c r="B40" s="724" t="s">
        <v>94</v>
      </c>
      <c r="C40" s="725" t="s">
        <v>14</v>
      </c>
      <c r="D40" s="726">
        <v>309.66743705885</v>
      </c>
      <c r="E40" s="727">
        <v>657.7180597266555</v>
      </c>
      <c r="F40" s="724">
        <v>1</v>
      </c>
      <c r="G40" s="728">
        <v>1000</v>
      </c>
      <c r="H40" s="728" t="s">
        <v>45</v>
      </c>
      <c r="I40" s="728">
        <v>15</v>
      </c>
      <c r="J40" s="728">
        <v>15</v>
      </c>
      <c r="K40" s="759">
        <f t="shared" si="16"/>
        <v>0.65771805972665554</v>
      </c>
      <c r="L40" s="759">
        <f t="shared" si="17"/>
        <v>0.30966743705885003</v>
      </c>
      <c r="M40" s="725" t="s">
        <v>15</v>
      </c>
      <c r="N40" s="725">
        <f t="shared" si="18"/>
        <v>9.8657708958998338</v>
      </c>
      <c r="O40" s="725">
        <f t="shared" si="19"/>
        <v>4.6450115558827507</v>
      </c>
    </row>
    <row r="41" spans="1:37" ht="14.25" customHeight="1" x14ac:dyDescent="0.2">
      <c r="A41" s="724" t="s">
        <v>101</v>
      </c>
      <c r="B41" s="724" t="s">
        <v>94</v>
      </c>
      <c r="C41" s="725" t="s">
        <v>14</v>
      </c>
      <c r="D41" s="726">
        <v>0</v>
      </c>
      <c r="E41" s="727">
        <v>98.287576064908734</v>
      </c>
      <c r="F41" s="724">
        <v>1</v>
      </c>
      <c r="G41" s="728">
        <v>1000</v>
      </c>
      <c r="H41" s="728" t="s">
        <v>45</v>
      </c>
      <c r="I41" s="728">
        <v>47</v>
      </c>
      <c r="J41" s="728">
        <v>47</v>
      </c>
      <c r="K41" s="759">
        <f t="shared" si="16"/>
        <v>9.8287576064908733E-2</v>
      </c>
      <c r="L41" s="759">
        <f t="shared" si="17"/>
        <v>0</v>
      </c>
      <c r="M41" s="725" t="s">
        <v>15</v>
      </c>
      <c r="N41" s="725">
        <f t="shared" si="18"/>
        <v>4.6195160750507105</v>
      </c>
      <c r="O41" s="725">
        <f t="shared" si="19"/>
        <v>0</v>
      </c>
    </row>
    <row r="42" spans="1:37" ht="14.25" customHeight="1" x14ac:dyDescent="0.2">
      <c r="G42" s="760"/>
      <c r="H42" s="760"/>
      <c r="I42" s="760"/>
      <c r="J42" s="760"/>
    </row>
    <row r="43" spans="1:37" ht="14.25" customHeight="1" x14ac:dyDescent="0.2">
      <c r="A43" s="734" t="s">
        <v>214</v>
      </c>
      <c r="B43" s="735" t="s">
        <v>213</v>
      </c>
      <c r="C43" s="736" t="s">
        <v>14</v>
      </c>
      <c r="D43" s="737">
        <v>71.081239625949735</v>
      </c>
      <c r="E43" s="738">
        <v>139.30256318841882</v>
      </c>
      <c r="F43" s="734">
        <v>1</v>
      </c>
      <c r="G43" s="739">
        <v>100</v>
      </c>
      <c r="H43" s="739" t="s">
        <v>710</v>
      </c>
      <c r="I43" s="739">
        <v>3.5</v>
      </c>
      <c r="J43" s="739">
        <v>35</v>
      </c>
      <c r="K43" s="761">
        <f>(E43/F43)/G43</f>
        <v>1.3930256318841883</v>
      </c>
      <c r="L43" s="761">
        <f>(D43/F43)/G43</f>
        <v>0.71081239625949733</v>
      </c>
      <c r="M43" s="736" t="s">
        <v>15</v>
      </c>
      <c r="N43" s="736">
        <f>K43*I43</f>
        <v>4.8755897115946585</v>
      </c>
      <c r="O43" s="736">
        <f>L43*I43</f>
        <v>2.4878433869082408</v>
      </c>
    </row>
    <row r="44" spans="1:37" ht="14.25" customHeight="1" x14ac:dyDescent="0.2">
      <c r="A44" s="740" t="s">
        <v>799</v>
      </c>
      <c r="B44" s="735" t="s">
        <v>213</v>
      </c>
      <c r="C44" s="736" t="s">
        <v>14</v>
      </c>
      <c r="D44" s="737">
        <v>0</v>
      </c>
      <c r="E44" s="738">
        <v>104.66484465358539</v>
      </c>
      <c r="F44" s="734">
        <v>1</v>
      </c>
      <c r="G44" s="739">
        <v>100</v>
      </c>
      <c r="H44" s="739" t="s">
        <v>710</v>
      </c>
      <c r="I44" s="739">
        <v>2.25</v>
      </c>
      <c r="J44" s="739">
        <v>22.5</v>
      </c>
      <c r="K44" s="761">
        <f>(E44/F44)/G44</f>
        <v>1.0466484465358539</v>
      </c>
      <c r="L44" s="761">
        <f>(D44/F44)/G44</f>
        <v>0</v>
      </c>
      <c r="M44" s="736" t="s">
        <v>15</v>
      </c>
      <c r="N44" s="736">
        <f>K44*I44</f>
        <v>2.3549590047056714</v>
      </c>
      <c r="O44" s="736">
        <f>L44*I44</f>
        <v>0</v>
      </c>
    </row>
    <row r="45" spans="1:37" ht="14.25" customHeight="1" x14ac:dyDescent="0.2"/>
    <row r="46" spans="1:37" ht="14.25" customHeight="1" x14ac:dyDescent="0.25">
      <c r="A46" s="40" t="s">
        <v>187</v>
      </c>
      <c r="B46" s="40" t="s">
        <v>186</v>
      </c>
      <c r="C46" s="41" t="s">
        <v>14</v>
      </c>
      <c r="D46" s="42">
        <v>0</v>
      </c>
      <c r="E46" s="43">
        <v>830.33333333333348</v>
      </c>
      <c r="F46" s="825">
        <v>0.9</v>
      </c>
      <c r="G46" s="826">
        <v>25000</v>
      </c>
      <c r="H46" s="826" t="s">
        <v>227</v>
      </c>
      <c r="I46" s="827">
        <v>58</v>
      </c>
      <c r="J46" s="827">
        <v>2.3199999999999998</v>
      </c>
      <c r="K46" s="826">
        <f>(E46/F46)/G46</f>
        <v>3.6903703703703709E-2</v>
      </c>
      <c r="L46" s="826">
        <f>(D46/F46)/G46</f>
        <v>0</v>
      </c>
      <c r="M46" s="45" t="s">
        <v>45</v>
      </c>
      <c r="N46" s="45">
        <f>K46*I46</f>
        <v>2.140414814814815</v>
      </c>
      <c r="O46" s="45">
        <f>L46*I46</f>
        <v>0</v>
      </c>
    </row>
    <row r="47" spans="1:37" ht="14.25" customHeight="1" x14ac:dyDescent="0.2"/>
    <row r="48" spans="1:37" ht="15" x14ac:dyDescent="0.2">
      <c r="A48" s="741" t="s">
        <v>183</v>
      </c>
      <c r="B48" s="741" t="s">
        <v>180</v>
      </c>
      <c r="C48" s="742" t="s">
        <v>14</v>
      </c>
      <c r="D48" s="743">
        <v>0</v>
      </c>
      <c r="E48" s="744">
        <v>153.98305084745763</v>
      </c>
      <c r="F48" s="745">
        <v>1</v>
      </c>
      <c r="G48" s="743">
        <v>8000</v>
      </c>
      <c r="H48" s="743" t="s">
        <v>722</v>
      </c>
      <c r="I48" s="743">
        <v>136</v>
      </c>
      <c r="J48" s="743">
        <v>17</v>
      </c>
      <c r="K48" s="762">
        <f>(E48/F48)/G48</f>
        <v>1.9247881355932205E-2</v>
      </c>
      <c r="L48" s="762">
        <f>(D48/F48)/G48</f>
        <v>0</v>
      </c>
      <c r="M48" s="742" t="s">
        <v>15</v>
      </c>
      <c r="N48" s="742">
        <f>K48*I48</f>
        <v>2.6177118644067798</v>
      </c>
      <c r="O48" s="742">
        <f>L48*I48</f>
        <v>0</v>
      </c>
    </row>
    <row r="50" spans="1:15" ht="14.25" customHeight="1" x14ac:dyDescent="0.2">
      <c r="A50" s="746" t="s">
        <v>79</v>
      </c>
      <c r="B50" s="746" t="s">
        <v>80</v>
      </c>
      <c r="C50" s="747" t="s">
        <v>14</v>
      </c>
      <c r="D50" s="748">
        <v>0</v>
      </c>
      <c r="E50" s="749">
        <v>46.194915254237287</v>
      </c>
      <c r="F50" s="746">
        <v>1</v>
      </c>
      <c r="G50" s="747">
        <v>1000</v>
      </c>
      <c r="H50" s="747" t="s">
        <v>45</v>
      </c>
      <c r="I50" s="747">
        <v>7</v>
      </c>
      <c r="J50" s="747">
        <v>7</v>
      </c>
      <c r="K50" s="763">
        <f>(E50/F50)/G50</f>
        <v>4.6194915254237287E-2</v>
      </c>
      <c r="L50" s="763">
        <f>(D50/F50)/G50</f>
        <v>0</v>
      </c>
      <c r="M50" s="747" t="s">
        <v>15</v>
      </c>
      <c r="N50" s="747">
        <f>K50*I50</f>
        <v>0.323364406779661</v>
      </c>
      <c r="O50" s="747">
        <f>L50*I50</f>
        <v>0</v>
      </c>
    </row>
    <row r="51" spans="1:15" ht="14.25" customHeight="1" x14ac:dyDescent="0.25">
      <c r="A51" s="1"/>
      <c r="B51" s="1"/>
      <c r="C51" s="2"/>
      <c r="D51" s="773"/>
      <c r="E51" s="774"/>
      <c r="F51" s="775"/>
      <c r="G51" s="52"/>
      <c r="H51" s="774"/>
      <c r="I51" s="776"/>
      <c r="J51" s="777"/>
      <c r="K51" s="774"/>
      <c r="L51" s="541"/>
      <c r="M51" s="774"/>
      <c r="N51" s="774"/>
      <c r="O51" s="774"/>
    </row>
    <row r="52" spans="1:15" ht="14.25" customHeight="1" x14ac:dyDescent="0.2">
      <c r="G52" s="760"/>
      <c r="H52" s="760"/>
      <c r="I52" s="760"/>
      <c r="J52" s="760"/>
    </row>
    <row r="53" spans="1:15" ht="14.25" customHeight="1" x14ac:dyDescent="0.2">
      <c r="A53" s="750" t="s">
        <v>709</v>
      </c>
      <c r="B53" s="750" t="s">
        <v>13</v>
      </c>
      <c r="C53" s="751" t="s">
        <v>14</v>
      </c>
      <c r="D53" s="752">
        <v>0</v>
      </c>
      <c r="E53" s="753">
        <v>15.398305084745763</v>
      </c>
      <c r="F53" s="750">
        <v>0.52</v>
      </c>
      <c r="G53" s="754">
        <v>100</v>
      </c>
      <c r="H53" s="754" t="s">
        <v>66</v>
      </c>
      <c r="I53" s="754">
        <v>10</v>
      </c>
      <c r="J53" s="754">
        <f t="shared" ref="J53:J65" si="20">I53/(G53/1000)</f>
        <v>100</v>
      </c>
      <c r="K53" s="764">
        <f>(E53/F53)/G53</f>
        <v>0.29612125162972619</v>
      </c>
      <c r="L53" s="765">
        <f>(D53/F53)/G53</f>
        <v>0</v>
      </c>
      <c r="M53" s="751" t="s">
        <v>42</v>
      </c>
      <c r="N53" s="751">
        <f>K53*I53</f>
        <v>2.961212516297262</v>
      </c>
      <c r="O53" s="751">
        <v>0</v>
      </c>
    </row>
    <row r="54" spans="1:15" ht="14.25" customHeight="1" x14ac:dyDescent="0.2">
      <c r="A54" s="750" t="s">
        <v>60</v>
      </c>
      <c r="B54" s="750" t="s">
        <v>13</v>
      </c>
      <c r="C54" s="751" t="s">
        <v>14</v>
      </c>
      <c r="D54" s="752">
        <v>0</v>
      </c>
      <c r="E54" s="753">
        <v>39.931034482758619</v>
      </c>
      <c r="F54" s="750">
        <v>0.94</v>
      </c>
      <c r="G54" s="754">
        <v>825</v>
      </c>
      <c r="H54" s="754" t="s">
        <v>62</v>
      </c>
      <c r="I54" s="754">
        <v>3</v>
      </c>
      <c r="J54" s="754">
        <v>3.6363636363636367</v>
      </c>
      <c r="K54" s="764">
        <f>(E54/F54)/G54</f>
        <v>5.149069565797372E-2</v>
      </c>
      <c r="L54" s="765">
        <f t="shared" ref="L54:L65" si="21">(D54/F54)/G54</f>
        <v>0</v>
      </c>
      <c r="M54" s="751" t="s">
        <v>42</v>
      </c>
      <c r="N54" s="751">
        <f>K54*I54</f>
        <v>0.15447208697392117</v>
      </c>
      <c r="O54" s="751">
        <f>L54*I54</f>
        <v>0</v>
      </c>
    </row>
    <row r="55" spans="1:15" ht="14.25" customHeight="1" x14ac:dyDescent="0.2">
      <c r="A55" s="750" t="s">
        <v>75</v>
      </c>
      <c r="B55" s="750" t="s">
        <v>13</v>
      </c>
      <c r="C55" s="751" t="s">
        <v>14</v>
      </c>
      <c r="D55" s="752">
        <v>0</v>
      </c>
      <c r="E55" s="753">
        <v>24.615384615384613</v>
      </c>
      <c r="F55" s="750">
        <v>1</v>
      </c>
      <c r="G55" s="754">
        <v>100</v>
      </c>
      <c r="H55" s="754" t="s">
        <v>66</v>
      </c>
      <c r="I55" s="754">
        <v>9</v>
      </c>
      <c r="J55" s="754">
        <f t="shared" si="20"/>
        <v>90</v>
      </c>
      <c r="K55" s="764">
        <v>2.2718383311603644E-2</v>
      </c>
      <c r="L55" s="765">
        <f t="shared" si="21"/>
        <v>0</v>
      </c>
      <c r="M55" s="751" t="s">
        <v>42</v>
      </c>
      <c r="N55" s="751">
        <f t="shared" ref="N55:N65" si="22">K55*I55</f>
        <v>0.20446544980443279</v>
      </c>
      <c r="O55" s="751">
        <v>0</v>
      </c>
    </row>
    <row r="56" spans="1:15" ht="14.25" customHeight="1" x14ac:dyDescent="0.2">
      <c r="A56" s="750" t="s">
        <v>707</v>
      </c>
      <c r="B56" s="750" t="s">
        <v>13</v>
      </c>
      <c r="C56" s="751" t="s">
        <v>14</v>
      </c>
      <c r="D56" s="752">
        <v>0</v>
      </c>
      <c r="E56" s="753">
        <v>199.65517241379311</v>
      </c>
      <c r="F56" s="750">
        <v>1</v>
      </c>
      <c r="G56" s="754">
        <v>135</v>
      </c>
      <c r="H56" s="754" t="s">
        <v>52</v>
      </c>
      <c r="I56" s="754">
        <v>5.5</v>
      </c>
      <c r="J56" s="754">
        <f t="shared" si="20"/>
        <v>40.74074074074074</v>
      </c>
      <c r="K56" s="764">
        <f t="shared" ref="K56:K65" si="23">(E56/F56)/G56</f>
        <v>1.4789272030651341</v>
      </c>
      <c r="L56" s="765">
        <f t="shared" si="21"/>
        <v>0</v>
      </c>
      <c r="M56" s="751" t="s">
        <v>37</v>
      </c>
      <c r="N56" s="751">
        <f t="shared" si="22"/>
        <v>8.1340996168582382</v>
      </c>
      <c r="O56" s="751">
        <f>L56*I56</f>
        <v>0</v>
      </c>
    </row>
    <row r="57" spans="1:15" ht="14.25" customHeight="1" x14ac:dyDescent="0.2">
      <c r="A57" s="750" t="s">
        <v>950</v>
      </c>
      <c r="B57" s="750" t="s">
        <v>13</v>
      </c>
      <c r="C57" s="751" t="s">
        <v>14</v>
      </c>
      <c r="D57" s="752">
        <v>0</v>
      </c>
      <c r="E57" s="753">
        <v>15.398305084745763</v>
      </c>
      <c r="F57" s="750">
        <v>0.7</v>
      </c>
      <c r="G57" s="754">
        <v>100</v>
      </c>
      <c r="H57" s="754" t="s">
        <v>66</v>
      </c>
      <c r="I57" s="754">
        <v>9</v>
      </c>
      <c r="J57" s="754">
        <f t="shared" si="20"/>
        <v>90</v>
      </c>
      <c r="K57" s="764">
        <f t="shared" si="23"/>
        <v>0.21997578692493949</v>
      </c>
      <c r="L57" s="765">
        <f t="shared" si="21"/>
        <v>0</v>
      </c>
      <c r="M57" s="751" t="s">
        <v>42</v>
      </c>
      <c r="N57" s="751">
        <f t="shared" si="22"/>
        <v>1.9797820823244554</v>
      </c>
      <c r="O57" s="751">
        <v>0</v>
      </c>
    </row>
    <row r="58" spans="1:15" ht="14.25" customHeight="1" x14ac:dyDescent="0.2">
      <c r="A58" s="750" t="s">
        <v>708</v>
      </c>
      <c r="B58" s="750" t="s">
        <v>13</v>
      </c>
      <c r="C58" s="751" t="s">
        <v>14</v>
      </c>
      <c r="D58" s="752">
        <v>0</v>
      </c>
      <c r="E58" s="753">
        <v>46.843668993020941</v>
      </c>
      <c r="F58" s="750">
        <v>0.5</v>
      </c>
      <c r="G58" s="754">
        <v>100</v>
      </c>
      <c r="H58" s="754" t="s">
        <v>66</v>
      </c>
      <c r="I58" s="754">
        <v>9</v>
      </c>
      <c r="J58" s="754">
        <f t="shared" si="20"/>
        <v>90</v>
      </c>
      <c r="K58" s="764">
        <f t="shared" si="23"/>
        <v>0.93687337986041885</v>
      </c>
      <c r="L58" s="765">
        <f t="shared" si="21"/>
        <v>0</v>
      </c>
      <c r="M58" s="751" t="s">
        <v>42</v>
      </c>
      <c r="N58" s="751">
        <f t="shared" si="22"/>
        <v>8.4318604187437689</v>
      </c>
      <c r="O58" s="751">
        <v>0</v>
      </c>
    </row>
    <row r="59" spans="1:15" ht="14.25" customHeight="1" x14ac:dyDescent="0.2">
      <c r="A59" s="750" t="s">
        <v>706</v>
      </c>
      <c r="B59" s="750" t="s">
        <v>13</v>
      </c>
      <c r="C59" s="751" t="s">
        <v>14</v>
      </c>
      <c r="D59" s="752">
        <v>3213.7075470933</v>
      </c>
      <c r="E59" s="753">
        <v>14338.247235920167</v>
      </c>
      <c r="F59" s="750">
        <v>1</v>
      </c>
      <c r="G59" s="754">
        <v>1000</v>
      </c>
      <c r="H59" s="754" t="s">
        <v>45</v>
      </c>
      <c r="I59" s="754">
        <v>10.5</v>
      </c>
      <c r="J59" s="754">
        <f t="shared" si="20"/>
        <v>10.5</v>
      </c>
      <c r="K59" s="764">
        <f t="shared" si="23"/>
        <v>14.338247235920168</v>
      </c>
      <c r="L59" s="765">
        <f>(D59/F59)/G59</f>
        <v>3.2137075470932999</v>
      </c>
      <c r="M59" s="751" t="s">
        <v>45</v>
      </c>
      <c r="N59" s="751">
        <f t="shared" si="22"/>
        <v>150.55159597716175</v>
      </c>
      <c r="O59" s="751">
        <v>0</v>
      </c>
    </row>
    <row r="60" spans="1:15" ht="14.25" customHeight="1" x14ac:dyDescent="0.2">
      <c r="A60" s="750" t="s">
        <v>54</v>
      </c>
      <c r="B60" s="750" t="s">
        <v>13</v>
      </c>
      <c r="C60" s="751" t="s">
        <v>14</v>
      </c>
      <c r="D60" s="752">
        <v>1880.7544066121309</v>
      </c>
      <c r="E60" s="753">
        <v>13774.30581057221</v>
      </c>
      <c r="F60" s="750">
        <v>0.87</v>
      </c>
      <c r="G60" s="754">
        <v>1000</v>
      </c>
      <c r="H60" s="754" t="s">
        <v>15</v>
      </c>
      <c r="I60" s="754">
        <v>7</v>
      </c>
      <c r="J60" s="754">
        <f t="shared" si="20"/>
        <v>7</v>
      </c>
      <c r="K60" s="764">
        <f t="shared" si="23"/>
        <v>15.832535414450817</v>
      </c>
      <c r="L60" s="765">
        <f>(D60/F60)/G60</f>
        <v>2.1617866742668173</v>
      </c>
      <c r="M60" s="751" t="s">
        <v>15</v>
      </c>
      <c r="N60" s="751">
        <f t="shared" si="22"/>
        <v>110.82774790115572</v>
      </c>
      <c r="O60" s="751">
        <v>0</v>
      </c>
    </row>
    <row r="61" spans="1:15" ht="14.25" customHeight="1" x14ac:dyDescent="0.2">
      <c r="A61" s="750" t="s">
        <v>34</v>
      </c>
      <c r="B61" s="750" t="s">
        <v>13</v>
      </c>
      <c r="C61" s="751" t="s">
        <v>14</v>
      </c>
      <c r="D61" s="752">
        <v>0</v>
      </c>
      <c r="E61" s="753">
        <v>139.75862068965517</v>
      </c>
      <c r="F61" s="750">
        <v>0.86</v>
      </c>
      <c r="G61" s="754">
        <v>1000</v>
      </c>
      <c r="H61" s="754" t="s">
        <v>15</v>
      </c>
      <c r="I61" s="754">
        <v>14</v>
      </c>
      <c r="J61" s="754">
        <f t="shared" si="20"/>
        <v>14</v>
      </c>
      <c r="K61" s="764">
        <f t="shared" si="23"/>
        <v>0.16251002405773857</v>
      </c>
      <c r="L61" s="765">
        <f t="shared" si="21"/>
        <v>0</v>
      </c>
      <c r="M61" s="751" t="s">
        <v>15</v>
      </c>
      <c r="N61" s="751">
        <f t="shared" si="22"/>
        <v>2.2751403368083398</v>
      </c>
      <c r="O61" s="751">
        <f>L61*I61</f>
        <v>0</v>
      </c>
    </row>
    <row r="62" spans="1:15" ht="15" x14ac:dyDescent="0.2">
      <c r="A62" s="750" t="s">
        <v>733</v>
      </c>
      <c r="B62" s="750" t="s">
        <v>13</v>
      </c>
      <c r="C62" s="751" t="s">
        <v>14</v>
      </c>
      <c r="D62" s="752">
        <v>0</v>
      </c>
      <c r="E62" s="753">
        <v>4814.1176470588234</v>
      </c>
      <c r="F62" s="750">
        <v>1</v>
      </c>
      <c r="G62" s="754">
        <v>250</v>
      </c>
      <c r="H62" s="754" t="s">
        <v>36</v>
      </c>
      <c r="I62" s="754">
        <v>5.5</v>
      </c>
      <c r="J62" s="754">
        <f t="shared" si="20"/>
        <v>22</v>
      </c>
      <c r="K62" s="764">
        <f t="shared" si="23"/>
        <v>19.256470588235295</v>
      </c>
      <c r="L62" s="765">
        <f>(D62/F62)/G62</f>
        <v>0</v>
      </c>
      <c r="M62" s="751" t="s">
        <v>37</v>
      </c>
      <c r="N62" s="751">
        <f t="shared" si="22"/>
        <v>105.91058823529413</v>
      </c>
      <c r="O62" s="751">
        <f>L62*I62</f>
        <v>0</v>
      </c>
    </row>
    <row r="63" spans="1:15" ht="15" x14ac:dyDescent="0.2">
      <c r="A63" s="750" t="s">
        <v>12</v>
      </c>
      <c r="B63" s="750" t="s">
        <v>13</v>
      </c>
      <c r="C63" s="751" t="s">
        <v>14</v>
      </c>
      <c r="D63" s="752">
        <v>0</v>
      </c>
      <c r="E63" s="753">
        <v>1604.7058823529412</v>
      </c>
      <c r="F63" s="750">
        <v>0.9</v>
      </c>
      <c r="G63" s="754">
        <v>1000</v>
      </c>
      <c r="H63" s="754" t="s">
        <v>15</v>
      </c>
      <c r="I63" s="754">
        <v>3</v>
      </c>
      <c r="J63" s="754">
        <f t="shared" si="20"/>
        <v>3</v>
      </c>
      <c r="K63" s="764">
        <f t="shared" si="23"/>
        <v>1.7830065359477123</v>
      </c>
      <c r="L63" s="765">
        <f t="shared" si="21"/>
        <v>0</v>
      </c>
      <c r="M63" s="751" t="s">
        <v>15</v>
      </c>
      <c r="N63" s="751">
        <f t="shared" si="22"/>
        <v>5.3490196078431369</v>
      </c>
      <c r="O63" s="751">
        <f>L63*I63</f>
        <v>0</v>
      </c>
    </row>
    <row r="64" spans="1:15" ht="15" x14ac:dyDescent="0.2">
      <c r="A64" s="750" t="s">
        <v>64</v>
      </c>
      <c r="B64" s="750" t="s">
        <v>13</v>
      </c>
      <c r="C64" s="751" t="s">
        <v>14</v>
      </c>
      <c r="D64" s="752">
        <v>323.30238726790458</v>
      </c>
      <c r="E64" s="753">
        <v>480.52920680928048</v>
      </c>
      <c r="F64" s="750">
        <v>0.65</v>
      </c>
      <c r="G64" s="754">
        <v>905</v>
      </c>
      <c r="H64" s="754" t="s">
        <v>729</v>
      </c>
      <c r="I64" s="754">
        <v>3.5</v>
      </c>
      <c r="J64" s="754">
        <v>3.5</v>
      </c>
      <c r="K64" s="764">
        <f>(E64/F64)/G64</f>
        <v>0.816879229595037</v>
      </c>
      <c r="L64" s="765">
        <f t="shared" si="21"/>
        <v>0.54960031834747913</v>
      </c>
      <c r="M64" s="751" t="s">
        <v>42</v>
      </c>
      <c r="N64" s="751">
        <f t="shared" si="22"/>
        <v>2.8590773035826293</v>
      </c>
      <c r="O64" s="751">
        <f>L64*I64</f>
        <v>1.9236011142161771</v>
      </c>
    </row>
    <row r="65" spans="1:15" ht="14.25" customHeight="1" x14ac:dyDescent="0.2">
      <c r="A65" s="750" t="s">
        <v>735</v>
      </c>
      <c r="B65" s="750" t="s">
        <v>13</v>
      </c>
      <c r="C65" s="751" t="s">
        <v>14</v>
      </c>
      <c r="D65" s="752">
        <v>0</v>
      </c>
      <c r="E65" s="753">
        <v>30.796610169491526</v>
      </c>
      <c r="F65" s="750">
        <v>0.74</v>
      </c>
      <c r="G65" s="754">
        <v>100</v>
      </c>
      <c r="H65" s="754" t="s">
        <v>734</v>
      </c>
      <c r="I65" s="754">
        <v>10</v>
      </c>
      <c r="J65" s="754">
        <f t="shared" si="20"/>
        <v>100</v>
      </c>
      <c r="K65" s="764">
        <f t="shared" si="23"/>
        <v>0.41617040769583141</v>
      </c>
      <c r="L65" s="765">
        <f t="shared" si="21"/>
        <v>0</v>
      </c>
      <c r="M65" s="751" t="s">
        <v>42</v>
      </c>
      <c r="N65" s="751">
        <f t="shared" si="22"/>
        <v>4.1617040769583138</v>
      </c>
      <c r="O65" s="751">
        <v>0</v>
      </c>
    </row>
    <row r="66" spans="1:15" ht="14.25" customHeight="1" x14ac:dyDescent="0.2"/>
    <row r="67" spans="1:15" ht="14.25" customHeight="1" x14ac:dyDescent="0.2"/>
    <row r="68" spans="1:15" ht="14.25" customHeight="1" x14ac:dyDescent="0.2"/>
    <row r="69" spans="1:15" ht="14.25" customHeight="1" x14ac:dyDescent="0.2"/>
    <row r="71" spans="1:15" ht="15" x14ac:dyDescent="0.2">
      <c r="A71" s="723"/>
      <c r="B71" s="723"/>
      <c r="C71" s="698"/>
      <c r="D71" s="721"/>
      <c r="E71" s="722"/>
      <c r="F71" s="723"/>
      <c r="G71" s="177"/>
      <c r="H71" s="177"/>
      <c r="I71" s="177"/>
      <c r="J71" s="177"/>
      <c r="K71" s="758"/>
      <c r="L71" s="1759"/>
      <c r="M71" s="698"/>
      <c r="N71" s="698"/>
      <c r="O71" s="698"/>
    </row>
    <row r="72" spans="1:15" ht="15" x14ac:dyDescent="0.2">
      <c r="A72" s="723"/>
      <c r="B72" s="723"/>
      <c r="C72" s="698"/>
      <c r="D72" s="721"/>
      <c r="E72" s="722"/>
      <c r="F72" s="723"/>
      <c r="G72" s="177"/>
      <c r="H72" s="177"/>
      <c r="I72" s="177"/>
      <c r="J72" s="177"/>
      <c r="K72" s="758"/>
      <c r="L72" s="1759"/>
      <c r="M72" s="698"/>
      <c r="N72" s="698"/>
      <c r="O72" s="698"/>
    </row>
    <row r="73" spans="1:15" ht="15" x14ac:dyDescent="0.2">
      <c r="A73" s="723"/>
      <c r="B73" s="723"/>
      <c r="C73" s="698"/>
      <c r="D73" s="721"/>
      <c r="E73" s="722"/>
      <c r="F73" s="723"/>
      <c r="G73" s="177"/>
      <c r="H73" s="177"/>
      <c r="I73" s="177"/>
      <c r="J73" s="177"/>
      <c r="K73" s="758"/>
      <c r="L73" s="1759"/>
      <c r="M73" s="698"/>
      <c r="N73" s="698"/>
      <c r="O73" s="698"/>
    </row>
    <row r="74" spans="1:15" ht="15" x14ac:dyDescent="0.2">
      <c r="A74" s="723"/>
      <c r="B74" s="723"/>
      <c r="C74" s="698"/>
      <c r="D74" s="721"/>
      <c r="E74" s="722"/>
      <c r="F74" s="723"/>
      <c r="G74" s="177"/>
      <c r="H74" s="177"/>
      <c r="I74" s="177"/>
      <c r="J74" s="177"/>
      <c r="K74" s="758"/>
      <c r="L74" s="1759"/>
      <c r="M74" s="698"/>
      <c r="N74" s="698"/>
      <c r="O74" s="698"/>
    </row>
    <row r="75" spans="1:15" ht="15" x14ac:dyDescent="0.2">
      <c r="A75" s="723"/>
      <c r="B75" s="723"/>
      <c r="C75" s="698"/>
      <c r="D75" s="721"/>
      <c r="E75" s="722"/>
      <c r="F75" s="723"/>
      <c r="G75" s="177"/>
      <c r="H75" s="177"/>
      <c r="I75" s="177"/>
      <c r="J75" s="177"/>
      <c r="K75" s="758"/>
      <c r="L75" s="1759"/>
      <c r="M75" s="698"/>
      <c r="N75" s="698"/>
      <c r="O75" s="698"/>
    </row>
    <row r="76" spans="1:15" ht="15" x14ac:dyDescent="0.2">
      <c r="A76" s="723"/>
      <c r="B76" s="723"/>
      <c r="C76" s="698"/>
      <c r="D76" s="721"/>
      <c r="E76" s="722"/>
      <c r="F76" s="723"/>
      <c r="G76" s="177"/>
      <c r="H76" s="177"/>
      <c r="I76" s="177"/>
      <c r="J76" s="177"/>
      <c r="K76" s="758"/>
      <c r="L76" s="1759"/>
      <c r="M76" s="698"/>
      <c r="N76" s="698"/>
      <c r="O76" s="698"/>
    </row>
    <row r="77" spans="1:15" ht="15" x14ac:dyDescent="0.2">
      <c r="A77" s="723"/>
      <c r="B77" s="723"/>
      <c r="C77" s="698"/>
      <c r="D77" s="721"/>
      <c r="E77" s="722"/>
      <c r="F77" s="723"/>
      <c r="G77" s="177"/>
      <c r="H77" s="177"/>
      <c r="I77" s="177"/>
      <c r="J77" s="177"/>
      <c r="K77" s="758"/>
      <c r="L77" s="1759"/>
      <c r="M77" s="698"/>
      <c r="N77" s="698"/>
      <c r="O77" s="698"/>
    </row>
    <row r="78" spans="1:15" ht="15" x14ac:dyDescent="0.2">
      <c r="A78" s="723"/>
      <c r="B78" s="723"/>
      <c r="C78" s="698"/>
      <c r="D78" s="721"/>
      <c r="E78" s="722"/>
      <c r="F78" s="723"/>
      <c r="G78" s="177"/>
      <c r="H78" s="177"/>
      <c r="I78" s="177"/>
      <c r="J78" s="177"/>
      <c r="K78" s="758"/>
      <c r="L78" s="1759"/>
      <c r="M78" s="698"/>
      <c r="N78" s="698"/>
      <c r="O78" s="698"/>
    </row>
    <row r="79" spans="1:15" ht="15" x14ac:dyDescent="0.2">
      <c r="A79" s="723"/>
      <c r="B79" s="723"/>
      <c r="C79" s="698"/>
      <c r="D79" s="721"/>
      <c r="E79" s="722"/>
      <c r="F79" s="723"/>
      <c r="G79" s="177"/>
      <c r="H79" s="177"/>
      <c r="I79" s="177"/>
      <c r="J79" s="177"/>
      <c r="K79" s="758"/>
      <c r="L79" s="1759"/>
      <c r="M79" s="698"/>
      <c r="N79" s="698"/>
      <c r="O79" s="698"/>
    </row>
    <row r="80" spans="1:15" ht="15" x14ac:dyDescent="0.2">
      <c r="A80" s="723"/>
      <c r="B80" s="723"/>
      <c r="C80" s="698"/>
      <c r="D80" s="721"/>
      <c r="E80" s="722"/>
      <c r="F80" s="723"/>
      <c r="G80" s="177"/>
      <c r="H80" s="177"/>
      <c r="I80" s="177"/>
      <c r="J80" s="177"/>
      <c r="K80" s="758"/>
      <c r="L80" s="1759"/>
      <c r="M80" s="698"/>
      <c r="N80" s="698"/>
      <c r="O80" s="698"/>
    </row>
    <row r="81" spans="1:15" ht="15" x14ac:dyDescent="0.2">
      <c r="A81" s="723"/>
      <c r="B81" s="723"/>
      <c r="C81" s="698"/>
      <c r="D81" s="721"/>
      <c r="E81" s="722"/>
      <c r="F81" s="723"/>
      <c r="G81" s="177"/>
      <c r="H81" s="177"/>
      <c r="I81" s="177"/>
      <c r="J81" s="177"/>
      <c r="K81" s="758"/>
      <c r="L81" s="1759"/>
      <c r="M81" s="698"/>
      <c r="N81" s="698"/>
      <c r="O81" s="698"/>
    </row>
    <row r="82" spans="1:15" ht="15" x14ac:dyDescent="0.2">
      <c r="A82" s="723"/>
      <c r="B82" s="723"/>
      <c r="C82" s="698"/>
      <c r="D82" s="721"/>
      <c r="E82" s="722"/>
      <c r="F82" s="723"/>
      <c r="G82" s="177"/>
      <c r="H82" s="177"/>
      <c r="I82" s="177"/>
      <c r="J82" s="177"/>
      <c r="K82" s="758"/>
      <c r="L82" s="1759"/>
      <c r="M82" s="698"/>
      <c r="N82" s="698"/>
      <c r="O82" s="698"/>
    </row>
    <row r="83" spans="1:15" ht="15" x14ac:dyDescent="0.2">
      <c r="A83" s="723"/>
      <c r="B83" s="723"/>
      <c r="C83" s="698"/>
      <c r="D83" s="721"/>
      <c r="E83" s="722"/>
      <c r="F83" s="723"/>
      <c r="G83" s="177"/>
      <c r="H83" s="177"/>
      <c r="I83" s="177"/>
      <c r="J83" s="177"/>
      <c r="K83" s="758"/>
      <c r="L83" s="1759"/>
      <c r="M83" s="698"/>
      <c r="N83" s="698"/>
      <c r="O83" s="698"/>
    </row>
    <row r="84" spans="1:15" ht="15" x14ac:dyDescent="0.2">
      <c r="A84" s="723"/>
      <c r="B84" s="723"/>
      <c r="C84" s="698"/>
      <c r="D84" s="721"/>
      <c r="E84" s="722"/>
      <c r="F84" s="723"/>
      <c r="G84" s="177"/>
      <c r="H84" s="177"/>
      <c r="I84" s="177"/>
      <c r="J84" s="177"/>
      <c r="K84" s="758"/>
      <c r="L84" s="1759"/>
      <c r="M84" s="698"/>
      <c r="N84" s="698"/>
      <c r="O84" s="698"/>
    </row>
    <row r="85" spans="1:15" ht="15" x14ac:dyDescent="0.2">
      <c r="A85" s="723"/>
      <c r="B85" s="723"/>
      <c r="C85" s="698"/>
      <c r="D85" s="721"/>
      <c r="E85" s="722"/>
      <c r="F85" s="723"/>
      <c r="G85" s="177"/>
      <c r="H85" s="177"/>
      <c r="I85" s="177"/>
      <c r="J85" s="177"/>
      <c r="K85" s="758"/>
      <c r="L85" s="1759"/>
      <c r="M85" s="698"/>
      <c r="N85" s="698"/>
      <c r="O85" s="698"/>
    </row>
    <row r="86" spans="1:15" ht="15" x14ac:dyDescent="0.2">
      <c r="A86" s="723"/>
      <c r="B86" s="723"/>
      <c r="C86" s="698"/>
      <c r="D86" s="721"/>
      <c r="E86" s="722"/>
      <c r="F86" s="723"/>
      <c r="G86" s="177"/>
      <c r="H86" s="177"/>
      <c r="I86" s="177"/>
      <c r="J86" s="177"/>
      <c r="K86" s="758"/>
      <c r="L86" s="1759"/>
      <c r="M86" s="698"/>
      <c r="N86" s="698"/>
      <c r="O86" s="698"/>
    </row>
  </sheetData>
  <autoFilter ref="A1:O67" xr:uid="{00000000-0001-0000-0100-000000000000}"/>
  <pageMargins left="0.7" right="0.7" top="0.75" bottom="0.75" header="0.511811023622047" footer="0.511811023622047"/>
  <pageSetup paperSize="9"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C1817-4C8E-40E7-BB41-794611404842}">
  <sheetPr codeName="Sheet22"/>
  <dimension ref="A1:O259"/>
  <sheetViews>
    <sheetView zoomScale="55" zoomScaleNormal="55" workbookViewId="0">
      <selection activeCell="D43" sqref="D43"/>
    </sheetView>
  </sheetViews>
  <sheetFormatPr defaultRowHeight="15" x14ac:dyDescent="0.25"/>
  <cols>
    <col min="1" max="4" width="16.25" customWidth="1"/>
    <col min="5" max="5" width="3.625" style="543" customWidth="1"/>
    <col min="6" max="6" width="17.375" style="543" customWidth="1"/>
    <col min="7" max="7" width="34" style="473" bestFit="1" customWidth="1"/>
    <col min="8" max="8" width="18.125" style="837" bestFit="1" customWidth="1"/>
    <col min="9" max="9" width="18.5" style="838" bestFit="1" customWidth="1"/>
    <col min="12" max="12" width="31.375" customWidth="1"/>
    <col min="13" max="13" width="25" customWidth="1"/>
    <col min="14" max="14" width="19.375" customWidth="1"/>
  </cols>
  <sheetData>
    <row r="1" spans="1:14" ht="20.25" x14ac:dyDescent="0.3">
      <c r="A1" t="s">
        <v>864</v>
      </c>
      <c r="B1" t="s">
        <v>241</v>
      </c>
      <c r="C1" t="s">
        <v>484</v>
      </c>
      <c r="D1" t="s">
        <v>919</v>
      </c>
      <c r="G1" s="1754" t="s">
        <v>1012</v>
      </c>
      <c r="L1" s="1754" t="s">
        <v>1013</v>
      </c>
      <c r="M1" s="1754" t="s">
        <v>1014</v>
      </c>
    </row>
    <row r="2" spans="1:14" x14ac:dyDescent="0.25">
      <c r="G2" s="831" t="s">
        <v>697</v>
      </c>
      <c r="H2" s="473"/>
      <c r="I2" s="473"/>
      <c r="L2" s="831" t="s">
        <v>697</v>
      </c>
      <c r="M2" s="473"/>
      <c r="N2" s="473"/>
    </row>
    <row r="3" spans="1:14" x14ac:dyDescent="0.25">
      <c r="A3" t="s">
        <v>866</v>
      </c>
      <c r="B3" t="s">
        <v>12</v>
      </c>
      <c r="C3">
        <v>2792.6561085972862</v>
      </c>
      <c r="D3" t="s">
        <v>16</v>
      </c>
      <c r="E3" s="543">
        <v>1</v>
      </c>
      <c r="G3" s="832" t="s">
        <v>241</v>
      </c>
      <c r="H3" s="832" t="s">
        <v>484</v>
      </c>
      <c r="I3" s="832" t="s">
        <v>864</v>
      </c>
      <c r="L3" s="832" t="s">
        <v>241</v>
      </c>
      <c r="M3" s="832" t="s">
        <v>484</v>
      </c>
      <c r="N3" s="832" t="s">
        <v>864</v>
      </c>
    </row>
    <row r="4" spans="1:14" ht="14.25" x14ac:dyDescent="0.2">
      <c r="A4" t="s">
        <v>870</v>
      </c>
      <c r="B4" t="s">
        <v>17</v>
      </c>
      <c r="C4">
        <v>4899.3966817496248</v>
      </c>
      <c r="D4" t="s">
        <v>16</v>
      </c>
      <c r="E4" s="543">
        <v>1</v>
      </c>
      <c r="F4" s="543">
        <v>1</v>
      </c>
      <c r="G4" s="446" t="s">
        <v>12</v>
      </c>
      <c r="H4" s="448">
        <f t="shared" ref="H4:H16" si="0">SUMIFS($C:$C,$B:$B,G4,$E:$E,F4,$A:$A,I4)</f>
        <v>3245.4772624434404</v>
      </c>
      <c r="I4" s="448" t="s">
        <v>866</v>
      </c>
      <c r="L4" s="446" t="s">
        <v>12</v>
      </c>
      <c r="M4" s="448">
        <v>3314.1459276018122</v>
      </c>
      <c r="N4" s="448" t="s">
        <v>866</v>
      </c>
    </row>
    <row r="5" spans="1:14" x14ac:dyDescent="0.25">
      <c r="A5" t="s">
        <v>867</v>
      </c>
      <c r="B5" t="s">
        <v>54</v>
      </c>
      <c r="C5">
        <v>264.56742081447976</v>
      </c>
      <c r="D5" t="s">
        <v>16</v>
      </c>
      <c r="E5" s="543">
        <v>1</v>
      </c>
      <c r="F5" s="543">
        <v>1</v>
      </c>
      <c r="G5" s="446" t="s">
        <v>17</v>
      </c>
      <c r="H5" s="448">
        <f t="shared" si="0"/>
        <v>14391.283321425741</v>
      </c>
      <c r="I5" s="833" t="s">
        <v>870</v>
      </c>
      <c r="L5" s="446" t="s">
        <v>17</v>
      </c>
      <c r="M5" s="448">
        <v>12110.18178931492</v>
      </c>
      <c r="N5" s="833" t="s">
        <v>870</v>
      </c>
    </row>
    <row r="6" spans="1:14" x14ac:dyDescent="0.25">
      <c r="A6" t="s">
        <v>868</v>
      </c>
      <c r="B6" t="s">
        <v>706</v>
      </c>
      <c r="C6">
        <v>440.94570135746625</v>
      </c>
      <c r="D6" t="s">
        <v>16</v>
      </c>
      <c r="E6" s="543">
        <v>1</v>
      </c>
      <c r="F6" s="543">
        <v>1</v>
      </c>
      <c r="G6" s="446" t="s">
        <v>54</v>
      </c>
      <c r="H6" s="448">
        <f t="shared" si="0"/>
        <v>716.4203619909506</v>
      </c>
      <c r="I6" s="833" t="s">
        <v>867</v>
      </c>
      <c r="J6" s="1"/>
      <c r="L6" s="446" t="s">
        <v>54</v>
      </c>
      <c r="M6" s="448">
        <v>733.32398190045296</v>
      </c>
      <c r="N6" s="833" t="s">
        <v>867</v>
      </c>
    </row>
    <row r="7" spans="1:14" x14ac:dyDescent="0.25">
      <c r="A7" t="s">
        <v>869</v>
      </c>
      <c r="B7" t="s">
        <v>60</v>
      </c>
      <c r="C7">
        <v>73.490950226244379</v>
      </c>
      <c r="D7" t="s">
        <v>16</v>
      </c>
      <c r="E7" s="543">
        <v>1</v>
      </c>
      <c r="F7" s="543">
        <v>1</v>
      </c>
      <c r="G7" s="834" t="s">
        <v>706</v>
      </c>
      <c r="H7" s="448">
        <f t="shared" si="0"/>
        <v>2643.192841152656</v>
      </c>
      <c r="I7" s="835" t="s">
        <v>868</v>
      </c>
      <c r="L7" s="834" t="s">
        <v>706</v>
      </c>
      <c r="M7" s="448">
        <f>2354.91725648964+175</f>
        <v>2529.9172564896398</v>
      </c>
      <c r="N7" s="835" t="s">
        <v>868</v>
      </c>
    </row>
    <row r="8" spans="1:14" x14ac:dyDescent="0.25">
      <c r="F8" s="543">
        <v>1</v>
      </c>
      <c r="G8" s="834" t="s">
        <v>60</v>
      </c>
      <c r="H8" s="448">
        <f t="shared" si="0"/>
        <v>73.490950226244379</v>
      </c>
      <c r="I8" s="835" t="s">
        <v>869</v>
      </c>
      <c r="L8" s="834" t="s">
        <v>60</v>
      </c>
      <c r="M8" s="448">
        <v>71.723981900452515</v>
      </c>
      <c r="N8" s="835" t="s">
        <v>869</v>
      </c>
    </row>
    <row r="9" spans="1:14" x14ac:dyDescent="0.25">
      <c r="F9" s="543">
        <v>1</v>
      </c>
      <c r="G9" s="834" t="s">
        <v>32</v>
      </c>
      <c r="H9" s="448">
        <f t="shared" si="0"/>
        <v>1833.375339366517</v>
      </c>
      <c r="I9" s="835" t="s">
        <v>880</v>
      </c>
      <c r="L9" s="834" t="s">
        <v>32</v>
      </c>
      <c r="M9" s="448">
        <v>2027.7699849170449</v>
      </c>
      <c r="N9" s="835" t="s">
        <v>880</v>
      </c>
    </row>
    <row r="10" spans="1:14" x14ac:dyDescent="0.25">
      <c r="A10" t="s">
        <v>868</v>
      </c>
      <c r="B10" t="s">
        <v>706</v>
      </c>
      <c r="C10">
        <v>493.81000000000006</v>
      </c>
      <c r="D10" t="s">
        <v>22</v>
      </c>
      <c r="E10" s="543">
        <v>1</v>
      </c>
      <c r="F10" s="543">
        <v>1</v>
      </c>
      <c r="G10" s="834" t="s">
        <v>12</v>
      </c>
      <c r="H10" s="448">
        <f t="shared" si="0"/>
        <v>6342.6565849011695</v>
      </c>
      <c r="I10" s="833" t="s">
        <v>881</v>
      </c>
      <c r="L10" s="834" t="s">
        <v>12</v>
      </c>
      <c r="M10" s="448">
        <v>5299.7208859252214</v>
      </c>
      <c r="N10" s="833" t="s">
        <v>869</v>
      </c>
    </row>
    <row r="11" spans="1:14" x14ac:dyDescent="0.25">
      <c r="F11" s="543">
        <v>1</v>
      </c>
      <c r="G11" s="834" t="s">
        <v>28</v>
      </c>
      <c r="H11" s="448">
        <f t="shared" si="0"/>
        <v>927.73303167420852</v>
      </c>
      <c r="I11" s="833" t="s">
        <v>880</v>
      </c>
      <c r="L11" s="834" t="s">
        <v>28</v>
      </c>
      <c r="M11" s="448">
        <v>850.50075414781304</v>
      </c>
      <c r="N11" s="833" t="s">
        <v>880</v>
      </c>
    </row>
    <row r="12" spans="1:14" x14ac:dyDescent="0.25">
      <c r="A12" t="s">
        <v>866</v>
      </c>
      <c r="B12" t="s">
        <v>12</v>
      </c>
      <c r="C12">
        <v>452.82115384615423</v>
      </c>
      <c r="D12" t="s">
        <v>20</v>
      </c>
      <c r="E12" s="543">
        <v>1</v>
      </c>
      <c r="F12" s="543">
        <v>1</v>
      </c>
      <c r="G12" s="834" t="s">
        <v>951</v>
      </c>
      <c r="H12" s="836">
        <f t="shared" si="0"/>
        <v>1780</v>
      </c>
      <c r="I12" s="833" t="s">
        <v>888</v>
      </c>
      <c r="L12" s="834" t="s">
        <v>21</v>
      </c>
      <c r="M12" s="836">
        <v>16002</v>
      </c>
      <c r="N12" s="833" t="s">
        <v>890</v>
      </c>
    </row>
    <row r="13" spans="1:14" x14ac:dyDescent="0.25">
      <c r="A13" t="s">
        <v>880</v>
      </c>
      <c r="B13" t="s">
        <v>32</v>
      </c>
      <c r="C13">
        <v>905.64230769230846</v>
      </c>
      <c r="D13" t="s">
        <v>20</v>
      </c>
      <c r="E13" s="543">
        <v>1</v>
      </c>
      <c r="F13" s="543">
        <v>1</v>
      </c>
      <c r="G13" s="834" t="s">
        <v>807</v>
      </c>
      <c r="H13" s="836">
        <f t="shared" si="0"/>
        <v>4450</v>
      </c>
      <c r="I13" s="833" t="s">
        <v>882</v>
      </c>
      <c r="L13" s="834" t="s">
        <v>12</v>
      </c>
      <c r="M13" s="448">
        <v>875</v>
      </c>
      <c r="N13" s="835" t="s">
        <v>869</v>
      </c>
    </row>
    <row r="14" spans="1:14" x14ac:dyDescent="0.25">
      <c r="A14" t="s">
        <v>867</v>
      </c>
      <c r="B14" t="s">
        <v>54</v>
      </c>
      <c r="C14">
        <v>158.88461538461553</v>
      </c>
      <c r="D14" t="s">
        <v>20</v>
      </c>
      <c r="E14" s="543">
        <v>1</v>
      </c>
      <c r="F14" s="543">
        <v>1</v>
      </c>
      <c r="G14" s="834" t="s">
        <v>824</v>
      </c>
      <c r="H14" s="836">
        <f t="shared" si="0"/>
        <v>1780</v>
      </c>
      <c r="I14" s="833" t="s">
        <v>888</v>
      </c>
      <c r="L14" s="446" t="s">
        <v>17</v>
      </c>
      <c r="M14" s="448">
        <v>875</v>
      </c>
      <c r="N14" s="833" t="s">
        <v>869</v>
      </c>
    </row>
    <row r="15" spans="1:14" x14ac:dyDescent="0.25">
      <c r="A15" t="s">
        <v>868</v>
      </c>
      <c r="B15" t="s">
        <v>706</v>
      </c>
      <c r="C15">
        <v>158.88461538461553</v>
      </c>
      <c r="D15" t="s">
        <v>20</v>
      </c>
      <c r="E15" s="543">
        <v>1</v>
      </c>
      <c r="F15" s="543">
        <v>1</v>
      </c>
      <c r="G15" s="834" t="s">
        <v>21</v>
      </c>
      <c r="H15" s="836">
        <f t="shared" si="0"/>
        <v>13986</v>
      </c>
      <c r="I15" s="833" t="s">
        <v>890</v>
      </c>
      <c r="L15" s="834" t="s">
        <v>807</v>
      </c>
      <c r="M15" s="448">
        <v>405</v>
      </c>
      <c r="N15" s="833" t="s">
        <v>882</v>
      </c>
    </row>
    <row r="16" spans="1:14" x14ac:dyDescent="0.25">
      <c r="A16" t="s">
        <v>868</v>
      </c>
      <c r="B16" t="s">
        <v>706</v>
      </c>
      <c r="C16">
        <v>15.888461538461554</v>
      </c>
      <c r="D16" t="s">
        <v>20</v>
      </c>
      <c r="E16" s="543">
        <v>1</v>
      </c>
      <c r="F16" s="543">
        <v>1</v>
      </c>
      <c r="G16" s="834" t="s">
        <v>21</v>
      </c>
      <c r="H16" s="836">
        <f t="shared" si="0"/>
        <v>21490</v>
      </c>
      <c r="I16" s="833" t="s">
        <v>870</v>
      </c>
      <c r="L16" s="834" t="s">
        <v>951</v>
      </c>
      <c r="M16" s="836">
        <v>56.25</v>
      </c>
      <c r="N16" s="833" t="s">
        <v>920</v>
      </c>
    </row>
    <row r="18" spans="1:14" x14ac:dyDescent="0.25">
      <c r="A18" t="s">
        <v>881</v>
      </c>
      <c r="B18" t="s">
        <v>12</v>
      </c>
      <c r="C18">
        <v>3559.4574898785436</v>
      </c>
      <c r="D18" t="s">
        <v>24</v>
      </c>
      <c r="E18" s="543">
        <v>1</v>
      </c>
      <c r="G18" s="831" t="s">
        <v>698</v>
      </c>
      <c r="H18"/>
      <c r="I18"/>
    </row>
    <row r="19" spans="1:14" x14ac:dyDescent="0.25">
      <c r="A19" t="s">
        <v>870</v>
      </c>
      <c r="B19" t="s">
        <v>17</v>
      </c>
      <c r="C19">
        <v>9491.8866396761168</v>
      </c>
      <c r="D19" t="s">
        <v>24</v>
      </c>
      <c r="E19" s="543">
        <v>1</v>
      </c>
      <c r="G19" s="832" t="s">
        <v>241</v>
      </c>
      <c r="H19" s="832" t="s">
        <v>484</v>
      </c>
      <c r="I19" s="832" t="s">
        <v>864</v>
      </c>
    </row>
    <row r="20" spans="1:14" x14ac:dyDescent="0.25">
      <c r="A20" t="s">
        <v>868</v>
      </c>
      <c r="B20" t="s">
        <v>706</v>
      </c>
      <c r="C20">
        <v>830.54008097166013</v>
      </c>
      <c r="D20" t="s">
        <v>24</v>
      </c>
      <c r="E20" s="543">
        <v>1</v>
      </c>
      <c r="F20" s="543">
        <v>2</v>
      </c>
      <c r="G20" s="834" t="s">
        <v>12</v>
      </c>
      <c r="H20" s="836">
        <f t="shared" ref="H20:H37" si="1">SUMIFS($C:$C,$B:$B,G20,$E:$E,F20,$A:$A,I20)</f>
        <v>7899.8838056680179</v>
      </c>
      <c r="I20" s="833" t="s">
        <v>866</v>
      </c>
      <c r="L20" s="831" t="s">
        <v>697</v>
      </c>
    </row>
    <row r="21" spans="1:14" x14ac:dyDescent="0.25">
      <c r="F21" s="543">
        <v>2</v>
      </c>
      <c r="G21" s="834" t="s">
        <v>706</v>
      </c>
      <c r="H21" s="836">
        <f t="shared" si="1"/>
        <v>1945.5688697705807</v>
      </c>
      <c r="I21" s="833" t="s">
        <v>868</v>
      </c>
      <c r="L21" s="832" t="s">
        <v>241</v>
      </c>
      <c r="M21" s="832" t="s">
        <v>484</v>
      </c>
      <c r="N21" s="832" t="s">
        <v>864</v>
      </c>
    </row>
    <row r="22" spans="1:14" x14ac:dyDescent="0.25">
      <c r="A22" t="s">
        <v>881</v>
      </c>
      <c r="B22" t="s">
        <v>12</v>
      </c>
      <c r="C22">
        <v>2783.1990950226254</v>
      </c>
      <c r="D22" t="s">
        <v>27</v>
      </c>
      <c r="E22" s="543">
        <v>1</v>
      </c>
      <c r="F22" s="543">
        <v>2</v>
      </c>
      <c r="G22" s="834" t="s">
        <v>54</v>
      </c>
      <c r="H22" s="836">
        <f t="shared" si="1"/>
        <v>300.56538461538491</v>
      </c>
      <c r="I22" s="833" t="s">
        <v>867</v>
      </c>
      <c r="L22" s="446" t="s">
        <v>12</v>
      </c>
      <c r="M22" s="448">
        <v>3314.1459276018122</v>
      </c>
      <c r="N22" s="448" t="s">
        <v>866</v>
      </c>
    </row>
    <row r="23" spans="1:14" x14ac:dyDescent="0.25">
      <c r="A23" t="s">
        <v>880</v>
      </c>
      <c r="B23" t="s">
        <v>32</v>
      </c>
      <c r="C23">
        <v>927.73303167420852</v>
      </c>
      <c r="D23" t="s">
        <v>27</v>
      </c>
      <c r="E23" s="543">
        <v>1</v>
      </c>
      <c r="F23" s="543">
        <v>2</v>
      </c>
      <c r="G23" s="834" t="s">
        <v>34</v>
      </c>
      <c r="H23" s="836">
        <f t="shared" si="1"/>
        <v>11.94923076923078</v>
      </c>
      <c r="I23" s="833" t="s">
        <v>884</v>
      </c>
      <c r="L23" s="446" t="s">
        <v>17</v>
      </c>
      <c r="M23" s="448">
        <v>12110.18178931492</v>
      </c>
      <c r="N23" s="833" t="s">
        <v>870</v>
      </c>
    </row>
    <row r="24" spans="1:14" x14ac:dyDescent="0.25">
      <c r="A24" t="s">
        <v>880</v>
      </c>
      <c r="B24" t="s">
        <v>28</v>
      </c>
      <c r="C24">
        <v>927.73303167420852</v>
      </c>
      <c r="D24" t="s">
        <v>27</v>
      </c>
      <c r="E24" s="543">
        <v>1</v>
      </c>
      <c r="F24" s="543">
        <v>2</v>
      </c>
      <c r="G24" s="834" t="s">
        <v>32</v>
      </c>
      <c r="H24" s="836">
        <f t="shared" si="1"/>
        <v>1944.6634615384619</v>
      </c>
      <c r="I24" s="833" t="s">
        <v>880</v>
      </c>
      <c r="L24" s="446" t="s">
        <v>54</v>
      </c>
      <c r="M24" s="448">
        <v>733.32398190045296</v>
      </c>
      <c r="N24" s="833" t="s">
        <v>867</v>
      </c>
    </row>
    <row r="25" spans="1:14" x14ac:dyDescent="0.25">
      <c r="A25" t="s">
        <v>868</v>
      </c>
      <c r="B25" t="s">
        <v>706</v>
      </c>
      <c r="C25">
        <v>703.1239819004528</v>
      </c>
      <c r="D25" t="s">
        <v>27</v>
      </c>
      <c r="E25" s="543">
        <v>1</v>
      </c>
      <c r="F25" s="543">
        <v>2</v>
      </c>
      <c r="G25" s="834" t="s">
        <v>28</v>
      </c>
      <c r="H25" s="836">
        <f t="shared" si="1"/>
        <v>298.73076923076951</v>
      </c>
      <c r="I25" s="833" t="s">
        <v>880</v>
      </c>
      <c r="L25" s="834" t="s">
        <v>706</v>
      </c>
      <c r="M25" s="448">
        <f>2354.91725648964+175</f>
        <v>2529.9172564896398</v>
      </c>
      <c r="N25" s="835" t="s">
        <v>868</v>
      </c>
    </row>
    <row r="26" spans="1:14" x14ac:dyDescent="0.25">
      <c r="A26" t="s">
        <v>867</v>
      </c>
      <c r="B26" t="s">
        <v>54</v>
      </c>
      <c r="C26">
        <v>292.96832579185531</v>
      </c>
      <c r="D26" t="s">
        <v>27</v>
      </c>
      <c r="E26" s="543">
        <v>1</v>
      </c>
      <c r="F26" s="543">
        <v>2</v>
      </c>
      <c r="G26" s="834" t="s">
        <v>30</v>
      </c>
      <c r="H26" s="836">
        <f t="shared" si="1"/>
        <v>398.30769230769272</v>
      </c>
      <c r="I26" s="833" t="s">
        <v>880</v>
      </c>
      <c r="L26" s="834" t="s">
        <v>60</v>
      </c>
      <c r="M26" s="448">
        <v>71.723981900452515</v>
      </c>
      <c r="N26" s="835" t="s">
        <v>869</v>
      </c>
    </row>
    <row r="27" spans="1:14" x14ac:dyDescent="0.25">
      <c r="F27" s="543">
        <v>2</v>
      </c>
      <c r="G27" s="834" t="s">
        <v>12</v>
      </c>
      <c r="H27" s="836">
        <f t="shared" si="1"/>
        <v>14825.053445512822</v>
      </c>
      <c r="I27" s="833" t="s">
        <v>881</v>
      </c>
      <c r="L27" s="834" t="s">
        <v>32</v>
      </c>
      <c r="M27" s="448">
        <v>2027.7699849170449</v>
      </c>
      <c r="N27" s="835" t="s">
        <v>880</v>
      </c>
    </row>
    <row r="28" spans="1:14" x14ac:dyDescent="0.25">
      <c r="F28" s="543">
        <v>2</v>
      </c>
      <c r="G28" s="834" t="s">
        <v>75</v>
      </c>
      <c r="H28" s="836">
        <f t="shared" si="1"/>
        <v>59.193223684210565</v>
      </c>
      <c r="I28" s="833" t="s">
        <v>884</v>
      </c>
      <c r="L28" s="834" t="s">
        <v>12</v>
      </c>
      <c r="M28" s="448">
        <v>5299.7208859252214</v>
      </c>
      <c r="N28" s="833" t="s">
        <v>881</v>
      </c>
    </row>
    <row r="29" spans="1:14" x14ac:dyDescent="0.25">
      <c r="F29" s="543">
        <v>2</v>
      </c>
      <c r="G29" s="834" t="s">
        <v>60</v>
      </c>
      <c r="H29" s="836">
        <f t="shared" si="1"/>
        <v>362.98863022941998</v>
      </c>
      <c r="I29" s="833" t="s">
        <v>869</v>
      </c>
      <c r="L29" s="834" t="s">
        <v>28</v>
      </c>
      <c r="M29" s="448">
        <v>850.50075414781304</v>
      </c>
      <c r="N29" s="833" t="s">
        <v>880</v>
      </c>
    </row>
    <row r="30" spans="1:14" x14ac:dyDescent="0.25">
      <c r="A30" t="s">
        <v>888</v>
      </c>
      <c r="B30" t="s">
        <v>951</v>
      </c>
      <c r="C30">
        <v>1780</v>
      </c>
      <c r="D30" t="s">
        <v>827</v>
      </c>
      <c r="E30" s="543">
        <v>1</v>
      </c>
      <c r="F30" s="543">
        <v>2</v>
      </c>
      <c r="G30" s="834" t="s">
        <v>17</v>
      </c>
      <c r="H30" s="836">
        <f t="shared" si="1"/>
        <v>8814.6596153846185</v>
      </c>
      <c r="I30" s="833" t="s">
        <v>870</v>
      </c>
      <c r="L30" s="834" t="s">
        <v>807</v>
      </c>
      <c r="M30" s="836">
        <f>H12+M15</f>
        <v>2185</v>
      </c>
      <c r="N30" s="833" t="s">
        <v>882</v>
      </c>
    </row>
    <row r="31" spans="1:14" x14ac:dyDescent="0.25">
      <c r="A31" t="s">
        <v>882</v>
      </c>
      <c r="B31" t="s">
        <v>807</v>
      </c>
      <c r="C31">
        <v>4450</v>
      </c>
      <c r="D31" t="s">
        <v>827</v>
      </c>
      <c r="E31" s="543">
        <v>1</v>
      </c>
      <c r="F31" s="543">
        <v>2</v>
      </c>
      <c r="G31" s="834" t="s">
        <v>28</v>
      </c>
      <c r="H31" s="836">
        <f t="shared" si="1"/>
        <v>615.49450549450614</v>
      </c>
      <c r="I31" s="833" t="s">
        <v>890</v>
      </c>
      <c r="L31" s="834" t="s">
        <v>21</v>
      </c>
      <c r="M31" s="836">
        <v>16002</v>
      </c>
      <c r="N31" s="833" t="s">
        <v>890</v>
      </c>
    </row>
    <row r="32" spans="1:14" x14ac:dyDescent="0.25">
      <c r="A32" t="s">
        <v>888</v>
      </c>
      <c r="B32" t="s">
        <v>824</v>
      </c>
      <c r="C32">
        <v>1780</v>
      </c>
      <c r="D32" t="s">
        <v>827</v>
      </c>
      <c r="E32" s="543">
        <v>1</v>
      </c>
      <c r="F32" s="543">
        <v>2</v>
      </c>
      <c r="G32" s="834" t="s">
        <v>30</v>
      </c>
      <c r="H32" s="836">
        <f t="shared" si="1"/>
        <v>615.49450549450614</v>
      </c>
      <c r="I32" s="833" t="s">
        <v>890</v>
      </c>
      <c r="L32" s="834" t="s">
        <v>951</v>
      </c>
      <c r="M32" s="836">
        <v>2096.25</v>
      </c>
      <c r="N32" s="833" t="s">
        <v>920</v>
      </c>
    </row>
    <row r="33" spans="1:14" x14ac:dyDescent="0.25">
      <c r="F33" s="543">
        <v>2</v>
      </c>
      <c r="G33" s="834" t="s">
        <v>32</v>
      </c>
      <c r="H33" s="836">
        <f t="shared" si="1"/>
        <v>615.49450549450614</v>
      </c>
      <c r="I33" s="833" t="s">
        <v>890</v>
      </c>
    </row>
    <row r="34" spans="1:14" x14ac:dyDescent="0.25">
      <c r="A34" t="s">
        <v>890</v>
      </c>
      <c r="B34" t="s">
        <v>21</v>
      </c>
      <c r="C34">
        <v>13986</v>
      </c>
      <c r="D34" t="s">
        <v>668</v>
      </c>
      <c r="E34" s="543">
        <v>1</v>
      </c>
      <c r="F34" s="543">
        <v>2</v>
      </c>
      <c r="G34" s="834" t="s">
        <v>19</v>
      </c>
      <c r="H34" s="836">
        <f t="shared" si="1"/>
        <v>85</v>
      </c>
      <c r="I34" s="833" t="s">
        <v>925</v>
      </c>
    </row>
    <row r="35" spans="1:14" x14ac:dyDescent="0.25">
      <c r="A35" t="s">
        <v>870</v>
      </c>
      <c r="B35" t="s">
        <v>21</v>
      </c>
      <c r="C35">
        <v>21490</v>
      </c>
      <c r="D35" t="s">
        <v>35</v>
      </c>
      <c r="E35" s="543">
        <v>1</v>
      </c>
      <c r="F35" s="543">
        <v>2</v>
      </c>
      <c r="G35" s="834" t="s">
        <v>951</v>
      </c>
      <c r="H35" s="836">
        <f t="shared" si="1"/>
        <v>3180</v>
      </c>
      <c r="I35" s="833" t="s">
        <v>888</v>
      </c>
    </row>
    <row r="36" spans="1:14" x14ac:dyDescent="0.25">
      <c r="F36" s="543">
        <v>2</v>
      </c>
      <c r="G36" s="834" t="s">
        <v>807</v>
      </c>
      <c r="H36" s="836">
        <f t="shared" si="1"/>
        <v>7950</v>
      </c>
      <c r="I36" s="833" t="s">
        <v>882</v>
      </c>
    </row>
    <row r="37" spans="1:14" x14ac:dyDescent="0.25">
      <c r="A37" t="s">
        <v>866</v>
      </c>
      <c r="B37" t="s">
        <v>12</v>
      </c>
      <c r="C37">
        <v>2091.1153846153866</v>
      </c>
      <c r="D37" t="s">
        <v>43</v>
      </c>
      <c r="E37" s="543">
        <v>2</v>
      </c>
      <c r="F37" s="543">
        <v>2</v>
      </c>
      <c r="G37" s="834" t="s">
        <v>12</v>
      </c>
      <c r="H37" s="836">
        <f t="shared" si="1"/>
        <v>1570</v>
      </c>
      <c r="I37" s="833" t="s">
        <v>882</v>
      </c>
    </row>
    <row r="38" spans="1:14" x14ac:dyDescent="0.25">
      <c r="A38" t="s">
        <v>868</v>
      </c>
      <c r="B38" t="s">
        <v>706</v>
      </c>
      <c r="C38">
        <v>159.32307692307708</v>
      </c>
      <c r="D38" t="s">
        <v>43</v>
      </c>
      <c r="E38" s="543">
        <v>2</v>
      </c>
      <c r="L38" s="831" t="s">
        <v>698</v>
      </c>
    </row>
    <row r="39" spans="1:14" x14ac:dyDescent="0.25">
      <c r="A39" t="s">
        <v>867</v>
      </c>
      <c r="B39" t="s">
        <v>54</v>
      </c>
      <c r="C39">
        <v>79.661538461538541</v>
      </c>
      <c r="D39" t="s">
        <v>43</v>
      </c>
      <c r="E39" s="543">
        <v>2</v>
      </c>
      <c r="G39" s="831" t="s">
        <v>699</v>
      </c>
      <c r="H39"/>
      <c r="I39"/>
      <c r="L39" s="832" t="s">
        <v>241</v>
      </c>
      <c r="M39" s="832" t="s">
        <v>484</v>
      </c>
      <c r="N39" s="832" t="s">
        <v>864</v>
      </c>
    </row>
    <row r="40" spans="1:14" x14ac:dyDescent="0.25">
      <c r="A40" t="s">
        <v>884</v>
      </c>
      <c r="B40" t="s">
        <v>34</v>
      </c>
      <c r="C40">
        <v>11.94923076923078</v>
      </c>
      <c r="D40" t="s">
        <v>43</v>
      </c>
      <c r="E40" s="543">
        <v>2</v>
      </c>
      <c r="G40" s="832" t="s">
        <v>241</v>
      </c>
      <c r="H40" s="832" t="s">
        <v>484</v>
      </c>
      <c r="I40" s="832" t="s">
        <v>864</v>
      </c>
      <c r="L40" s="446" t="s">
        <v>21</v>
      </c>
      <c r="M40" s="448">
        <v>22050</v>
      </c>
      <c r="N40" s="448" t="s">
        <v>870</v>
      </c>
    </row>
    <row r="41" spans="1:14" x14ac:dyDescent="0.25">
      <c r="A41" t="s">
        <v>880</v>
      </c>
      <c r="B41" t="s">
        <v>32</v>
      </c>
      <c r="C41">
        <v>697.03846153846223</v>
      </c>
      <c r="D41" t="s">
        <v>43</v>
      </c>
      <c r="E41" s="543">
        <v>2</v>
      </c>
      <c r="F41" s="543">
        <v>3</v>
      </c>
      <c r="G41" s="834" t="s">
        <v>706</v>
      </c>
      <c r="H41" s="836">
        <f t="shared" ref="H41:H55" si="2">SUMIFS($C:$C,$B:$B,G41,$E:$E,F41,$A:$A,I41)</f>
        <v>1595.1833951926872</v>
      </c>
      <c r="I41" s="833" t="s">
        <v>868</v>
      </c>
      <c r="L41" s="446" t="s">
        <v>12</v>
      </c>
      <c r="M41" s="448">
        <v>7567.9202429149809</v>
      </c>
      <c r="N41" s="448" t="s">
        <v>866</v>
      </c>
    </row>
    <row r="42" spans="1:14" x14ac:dyDescent="0.25">
      <c r="A42" t="s">
        <v>880</v>
      </c>
      <c r="B42" t="s">
        <v>28</v>
      </c>
      <c r="C42">
        <v>298.73076923076951</v>
      </c>
      <c r="D42" t="s">
        <v>43</v>
      </c>
      <c r="E42" s="543">
        <v>2</v>
      </c>
      <c r="F42" s="543">
        <v>3</v>
      </c>
      <c r="G42" s="834" t="s">
        <v>54</v>
      </c>
      <c r="H42" s="836">
        <f t="shared" si="2"/>
        <v>360.3347129061417</v>
      </c>
      <c r="I42" s="833" t="s">
        <v>867</v>
      </c>
      <c r="L42" s="446" t="s">
        <v>706</v>
      </c>
      <c r="M42" s="448">
        <v>1916.1183473105848</v>
      </c>
      <c r="N42" s="833" t="s">
        <v>868</v>
      </c>
    </row>
    <row r="43" spans="1:14" x14ac:dyDescent="0.25">
      <c r="A43" t="s">
        <v>880</v>
      </c>
      <c r="B43" t="s">
        <v>30</v>
      </c>
      <c r="C43">
        <v>398.30769230769272</v>
      </c>
      <c r="D43" t="s">
        <v>43</v>
      </c>
      <c r="E43" s="543">
        <v>2</v>
      </c>
      <c r="F43" s="543">
        <v>3</v>
      </c>
      <c r="G43" s="834" t="s">
        <v>12</v>
      </c>
      <c r="H43" s="836">
        <f t="shared" si="2"/>
        <v>6668.8065137243739</v>
      </c>
      <c r="I43" s="833" t="s">
        <v>866</v>
      </c>
      <c r="L43" s="446" t="s">
        <v>54</v>
      </c>
      <c r="M43" s="448">
        <v>298.69615384615417</v>
      </c>
      <c r="N43" s="833" t="s">
        <v>867</v>
      </c>
    </row>
    <row r="44" spans="1:14" x14ac:dyDescent="0.25">
      <c r="A44" t="s">
        <v>866</v>
      </c>
      <c r="B44" t="s">
        <v>12</v>
      </c>
      <c r="C44">
        <v>272.16842105263163</v>
      </c>
      <c r="D44" t="s">
        <v>44</v>
      </c>
      <c r="E44" s="543">
        <v>2</v>
      </c>
      <c r="F44" s="543">
        <v>3</v>
      </c>
      <c r="G44" s="834" t="s">
        <v>17</v>
      </c>
      <c r="H44" s="836">
        <f t="shared" si="2"/>
        <v>16026.506067848879</v>
      </c>
      <c r="I44" s="833" t="s">
        <v>870</v>
      </c>
      <c r="L44" s="834" t="s">
        <v>34</v>
      </c>
      <c r="M44" s="448">
        <v>11.478461538461548</v>
      </c>
      <c r="N44" s="835" t="s">
        <v>884</v>
      </c>
    </row>
    <row r="45" spans="1:14" x14ac:dyDescent="0.25">
      <c r="A45" t="s">
        <v>868</v>
      </c>
      <c r="B45" t="s">
        <v>706</v>
      </c>
      <c r="C45">
        <v>272.16842105263163</v>
      </c>
      <c r="D45" t="s">
        <v>44</v>
      </c>
      <c r="E45" s="543">
        <v>2</v>
      </c>
      <c r="F45" s="543">
        <v>3</v>
      </c>
      <c r="G45" s="834" t="s">
        <v>34</v>
      </c>
      <c r="H45" s="836">
        <f t="shared" si="2"/>
        <v>118.80690737833601</v>
      </c>
      <c r="I45" s="833" t="s">
        <v>884</v>
      </c>
      <c r="L45" s="834" t="s">
        <v>32</v>
      </c>
      <c r="M45" s="448">
        <v>1721.8269230769238</v>
      </c>
      <c r="N45" s="835" t="s">
        <v>880</v>
      </c>
    </row>
    <row r="46" spans="1:14" x14ac:dyDescent="0.25">
      <c r="F46" s="543">
        <v>3</v>
      </c>
      <c r="G46" s="834" t="s">
        <v>60</v>
      </c>
      <c r="H46" s="836">
        <f t="shared" si="2"/>
        <v>79.204604918890666</v>
      </c>
      <c r="I46" s="833" t="s">
        <v>869</v>
      </c>
      <c r="L46" s="834" t="s">
        <v>28</v>
      </c>
      <c r="M46" s="448">
        <v>286.96153846153874</v>
      </c>
      <c r="N46" s="835" t="s">
        <v>880</v>
      </c>
    </row>
    <row r="47" spans="1:14" x14ac:dyDescent="0.25">
      <c r="A47" t="s">
        <v>866</v>
      </c>
      <c r="B47" t="s">
        <v>12</v>
      </c>
      <c r="C47">
        <v>5536.5999999999995</v>
      </c>
      <c r="D47" t="s">
        <v>782</v>
      </c>
      <c r="E47" s="543">
        <v>2</v>
      </c>
      <c r="F47" s="543">
        <v>3</v>
      </c>
      <c r="G47" s="834" t="s">
        <v>12</v>
      </c>
      <c r="H47" s="836">
        <f t="shared" si="2"/>
        <v>5512.5353376123712</v>
      </c>
      <c r="I47" s="833" t="s">
        <v>881</v>
      </c>
      <c r="L47" s="834" t="s">
        <v>30</v>
      </c>
      <c r="M47" s="448">
        <v>382.61538461538498</v>
      </c>
      <c r="N47" s="833" t="s">
        <v>880</v>
      </c>
    </row>
    <row r="48" spans="1:14" x14ac:dyDescent="0.25">
      <c r="A48" t="s">
        <v>868</v>
      </c>
      <c r="B48" t="s">
        <v>706</v>
      </c>
      <c r="C48">
        <v>466.24</v>
      </c>
      <c r="D48" t="s">
        <v>782</v>
      </c>
      <c r="E48" s="543">
        <v>2</v>
      </c>
      <c r="F48" s="543">
        <v>3</v>
      </c>
      <c r="G48" s="834" t="s">
        <v>28</v>
      </c>
      <c r="H48" s="836">
        <f t="shared" si="2"/>
        <v>403.66666666666663</v>
      </c>
      <c r="I48" s="833" t="s">
        <v>888</v>
      </c>
      <c r="L48" s="834" t="s">
        <v>12</v>
      </c>
      <c r="M48" s="448">
        <v>14013.782451923082</v>
      </c>
      <c r="N48" s="833" t="s">
        <v>881</v>
      </c>
    </row>
    <row r="49" spans="1:14" x14ac:dyDescent="0.25">
      <c r="F49" s="543">
        <v>3</v>
      </c>
      <c r="G49" s="834" t="s">
        <v>30</v>
      </c>
      <c r="H49" s="836">
        <f t="shared" si="2"/>
        <v>403.66666666666663</v>
      </c>
      <c r="I49" s="833" t="s">
        <v>888</v>
      </c>
      <c r="L49" s="834" t="s">
        <v>75</v>
      </c>
      <c r="M49" s="836">
        <v>64.378922064777385</v>
      </c>
      <c r="N49" s="833" t="s">
        <v>884</v>
      </c>
    </row>
    <row r="50" spans="1:14" x14ac:dyDescent="0.25">
      <c r="A50" t="s">
        <v>881</v>
      </c>
      <c r="B50" t="s">
        <v>12</v>
      </c>
      <c r="C50">
        <v>3500.1435897435908</v>
      </c>
      <c r="D50" t="s">
        <v>46</v>
      </c>
      <c r="E50" s="543">
        <v>2</v>
      </c>
      <c r="F50" s="543">
        <v>3</v>
      </c>
      <c r="G50" s="834" t="s">
        <v>32</v>
      </c>
      <c r="H50" s="836">
        <f t="shared" si="2"/>
        <v>403.66666666666663</v>
      </c>
      <c r="I50" s="833" t="s">
        <v>888</v>
      </c>
      <c r="L50" s="834" t="s">
        <v>60</v>
      </c>
      <c r="M50" s="836">
        <v>381.22621457489913</v>
      </c>
      <c r="N50" s="833" t="s">
        <v>869</v>
      </c>
    </row>
    <row r="51" spans="1:14" x14ac:dyDescent="0.25">
      <c r="A51" t="s">
        <v>868</v>
      </c>
      <c r="B51" t="s">
        <v>706</v>
      </c>
      <c r="C51">
        <v>250.01025641025649</v>
      </c>
      <c r="D51" t="s">
        <v>46</v>
      </c>
      <c r="E51" s="543">
        <v>2</v>
      </c>
      <c r="F51" s="543">
        <v>3</v>
      </c>
      <c r="G51" s="834" t="s">
        <v>21</v>
      </c>
      <c r="H51" s="836">
        <f t="shared" si="2"/>
        <v>2421.9999999999995</v>
      </c>
      <c r="I51" s="833" t="s">
        <v>889</v>
      </c>
      <c r="L51" s="834" t="s">
        <v>17</v>
      </c>
      <c r="M51" s="836">
        <v>8225.0031789638979</v>
      </c>
      <c r="N51" s="833" t="s">
        <v>870</v>
      </c>
    </row>
    <row r="52" spans="1:14" x14ac:dyDescent="0.25">
      <c r="A52" t="s">
        <v>884</v>
      </c>
      <c r="B52" t="s">
        <v>75</v>
      </c>
      <c r="C52">
        <v>31.58024291497977</v>
      </c>
      <c r="D52" t="s">
        <v>46</v>
      </c>
      <c r="E52" s="543">
        <v>2</v>
      </c>
      <c r="F52" s="543">
        <v>3</v>
      </c>
      <c r="G52" s="834" t="s">
        <v>735</v>
      </c>
      <c r="H52" s="836">
        <f t="shared" si="2"/>
        <v>19.342039175257732</v>
      </c>
      <c r="I52" s="833" t="s">
        <v>884</v>
      </c>
      <c r="L52" s="834" t="s">
        <v>28</v>
      </c>
      <c r="M52" s="836">
        <v>587.14285714285779</v>
      </c>
      <c r="N52" s="833" t="s">
        <v>890</v>
      </c>
    </row>
    <row r="53" spans="1:14" x14ac:dyDescent="0.25">
      <c r="A53" t="s">
        <v>869</v>
      </c>
      <c r="B53" t="s">
        <v>60</v>
      </c>
      <c r="C53">
        <v>105.2674763832659</v>
      </c>
      <c r="D53" t="s">
        <v>46</v>
      </c>
      <c r="E53" s="543">
        <v>2</v>
      </c>
      <c r="F53" s="543">
        <v>3</v>
      </c>
      <c r="G53" s="834" t="s">
        <v>12</v>
      </c>
      <c r="H53" s="836">
        <f t="shared" si="2"/>
        <v>2514.1600000000003</v>
      </c>
      <c r="I53" s="833" t="s">
        <v>869</v>
      </c>
      <c r="L53" s="834" t="s">
        <v>30</v>
      </c>
      <c r="M53" s="836">
        <v>587.14285714285779</v>
      </c>
      <c r="N53" s="833" t="s">
        <v>890</v>
      </c>
    </row>
    <row r="54" spans="1:14" x14ac:dyDescent="0.25">
      <c r="F54" s="543">
        <v>3</v>
      </c>
      <c r="G54" s="834" t="s">
        <v>951</v>
      </c>
      <c r="H54" s="836">
        <f t="shared" si="2"/>
        <v>2140</v>
      </c>
      <c r="I54" s="833" t="s">
        <v>888</v>
      </c>
      <c r="L54" s="834" t="s">
        <v>32</v>
      </c>
      <c r="M54" s="836">
        <v>587.14285714285779</v>
      </c>
      <c r="N54" s="833" t="s">
        <v>890</v>
      </c>
    </row>
    <row r="55" spans="1:14" x14ac:dyDescent="0.25">
      <c r="A55" t="s">
        <v>881</v>
      </c>
      <c r="B55" t="s">
        <v>12</v>
      </c>
      <c r="C55">
        <v>2360.9098557692332</v>
      </c>
      <c r="D55" t="s">
        <v>48</v>
      </c>
      <c r="E55" s="543">
        <v>2</v>
      </c>
      <c r="F55" s="543">
        <v>3</v>
      </c>
      <c r="G55" s="834" t="s">
        <v>807</v>
      </c>
      <c r="H55" s="836">
        <f t="shared" si="2"/>
        <v>5350</v>
      </c>
      <c r="I55" s="833" t="s">
        <v>882</v>
      </c>
      <c r="L55" s="834" t="s">
        <v>47</v>
      </c>
      <c r="M55" s="836">
        <v>1066.6666666666667</v>
      </c>
      <c r="N55" s="833" t="s">
        <v>922</v>
      </c>
    </row>
    <row r="56" spans="1:14" x14ac:dyDescent="0.25">
      <c r="A56" t="s">
        <v>868</v>
      </c>
      <c r="B56" t="s">
        <v>706</v>
      </c>
      <c r="C56">
        <v>349.76442307692344</v>
      </c>
      <c r="D56" t="s">
        <v>48</v>
      </c>
      <c r="E56" s="543">
        <v>2</v>
      </c>
      <c r="L56" s="834" t="s">
        <v>19</v>
      </c>
      <c r="M56" s="836">
        <v>1066.6666666666667</v>
      </c>
      <c r="N56" s="833" t="s">
        <v>922</v>
      </c>
    </row>
    <row r="57" spans="1:14" x14ac:dyDescent="0.25">
      <c r="A57" t="s">
        <v>867</v>
      </c>
      <c r="B57" t="s">
        <v>54</v>
      </c>
      <c r="C57">
        <v>220.90384615384639</v>
      </c>
      <c r="D57" t="s">
        <v>48</v>
      </c>
      <c r="E57" s="543">
        <v>2</v>
      </c>
      <c r="G57" s="831" t="s">
        <v>700</v>
      </c>
      <c r="H57"/>
      <c r="I57"/>
      <c r="L57" s="834" t="s">
        <v>951</v>
      </c>
      <c r="M57" s="836" t="e">
        <f>O66+#REF!+#REF!</f>
        <v>#REF!</v>
      </c>
      <c r="N57" s="833" t="s">
        <v>921</v>
      </c>
    </row>
    <row r="58" spans="1:14" x14ac:dyDescent="0.25">
      <c r="A58" t="s">
        <v>884</v>
      </c>
      <c r="B58" t="s">
        <v>75</v>
      </c>
      <c r="C58">
        <v>27.612980769230795</v>
      </c>
      <c r="D58" t="s">
        <v>48</v>
      </c>
      <c r="E58" s="543">
        <v>2</v>
      </c>
      <c r="G58" s="832" t="s">
        <v>241</v>
      </c>
      <c r="H58" s="832" t="s">
        <v>484</v>
      </c>
      <c r="I58" s="832" t="s">
        <v>864</v>
      </c>
      <c r="L58" s="834" t="s">
        <v>807</v>
      </c>
      <c r="M58" s="836" t="e">
        <f>O67+R101+#REF!</f>
        <v>#REF!</v>
      </c>
      <c r="N58" s="833" t="s">
        <v>888</v>
      </c>
    </row>
    <row r="59" spans="1:14" x14ac:dyDescent="0.25">
      <c r="A59" t="s">
        <v>869</v>
      </c>
      <c r="B59" t="s">
        <v>60</v>
      </c>
      <c r="C59">
        <v>257.7211538461541</v>
      </c>
      <c r="D59" t="s">
        <v>48</v>
      </c>
      <c r="E59" s="543">
        <v>2</v>
      </c>
      <c r="F59" s="543">
        <v>4</v>
      </c>
      <c r="G59" s="834" t="s">
        <v>706</v>
      </c>
      <c r="H59" s="836">
        <f t="shared" ref="H59:H77" si="3">SUMIFS($C:$C,$B:$B,G59,$E:$E,F59,$A:$A,I59)</f>
        <v>2009.013541426935</v>
      </c>
      <c r="I59" s="833" t="s">
        <v>868</v>
      </c>
      <c r="L59" s="834" t="s">
        <v>924</v>
      </c>
      <c r="M59" s="836">
        <v>700</v>
      </c>
      <c r="N59" s="833" t="s">
        <v>869</v>
      </c>
    </row>
    <row r="60" spans="1:14" x14ac:dyDescent="0.25">
      <c r="A60" t="s">
        <v>870</v>
      </c>
      <c r="B60" t="s">
        <v>17</v>
      </c>
      <c r="C60">
        <v>3497.6442307692337</v>
      </c>
      <c r="D60" t="s">
        <v>48</v>
      </c>
      <c r="E60" s="543">
        <v>2</v>
      </c>
      <c r="F60" s="543">
        <v>4</v>
      </c>
      <c r="G60" s="834" t="s">
        <v>12</v>
      </c>
      <c r="H60" s="836">
        <f t="shared" si="3"/>
        <v>1231.2377812663535</v>
      </c>
      <c r="I60" s="833" t="s">
        <v>866</v>
      </c>
      <c r="L60" s="834" t="s">
        <v>733</v>
      </c>
      <c r="M60" s="836">
        <v>73.5</v>
      </c>
      <c r="N60" s="833" t="s">
        <v>923</v>
      </c>
    </row>
    <row r="61" spans="1:14" x14ac:dyDescent="0.25">
      <c r="F61" s="543">
        <v>4</v>
      </c>
      <c r="G61" s="834" t="s">
        <v>733</v>
      </c>
      <c r="H61" s="836">
        <f t="shared" si="3"/>
        <v>2471.6713975290259</v>
      </c>
      <c r="I61" s="833" t="s">
        <v>888</v>
      </c>
      <c r="L61" s="834" t="s">
        <v>17</v>
      </c>
      <c r="M61" s="836">
        <v>175</v>
      </c>
      <c r="N61" s="833" t="s">
        <v>869</v>
      </c>
    </row>
    <row r="62" spans="1:14" x14ac:dyDescent="0.25">
      <c r="A62" t="s">
        <v>870</v>
      </c>
      <c r="B62" t="s">
        <v>17</v>
      </c>
      <c r="C62">
        <v>1324.615384615385</v>
      </c>
      <c r="D62" t="s">
        <v>51</v>
      </c>
      <c r="E62" s="543">
        <v>2</v>
      </c>
      <c r="F62" s="543">
        <v>4</v>
      </c>
      <c r="G62" s="834" t="s">
        <v>12</v>
      </c>
      <c r="H62" s="836">
        <f t="shared" si="3"/>
        <v>8665.1875279522756</v>
      </c>
      <c r="I62" s="833" t="s">
        <v>881</v>
      </c>
      <c r="L62" s="834" t="s">
        <v>12</v>
      </c>
      <c r="M62" s="836">
        <v>175</v>
      </c>
      <c r="N62" s="833" t="s">
        <v>869</v>
      </c>
    </row>
    <row r="63" spans="1:14" x14ac:dyDescent="0.25">
      <c r="A63" t="s">
        <v>868</v>
      </c>
      <c r="B63" t="s">
        <v>706</v>
      </c>
      <c r="C63">
        <v>231.80769230769235</v>
      </c>
      <c r="D63" t="s">
        <v>51</v>
      </c>
      <c r="E63" s="543">
        <v>2</v>
      </c>
      <c r="F63" s="543">
        <v>4</v>
      </c>
      <c r="G63" s="834" t="s">
        <v>19</v>
      </c>
      <c r="H63" s="836">
        <f t="shared" si="3"/>
        <v>3562.1771403737512</v>
      </c>
      <c r="I63" s="833" t="s">
        <v>886</v>
      </c>
    </row>
    <row r="64" spans="1:14" x14ac:dyDescent="0.25">
      <c r="F64" s="543">
        <v>4</v>
      </c>
      <c r="G64" s="834" t="s">
        <v>17</v>
      </c>
      <c r="H64" s="836">
        <f t="shared" si="3"/>
        <v>11359.993102135964</v>
      </c>
      <c r="I64" s="833" t="s">
        <v>870</v>
      </c>
    </row>
    <row r="65" spans="1:14" x14ac:dyDescent="0.25">
      <c r="A65" t="s">
        <v>890</v>
      </c>
      <c r="B65" t="s">
        <v>28</v>
      </c>
      <c r="C65">
        <v>615.49450549450614</v>
      </c>
      <c r="D65" t="s">
        <v>53</v>
      </c>
      <c r="E65" s="543">
        <v>2</v>
      </c>
      <c r="F65" s="543">
        <v>4</v>
      </c>
      <c r="G65" s="834" t="s">
        <v>54</v>
      </c>
      <c r="H65" s="836">
        <f t="shared" si="3"/>
        <v>316.93001165501187</v>
      </c>
      <c r="I65" s="833" t="s">
        <v>867</v>
      </c>
    </row>
    <row r="66" spans="1:14" x14ac:dyDescent="0.25">
      <c r="A66" t="s">
        <v>890</v>
      </c>
      <c r="B66" t="s">
        <v>30</v>
      </c>
      <c r="C66">
        <v>615.49450549450614</v>
      </c>
      <c r="D66" t="s">
        <v>53</v>
      </c>
      <c r="E66" s="543">
        <v>2</v>
      </c>
      <c r="F66" s="543">
        <v>4</v>
      </c>
      <c r="G66" s="834" t="s">
        <v>12</v>
      </c>
      <c r="H66" s="836">
        <f t="shared" si="3"/>
        <v>1781.5408163265304</v>
      </c>
      <c r="I66" s="833" t="s">
        <v>869</v>
      </c>
      <c r="L66" s="831" t="s">
        <v>699</v>
      </c>
    </row>
    <row r="67" spans="1:14" x14ac:dyDescent="0.25">
      <c r="A67" t="s">
        <v>890</v>
      </c>
      <c r="B67" t="s">
        <v>32</v>
      </c>
      <c r="C67">
        <v>615.49450549450614</v>
      </c>
      <c r="D67" t="s">
        <v>53</v>
      </c>
      <c r="E67" s="543">
        <v>2</v>
      </c>
      <c r="F67" s="543">
        <v>4</v>
      </c>
      <c r="G67" s="834" t="s">
        <v>471</v>
      </c>
      <c r="H67" s="836">
        <f t="shared" si="3"/>
        <v>1994.0000000000002</v>
      </c>
      <c r="I67" s="833" t="s">
        <v>887</v>
      </c>
      <c r="L67" s="832" t="s">
        <v>241</v>
      </c>
      <c r="M67" s="832" t="s">
        <v>484</v>
      </c>
      <c r="N67" s="832" t="s">
        <v>864</v>
      </c>
    </row>
    <row r="68" spans="1:14" x14ac:dyDescent="0.25">
      <c r="F68" s="543">
        <v>4</v>
      </c>
      <c r="G68" s="834" t="s">
        <v>17</v>
      </c>
      <c r="H68" s="836">
        <f t="shared" si="3"/>
        <v>1737</v>
      </c>
      <c r="I68" s="833" t="s">
        <v>885</v>
      </c>
      <c r="L68" s="446" t="s">
        <v>706</v>
      </c>
      <c r="M68" s="448">
        <v>1582.315374701948</v>
      </c>
      <c r="N68" s="448" t="s">
        <v>868</v>
      </c>
    </row>
    <row r="69" spans="1:14" x14ac:dyDescent="0.25">
      <c r="A69" t="s">
        <v>925</v>
      </c>
      <c r="B69" t="s">
        <v>19</v>
      </c>
      <c r="C69">
        <v>85</v>
      </c>
      <c r="D69" t="s">
        <v>879</v>
      </c>
      <c r="E69" s="543">
        <v>2</v>
      </c>
      <c r="F69" s="543">
        <v>4</v>
      </c>
      <c r="G69" s="834" t="s">
        <v>21</v>
      </c>
      <c r="H69" s="836">
        <f t="shared" si="3"/>
        <v>2936.7076062895962</v>
      </c>
      <c r="I69" s="833" t="s">
        <v>869</v>
      </c>
      <c r="L69" s="446" t="s">
        <v>54</v>
      </c>
      <c r="M69" s="448">
        <v>382.16983016983045</v>
      </c>
      <c r="N69" s="448" t="s">
        <v>867</v>
      </c>
    </row>
    <row r="70" spans="1:14" x14ac:dyDescent="0.25">
      <c r="F70" s="543">
        <v>4</v>
      </c>
      <c r="G70" s="834" t="s">
        <v>706</v>
      </c>
      <c r="H70" s="836">
        <f t="shared" si="3"/>
        <v>311.29644921552438</v>
      </c>
      <c r="I70" s="833" t="s">
        <v>1005</v>
      </c>
      <c r="L70" s="446" t="s">
        <v>12</v>
      </c>
      <c r="M70" s="448">
        <v>6701.0120962370984</v>
      </c>
      <c r="N70" s="448" t="s">
        <v>866</v>
      </c>
    </row>
    <row r="71" spans="1:14" x14ac:dyDescent="0.25">
      <c r="A71" t="s">
        <v>888</v>
      </c>
      <c r="B71" t="s">
        <v>951</v>
      </c>
      <c r="C71">
        <v>1610</v>
      </c>
      <c r="D71" t="s">
        <v>835</v>
      </c>
      <c r="E71" s="543">
        <v>2</v>
      </c>
      <c r="F71" s="543">
        <v>4</v>
      </c>
      <c r="G71" s="834" t="s">
        <v>855</v>
      </c>
      <c r="H71" s="836">
        <f t="shared" si="3"/>
        <v>3112.9644921552444</v>
      </c>
      <c r="I71" s="833" t="s">
        <v>1006</v>
      </c>
      <c r="L71" s="446" t="s">
        <v>17</v>
      </c>
      <c r="M71" s="448">
        <v>16055.768391683521</v>
      </c>
      <c r="N71" s="448" t="s">
        <v>870</v>
      </c>
    </row>
    <row r="72" spans="1:14" x14ac:dyDescent="0.25">
      <c r="A72" t="s">
        <v>882</v>
      </c>
      <c r="B72" t="s">
        <v>807</v>
      </c>
      <c r="C72">
        <v>4025</v>
      </c>
      <c r="D72" t="s">
        <v>835</v>
      </c>
      <c r="E72" s="543">
        <v>2</v>
      </c>
      <c r="F72" s="543">
        <v>4</v>
      </c>
      <c r="G72" s="834" t="s">
        <v>19</v>
      </c>
      <c r="H72" s="836">
        <f t="shared" si="3"/>
        <v>2334.7233691164329</v>
      </c>
      <c r="I72" s="833" t="s">
        <v>1007</v>
      </c>
      <c r="L72" s="446" t="s">
        <v>34</v>
      </c>
      <c r="M72" s="448">
        <v>124.50549450549457</v>
      </c>
      <c r="N72" s="448" t="s">
        <v>884</v>
      </c>
    </row>
    <row r="73" spans="1:14" x14ac:dyDescent="0.25">
      <c r="F73" s="543">
        <v>4</v>
      </c>
      <c r="G73" s="834" t="s">
        <v>12</v>
      </c>
      <c r="H73" s="836">
        <f t="shared" si="3"/>
        <v>1556.4822460776222</v>
      </c>
      <c r="I73" s="833" t="s">
        <v>1008</v>
      </c>
      <c r="L73" s="446" t="s">
        <v>60</v>
      </c>
      <c r="M73" s="448">
        <v>83.00366300366305</v>
      </c>
      <c r="N73" s="448" t="s">
        <v>869</v>
      </c>
    </row>
    <row r="74" spans="1:14" x14ac:dyDescent="0.25">
      <c r="A74" t="s">
        <v>888</v>
      </c>
      <c r="B74" t="s">
        <v>951</v>
      </c>
      <c r="C74">
        <v>1570</v>
      </c>
      <c r="D74" t="s">
        <v>836</v>
      </c>
      <c r="E74" s="543">
        <v>2</v>
      </c>
      <c r="F74" s="543">
        <v>4</v>
      </c>
      <c r="G74" s="834" t="s">
        <v>19</v>
      </c>
      <c r="H74" s="836">
        <f t="shared" si="3"/>
        <v>177.3</v>
      </c>
      <c r="I74" s="833" t="s">
        <v>882</v>
      </c>
      <c r="L74" s="446" t="s">
        <v>12</v>
      </c>
      <c r="M74" s="448">
        <v>5222.8159293237113</v>
      </c>
      <c r="N74" s="448" t="s">
        <v>881</v>
      </c>
    </row>
    <row r="75" spans="1:14" x14ac:dyDescent="0.25">
      <c r="A75" t="s">
        <v>882</v>
      </c>
      <c r="B75" t="s">
        <v>12</v>
      </c>
      <c r="C75">
        <v>1570</v>
      </c>
      <c r="D75" t="s">
        <v>836</v>
      </c>
      <c r="E75" s="543">
        <v>2</v>
      </c>
      <c r="F75" s="543">
        <v>4</v>
      </c>
      <c r="G75" s="834" t="s">
        <v>28</v>
      </c>
      <c r="H75" s="836">
        <f t="shared" si="3"/>
        <v>88.65</v>
      </c>
      <c r="I75" s="833" t="s">
        <v>880</v>
      </c>
      <c r="L75" s="446" t="s">
        <v>28</v>
      </c>
      <c r="M75" s="448">
        <v>392</v>
      </c>
      <c r="N75" s="448" t="s">
        <v>888</v>
      </c>
    </row>
    <row r="76" spans="1:14" x14ac:dyDescent="0.25">
      <c r="A76" t="s">
        <v>882</v>
      </c>
      <c r="B76" t="s">
        <v>807</v>
      </c>
      <c r="C76">
        <v>3925</v>
      </c>
      <c r="D76" t="s">
        <v>836</v>
      </c>
      <c r="E76" s="543">
        <v>2</v>
      </c>
      <c r="F76" s="543">
        <v>4</v>
      </c>
      <c r="G76" s="834" t="s">
        <v>30</v>
      </c>
      <c r="H76" s="836">
        <f t="shared" si="3"/>
        <v>88.65</v>
      </c>
      <c r="I76" s="833" t="s">
        <v>880</v>
      </c>
      <c r="L76" s="446" t="s">
        <v>30</v>
      </c>
      <c r="M76" s="448">
        <v>392</v>
      </c>
      <c r="N76" s="448" t="s">
        <v>888</v>
      </c>
    </row>
    <row r="77" spans="1:14" x14ac:dyDescent="0.25">
      <c r="F77" s="543">
        <v>4</v>
      </c>
      <c r="G77" s="834" t="s">
        <v>32</v>
      </c>
      <c r="H77" s="836">
        <f t="shared" si="3"/>
        <v>88.65</v>
      </c>
      <c r="I77" s="833" t="s">
        <v>880</v>
      </c>
      <c r="L77" s="446" t="s">
        <v>32</v>
      </c>
      <c r="M77" s="448">
        <v>392</v>
      </c>
      <c r="N77" s="448" t="s">
        <v>888</v>
      </c>
    </row>
    <row r="78" spans="1:14" x14ac:dyDescent="0.25">
      <c r="A78" t="s">
        <v>881</v>
      </c>
      <c r="B78" t="s">
        <v>12</v>
      </c>
      <c r="C78">
        <v>6653.9999999999991</v>
      </c>
      <c r="D78" t="s">
        <v>56</v>
      </c>
      <c r="E78" s="543">
        <v>2</v>
      </c>
      <c r="L78" s="446" t="s">
        <v>21</v>
      </c>
      <c r="M78" s="448">
        <v>2352</v>
      </c>
      <c r="N78" s="448" t="s">
        <v>889</v>
      </c>
    </row>
    <row r="79" spans="1:14" x14ac:dyDescent="0.25">
      <c r="A79" t="s">
        <v>870</v>
      </c>
      <c r="B79" t="s">
        <v>17</v>
      </c>
      <c r="C79">
        <v>3992.3999999999996</v>
      </c>
      <c r="D79" t="s">
        <v>56</v>
      </c>
      <c r="E79" s="543">
        <v>2</v>
      </c>
      <c r="G79" s="831" t="s">
        <v>701</v>
      </c>
      <c r="H79"/>
      <c r="I79"/>
      <c r="L79" s="446" t="s">
        <v>735</v>
      </c>
      <c r="M79" s="448">
        <v>17.226191752577318</v>
      </c>
      <c r="N79" s="448" t="s">
        <v>884</v>
      </c>
    </row>
    <row r="80" spans="1:14" x14ac:dyDescent="0.25">
      <c r="A80" t="s">
        <v>868</v>
      </c>
      <c r="B80" t="s">
        <v>706</v>
      </c>
      <c r="C80">
        <v>216.25499999999997</v>
      </c>
      <c r="D80" t="s">
        <v>56</v>
      </c>
      <c r="E80" s="543">
        <v>2</v>
      </c>
      <c r="G80" s="832" t="s">
        <v>241</v>
      </c>
      <c r="H80" s="832" t="s">
        <v>484</v>
      </c>
      <c r="I80" s="832" t="s">
        <v>864</v>
      </c>
      <c r="L80" s="446" t="s">
        <v>12</v>
      </c>
      <c r="M80" s="448">
        <f>2569.468+56.25</f>
        <v>2625.7179999999998</v>
      </c>
      <c r="N80" s="448" t="s">
        <v>869</v>
      </c>
    </row>
    <row r="81" spans="1:15" x14ac:dyDescent="0.25">
      <c r="A81" t="s">
        <v>880</v>
      </c>
      <c r="B81" t="s">
        <v>32</v>
      </c>
      <c r="C81">
        <v>1247.6249999999998</v>
      </c>
      <c r="D81" t="s">
        <v>56</v>
      </c>
      <c r="E81" s="543">
        <v>2</v>
      </c>
      <c r="F81" s="543">
        <v>5</v>
      </c>
      <c r="G81" s="834" t="s">
        <v>706</v>
      </c>
      <c r="H81" s="836">
        <f t="shared" ref="H81:H95" si="4">SUMIFS($C:$C,$B:$B,G81,$E:$E,F81,$A:$A,I81)</f>
        <v>2404.5169960943181</v>
      </c>
      <c r="I81" s="833" t="s">
        <v>868</v>
      </c>
      <c r="L81" s="446" t="s">
        <v>807</v>
      </c>
      <c r="M81" s="448">
        <v>10363</v>
      </c>
      <c r="N81" s="448" t="s">
        <v>885</v>
      </c>
      <c r="O81" s="1775"/>
    </row>
    <row r="82" spans="1:15" x14ac:dyDescent="0.25">
      <c r="A82" t="s">
        <v>881</v>
      </c>
      <c r="B82" t="s">
        <v>12</v>
      </c>
      <c r="C82">
        <v>2310</v>
      </c>
      <c r="D82" t="s">
        <v>56</v>
      </c>
      <c r="E82" s="543">
        <v>2</v>
      </c>
      <c r="F82" s="543">
        <v>5</v>
      </c>
      <c r="G82" s="834" t="s">
        <v>54</v>
      </c>
      <c r="H82" s="836">
        <f t="shared" si="4"/>
        <v>517.19480773361977</v>
      </c>
      <c r="I82" s="833" t="s">
        <v>867</v>
      </c>
      <c r="L82" s="446" t="s">
        <v>926</v>
      </c>
      <c r="M82" s="448">
        <v>1156.8</v>
      </c>
      <c r="N82" s="448" t="s">
        <v>884</v>
      </c>
      <c r="O82" s="1775"/>
    </row>
    <row r="83" spans="1:15" x14ac:dyDescent="0.25">
      <c r="F83" s="543">
        <v>5</v>
      </c>
      <c r="G83" s="834" t="s">
        <v>12</v>
      </c>
      <c r="H83" s="836">
        <f t="shared" si="4"/>
        <v>6488.9611151315785</v>
      </c>
      <c r="I83" s="833" t="s">
        <v>866</v>
      </c>
      <c r="L83" s="446" t="s">
        <v>924</v>
      </c>
      <c r="M83" s="448">
        <v>225</v>
      </c>
      <c r="N83" s="448" t="s">
        <v>869</v>
      </c>
    </row>
    <row r="84" spans="1:15" x14ac:dyDescent="0.25">
      <c r="F84" s="543">
        <v>5</v>
      </c>
      <c r="G84" s="834" t="s">
        <v>17</v>
      </c>
      <c r="H84" s="836">
        <f t="shared" si="4"/>
        <v>18295.463260018179</v>
      </c>
      <c r="I84" s="833" t="s">
        <v>870</v>
      </c>
      <c r="L84" s="446" t="s">
        <v>733</v>
      </c>
      <c r="M84" s="448">
        <v>23.625</v>
      </c>
      <c r="N84" s="448" t="s">
        <v>923</v>
      </c>
      <c r="O84" s="1775"/>
    </row>
    <row r="85" spans="1:15" x14ac:dyDescent="0.25">
      <c r="A85" t="s">
        <v>868</v>
      </c>
      <c r="B85" t="s">
        <v>706</v>
      </c>
      <c r="C85">
        <v>75.198135198135276</v>
      </c>
      <c r="D85" t="s">
        <v>59</v>
      </c>
      <c r="E85" s="543">
        <v>3</v>
      </c>
      <c r="F85" s="543">
        <v>5</v>
      </c>
      <c r="G85" s="834" t="s">
        <v>60</v>
      </c>
      <c r="H85" s="836">
        <f t="shared" si="4"/>
        <v>306.3590065789474</v>
      </c>
      <c r="I85" s="833" t="s">
        <v>869</v>
      </c>
      <c r="L85" s="446" t="s">
        <v>17</v>
      </c>
      <c r="M85" s="448">
        <v>56.25</v>
      </c>
      <c r="N85" s="448" t="s">
        <v>869</v>
      </c>
      <c r="O85" s="1775"/>
    </row>
    <row r="86" spans="1:15" x14ac:dyDescent="0.25">
      <c r="A86" t="s">
        <v>867</v>
      </c>
      <c r="B86" t="s">
        <v>54</v>
      </c>
      <c r="C86">
        <v>75.198135198135276</v>
      </c>
      <c r="D86" t="s">
        <v>59</v>
      </c>
      <c r="E86" s="543">
        <v>3</v>
      </c>
      <c r="F86" s="543">
        <v>5</v>
      </c>
      <c r="G86" s="834" t="s">
        <v>68</v>
      </c>
      <c r="H86" s="836">
        <f t="shared" si="4"/>
        <v>109.31132812499997</v>
      </c>
      <c r="I86" s="833" t="s">
        <v>884</v>
      </c>
      <c r="L86" s="446" t="s">
        <v>17</v>
      </c>
      <c r="M86" s="448">
        <v>437.92</v>
      </c>
      <c r="N86" s="448" t="s">
        <v>927</v>
      </c>
    </row>
    <row r="87" spans="1:15" x14ac:dyDescent="0.25">
      <c r="A87" t="s">
        <v>866</v>
      </c>
      <c r="B87" t="s">
        <v>12</v>
      </c>
      <c r="C87">
        <v>357.19114219114255</v>
      </c>
      <c r="D87" t="s">
        <v>59</v>
      </c>
      <c r="E87" s="543">
        <v>3</v>
      </c>
      <c r="F87" s="543">
        <v>5</v>
      </c>
      <c r="G87" s="834" t="s">
        <v>12</v>
      </c>
      <c r="H87" s="836">
        <f t="shared" si="4"/>
        <v>10992.094308332655</v>
      </c>
      <c r="I87" s="833" t="s">
        <v>881</v>
      </c>
      <c r="L87" s="446" t="s">
        <v>32</v>
      </c>
      <c r="M87" s="448">
        <v>1055.1333333333334</v>
      </c>
      <c r="N87" s="448" t="s">
        <v>869</v>
      </c>
      <c r="O87" s="839"/>
    </row>
    <row r="88" spans="1:15" x14ac:dyDescent="0.25">
      <c r="F88" s="543">
        <v>5</v>
      </c>
      <c r="G88" s="834" t="s">
        <v>34</v>
      </c>
      <c r="H88" s="836">
        <f t="shared" si="4"/>
        <v>41.510204081632651</v>
      </c>
      <c r="I88" s="833" t="s">
        <v>884</v>
      </c>
    </row>
    <row r="89" spans="1:15" x14ac:dyDescent="0.25">
      <c r="A89" t="s">
        <v>866</v>
      </c>
      <c r="B89" t="s">
        <v>12</v>
      </c>
      <c r="C89">
        <v>3009.7749869178451</v>
      </c>
      <c r="D89" t="s">
        <v>65</v>
      </c>
      <c r="E89" s="543">
        <v>3</v>
      </c>
      <c r="F89" s="543">
        <v>5</v>
      </c>
      <c r="G89" s="834" t="s">
        <v>709</v>
      </c>
      <c r="H89" s="836">
        <f t="shared" si="4"/>
        <v>16.245825</v>
      </c>
      <c r="I89" s="833" t="s">
        <v>884</v>
      </c>
    </row>
    <row r="90" spans="1:15" x14ac:dyDescent="0.25">
      <c r="A90" t="s">
        <v>870</v>
      </c>
      <c r="B90" t="s">
        <v>17</v>
      </c>
      <c r="C90">
        <v>7128.4144427001602</v>
      </c>
      <c r="D90" t="s">
        <v>65</v>
      </c>
      <c r="E90" s="543">
        <v>3</v>
      </c>
      <c r="F90" s="543">
        <v>5</v>
      </c>
      <c r="G90" s="834" t="s">
        <v>17</v>
      </c>
      <c r="H90" s="836">
        <f t="shared" si="4"/>
        <v>8069.7605385694242</v>
      </c>
      <c r="I90" s="833" t="s">
        <v>883</v>
      </c>
      <c r="L90" s="831" t="s">
        <v>700</v>
      </c>
    </row>
    <row r="91" spans="1:15" x14ac:dyDescent="0.25">
      <c r="A91" t="s">
        <v>867</v>
      </c>
      <c r="B91" t="s">
        <v>54</v>
      </c>
      <c r="C91">
        <v>285.13657770800643</v>
      </c>
      <c r="D91" t="s">
        <v>65</v>
      </c>
      <c r="E91" s="543">
        <v>3</v>
      </c>
      <c r="F91" s="543">
        <v>5</v>
      </c>
      <c r="G91" s="834" t="s">
        <v>951</v>
      </c>
      <c r="H91" s="836">
        <f t="shared" si="4"/>
        <v>1640</v>
      </c>
      <c r="I91" s="833" t="s">
        <v>888</v>
      </c>
      <c r="L91" s="832" t="s">
        <v>241</v>
      </c>
      <c r="M91" s="832" t="s">
        <v>484</v>
      </c>
      <c r="N91" s="832" t="s">
        <v>864</v>
      </c>
    </row>
    <row r="92" spans="1:15" x14ac:dyDescent="0.25">
      <c r="A92" t="s">
        <v>868</v>
      </c>
      <c r="B92" t="s">
        <v>706</v>
      </c>
      <c r="C92">
        <v>285.13657770800643</v>
      </c>
      <c r="D92" t="s">
        <v>65</v>
      </c>
      <c r="E92" s="543">
        <v>3</v>
      </c>
      <c r="F92" s="543">
        <v>5</v>
      </c>
      <c r="G92" s="834" t="s">
        <v>32</v>
      </c>
      <c r="H92" s="836">
        <f t="shared" si="4"/>
        <v>710.31899999999996</v>
      </c>
      <c r="I92" s="833" t="s">
        <v>880</v>
      </c>
      <c r="L92" s="834" t="s">
        <v>706</v>
      </c>
      <c r="M92" s="836">
        <v>1967.0822465200986</v>
      </c>
      <c r="N92" s="833" t="s">
        <v>868</v>
      </c>
    </row>
    <row r="93" spans="1:15" x14ac:dyDescent="0.25">
      <c r="A93" t="s">
        <v>884</v>
      </c>
      <c r="B93" t="s">
        <v>34</v>
      </c>
      <c r="C93">
        <v>118.80690737833601</v>
      </c>
      <c r="D93" t="s">
        <v>65</v>
      </c>
      <c r="E93" s="543">
        <v>3</v>
      </c>
      <c r="F93" s="543">
        <v>5</v>
      </c>
      <c r="G93" s="834" t="s">
        <v>19</v>
      </c>
      <c r="H93" s="836">
        <f t="shared" si="4"/>
        <v>161.25</v>
      </c>
      <c r="I93" s="833" t="s">
        <v>882</v>
      </c>
      <c r="L93" s="834" t="s">
        <v>733</v>
      </c>
      <c r="M93" s="836">
        <v>2764.4744645185333</v>
      </c>
      <c r="N93" s="833" t="s">
        <v>888</v>
      </c>
    </row>
    <row r="94" spans="1:15" x14ac:dyDescent="0.25">
      <c r="A94" t="s">
        <v>869</v>
      </c>
      <c r="B94" t="s">
        <v>60</v>
      </c>
      <c r="C94">
        <v>79.204604918890666</v>
      </c>
      <c r="D94" t="s">
        <v>65</v>
      </c>
      <c r="E94" s="543">
        <v>3</v>
      </c>
      <c r="F94" s="543">
        <v>5</v>
      </c>
      <c r="G94" s="834" t="s">
        <v>28</v>
      </c>
      <c r="H94" s="836">
        <f t="shared" si="4"/>
        <v>475.005</v>
      </c>
      <c r="I94" s="833" t="s">
        <v>880</v>
      </c>
      <c r="L94" s="834" t="s">
        <v>12</v>
      </c>
      <c r="M94" s="836">
        <v>1110.3009419152281</v>
      </c>
      <c r="N94" s="833" t="s">
        <v>866</v>
      </c>
    </row>
    <row r="95" spans="1:15" x14ac:dyDescent="0.25">
      <c r="F95" s="543">
        <v>5</v>
      </c>
      <c r="G95" s="834" t="s">
        <v>30</v>
      </c>
      <c r="H95" s="836">
        <f t="shared" si="4"/>
        <v>475.005</v>
      </c>
      <c r="I95" s="833" t="s">
        <v>880</v>
      </c>
      <c r="L95" s="834" t="s">
        <v>12</v>
      </c>
      <c r="M95" s="836">
        <v>8595.5036050954714</v>
      </c>
      <c r="N95" s="833" t="s">
        <v>881</v>
      </c>
    </row>
    <row r="96" spans="1:15" x14ac:dyDescent="0.25">
      <c r="A96" t="s">
        <v>866</v>
      </c>
      <c r="B96" t="s">
        <v>12</v>
      </c>
      <c r="C96">
        <v>3301.840384615386</v>
      </c>
      <c r="D96" t="s">
        <v>67</v>
      </c>
      <c r="E96" s="543">
        <v>3</v>
      </c>
      <c r="L96" s="834" t="s">
        <v>19</v>
      </c>
      <c r="M96" s="836">
        <v>3656.068491960018</v>
      </c>
      <c r="N96" s="833" t="s">
        <v>886</v>
      </c>
    </row>
    <row r="97" spans="1:14" x14ac:dyDescent="0.25">
      <c r="A97" t="s">
        <v>868</v>
      </c>
      <c r="B97" t="s">
        <v>706</v>
      </c>
      <c r="C97">
        <v>412.73004807692325</v>
      </c>
      <c r="D97" t="s">
        <v>67</v>
      </c>
      <c r="E97" s="543">
        <v>3</v>
      </c>
      <c r="G97" s="831" t="s">
        <v>702</v>
      </c>
      <c r="H97"/>
      <c r="I97"/>
      <c r="L97" s="834" t="s">
        <v>17</v>
      </c>
      <c r="M97" s="836">
        <v>10895.90433376148</v>
      </c>
      <c r="N97" s="833" t="s">
        <v>870</v>
      </c>
    </row>
    <row r="98" spans="1:14" x14ac:dyDescent="0.25">
      <c r="A98" t="s">
        <v>870</v>
      </c>
      <c r="B98" t="s">
        <v>17</v>
      </c>
      <c r="C98">
        <v>3301.840384615386</v>
      </c>
      <c r="D98" t="s">
        <v>67</v>
      </c>
      <c r="E98" s="543">
        <v>3</v>
      </c>
      <c r="G98" s="832" t="s">
        <v>241</v>
      </c>
      <c r="H98" s="832" t="s">
        <v>484</v>
      </c>
      <c r="I98" s="832" t="s">
        <v>864</v>
      </c>
      <c r="L98" s="834" t="s">
        <v>54</v>
      </c>
      <c r="M98" s="836">
        <v>313.87703962703984</v>
      </c>
      <c r="N98" s="833" t="s">
        <v>867</v>
      </c>
    </row>
    <row r="99" spans="1:14" x14ac:dyDescent="0.25">
      <c r="F99" s="543">
        <v>6</v>
      </c>
      <c r="G99" s="834" t="s">
        <v>12</v>
      </c>
      <c r="H99" s="836">
        <f t="shared" ref="H99:H110" si="5">SUMIFS($C:$C,$B:$B,G99,$E:$E,F99,$A:$A,I99)</f>
        <v>1299.6866096866099</v>
      </c>
      <c r="I99" s="833" t="s">
        <v>866</v>
      </c>
      <c r="L99" s="834" t="s">
        <v>12</v>
      </c>
      <c r="M99" s="836">
        <v>1703.6020408163263</v>
      </c>
      <c r="N99" s="833" t="s">
        <v>869</v>
      </c>
    </row>
    <row r="100" spans="1:14" x14ac:dyDescent="0.25">
      <c r="A100" t="s">
        <v>881</v>
      </c>
      <c r="B100" t="s">
        <v>12</v>
      </c>
      <c r="C100">
        <v>869.74400000000003</v>
      </c>
      <c r="D100" t="s">
        <v>794</v>
      </c>
      <c r="E100" s="543">
        <v>3</v>
      </c>
      <c r="F100" s="543">
        <v>6</v>
      </c>
      <c r="G100" s="834" t="s">
        <v>706</v>
      </c>
      <c r="H100" s="836">
        <f t="shared" si="5"/>
        <v>1682.3033127675253</v>
      </c>
      <c r="I100" s="833" t="s">
        <v>868</v>
      </c>
      <c r="L100" s="834" t="s">
        <v>471</v>
      </c>
      <c r="M100" s="836">
        <v>2011</v>
      </c>
      <c r="N100" s="833" t="s">
        <v>887</v>
      </c>
    </row>
    <row r="101" spans="1:14" x14ac:dyDescent="0.25">
      <c r="A101" t="s">
        <v>881</v>
      </c>
      <c r="B101" t="s">
        <v>12</v>
      </c>
      <c r="C101">
        <v>605.49999999999989</v>
      </c>
      <c r="D101" t="s">
        <v>72</v>
      </c>
      <c r="E101" s="543">
        <v>3</v>
      </c>
      <c r="F101" s="543">
        <v>6</v>
      </c>
      <c r="G101" s="834" t="s">
        <v>17</v>
      </c>
      <c r="H101" s="836">
        <f t="shared" si="5"/>
        <v>20404.607535321826</v>
      </c>
      <c r="I101" s="833" t="s">
        <v>870</v>
      </c>
      <c r="L101" s="834" t="s">
        <v>17</v>
      </c>
      <c r="M101" s="836">
        <v>1990.0000000000002</v>
      </c>
      <c r="N101" s="833" t="s">
        <v>885</v>
      </c>
    </row>
    <row r="102" spans="1:14" x14ac:dyDescent="0.25">
      <c r="A102" t="s">
        <v>868</v>
      </c>
      <c r="B102" t="s">
        <v>706</v>
      </c>
      <c r="C102">
        <v>201.83333333333331</v>
      </c>
      <c r="D102" t="s">
        <v>72</v>
      </c>
      <c r="E102" s="543">
        <v>3</v>
      </c>
      <c r="F102" s="543">
        <v>6</v>
      </c>
      <c r="G102" s="834" t="s">
        <v>12</v>
      </c>
      <c r="H102" s="836">
        <f t="shared" si="5"/>
        <v>3157.14678178964</v>
      </c>
      <c r="I102" s="833" t="s">
        <v>880</v>
      </c>
      <c r="L102" s="834" t="s">
        <v>21</v>
      </c>
      <c r="M102" s="836">
        <v>3377.1267078848946</v>
      </c>
      <c r="N102" s="833" t="s">
        <v>869</v>
      </c>
    </row>
    <row r="103" spans="1:14" x14ac:dyDescent="0.25">
      <c r="A103" t="s">
        <v>870</v>
      </c>
      <c r="B103" t="s">
        <v>17</v>
      </c>
      <c r="C103">
        <v>1009.1666666666665</v>
      </c>
      <c r="D103" t="s">
        <v>72</v>
      </c>
      <c r="E103" s="543">
        <v>3</v>
      </c>
      <c r="F103" s="543">
        <v>6</v>
      </c>
      <c r="G103" s="834" t="s">
        <v>17</v>
      </c>
      <c r="H103" s="836">
        <f t="shared" si="5"/>
        <v>20404.607535321826</v>
      </c>
      <c r="I103" s="833" t="s">
        <v>945</v>
      </c>
      <c r="L103" s="834" t="s">
        <v>706</v>
      </c>
      <c r="M103" s="836">
        <v>313.37737407101577</v>
      </c>
      <c r="N103" s="833" t="s">
        <v>897</v>
      </c>
    </row>
    <row r="104" spans="1:14" x14ac:dyDescent="0.25">
      <c r="A104" t="s">
        <v>870</v>
      </c>
      <c r="B104" t="s">
        <v>17</v>
      </c>
      <c r="C104">
        <v>1009.1666666666665</v>
      </c>
      <c r="D104" t="s">
        <v>72</v>
      </c>
      <c r="E104" s="543">
        <v>3</v>
      </c>
      <c r="F104" s="543">
        <v>6</v>
      </c>
      <c r="G104" s="834" t="s">
        <v>54</v>
      </c>
      <c r="H104" s="836">
        <f t="shared" si="5"/>
        <v>889.57409733124041</v>
      </c>
      <c r="I104" s="833" t="s">
        <v>867</v>
      </c>
      <c r="L104" s="834" t="s">
        <v>855</v>
      </c>
      <c r="M104" s="836">
        <v>3133.7737407101577</v>
      </c>
      <c r="N104" s="833" t="s">
        <v>900</v>
      </c>
    </row>
    <row r="105" spans="1:14" x14ac:dyDescent="0.25">
      <c r="A105" t="s">
        <v>888</v>
      </c>
      <c r="B105" t="s">
        <v>28</v>
      </c>
      <c r="C105">
        <v>403.66666666666663</v>
      </c>
      <c r="D105" t="s">
        <v>72</v>
      </c>
      <c r="E105" s="543">
        <v>3</v>
      </c>
      <c r="F105" s="543">
        <v>6</v>
      </c>
      <c r="G105" s="834" t="s">
        <v>40</v>
      </c>
      <c r="H105" s="836">
        <f t="shared" si="5"/>
        <v>2029.0598290598302</v>
      </c>
      <c r="I105" s="833" t="s">
        <v>946</v>
      </c>
      <c r="L105" s="834" t="s">
        <v>19</v>
      </c>
      <c r="M105" s="836">
        <v>2350.3303055326182</v>
      </c>
      <c r="N105" s="833" t="s">
        <v>898</v>
      </c>
    </row>
    <row r="106" spans="1:14" x14ac:dyDescent="0.25">
      <c r="A106" t="s">
        <v>888</v>
      </c>
      <c r="B106" t="s">
        <v>30</v>
      </c>
      <c r="C106">
        <v>403.66666666666663</v>
      </c>
      <c r="D106" t="s">
        <v>72</v>
      </c>
      <c r="E106" s="543">
        <v>3</v>
      </c>
      <c r="F106" s="543">
        <v>6</v>
      </c>
      <c r="G106" s="834" t="s">
        <v>736</v>
      </c>
      <c r="H106" s="836">
        <f t="shared" si="5"/>
        <v>32.119309262166425</v>
      </c>
      <c r="I106" s="833" t="s">
        <v>947</v>
      </c>
      <c r="L106" s="834" t="s">
        <v>12</v>
      </c>
      <c r="M106" s="836">
        <v>1566.8868703550788</v>
      </c>
      <c r="N106" s="833" t="s">
        <v>899</v>
      </c>
    </row>
    <row r="107" spans="1:14" x14ac:dyDescent="0.25">
      <c r="A107" t="s">
        <v>888</v>
      </c>
      <c r="B107" t="s">
        <v>32</v>
      </c>
      <c r="C107">
        <v>403.66666666666663</v>
      </c>
      <c r="D107" t="s">
        <v>72</v>
      </c>
      <c r="E107" s="543">
        <v>3</v>
      </c>
      <c r="F107" s="543">
        <v>6</v>
      </c>
      <c r="G107" s="834" t="s">
        <v>60</v>
      </c>
      <c r="H107" s="836">
        <f t="shared" si="5"/>
        <v>64.23861852433285</v>
      </c>
      <c r="I107" s="833" t="s">
        <v>869</v>
      </c>
      <c r="L107" s="834" t="s">
        <v>807</v>
      </c>
      <c r="M107" s="836">
        <v>18662</v>
      </c>
      <c r="N107" s="833" t="s">
        <v>888</v>
      </c>
    </row>
    <row r="108" spans="1:14" x14ac:dyDescent="0.25">
      <c r="A108" t="s">
        <v>889</v>
      </c>
      <c r="B108" t="s">
        <v>21</v>
      </c>
      <c r="C108">
        <v>2421.9999999999995</v>
      </c>
      <c r="D108" t="s">
        <v>72</v>
      </c>
      <c r="E108" s="543">
        <v>3</v>
      </c>
      <c r="F108" s="543">
        <v>6</v>
      </c>
      <c r="G108" s="834" t="s">
        <v>12</v>
      </c>
      <c r="H108" s="836">
        <f t="shared" si="5"/>
        <v>2740.5248560962855</v>
      </c>
      <c r="I108" s="833" t="s">
        <v>881</v>
      </c>
      <c r="L108" s="834" t="s">
        <v>951</v>
      </c>
      <c r="M108" s="836">
        <v>2260</v>
      </c>
      <c r="N108" s="833" t="s">
        <v>929</v>
      </c>
    </row>
    <row r="109" spans="1:14" x14ac:dyDescent="0.25">
      <c r="F109" s="543">
        <v>6</v>
      </c>
      <c r="G109" s="834" t="s">
        <v>70</v>
      </c>
      <c r="H109" s="836">
        <f t="shared" si="5"/>
        <v>418.95000000000005</v>
      </c>
      <c r="I109" s="833" t="s">
        <v>869</v>
      </c>
      <c r="L109" s="834" t="s">
        <v>926</v>
      </c>
      <c r="M109" s="836">
        <v>1456</v>
      </c>
      <c r="N109" s="833" t="s">
        <v>884</v>
      </c>
    </row>
    <row r="110" spans="1:14" x14ac:dyDescent="0.25">
      <c r="A110" t="s">
        <v>881</v>
      </c>
      <c r="B110" t="s">
        <v>12</v>
      </c>
      <c r="C110">
        <v>3577.9179072000002</v>
      </c>
      <c r="D110" t="s">
        <v>73</v>
      </c>
      <c r="E110" s="543">
        <v>3</v>
      </c>
      <c r="F110" s="543">
        <v>6</v>
      </c>
      <c r="G110" s="834" t="s">
        <v>60</v>
      </c>
      <c r="H110" s="836">
        <f t="shared" si="5"/>
        <v>131.29999999999998</v>
      </c>
      <c r="I110" s="833" t="s">
        <v>1005</v>
      </c>
      <c r="L110" s="834" t="s">
        <v>19</v>
      </c>
      <c r="M110" s="836">
        <v>264.16551724137929</v>
      </c>
      <c r="N110" s="833" t="s">
        <v>930</v>
      </c>
    </row>
    <row r="111" spans="1:14" x14ac:dyDescent="0.25">
      <c r="A111" t="s">
        <v>870</v>
      </c>
      <c r="B111" t="s">
        <v>17</v>
      </c>
      <c r="C111">
        <v>3577.9179072000002</v>
      </c>
      <c r="D111" t="s">
        <v>73</v>
      </c>
      <c r="E111" s="543">
        <v>3</v>
      </c>
      <c r="L111" s="834" t="s">
        <v>924</v>
      </c>
      <c r="M111" s="836">
        <v>293.8262068965517</v>
      </c>
      <c r="N111" s="833" t="s">
        <v>869</v>
      </c>
    </row>
    <row r="112" spans="1:14" x14ac:dyDescent="0.25">
      <c r="A112" t="s">
        <v>868</v>
      </c>
      <c r="B112" t="s">
        <v>706</v>
      </c>
      <c r="C112">
        <v>215.01910500000002</v>
      </c>
      <c r="D112" t="s">
        <v>73</v>
      </c>
      <c r="E112" s="543">
        <v>3</v>
      </c>
      <c r="L112" s="834" t="s">
        <v>40</v>
      </c>
      <c r="M112" s="836">
        <v>527.75172413793109</v>
      </c>
      <c r="N112" s="833" t="s">
        <v>869</v>
      </c>
    </row>
    <row r="113" spans="1:14" x14ac:dyDescent="0.25">
      <c r="L113" s="834" t="s">
        <v>807</v>
      </c>
      <c r="M113" s="836">
        <v>3612</v>
      </c>
      <c r="N113" s="833" t="s">
        <v>931</v>
      </c>
    </row>
    <row r="114" spans="1:14" x14ac:dyDescent="0.25">
      <c r="A114" t="s">
        <v>881</v>
      </c>
      <c r="B114" t="s">
        <v>12</v>
      </c>
      <c r="C114">
        <v>459.37343041237114</v>
      </c>
      <c r="D114" t="s">
        <v>74</v>
      </c>
      <c r="E114" s="543">
        <v>3</v>
      </c>
      <c r="L114" s="834" t="s">
        <v>951</v>
      </c>
      <c r="M114" s="836">
        <v>630</v>
      </c>
      <c r="N114" s="833" t="s">
        <v>932</v>
      </c>
    </row>
    <row r="115" spans="1:14" x14ac:dyDescent="0.25">
      <c r="A115" t="s">
        <v>868</v>
      </c>
      <c r="B115" t="s">
        <v>706</v>
      </c>
      <c r="C115">
        <v>96.710195876288651</v>
      </c>
      <c r="D115" t="s">
        <v>74</v>
      </c>
      <c r="E115" s="543">
        <v>3</v>
      </c>
    </row>
    <row r="116" spans="1:14" x14ac:dyDescent="0.25">
      <c r="A116" t="s">
        <v>884</v>
      </c>
      <c r="B116" t="s">
        <v>735</v>
      </c>
      <c r="C116">
        <v>19.342039175257732</v>
      </c>
      <c r="D116" t="s">
        <v>74</v>
      </c>
      <c r="E116" s="543">
        <v>3</v>
      </c>
    </row>
    <row r="117" spans="1:14" x14ac:dyDescent="0.25">
      <c r="L117" s="831" t="s">
        <v>701</v>
      </c>
    </row>
    <row r="118" spans="1:14" x14ac:dyDescent="0.25">
      <c r="A118" t="s">
        <v>869</v>
      </c>
      <c r="B118" t="s">
        <v>12</v>
      </c>
      <c r="C118">
        <v>2514.1600000000003</v>
      </c>
      <c r="D118" t="s">
        <v>675</v>
      </c>
      <c r="E118" s="543">
        <v>3</v>
      </c>
      <c r="L118" s="832" t="s">
        <v>241</v>
      </c>
      <c r="M118" s="832" t="s">
        <v>484</v>
      </c>
      <c r="N118" s="832" t="s">
        <v>864</v>
      </c>
    </row>
    <row r="119" spans="1:14" x14ac:dyDescent="0.25">
      <c r="A119" t="s">
        <v>868</v>
      </c>
      <c r="B119" t="s">
        <v>706</v>
      </c>
      <c r="C119">
        <v>308.55599999999998</v>
      </c>
      <c r="D119" t="s">
        <v>675</v>
      </c>
      <c r="E119" s="543">
        <v>3</v>
      </c>
      <c r="L119" s="834" t="s">
        <v>32</v>
      </c>
      <c r="M119" s="836">
        <v>693.87899999999991</v>
      </c>
      <c r="N119" s="833" t="s">
        <v>880</v>
      </c>
    </row>
    <row r="120" spans="1:14" x14ac:dyDescent="0.25">
      <c r="L120" s="834" t="s">
        <v>19</v>
      </c>
      <c r="M120" s="836">
        <v>178.05</v>
      </c>
      <c r="N120" s="833" t="s">
        <v>882</v>
      </c>
    </row>
    <row r="121" spans="1:14" x14ac:dyDescent="0.25">
      <c r="L121" s="834" t="s">
        <v>28</v>
      </c>
      <c r="M121" s="836">
        <v>440.20500000000004</v>
      </c>
      <c r="N121" s="833" t="s">
        <v>880</v>
      </c>
    </row>
    <row r="122" spans="1:14" x14ac:dyDescent="0.25">
      <c r="L122" s="834" t="s">
        <v>30</v>
      </c>
      <c r="M122" s="836">
        <v>440.20500000000004</v>
      </c>
      <c r="N122" s="833" t="s">
        <v>880</v>
      </c>
    </row>
    <row r="123" spans="1:14" x14ac:dyDescent="0.25">
      <c r="L123" s="834" t="s">
        <v>12</v>
      </c>
      <c r="M123" s="836">
        <v>292.65000000000003</v>
      </c>
      <c r="N123" s="833" t="s">
        <v>881</v>
      </c>
    </row>
    <row r="124" spans="1:14" x14ac:dyDescent="0.25">
      <c r="A124" t="s">
        <v>888</v>
      </c>
      <c r="B124" t="s">
        <v>951</v>
      </c>
      <c r="C124">
        <v>2140</v>
      </c>
      <c r="D124" t="s">
        <v>843</v>
      </c>
      <c r="E124" s="543">
        <v>3</v>
      </c>
      <c r="L124" s="834" t="s">
        <v>706</v>
      </c>
      <c r="M124" s="836">
        <v>58.53</v>
      </c>
      <c r="N124" s="833" t="s">
        <v>868</v>
      </c>
    </row>
    <row r="125" spans="1:14" x14ac:dyDescent="0.25">
      <c r="A125" t="s">
        <v>882</v>
      </c>
      <c r="B125" t="s">
        <v>807</v>
      </c>
      <c r="C125">
        <v>5350</v>
      </c>
      <c r="D125" t="s">
        <v>843</v>
      </c>
      <c r="E125" s="543">
        <v>3</v>
      </c>
      <c r="L125" s="834" t="s">
        <v>706</v>
      </c>
      <c r="M125" s="836">
        <v>365.29914529914544</v>
      </c>
      <c r="N125" s="833" t="s">
        <v>13</v>
      </c>
    </row>
    <row r="126" spans="1:14" x14ac:dyDescent="0.25">
      <c r="L126" s="834" t="s">
        <v>807</v>
      </c>
      <c r="M126" s="836">
        <v>10105</v>
      </c>
      <c r="N126" s="833" t="s">
        <v>885</v>
      </c>
    </row>
    <row r="127" spans="1:14" x14ac:dyDescent="0.25">
      <c r="L127" s="834" t="s">
        <v>926</v>
      </c>
      <c r="M127" s="836">
        <v>1128</v>
      </c>
      <c r="N127" s="833" t="s">
        <v>884</v>
      </c>
    </row>
    <row r="128" spans="1:14" x14ac:dyDescent="0.25">
      <c r="A128" t="s">
        <v>868</v>
      </c>
      <c r="B128" t="s">
        <v>706</v>
      </c>
      <c r="C128">
        <v>132.74719999999996</v>
      </c>
      <c r="D128" t="s">
        <v>91</v>
      </c>
      <c r="E128" s="543">
        <v>4</v>
      </c>
      <c r="L128" s="834" t="s">
        <v>19</v>
      </c>
      <c r="M128" s="836">
        <v>430.84137931034485</v>
      </c>
      <c r="N128" s="833" t="s">
        <v>930</v>
      </c>
    </row>
    <row r="129" spans="1:14" x14ac:dyDescent="0.25">
      <c r="L129" s="834" t="s">
        <v>924</v>
      </c>
      <c r="M129" s="836">
        <v>479.2165517241379</v>
      </c>
      <c r="N129" s="833" t="s">
        <v>869</v>
      </c>
    </row>
    <row r="130" spans="1:14" x14ac:dyDescent="0.25">
      <c r="A130" t="s">
        <v>866</v>
      </c>
      <c r="B130" t="s">
        <v>12</v>
      </c>
      <c r="C130">
        <v>375.79931972789115</v>
      </c>
      <c r="D130" t="s">
        <v>96</v>
      </c>
      <c r="E130" s="543">
        <v>4</v>
      </c>
      <c r="L130" s="834" t="s">
        <v>40</v>
      </c>
      <c r="M130" s="836">
        <v>860.73793103448281</v>
      </c>
      <c r="N130" s="833" t="s">
        <v>869</v>
      </c>
    </row>
    <row r="131" spans="1:14" x14ac:dyDescent="0.25">
      <c r="A131" t="s">
        <v>868</v>
      </c>
      <c r="B131" t="s">
        <v>706</v>
      </c>
      <c r="C131">
        <v>118.67346938775509</v>
      </c>
      <c r="D131" t="s">
        <v>96</v>
      </c>
      <c r="E131" s="543">
        <v>4</v>
      </c>
      <c r="L131" s="834" t="s">
        <v>807</v>
      </c>
      <c r="M131" s="836">
        <v>5891</v>
      </c>
      <c r="N131" s="833" t="s">
        <v>931</v>
      </c>
    </row>
    <row r="132" spans="1:14" x14ac:dyDescent="0.25">
      <c r="A132" t="s">
        <v>888</v>
      </c>
      <c r="B132" t="s">
        <v>733</v>
      </c>
      <c r="C132">
        <v>1384.5238095238094</v>
      </c>
      <c r="D132" t="s">
        <v>96</v>
      </c>
      <c r="E132" s="543">
        <v>4</v>
      </c>
      <c r="L132" s="834" t="s">
        <v>951</v>
      </c>
      <c r="M132" s="836">
        <v>1027.5</v>
      </c>
      <c r="N132" s="833" t="s">
        <v>932</v>
      </c>
    </row>
    <row r="133" spans="1:14" x14ac:dyDescent="0.25">
      <c r="L133" s="473"/>
      <c r="M133" s="837"/>
      <c r="N133" s="838"/>
    </row>
    <row r="134" spans="1:14" x14ac:dyDescent="0.25">
      <c r="A134" t="s">
        <v>866</v>
      </c>
      <c r="B134" t="s">
        <v>12</v>
      </c>
      <c r="C134">
        <v>855.43846153846232</v>
      </c>
      <c r="D134" t="s">
        <v>98</v>
      </c>
      <c r="E134" s="543">
        <v>4</v>
      </c>
    </row>
    <row r="135" spans="1:14" x14ac:dyDescent="0.25">
      <c r="A135" t="s">
        <v>868</v>
      </c>
      <c r="B135" t="s">
        <v>706</v>
      </c>
      <c r="C135">
        <v>128.31576923076935</v>
      </c>
      <c r="D135" t="s">
        <v>98</v>
      </c>
      <c r="E135" s="543">
        <v>4</v>
      </c>
    </row>
    <row r="136" spans="1:14" x14ac:dyDescent="0.25">
      <c r="A136" t="s">
        <v>888</v>
      </c>
      <c r="B136" t="s">
        <v>733</v>
      </c>
      <c r="C136">
        <v>450.23076923076968</v>
      </c>
      <c r="D136" t="s">
        <v>98</v>
      </c>
      <c r="E136" s="543">
        <v>4</v>
      </c>
      <c r="L136" s="831" t="s">
        <v>702</v>
      </c>
    </row>
    <row r="137" spans="1:14" x14ac:dyDescent="0.25">
      <c r="L137" s="832" t="s">
        <v>241</v>
      </c>
      <c r="M137" s="832" t="s">
        <v>484</v>
      </c>
      <c r="N137" s="832" t="s">
        <v>864</v>
      </c>
    </row>
    <row r="138" spans="1:14" x14ac:dyDescent="0.25">
      <c r="A138" t="s">
        <v>868</v>
      </c>
      <c r="B138" t="s">
        <v>706</v>
      </c>
      <c r="C138">
        <v>75.633872229465524</v>
      </c>
      <c r="D138" t="s">
        <v>102</v>
      </c>
      <c r="E138" s="543">
        <v>4</v>
      </c>
      <c r="L138" s="834" t="s">
        <v>32</v>
      </c>
      <c r="M138" s="836">
        <v>741.44399999999996</v>
      </c>
      <c r="N138" s="833" t="s">
        <v>880</v>
      </c>
    </row>
    <row r="139" spans="1:14" x14ac:dyDescent="0.25">
      <c r="A139" t="s">
        <v>881</v>
      </c>
      <c r="B139" t="s">
        <v>12</v>
      </c>
      <c r="C139">
        <v>605.07097783572419</v>
      </c>
      <c r="D139" t="s">
        <v>102</v>
      </c>
      <c r="E139" s="543">
        <v>4</v>
      </c>
      <c r="L139" s="834" t="s">
        <v>19</v>
      </c>
      <c r="M139" s="836">
        <v>191.1</v>
      </c>
      <c r="N139" s="833" t="s">
        <v>882</v>
      </c>
    </row>
    <row r="140" spans="1:14" x14ac:dyDescent="0.25">
      <c r="A140" t="s">
        <v>888</v>
      </c>
      <c r="B140" t="s">
        <v>733</v>
      </c>
      <c r="C140">
        <v>636.9168187744466</v>
      </c>
      <c r="D140" t="s">
        <v>102</v>
      </c>
      <c r="E140" s="543">
        <v>4</v>
      </c>
      <c r="L140" s="834" t="s">
        <v>28</v>
      </c>
      <c r="M140" s="836">
        <v>487.77</v>
      </c>
      <c r="N140" s="833" t="s">
        <v>880</v>
      </c>
    </row>
    <row r="141" spans="1:14" x14ac:dyDescent="0.25">
      <c r="A141" t="s">
        <v>886</v>
      </c>
      <c r="B141" t="s">
        <v>19</v>
      </c>
      <c r="C141">
        <v>238.84380704041746</v>
      </c>
      <c r="D141" t="s">
        <v>102</v>
      </c>
      <c r="E141" s="543">
        <v>4</v>
      </c>
      <c r="L141" s="834" t="s">
        <v>30</v>
      </c>
      <c r="M141" s="836">
        <v>487.77</v>
      </c>
      <c r="N141" s="833" t="s">
        <v>880</v>
      </c>
    </row>
    <row r="142" spans="1:14" x14ac:dyDescent="0.25">
      <c r="L142" s="834" t="s">
        <v>12</v>
      </c>
      <c r="M142" s="836">
        <v>3547.5433542647838</v>
      </c>
      <c r="N142" s="833" t="s">
        <v>881</v>
      </c>
    </row>
    <row r="143" spans="1:14" x14ac:dyDescent="0.25">
      <c r="A143" t="s">
        <v>881</v>
      </c>
      <c r="B143" t="s">
        <v>12</v>
      </c>
      <c r="C143">
        <v>1418.57808857809</v>
      </c>
      <c r="D143" t="s">
        <v>104</v>
      </c>
      <c r="E143" s="543">
        <v>4</v>
      </c>
      <c r="L143" s="834" t="s">
        <v>706</v>
      </c>
      <c r="M143" s="836">
        <v>1770.3015430710132</v>
      </c>
      <c r="N143" s="833" t="s">
        <v>868</v>
      </c>
    </row>
    <row r="144" spans="1:14" x14ac:dyDescent="0.25">
      <c r="A144" t="s">
        <v>870</v>
      </c>
      <c r="B144" t="s">
        <v>17</v>
      </c>
      <c r="C144">
        <v>3546.4452214452253</v>
      </c>
      <c r="D144" t="s">
        <v>104</v>
      </c>
      <c r="E144" s="543">
        <v>4</v>
      </c>
      <c r="L144" s="834" t="s">
        <v>12</v>
      </c>
      <c r="M144" s="836">
        <v>1374.3874643874647</v>
      </c>
      <c r="N144" s="833" t="s">
        <v>866</v>
      </c>
    </row>
    <row r="145" spans="1:14" x14ac:dyDescent="0.25">
      <c r="A145" t="s">
        <v>867</v>
      </c>
      <c r="B145" t="s">
        <v>54</v>
      </c>
      <c r="C145">
        <v>186.65501165501186</v>
      </c>
      <c r="D145" t="s">
        <v>104</v>
      </c>
      <c r="E145" s="543">
        <v>4</v>
      </c>
      <c r="L145" s="834" t="s">
        <v>17</v>
      </c>
      <c r="M145" s="836">
        <v>20922.424123495559</v>
      </c>
      <c r="N145" s="833" t="s">
        <v>870</v>
      </c>
    </row>
    <row r="146" spans="1:14" x14ac:dyDescent="0.25">
      <c r="A146" t="s">
        <v>868</v>
      </c>
      <c r="B146" t="s">
        <v>706</v>
      </c>
      <c r="C146">
        <v>298.64801864801899</v>
      </c>
      <c r="D146" t="s">
        <v>104</v>
      </c>
      <c r="E146" s="543">
        <v>4</v>
      </c>
      <c r="L146" s="834" t="s">
        <v>12</v>
      </c>
      <c r="M146" s="836">
        <v>3050.5141287284155</v>
      </c>
      <c r="N146" s="833" t="s">
        <v>880</v>
      </c>
    </row>
    <row r="147" spans="1:14" x14ac:dyDescent="0.25">
      <c r="L147" s="834" t="s">
        <v>17</v>
      </c>
      <c r="M147" s="836">
        <v>20922.424123495559</v>
      </c>
      <c r="N147" s="833" t="s">
        <v>945</v>
      </c>
    </row>
    <row r="148" spans="1:14" x14ac:dyDescent="0.25">
      <c r="A148" t="s">
        <v>881</v>
      </c>
      <c r="B148" t="s">
        <v>12</v>
      </c>
      <c r="C148">
        <v>3516.0282574568296</v>
      </c>
      <c r="D148" t="s">
        <v>106</v>
      </c>
      <c r="E148" s="543">
        <v>4</v>
      </c>
      <c r="L148" s="834" t="s">
        <v>54</v>
      </c>
      <c r="M148" s="836">
        <v>935.97252747252776</v>
      </c>
      <c r="N148" s="833" t="s">
        <v>867</v>
      </c>
    </row>
    <row r="149" spans="1:14" x14ac:dyDescent="0.25">
      <c r="A149" t="s">
        <v>868</v>
      </c>
      <c r="B149" t="s">
        <v>706</v>
      </c>
      <c r="C149">
        <v>293.00235478806911</v>
      </c>
      <c r="D149" t="s">
        <v>106</v>
      </c>
      <c r="E149" s="543">
        <v>4</v>
      </c>
      <c r="L149" s="834" t="s">
        <v>40</v>
      </c>
      <c r="M149" s="836">
        <v>1712.8205128205136</v>
      </c>
      <c r="N149" s="833" t="s">
        <v>946</v>
      </c>
    </row>
    <row r="150" spans="1:14" x14ac:dyDescent="0.25">
      <c r="A150" t="s">
        <v>870</v>
      </c>
      <c r="B150" t="s">
        <v>17</v>
      </c>
      <c r="C150">
        <v>4688.0376766091058</v>
      </c>
      <c r="D150" t="s">
        <v>106</v>
      </c>
      <c r="E150" s="543">
        <v>4</v>
      </c>
      <c r="L150" s="834" t="s">
        <v>736</v>
      </c>
      <c r="M150" s="836">
        <v>38.828100470957629</v>
      </c>
      <c r="N150" s="833" t="s">
        <v>947</v>
      </c>
    </row>
    <row r="151" spans="1:14" x14ac:dyDescent="0.25">
      <c r="L151" s="834" t="s">
        <v>60</v>
      </c>
      <c r="M151" s="836">
        <v>77.656200941915259</v>
      </c>
      <c r="N151" s="833" t="s">
        <v>869</v>
      </c>
    </row>
    <row r="152" spans="1:14" x14ac:dyDescent="0.25">
      <c r="A152" t="s">
        <v>881</v>
      </c>
      <c r="B152" t="s">
        <v>12</v>
      </c>
      <c r="C152">
        <v>3125.5102040816328</v>
      </c>
      <c r="D152" t="s">
        <v>787</v>
      </c>
      <c r="E152" s="543">
        <v>4</v>
      </c>
      <c r="L152" s="834" t="s">
        <v>70</v>
      </c>
      <c r="M152" s="836">
        <v>408.03750000000002</v>
      </c>
      <c r="N152" s="833" t="s">
        <v>869</v>
      </c>
    </row>
    <row r="153" spans="1:14" x14ac:dyDescent="0.25">
      <c r="A153" t="s">
        <v>868</v>
      </c>
      <c r="B153" t="s">
        <v>706</v>
      </c>
      <c r="C153">
        <v>250.0408163265306</v>
      </c>
      <c r="D153" t="s">
        <v>787</v>
      </c>
      <c r="E153" s="543">
        <v>4</v>
      </c>
      <c r="L153" s="834" t="s">
        <v>60</v>
      </c>
      <c r="M153" s="836">
        <v>149.5</v>
      </c>
      <c r="N153" s="833" t="s">
        <v>906</v>
      </c>
    </row>
    <row r="154" spans="1:14" x14ac:dyDescent="0.25">
      <c r="A154" t="s">
        <v>869</v>
      </c>
      <c r="B154" t="s">
        <v>12</v>
      </c>
      <c r="C154">
        <v>1781.5408163265304</v>
      </c>
      <c r="D154" t="s">
        <v>109</v>
      </c>
      <c r="E154" s="543">
        <v>4</v>
      </c>
      <c r="L154" s="834" t="s">
        <v>807</v>
      </c>
      <c r="M154" s="836">
        <f>2970+4343</f>
        <v>7313</v>
      </c>
      <c r="N154" s="833" t="s">
        <v>882</v>
      </c>
    </row>
    <row r="155" spans="1:14" x14ac:dyDescent="0.25">
      <c r="A155" t="s">
        <v>868</v>
      </c>
      <c r="B155" t="s">
        <v>706</v>
      </c>
      <c r="C155">
        <v>625.10204081632651</v>
      </c>
      <c r="D155" t="s">
        <v>109</v>
      </c>
      <c r="E155" s="543">
        <v>4</v>
      </c>
      <c r="L155" s="834" t="s">
        <v>951</v>
      </c>
      <c r="M155" s="836">
        <v>618.75</v>
      </c>
      <c r="N155" s="833" t="s">
        <v>920</v>
      </c>
    </row>
    <row r="156" spans="1:14" x14ac:dyDescent="0.25">
      <c r="A156" t="s">
        <v>870</v>
      </c>
      <c r="B156" t="s">
        <v>17</v>
      </c>
      <c r="C156">
        <v>3125.5102040816328</v>
      </c>
      <c r="D156" t="s">
        <v>109</v>
      </c>
      <c r="E156" s="543">
        <v>4</v>
      </c>
      <c r="L156" s="834" t="s">
        <v>17</v>
      </c>
      <c r="M156" s="836">
        <v>12705.882352941175</v>
      </c>
      <c r="N156" s="833" t="s">
        <v>927</v>
      </c>
    </row>
    <row r="157" spans="1:14" x14ac:dyDescent="0.25">
      <c r="L157" s="834" t="s">
        <v>19</v>
      </c>
      <c r="M157" s="836">
        <v>317.62758620689658</v>
      </c>
      <c r="N157" s="833" t="s">
        <v>930</v>
      </c>
    </row>
    <row r="158" spans="1:14" x14ac:dyDescent="0.25">
      <c r="A158" t="s">
        <v>886</v>
      </c>
      <c r="B158" t="s">
        <v>19</v>
      </c>
      <c r="C158">
        <v>3323.3333333333339</v>
      </c>
      <c r="D158" t="s">
        <v>466</v>
      </c>
      <c r="E158" s="543">
        <v>4</v>
      </c>
      <c r="L158" s="834" t="s">
        <v>924</v>
      </c>
      <c r="M158" s="836">
        <f>353.291034482759+1800</f>
        <v>2153.2910344827592</v>
      </c>
      <c r="N158" s="833" t="s">
        <v>869</v>
      </c>
    </row>
    <row r="159" spans="1:14" x14ac:dyDescent="0.25">
      <c r="A159" t="s">
        <v>887</v>
      </c>
      <c r="B159" t="s">
        <v>471</v>
      </c>
      <c r="C159">
        <v>1994.0000000000002</v>
      </c>
      <c r="D159" t="s">
        <v>466</v>
      </c>
      <c r="E159" s="543">
        <v>4</v>
      </c>
      <c r="L159" s="834" t="s">
        <v>40</v>
      </c>
      <c r="M159" s="836">
        <v>634.55862068965519</v>
      </c>
      <c r="N159" s="833" t="s">
        <v>869</v>
      </c>
    </row>
    <row r="160" spans="1:14" x14ac:dyDescent="0.25">
      <c r="L160" s="834" t="s">
        <v>951</v>
      </c>
      <c r="M160" s="836">
        <v>757.5</v>
      </c>
      <c r="N160" s="833" t="s">
        <v>932</v>
      </c>
    </row>
    <row r="161" spans="1:14" x14ac:dyDescent="0.25">
      <c r="A161" t="s">
        <v>885</v>
      </c>
      <c r="B161" t="s">
        <v>17</v>
      </c>
      <c r="C161">
        <v>1737</v>
      </c>
      <c r="D161" t="s">
        <v>112</v>
      </c>
      <c r="E161" s="543">
        <v>4</v>
      </c>
      <c r="L161" s="834" t="s">
        <v>733</v>
      </c>
      <c r="M161" s="836">
        <v>189</v>
      </c>
      <c r="N161" s="833" t="s">
        <v>923</v>
      </c>
    </row>
    <row r="162" spans="1:14" x14ac:dyDescent="0.25">
      <c r="A162" t="s">
        <v>868</v>
      </c>
      <c r="B162" t="s">
        <v>706</v>
      </c>
      <c r="C162">
        <v>86.850000000000009</v>
      </c>
      <c r="D162" t="s">
        <v>112</v>
      </c>
      <c r="E162" s="543">
        <v>4</v>
      </c>
      <c r="L162" s="834" t="s">
        <v>17</v>
      </c>
      <c r="M162" s="836">
        <v>450</v>
      </c>
      <c r="N162" s="833" t="s">
        <v>869</v>
      </c>
    </row>
    <row r="163" spans="1:14" x14ac:dyDescent="0.25">
      <c r="A163" t="s">
        <v>867</v>
      </c>
      <c r="B163" t="s">
        <v>54</v>
      </c>
      <c r="C163">
        <v>130.27500000000001</v>
      </c>
      <c r="D163" t="s">
        <v>112</v>
      </c>
      <c r="E163" s="543">
        <v>4</v>
      </c>
      <c r="L163" s="834" t="s">
        <v>12</v>
      </c>
      <c r="M163" s="836">
        <v>450</v>
      </c>
      <c r="N163" s="833" t="s">
        <v>869</v>
      </c>
    </row>
    <row r="164" spans="1:14" x14ac:dyDescent="0.25">
      <c r="A164" t="s">
        <v>869</v>
      </c>
      <c r="B164" t="s">
        <v>21</v>
      </c>
      <c r="C164">
        <v>2936.7076062895962</v>
      </c>
      <c r="D164" t="s">
        <v>114</v>
      </c>
      <c r="E164" s="543">
        <v>4</v>
      </c>
    </row>
    <row r="168" spans="1:14" x14ac:dyDescent="0.25">
      <c r="A168" t="s">
        <v>1005</v>
      </c>
      <c r="B168" t="s">
        <v>706</v>
      </c>
      <c r="C168">
        <v>311.29644921552438</v>
      </c>
      <c r="D168" t="s">
        <v>853</v>
      </c>
      <c r="E168" s="543">
        <v>4</v>
      </c>
    </row>
    <row r="169" spans="1:14" x14ac:dyDescent="0.25">
      <c r="A169" t="s">
        <v>1006</v>
      </c>
      <c r="B169" t="s">
        <v>855</v>
      </c>
      <c r="C169">
        <v>3112.9644921552444</v>
      </c>
      <c r="D169" t="s">
        <v>853</v>
      </c>
      <c r="E169" s="543">
        <v>4</v>
      </c>
    </row>
    <row r="170" spans="1:14" x14ac:dyDescent="0.25">
      <c r="A170" t="s">
        <v>1007</v>
      </c>
      <c r="B170" t="s">
        <v>19</v>
      </c>
      <c r="C170">
        <v>2334.7233691164329</v>
      </c>
      <c r="D170" t="s">
        <v>853</v>
      </c>
      <c r="E170" s="543">
        <v>4</v>
      </c>
    </row>
    <row r="171" spans="1:14" x14ac:dyDescent="0.25">
      <c r="A171" t="s">
        <v>1008</v>
      </c>
      <c r="B171" t="s">
        <v>12</v>
      </c>
      <c r="C171">
        <v>1556.4822460776222</v>
      </c>
      <c r="D171" t="s">
        <v>853</v>
      </c>
      <c r="E171" s="543">
        <v>4</v>
      </c>
    </row>
    <row r="172" spans="1:14" x14ac:dyDescent="0.25">
      <c r="A172" t="s">
        <v>882</v>
      </c>
      <c r="B172" t="s">
        <v>19</v>
      </c>
      <c r="C172">
        <v>177.3</v>
      </c>
      <c r="D172" t="s">
        <v>863</v>
      </c>
      <c r="E172" s="543">
        <v>4</v>
      </c>
    </row>
    <row r="173" spans="1:14" x14ac:dyDescent="0.25">
      <c r="A173" t="s">
        <v>880</v>
      </c>
      <c r="B173" t="s">
        <v>28</v>
      </c>
      <c r="C173">
        <v>88.65</v>
      </c>
      <c r="D173" t="s">
        <v>863</v>
      </c>
      <c r="E173" s="543">
        <v>4</v>
      </c>
    </row>
    <row r="174" spans="1:14" x14ac:dyDescent="0.25">
      <c r="A174" t="s">
        <v>880</v>
      </c>
      <c r="B174" t="s">
        <v>30</v>
      </c>
      <c r="C174">
        <v>88.65</v>
      </c>
      <c r="D174" t="s">
        <v>863</v>
      </c>
      <c r="E174" s="543">
        <v>4</v>
      </c>
    </row>
    <row r="175" spans="1:14" x14ac:dyDescent="0.25">
      <c r="A175" t="s">
        <v>880</v>
      </c>
      <c r="B175" t="s">
        <v>32</v>
      </c>
      <c r="C175">
        <v>88.65</v>
      </c>
      <c r="D175" t="s">
        <v>863</v>
      </c>
      <c r="E175" s="543">
        <v>4</v>
      </c>
    </row>
    <row r="176" spans="1:14" x14ac:dyDescent="0.25">
      <c r="H176"/>
    </row>
    <row r="177" spans="1:8" x14ac:dyDescent="0.25">
      <c r="A177" t="s">
        <v>868</v>
      </c>
      <c r="B177" t="s">
        <v>706</v>
      </c>
      <c r="C177">
        <v>185.49473684210525</v>
      </c>
      <c r="D177" t="s">
        <v>123</v>
      </c>
      <c r="E177" s="543">
        <v>5</v>
      </c>
      <c r="H177"/>
    </row>
    <row r="178" spans="1:8" x14ac:dyDescent="0.25">
      <c r="A178" t="s">
        <v>867</v>
      </c>
      <c r="B178" t="s">
        <v>54</v>
      </c>
      <c r="C178">
        <v>185.49473684210525</v>
      </c>
      <c r="D178" t="s">
        <v>123</v>
      </c>
      <c r="E178" s="543">
        <v>5</v>
      </c>
      <c r="H178" s="838"/>
    </row>
    <row r="179" spans="1:8" x14ac:dyDescent="0.25">
      <c r="H179" s="838"/>
    </row>
    <row r="180" spans="1:8" x14ac:dyDescent="0.25">
      <c r="A180" t="s">
        <v>866</v>
      </c>
      <c r="B180" t="s">
        <v>12</v>
      </c>
      <c r="C180">
        <v>1764.9970526315792</v>
      </c>
      <c r="D180" t="s">
        <v>125</v>
      </c>
      <c r="E180" s="543">
        <v>5</v>
      </c>
      <c r="H180" s="838"/>
    </row>
    <row r="181" spans="1:8" x14ac:dyDescent="0.25">
      <c r="A181" t="s">
        <v>870</v>
      </c>
      <c r="B181" t="s">
        <v>17</v>
      </c>
      <c r="C181">
        <v>8824.985263157896</v>
      </c>
      <c r="D181" t="s">
        <v>125</v>
      </c>
      <c r="E181" s="543">
        <v>5</v>
      </c>
      <c r="H181" s="838"/>
    </row>
    <row r="182" spans="1:8" x14ac:dyDescent="0.25">
      <c r="A182" t="s">
        <v>867</v>
      </c>
      <c r="B182" t="s">
        <v>54</v>
      </c>
      <c r="C182">
        <v>110.3123157894737</v>
      </c>
      <c r="D182" t="s">
        <v>125</v>
      </c>
      <c r="E182" s="543">
        <v>5</v>
      </c>
      <c r="H182" s="838"/>
    </row>
    <row r="183" spans="1:8" x14ac:dyDescent="0.25">
      <c r="A183" t="s">
        <v>868</v>
      </c>
      <c r="B183" t="s">
        <v>706</v>
      </c>
      <c r="C183">
        <v>441.2492631578948</v>
      </c>
      <c r="D183" t="s">
        <v>125</v>
      </c>
      <c r="E183" s="543">
        <v>5</v>
      </c>
      <c r="H183" s="838"/>
    </row>
    <row r="184" spans="1:8" x14ac:dyDescent="0.25">
      <c r="A184" t="s">
        <v>869</v>
      </c>
      <c r="B184" t="s">
        <v>60</v>
      </c>
      <c r="C184">
        <v>220.6246315789474</v>
      </c>
      <c r="D184" t="s">
        <v>125</v>
      </c>
      <c r="E184" s="543">
        <v>5</v>
      </c>
      <c r="H184" s="838"/>
    </row>
    <row r="185" spans="1:8" x14ac:dyDescent="0.25">
      <c r="H185" s="838"/>
    </row>
    <row r="186" spans="1:8" x14ac:dyDescent="0.25">
      <c r="A186" t="s">
        <v>866</v>
      </c>
      <c r="B186" t="s">
        <v>12</v>
      </c>
      <c r="C186">
        <v>4723.9640624999993</v>
      </c>
      <c r="D186" t="s">
        <v>127</v>
      </c>
      <c r="E186" s="543">
        <v>5</v>
      </c>
      <c r="H186" s="838"/>
    </row>
    <row r="187" spans="1:8" x14ac:dyDescent="0.25">
      <c r="A187" t="s">
        <v>868</v>
      </c>
      <c r="B187" t="s">
        <v>706</v>
      </c>
      <c r="C187">
        <v>122.17148437499996</v>
      </c>
      <c r="D187" t="s">
        <v>127</v>
      </c>
      <c r="E187" s="543">
        <v>5</v>
      </c>
      <c r="H187" s="838"/>
    </row>
    <row r="188" spans="1:8" x14ac:dyDescent="0.25">
      <c r="A188" t="s">
        <v>869</v>
      </c>
      <c r="B188" t="s">
        <v>60</v>
      </c>
      <c r="C188">
        <v>85.734374999999986</v>
      </c>
      <c r="D188" t="s">
        <v>127</v>
      </c>
      <c r="E188" s="543">
        <v>5</v>
      </c>
      <c r="H188" s="838"/>
    </row>
    <row r="189" spans="1:8" x14ac:dyDescent="0.25">
      <c r="A189" t="s">
        <v>884</v>
      </c>
      <c r="B189" t="s">
        <v>68</v>
      </c>
      <c r="C189">
        <v>109.31132812499997</v>
      </c>
      <c r="D189" t="s">
        <v>127</v>
      </c>
      <c r="E189" s="543">
        <v>5</v>
      </c>
      <c r="H189" s="838"/>
    </row>
    <row r="190" spans="1:8" x14ac:dyDescent="0.25">
      <c r="C190" s="830"/>
      <c r="H190"/>
    </row>
    <row r="191" spans="1:8" x14ac:dyDescent="0.25">
      <c r="A191" t="s">
        <v>881</v>
      </c>
      <c r="B191" t="s">
        <v>12</v>
      </c>
      <c r="C191">
        <v>3154.7755102040815</v>
      </c>
      <c r="D191" t="s">
        <v>788</v>
      </c>
      <c r="E191" s="543">
        <v>5</v>
      </c>
      <c r="H191"/>
    </row>
    <row r="192" spans="1:8" x14ac:dyDescent="0.25">
      <c r="A192" t="s">
        <v>868</v>
      </c>
      <c r="B192" t="s">
        <v>706</v>
      </c>
      <c r="C192">
        <v>276.73469387755102</v>
      </c>
      <c r="D192" t="s">
        <v>788</v>
      </c>
      <c r="E192" s="543">
        <v>5</v>
      </c>
      <c r="H192"/>
    </row>
    <row r="193" spans="1:8" x14ac:dyDescent="0.25">
      <c r="A193" t="s">
        <v>870</v>
      </c>
      <c r="B193" t="s">
        <v>17</v>
      </c>
      <c r="C193">
        <v>3320.8163265306121</v>
      </c>
      <c r="D193" t="s">
        <v>788</v>
      </c>
      <c r="E193" s="543">
        <v>5</v>
      </c>
      <c r="H193"/>
    </row>
    <row r="194" spans="1:8" x14ac:dyDescent="0.25">
      <c r="A194" t="s">
        <v>867</v>
      </c>
      <c r="B194" t="s">
        <v>54</v>
      </c>
      <c r="C194">
        <v>221.38775510204081</v>
      </c>
      <c r="D194" t="s">
        <v>788</v>
      </c>
      <c r="E194" s="543">
        <v>5</v>
      </c>
      <c r="H194"/>
    </row>
    <row r="195" spans="1:8" x14ac:dyDescent="0.25">
      <c r="A195" t="s">
        <v>884</v>
      </c>
      <c r="B195" t="s">
        <v>34</v>
      </c>
      <c r="C195">
        <v>41.510204081632651</v>
      </c>
      <c r="D195" t="s">
        <v>788</v>
      </c>
      <c r="E195" s="543">
        <v>5</v>
      </c>
      <c r="H195"/>
    </row>
    <row r="197" spans="1:8" x14ac:dyDescent="0.25">
      <c r="A197" t="s">
        <v>881</v>
      </c>
      <c r="B197" t="s">
        <v>12</v>
      </c>
      <c r="C197">
        <v>1432.1297749869177</v>
      </c>
      <c r="D197" t="s">
        <v>130</v>
      </c>
      <c r="E197" s="543">
        <v>5</v>
      </c>
    </row>
    <row r="198" spans="1:8" x14ac:dyDescent="0.25">
      <c r="A198" t="s">
        <v>870</v>
      </c>
      <c r="B198" t="s">
        <v>17</v>
      </c>
      <c r="C198">
        <v>2148.1946624803763</v>
      </c>
      <c r="D198" t="s">
        <v>130</v>
      </c>
      <c r="E198" s="543">
        <v>5</v>
      </c>
    </row>
    <row r="199" spans="1:8" x14ac:dyDescent="0.25">
      <c r="A199" t="s">
        <v>868</v>
      </c>
      <c r="B199" t="s">
        <v>706</v>
      </c>
      <c r="C199">
        <v>286.42595499738354</v>
      </c>
      <c r="D199" t="s">
        <v>130</v>
      </c>
      <c r="E199" s="543">
        <v>5</v>
      </c>
    </row>
    <row r="201" spans="1:8" x14ac:dyDescent="0.25">
      <c r="A201" t="s">
        <v>868</v>
      </c>
      <c r="B201" t="s">
        <v>706</v>
      </c>
      <c r="C201">
        <v>116.84458398744125</v>
      </c>
      <c r="D201" t="s">
        <v>132</v>
      </c>
      <c r="E201" s="543">
        <v>5</v>
      </c>
    </row>
    <row r="202" spans="1:8" x14ac:dyDescent="0.25">
      <c r="A202" t="s">
        <v>870</v>
      </c>
      <c r="B202" t="s">
        <v>17</v>
      </c>
      <c r="C202">
        <v>1402.1350078492951</v>
      </c>
      <c r="D202" t="s">
        <v>132</v>
      </c>
      <c r="E202" s="543">
        <v>5</v>
      </c>
    </row>
    <row r="204" spans="1:8" x14ac:dyDescent="0.25">
      <c r="A204" t="s">
        <v>881</v>
      </c>
      <c r="B204" t="s">
        <v>12</v>
      </c>
      <c r="C204">
        <v>1234.6827000000001</v>
      </c>
      <c r="D204" t="s">
        <v>134</v>
      </c>
      <c r="E204" s="543">
        <v>5</v>
      </c>
    </row>
    <row r="205" spans="1:8" x14ac:dyDescent="0.25">
      <c r="A205" t="s">
        <v>868</v>
      </c>
      <c r="B205" t="s">
        <v>706</v>
      </c>
      <c r="C205">
        <v>102.890225</v>
      </c>
      <c r="D205" t="s">
        <v>134</v>
      </c>
      <c r="E205" s="543">
        <v>5</v>
      </c>
    </row>
    <row r="206" spans="1:8" x14ac:dyDescent="0.25">
      <c r="A206" t="s">
        <v>870</v>
      </c>
      <c r="B206" t="s">
        <v>17</v>
      </c>
      <c r="C206">
        <v>2599.3320000000003</v>
      </c>
      <c r="D206" t="s">
        <v>134</v>
      </c>
      <c r="E206" s="543">
        <v>5</v>
      </c>
    </row>
    <row r="207" spans="1:8" x14ac:dyDescent="0.25">
      <c r="A207" t="s">
        <v>884</v>
      </c>
      <c r="B207" t="s">
        <v>709</v>
      </c>
      <c r="C207">
        <v>16.245825</v>
      </c>
      <c r="D207" t="s">
        <v>134</v>
      </c>
      <c r="E207" s="543">
        <v>5</v>
      </c>
    </row>
    <row r="209" spans="1:5" x14ac:dyDescent="0.25">
      <c r="A209" t="s">
        <v>883</v>
      </c>
      <c r="B209" t="s">
        <v>17</v>
      </c>
      <c r="C209">
        <v>8069.7605385694242</v>
      </c>
      <c r="D209" t="s">
        <v>140</v>
      </c>
      <c r="E209" s="543">
        <v>5</v>
      </c>
    </row>
    <row r="210" spans="1:5" x14ac:dyDescent="0.25">
      <c r="A210" t="s">
        <v>881</v>
      </c>
      <c r="B210" t="s">
        <v>12</v>
      </c>
      <c r="C210">
        <v>4841.8563231416547</v>
      </c>
      <c r="D210" t="s">
        <v>140</v>
      </c>
      <c r="E210" s="543">
        <v>5</v>
      </c>
    </row>
    <row r="211" spans="1:5" x14ac:dyDescent="0.25">
      <c r="A211" t="s">
        <v>868</v>
      </c>
      <c r="B211" t="s">
        <v>706</v>
      </c>
      <c r="C211">
        <v>806.97605385694237</v>
      </c>
      <c r="D211" t="s">
        <v>140</v>
      </c>
      <c r="E211" s="543">
        <v>5</v>
      </c>
    </row>
    <row r="213" spans="1:5" x14ac:dyDescent="0.25">
      <c r="A213" t="s">
        <v>888</v>
      </c>
      <c r="B213" t="s">
        <v>951</v>
      </c>
      <c r="C213">
        <v>1640</v>
      </c>
      <c r="D213" t="s">
        <v>820</v>
      </c>
      <c r="E213" s="543">
        <v>5</v>
      </c>
    </row>
    <row r="216" spans="1:5" x14ac:dyDescent="0.25">
      <c r="A216" t="s">
        <v>880</v>
      </c>
      <c r="B216" t="s">
        <v>32</v>
      </c>
      <c r="C216">
        <v>235.31400000000002</v>
      </c>
      <c r="D216" t="s">
        <v>143</v>
      </c>
      <c r="E216" s="543">
        <v>5</v>
      </c>
    </row>
    <row r="218" spans="1:5" x14ac:dyDescent="0.25">
      <c r="A218" t="s">
        <v>882</v>
      </c>
      <c r="B218" t="s">
        <v>19</v>
      </c>
      <c r="C218">
        <v>161.25</v>
      </c>
      <c r="D218" t="s">
        <v>531</v>
      </c>
      <c r="E218" s="543">
        <v>5</v>
      </c>
    </row>
    <row r="219" spans="1:5" x14ac:dyDescent="0.25">
      <c r="A219" t="s">
        <v>880</v>
      </c>
      <c r="B219" t="s">
        <v>28</v>
      </c>
      <c r="C219">
        <v>80.625</v>
      </c>
      <c r="D219" t="s">
        <v>531</v>
      </c>
      <c r="E219" s="543">
        <v>5</v>
      </c>
    </row>
    <row r="220" spans="1:5" x14ac:dyDescent="0.25">
      <c r="A220" t="s">
        <v>880</v>
      </c>
      <c r="B220" t="s">
        <v>30</v>
      </c>
      <c r="C220">
        <v>80.625</v>
      </c>
      <c r="D220" t="s">
        <v>531</v>
      </c>
      <c r="E220" s="543">
        <v>5</v>
      </c>
    </row>
    <row r="221" spans="1:5" x14ac:dyDescent="0.25">
      <c r="A221" t="s">
        <v>880</v>
      </c>
      <c r="B221" t="s">
        <v>32</v>
      </c>
      <c r="C221">
        <v>80.625</v>
      </c>
      <c r="D221" t="s">
        <v>531</v>
      </c>
      <c r="E221" s="543">
        <v>5</v>
      </c>
    </row>
    <row r="222" spans="1:5" x14ac:dyDescent="0.25">
      <c r="A222" t="s">
        <v>880</v>
      </c>
      <c r="B222" t="s">
        <v>32</v>
      </c>
      <c r="C222">
        <v>394.38</v>
      </c>
      <c r="D222" t="s">
        <v>532</v>
      </c>
      <c r="E222" s="543">
        <v>5</v>
      </c>
    </row>
    <row r="223" spans="1:5" x14ac:dyDescent="0.25">
      <c r="A223" t="s">
        <v>880</v>
      </c>
      <c r="B223" t="s">
        <v>30</v>
      </c>
      <c r="C223">
        <v>394.38</v>
      </c>
      <c r="D223" t="s">
        <v>532</v>
      </c>
      <c r="E223" s="543">
        <v>5</v>
      </c>
    </row>
    <row r="224" spans="1:5" x14ac:dyDescent="0.25">
      <c r="A224" t="s">
        <v>880</v>
      </c>
      <c r="B224" t="s">
        <v>28</v>
      </c>
      <c r="C224">
        <v>394.38</v>
      </c>
      <c r="D224" t="s">
        <v>532</v>
      </c>
      <c r="E224" s="543">
        <v>5</v>
      </c>
    </row>
    <row r="225" spans="1:5" x14ac:dyDescent="0.25">
      <c r="A225" t="s">
        <v>881</v>
      </c>
      <c r="B225" t="s">
        <v>12</v>
      </c>
      <c r="C225">
        <v>328.65</v>
      </c>
      <c r="D225" t="s">
        <v>532</v>
      </c>
      <c r="E225" s="543">
        <v>5</v>
      </c>
    </row>
    <row r="226" spans="1:5" x14ac:dyDescent="0.25">
      <c r="A226" t="s">
        <v>868</v>
      </c>
      <c r="B226" t="s">
        <v>706</v>
      </c>
      <c r="C226">
        <v>65.73</v>
      </c>
      <c r="D226" t="s">
        <v>532</v>
      </c>
      <c r="E226" s="543">
        <v>5</v>
      </c>
    </row>
    <row r="228" spans="1:5" x14ac:dyDescent="0.25">
      <c r="A228" t="s">
        <v>866</v>
      </c>
      <c r="B228" t="s">
        <v>12</v>
      </c>
      <c r="C228">
        <v>1299.6866096866099</v>
      </c>
      <c r="D228" t="s">
        <v>148</v>
      </c>
      <c r="E228" s="543">
        <v>6</v>
      </c>
    </row>
    <row r="229" spans="1:5" x14ac:dyDescent="0.25">
      <c r="A229" t="s">
        <v>868</v>
      </c>
      <c r="B229" t="s">
        <v>706</v>
      </c>
      <c r="C229">
        <v>273.61823361823372</v>
      </c>
      <c r="D229" t="s">
        <v>148</v>
      </c>
      <c r="E229" s="543">
        <v>6</v>
      </c>
    </row>
    <row r="230" spans="1:5" x14ac:dyDescent="0.25">
      <c r="A230" t="s">
        <v>870</v>
      </c>
      <c r="B230" t="s">
        <v>17</v>
      </c>
      <c r="C230">
        <v>6156.4102564102577</v>
      </c>
      <c r="D230" t="s">
        <v>148</v>
      </c>
      <c r="E230" s="543">
        <v>6</v>
      </c>
    </row>
    <row r="232" spans="1:5" x14ac:dyDescent="0.25">
      <c r="A232" t="s">
        <v>880</v>
      </c>
      <c r="B232" t="s">
        <v>12</v>
      </c>
      <c r="C232">
        <v>3157.14678178964</v>
      </c>
      <c r="D232" t="s">
        <v>150</v>
      </c>
      <c r="E232" s="543">
        <v>6</v>
      </c>
    </row>
    <row r="233" spans="1:5" x14ac:dyDescent="0.25">
      <c r="A233" t="s">
        <v>945</v>
      </c>
      <c r="B233" t="s">
        <v>17</v>
      </c>
      <c r="C233">
        <v>9969.9372056514949</v>
      </c>
      <c r="D233" t="s">
        <v>150</v>
      </c>
      <c r="E233" s="543">
        <v>6</v>
      </c>
    </row>
    <row r="234" spans="1:5" x14ac:dyDescent="0.25">
      <c r="A234" t="s">
        <v>867</v>
      </c>
      <c r="B234" t="s">
        <v>54</v>
      </c>
      <c r="C234">
        <v>498.49686028257474</v>
      </c>
      <c r="D234" t="s">
        <v>150</v>
      </c>
      <c r="E234" s="543">
        <v>6</v>
      </c>
    </row>
    <row r="236" spans="1:5" x14ac:dyDescent="0.25">
      <c r="A236" t="s">
        <v>946</v>
      </c>
      <c r="B236" t="s">
        <v>40</v>
      </c>
      <c r="C236">
        <v>2029.0598290598302</v>
      </c>
      <c r="D236" t="s">
        <v>151</v>
      </c>
      <c r="E236" s="543">
        <v>6</v>
      </c>
    </row>
    <row r="237" spans="1:5" x14ac:dyDescent="0.25">
      <c r="A237" t="s">
        <v>868</v>
      </c>
      <c r="B237" t="s">
        <v>706</v>
      </c>
      <c r="C237">
        <v>405.81196581196605</v>
      </c>
      <c r="D237" t="s">
        <v>151</v>
      </c>
      <c r="E237" s="543">
        <v>6</v>
      </c>
    </row>
    <row r="239" spans="1:5" x14ac:dyDescent="0.25">
      <c r="A239" t="s">
        <v>947</v>
      </c>
      <c r="B239" t="s">
        <v>736</v>
      </c>
      <c r="C239">
        <v>32.119309262166425</v>
      </c>
      <c r="D239" t="s">
        <v>155</v>
      </c>
      <c r="E239" s="543">
        <v>6</v>
      </c>
    </row>
    <row r="240" spans="1:5" x14ac:dyDescent="0.25">
      <c r="A240" t="s">
        <v>869</v>
      </c>
      <c r="B240" t="s">
        <v>60</v>
      </c>
      <c r="C240">
        <v>64.23861852433285</v>
      </c>
      <c r="D240" t="s">
        <v>155</v>
      </c>
      <c r="E240" s="543">
        <v>6</v>
      </c>
    </row>
    <row r="241" spans="1:5" x14ac:dyDescent="0.25">
      <c r="A241" t="s">
        <v>881</v>
      </c>
      <c r="B241" t="s">
        <v>12</v>
      </c>
      <c r="C241">
        <v>1427.5248560962852</v>
      </c>
      <c r="D241" t="s">
        <v>155</v>
      </c>
      <c r="E241" s="543">
        <v>6</v>
      </c>
    </row>
    <row r="242" spans="1:5" x14ac:dyDescent="0.25">
      <c r="A242" t="s">
        <v>867</v>
      </c>
      <c r="B242" t="s">
        <v>54</v>
      </c>
      <c r="C242">
        <v>128.4772370486657</v>
      </c>
      <c r="D242" t="s">
        <v>155</v>
      </c>
      <c r="E242" s="543">
        <v>6</v>
      </c>
    </row>
    <row r="243" spans="1:5" x14ac:dyDescent="0.25">
      <c r="A243" t="s">
        <v>868</v>
      </c>
      <c r="B243" t="s">
        <v>706</v>
      </c>
      <c r="C243">
        <v>128.4772370486657</v>
      </c>
      <c r="D243" t="s">
        <v>155</v>
      </c>
      <c r="E243" s="543">
        <v>6</v>
      </c>
    </row>
    <row r="244" spans="1:5" x14ac:dyDescent="0.25">
      <c r="A244" t="s">
        <v>870</v>
      </c>
      <c r="B244" t="s">
        <v>17</v>
      </c>
      <c r="C244">
        <v>2373.2600732600745</v>
      </c>
      <c r="D244" t="s">
        <v>155</v>
      </c>
      <c r="E244" s="543">
        <v>6</v>
      </c>
    </row>
    <row r="246" spans="1:5" x14ac:dyDescent="0.25">
      <c r="A246" t="s">
        <v>869</v>
      </c>
      <c r="B246" t="s">
        <v>70</v>
      </c>
      <c r="C246">
        <v>418.95000000000005</v>
      </c>
      <c r="D246" t="s">
        <v>158</v>
      </c>
      <c r="E246" s="543">
        <v>6</v>
      </c>
    </row>
    <row r="248" spans="1:5" x14ac:dyDescent="0.25">
      <c r="A248" t="s">
        <v>868</v>
      </c>
      <c r="B248" t="s">
        <v>706</v>
      </c>
      <c r="C248">
        <v>383.1958762886598</v>
      </c>
      <c r="D248" t="s">
        <v>162</v>
      </c>
      <c r="E248" s="543">
        <v>6</v>
      </c>
    </row>
    <row r="250" spans="1:5" x14ac:dyDescent="0.25">
      <c r="A250" t="s">
        <v>867</v>
      </c>
      <c r="B250" t="s">
        <v>54</v>
      </c>
      <c r="C250">
        <v>262.59999999999997</v>
      </c>
      <c r="D250" t="s">
        <v>165</v>
      </c>
      <c r="E250" s="543">
        <v>6</v>
      </c>
    </row>
    <row r="251" spans="1:5" x14ac:dyDescent="0.25">
      <c r="A251" t="s">
        <v>868</v>
      </c>
      <c r="B251" t="s">
        <v>706</v>
      </c>
      <c r="C251">
        <v>262.59999999999997</v>
      </c>
      <c r="D251" t="s">
        <v>165</v>
      </c>
      <c r="E251" s="543">
        <v>6</v>
      </c>
    </row>
    <row r="252" spans="1:5" x14ac:dyDescent="0.25">
      <c r="A252" t="s">
        <v>881</v>
      </c>
      <c r="B252" t="s">
        <v>12</v>
      </c>
      <c r="C252">
        <v>1313</v>
      </c>
      <c r="D252" t="s">
        <v>165</v>
      </c>
      <c r="E252" s="543">
        <v>6</v>
      </c>
    </row>
    <row r="253" spans="1:5" x14ac:dyDescent="0.25">
      <c r="A253" t="s">
        <v>1005</v>
      </c>
      <c r="B253" t="s">
        <v>60</v>
      </c>
      <c r="C253">
        <v>131.29999999999998</v>
      </c>
      <c r="D253" t="s">
        <v>165</v>
      </c>
      <c r="E253" s="543">
        <v>6</v>
      </c>
    </row>
    <row r="257" spans="1:5" x14ac:dyDescent="0.25">
      <c r="A257" t="s">
        <v>870</v>
      </c>
      <c r="B257" t="s">
        <v>17</v>
      </c>
      <c r="C257">
        <v>1905</v>
      </c>
      <c r="D257" t="s">
        <v>167</v>
      </c>
      <c r="E257" s="543">
        <v>6</v>
      </c>
    </row>
    <row r="258" spans="1:5" x14ac:dyDescent="0.25">
      <c r="A258" t="s">
        <v>868</v>
      </c>
      <c r="B258" t="s">
        <v>706</v>
      </c>
      <c r="C258">
        <v>228.60000000000002</v>
      </c>
      <c r="D258" t="s">
        <v>167</v>
      </c>
      <c r="E258" s="543">
        <v>6</v>
      </c>
    </row>
    <row r="259" spans="1:5" x14ac:dyDescent="0.25">
      <c r="C259" s="830"/>
    </row>
  </sheetData>
  <autoFilter ref="A1:E259" xr:uid="{4B4C1817-4C8E-40E7-BB41-794611404842}"/>
  <mergeCells count="2">
    <mergeCell ref="O81:O82"/>
    <mergeCell ref="O84:O8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pageSetUpPr fitToPage="1"/>
  </sheetPr>
  <dimension ref="A1:AT136"/>
  <sheetViews>
    <sheetView topLeftCell="U1" zoomScale="55" zoomScaleNormal="55" workbookViewId="0">
      <selection activeCell="AF35" sqref="AF35"/>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4.87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625" style="14" customWidth="1"/>
    <col min="25" max="25" width="25.875" style="14" customWidth="1"/>
    <col min="26" max="29" width="12.625" style="14" customWidth="1"/>
    <col min="30" max="30" width="18.625" style="14" customWidth="1"/>
    <col min="31" max="32" width="12.625" style="14" customWidth="1"/>
    <col min="33" max="34" width="4.25" style="14" customWidth="1"/>
    <col min="35" max="35" width="12.6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ht="25.5" x14ac:dyDescent="0.25">
      <c r="B1" s="913" t="s">
        <v>231</v>
      </c>
      <c r="C1" s="914">
        <v>1000</v>
      </c>
      <c r="D1" s="915" t="s">
        <v>232</v>
      </c>
      <c r="E1" s="916">
        <f>T32</f>
        <v>15648.717948717953</v>
      </c>
      <c r="F1" s="913" t="s">
        <v>233</v>
      </c>
      <c r="G1" s="917">
        <f>E1/1000</f>
        <v>15.648717948717954</v>
      </c>
      <c r="H1" s="913" t="s">
        <v>234</v>
      </c>
      <c r="I1" s="918">
        <f>(G1/K1)</f>
        <v>18.410256410256416</v>
      </c>
      <c r="J1" s="919" t="s">
        <v>235</v>
      </c>
      <c r="K1" s="920">
        <v>0.85</v>
      </c>
      <c r="L1" s="69"/>
      <c r="M1" s="70"/>
      <c r="N1" s="922"/>
      <c r="O1" s="923" t="s">
        <v>236</v>
      </c>
      <c r="P1" s="914" t="s">
        <v>237</v>
      </c>
      <c r="Q1" s="924" t="s">
        <v>238</v>
      </c>
      <c r="R1" s="914">
        <v>0.59</v>
      </c>
      <c r="T1" s="890"/>
      <c r="W1" s="890"/>
      <c r="Y1" s="923" t="s">
        <v>444</v>
      </c>
      <c r="Z1" s="925">
        <v>26800</v>
      </c>
      <c r="AA1" s="923" t="s">
        <v>544</v>
      </c>
      <c r="AB1" s="925">
        <v>1000</v>
      </c>
      <c r="AC1" s="923" t="s">
        <v>537</v>
      </c>
      <c r="AD1" s="925">
        <v>187</v>
      </c>
      <c r="AI1" s="61"/>
      <c r="AJ1" s="926" t="s">
        <v>250</v>
      </c>
      <c r="AK1" s="926">
        <v>10000</v>
      </c>
      <c r="AL1" s="927" t="s">
        <v>474</v>
      </c>
      <c r="AM1" s="928">
        <f>$S$32/R1</f>
        <v>36245.110821381997</v>
      </c>
      <c r="AN1" s="926" t="s">
        <v>239</v>
      </c>
      <c r="AO1" s="929">
        <f>((AM1))/$AK$1</f>
        <v>3.6245110821381998</v>
      </c>
      <c r="AP1" s="76"/>
      <c r="AS1" s="890"/>
    </row>
    <row r="2" spans="1:46" ht="15.75" x14ac:dyDescent="0.25">
      <c r="A2" s="863"/>
      <c r="B2" s="921"/>
      <c r="C2" s="921"/>
      <c r="D2" s="921"/>
      <c r="E2" s="921"/>
      <c r="F2" s="1784" t="s">
        <v>240</v>
      </c>
      <c r="G2" s="921"/>
      <c r="H2" s="921"/>
      <c r="I2" s="921"/>
      <c r="J2" s="921"/>
      <c r="K2" s="921"/>
      <c r="L2" s="78"/>
      <c r="M2" s="79"/>
      <c r="N2" s="79"/>
      <c r="O2" s="80"/>
      <c r="P2" s="80"/>
      <c r="Q2" s="80"/>
      <c r="R2" s="80"/>
      <c r="T2" s="890"/>
      <c r="W2" s="890"/>
      <c r="Y2" s="890"/>
      <c r="AI2" s="61"/>
      <c r="AJ2" s="930"/>
      <c r="AK2" s="1783" t="s">
        <v>251</v>
      </c>
      <c r="AL2" s="1783"/>
      <c r="AM2" s="1783"/>
      <c r="AN2" s="931"/>
      <c r="AO2" s="930"/>
      <c r="AP2" s="81"/>
      <c r="AS2" s="890"/>
    </row>
    <row r="3" spans="1:46" ht="15.75" x14ac:dyDescent="0.25">
      <c r="A3" s="863"/>
      <c r="B3" s="78"/>
      <c r="C3" s="78"/>
      <c r="D3" s="78"/>
      <c r="E3" s="78"/>
      <c r="F3" s="1785"/>
      <c r="G3" s="78"/>
      <c r="H3" s="78"/>
      <c r="I3" s="78"/>
      <c r="J3" s="78"/>
      <c r="K3" s="78"/>
      <c r="L3" s="78"/>
      <c r="M3" s="80"/>
      <c r="N3" s="80"/>
      <c r="O3" s="80"/>
      <c r="P3" s="80"/>
      <c r="Q3" s="80"/>
      <c r="R3" s="80"/>
      <c r="T3" s="890"/>
      <c r="W3" s="890"/>
      <c r="Y3" s="890"/>
      <c r="AI3" s="61"/>
      <c r="AJ3" s="81"/>
      <c r="AK3" s="81"/>
      <c r="AL3" s="82"/>
      <c r="AM3" s="82"/>
      <c r="AN3" s="82"/>
      <c r="AO3" s="81"/>
      <c r="AP3" s="81"/>
      <c r="AS3" s="890"/>
    </row>
    <row r="4" spans="1:46" ht="38.25" x14ac:dyDescent="0.25">
      <c r="A4" s="933" t="s">
        <v>864</v>
      </c>
      <c r="B4" s="923" t="s">
        <v>241</v>
      </c>
      <c r="C4" s="934" t="s">
        <v>242</v>
      </c>
      <c r="D4" s="923" t="s">
        <v>231</v>
      </c>
      <c r="E4" s="935" t="s">
        <v>234</v>
      </c>
      <c r="F4" s="935" t="s">
        <v>243</v>
      </c>
      <c r="G4" s="923" t="s">
        <v>244</v>
      </c>
      <c r="H4" s="936" t="s">
        <v>245</v>
      </c>
      <c r="I4" s="923" t="s">
        <v>246</v>
      </c>
      <c r="J4" s="923" t="s">
        <v>247</v>
      </c>
      <c r="K4" s="923" t="s">
        <v>248</v>
      </c>
      <c r="L4" s="923" t="s">
        <v>249</v>
      </c>
      <c r="M4" s="80"/>
      <c r="N4" s="80"/>
      <c r="O4" s="80"/>
      <c r="P4" s="80"/>
      <c r="R4" s="890"/>
      <c r="T4" s="890"/>
      <c r="W4" s="890"/>
      <c r="Y4" s="890"/>
      <c r="AI4" s="949"/>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937" t="s">
        <v>872</v>
      </c>
      <c r="B5" s="938" t="s">
        <v>220</v>
      </c>
      <c r="C5" s="939" t="s">
        <v>14</v>
      </c>
      <c r="D5" s="940">
        <f>I51/10</f>
        <v>2311.3713405238827</v>
      </c>
      <c r="E5" s="941">
        <f>H52</f>
        <v>15.681214950587247</v>
      </c>
      <c r="F5" s="942">
        <v>1</v>
      </c>
      <c r="G5" s="940">
        <f t="shared" ref="G5:G22" si="0">D5*E5</f>
        <v>36245.110821381997</v>
      </c>
      <c r="H5" s="943">
        <f t="shared" ref="H5:H22" si="1">G5*F5</f>
        <v>36245.110821381997</v>
      </c>
      <c r="I5" s="914">
        <f>VLOOKUP(B5,All_Ingredients!$A$1:$F$161,6,FALSE())</f>
        <v>0.86</v>
      </c>
      <c r="J5" s="944">
        <f>VLOOKUP(B5,All_Ingredients!$A$1:$J$161,10,FALSE())</f>
        <v>17.100000000000001</v>
      </c>
      <c r="K5" s="945">
        <f>(H5/I5)/1000</f>
        <v>42.145477699281393</v>
      </c>
      <c r="L5" s="945">
        <f t="shared" ref="L5" si="2">K5*J5</f>
        <v>720.68766865771192</v>
      </c>
      <c r="M5" s="80"/>
      <c r="N5" s="80"/>
      <c r="O5" s="80"/>
      <c r="P5" s="80"/>
      <c r="R5" s="890"/>
      <c r="T5" s="890"/>
      <c r="W5" s="890"/>
      <c r="Y5" s="890"/>
      <c r="AI5" s="949"/>
      <c r="AJ5" s="938" t="s">
        <v>220</v>
      </c>
      <c r="AK5" s="951" t="s">
        <v>227</v>
      </c>
      <c r="AL5" s="914">
        <v>10</v>
      </c>
      <c r="AM5" s="918">
        <f>$AO$1</f>
        <v>3.6245110821381998</v>
      </c>
      <c r="AN5" s="948">
        <v>1</v>
      </c>
      <c r="AO5" s="940">
        <f>AL5*AM5</f>
        <v>36.245110821381999</v>
      </c>
      <c r="AP5" s="943">
        <f>AN5*AO5</f>
        <v>36.245110821381999</v>
      </c>
      <c r="AQ5" s="952"/>
      <c r="AR5" s="953"/>
      <c r="AS5" s="954"/>
      <c r="AT5" s="955"/>
    </row>
    <row r="6" spans="1:46" x14ac:dyDescent="0.25">
      <c r="A6" s="946" t="s">
        <v>866</v>
      </c>
      <c r="B6" s="938" t="s">
        <v>12</v>
      </c>
      <c r="C6" s="947" t="s">
        <v>14</v>
      </c>
      <c r="D6" s="914">
        <v>150</v>
      </c>
      <c r="E6" s="918">
        <f t="shared" ref="E6:E22" si="3">$I$1</f>
        <v>18.410256410256416</v>
      </c>
      <c r="F6" s="948">
        <v>0.95</v>
      </c>
      <c r="G6" s="940">
        <f t="shared" si="0"/>
        <v>2761.5384615384623</v>
      </c>
      <c r="H6" s="943">
        <f t="shared" si="1"/>
        <v>2623.461538461539</v>
      </c>
      <c r="I6" s="914">
        <f>VLOOKUP(B6,All_Ingredients!$A$1:$F$161,6,FALSE())</f>
        <v>0.9</v>
      </c>
      <c r="J6" s="944">
        <f>VLOOKUP(B6,All_Ingredients!$A$1:$J$161,10,FALSE())</f>
        <v>3</v>
      </c>
      <c r="K6" s="945">
        <f t="shared" ref="K6:K22" si="4">(H6/I6)/1000</f>
        <v>2.9149572649572657</v>
      </c>
      <c r="L6" s="945">
        <f t="shared" ref="L6:L22" si="5">K6*J6</f>
        <v>8.7448717948717967</v>
      </c>
      <c r="R6" s="890"/>
      <c r="T6" s="890"/>
      <c r="W6" s="890"/>
      <c r="Y6" s="890"/>
      <c r="AI6" s="949" t="s">
        <v>55</v>
      </c>
      <c r="AJ6" s="938" t="s">
        <v>54</v>
      </c>
      <c r="AK6" s="951" t="s">
        <v>14</v>
      </c>
      <c r="AL6" s="914">
        <v>100</v>
      </c>
      <c r="AM6" s="918">
        <f t="shared" ref="AM6:AM13" si="6">$AO$1</f>
        <v>3.6245110821381998</v>
      </c>
      <c r="AN6" s="948">
        <v>1</v>
      </c>
      <c r="AO6" s="940">
        <f t="shared" ref="AO6:AO13" si="7">AL6*AM6</f>
        <v>362.45110821381996</v>
      </c>
      <c r="AP6" s="943">
        <f t="shared" ref="AP6:AP13" si="8">AN6*AO6</f>
        <v>362.45110821381996</v>
      </c>
      <c r="AQ6" s="955">
        <f>VLOOKUP(AJ6,Marination_Ordering!$A:$J,6,FALSE)</f>
        <v>0.87</v>
      </c>
      <c r="AR6" s="955">
        <f>VLOOKUP(AJ6,Marination_Ordering!$A:$J,10,FALSE)</f>
        <v>7</v>
      </c>
      <c r="AS6" s="954">
        <f>AP6/AQ6</f>
        <v>416.6104692112873</v>
      </c>
      <c r="AT6" s="955">
        <f>AR6*(AS6/1000)</f>
        <v>2.9162732844790114</v>
      </c>
    </row>
    <row r="7" spans="1:46" x14ac:dyDescent="0.25">
      <c r="A7" s="946" t="s">
        <v>870</v>
      </c>
      <c r="B7" s="938" t="s">
        <v>17</v>
      </c>
      <c r="C7" s="947" t="s">
        <v>14</v>
      </c>
      <c r="D7" s="914">
        <v>250</v>
      </c>
      <c r="E7" s="918">
        <f t="shared" si="3"/>
        <v>18.410256410256416</v>
      </c>
      <c r="F7" s="948">
        <v>1</v>
      </c>
      <c r="G7" s="940">
        <f t="shared" si="0"/>
        <v>4602.5641025641044</v>
      </c>
      <c r="H7" s="943">
        <f t="shared" si="1"/>
        <v>4602.5641025641044</v>
      </c>
      <c r="I7" s="914">
        <f>VLOOKUP(B7,All_Ingredients!$A$1:$F$161,6,FALSE())</f>
        <v>0.98</v>
      </c>
      <c r="J7" s="944">
        <f>VLOOKUP(B7,All_Ingredients!$A$1:$J$161,10,FALSE())</f>
        <v>3.5</v>
      </c>
      <c r="K7" s="945">
        <f t="shared" si="4"/>
        <v>4.6964939822082696</v>
      </c>
      <c r="L7" s="945">
        <f t="shared" si="5"/>
        <v>16.437728937728945</v>
      </c>
      <c r="R7" s="890"/>
      <c r="T7" s="890"/>
      <c r="W7" s="890"/>
      <c r="Y7" s="890"/>
      <c r="AI7" s="949" t="s">
        <v>13</v>
      </c>
      <c r="AJ7" s="938" t="s">
        <v>706</v>
      </c>
      <c r="AK7" s="951" t="s">
        <v>14</v>
      </c>
      <c r="AL7" s="914">
        <v>100</v>
      </c>
      <c r="AM7" s="918">
        <f t="shared" si="6"/>
        <v>3.6245110821381998</v>
      </c>
      <c r="AN7" s="948">
        <v>1</v>
      </c>
      <c r="AO7" s="940">
        <f t="shared" si="7"/>
        <v>362.45110821381996</v>
      </c>
      <c r="AP7" s="943">
        <f t="shared" si="8"/>
        <v>362.45110821381996</v>
      </c>
      <c r="AQ7" s="955">
        <f>VLOOKUP(AJ7,Marination_Ordering!$A:$J,6,FALSE)</f>
        <v>1</v>
      </c>
      <c r="AR7" s="955">
        <f>VLOOKUP(AJ7,Marination_Ordering!$A:$J,10,FALSE)</f>
        <v>10.5</v>
      </c>
      <c r="AS7" s="954">
        <f t="shared" ref="AS7:AS13" si="9">AP7/AQ7</f>
        <v>362.45110821381996</v>
      </c>
      <c r="AT7" s="955">
        <f t="shared" ref="AT7:AT13" si="10">AR7*(AS7/1000)</f>
        <v>3.8057366362451099</v>
      </c>
    </row>
    <row r="8" spans="1:46" x14ac:dyDescent="0.25">
      <c r="A8" s="946" t="s">
        <v>867</v>
      </c>
      <c r="B8" s="938" t="s">
        <v>54</v>
      </c>
      <c r="C8" s="947" t="s">
        <v>14</v>
      </c>
      <c r="D8" s="914">
        <v>15</v>
      </c>
      <c r="E8" s="918">
        <f t="shared" si="3"/>
        <v>18.410256410256416</v>
      </c>
      <c r="F8" s="948">
        <v>0.9</v>
      </c>
      <c r="G8" s="940">
        <f t="shared" si="0"/>
        <v>276.15384615384625</v>
      </c>
      <c r="H8" s="943">
        <f t="shared" si="1"/>
        <v>248.53846153846163</v>
      </c>
      <c r="I8" s="914">
        <f>VLOOKUP(B8,All_Ingredients!$A$1:$F$161,6,FALSE())</f>
        <v>0.87</v>
      </c>
      <c r="J8" s="944">
        <f>VLOOKUP(B8,All_Ingredients!$A$1:$J$161,10,FALSE())</f>
        <v>7</v>
      </c>
      <c r="K8" s="945">
        <f t="shared" si="4"/>
        <v>0.28567639257294442</v>
      </c>
      <c r="L8" s="945">
        <f t="shared" si="5"/>
        <v>1.9997347480106109</v>
      </c>
      <c r="R8" s="890"/>
      <c r="T8" s="890"/>
      <c r="W8" s="890"/>
      <c r="Y8" s="890"/>
      <c r="AI8" s="949" t="s">
        <v>204</v>
      </c>
      <c r="AJ8" s="938" t="s">
        <v>212</v>
      </c>
      <c r="AK8" s="951" t="s">
        <v>160</v>
      </c>
      <c r="AL8" s="914">
        <v>200</v>
      </c>
      <c r="AM8" s="918">
        <f t="shared" si="6"/>
        <v>3.6245110821381998</v>
      </c>
      <c r="AN8" s="948">
        <v>1</v>
      </c>
      <c r="AO8" s="940">
        <f t="shared" si="7"/>
        <v>724.90221642763993</v>
      </c>
      <c r="AP8" s="943">
        <f t="shared" si="8"/>
        <v>724.90221642763993</v>
      </c>
      <c r="AQ8" s="955">
        <f>VLOOKUP(AJ8,Marination_Ordering!$A:$J,6,FALSE)</f>
        <v>1</v>
      </c>
      <c r="AR8" s="955">
        <f>VLOOKUP(AJ8,Marination_Ordering!$A:$J,10,FALSE)</f>
        <v>5</v>
      </c>
      <c r="AS8" s="954">
        <f t="shared" si="9"/>
        <v>724.90221642763993</v>
      </c>
      <c r="AT8" s="955">
        <f t="shared" si="10"/>
        <v>3.6245110821381998</v>
      </c>
    </row>
    <row r="9" spans="1:46" x14ac:dyDescent="0.25">
      <c r="A9" s="946" t="s">
        <v>868</v>
      </c>
      <c r="B9" s="938" t="s">
        <v>706</v>
      </c>
      <c r="C9" s="947" t="s">
        <v>14</v>
      </c>
      <c r="D9" s="914">
        <v>25</v>
      </c>
      <c r="E9" s="918">
        <f t="shared" si="3"/>
        <v>18.410256410256416</v>
      </c>
      <c r="F9" s="948">
        <v>0.9</v>
      </c>
      <c r="G9" s="940">
        <f t="shared" si="0"/>
        <v>460.25641025641039</v>
      </c>
      <c r="H9" s="943">
        <f t="shared" si="1"/>
        <v>414.23076923076934</v>
      </c>
      <c r="I9" s="914">
        <f>VLOOKUP(B9,All_Ingredients!$A$1:$F$161,6,FALSE())</f>
        <v>1</v>
      </c>
      <c r="J9" s="944">
        <f>VLOOKUP(B9,All_Ingredients!$A$1:$J$161,10,FALSE())</f>
        <v>10.5</v>
      </c>
      <c r="K9" s="945">
        <f t="shared" si="4"/>
        <v>0.41423076923076935</v>
      </c>
      <c r="L9" s="945">
        <f t="shared" si="5"/>
        <v>4.3494230769230784</v>
      </c>
      <c r="R9" s="890"/>
      <c r="T9" s="890"/>
      <c r="W9" s="890"/>
      <c r="Y9" s="890"/>
      <c r="AI9" s="949" t="s">
        <v>204</v>
      </c>
      <c r="AJ9" s="938" t="s">
        <v>208</v>
      </c>
      <c r="AK9" s="951" t="s">
        <v>160</v>
      </c>
      <c r="AL9" s="914">
        <v>100</v>
      </c>
      <c r="AM9" s="918">
        <f t="shared" si="6"/>
        <v>3.6245110821381998</v>
      </c>
      <c r="AN9" s="948">
        <v>1</v>
      </c>
      <c r="AO9" s="940">
        <f t="shared" si="7"/>
        <v>362.45110821381996</v>
      </c>
      <c r="AP9" s="943">
        <f t="shared" si="8"/>
        <v>362.45110821381996</v>
      </c>
      <c r="AQ9" s="955">
        <f>VLOOKUP(AJ9,Marination_Ordering!$A:$J,6,FALSE)</f>
        <v>1</v>
      </c>
      <c r="AR9" s="955">
        <f>VLOOKUP(AJ9,Marination_Ordering!$A:$J,10,FALSE)</f>
        <v>2.1621621621621623</v>
      </c>
      <c r="AS9" s="954">
        <f t="shared" si="9"/>
        <v>362.45110821381996</v>
      </c>
      <c r="AT9" s="955">
        <f t="shared" si="10"/>
        <v>0.78367807181366489</v>
      </c>
    </row>
    <row r="10" spans="1:46" x14ac:dyDescent="0.25">
      <c r="A10" s="949"/>
      <c r="B10" s="938" t="s">
        <v>34</v>
      </c>
      <c r="C10" s="947" t="s">
        <v>14</v>
      </c>
      <c r="D10" s="914">
        <v>5</v>
      </c>
      <c r="E10" s="918">
        <f t="shared" si="3"/>
        <v>18.410256410256416</v>
      </c>
      <c r="F10" s="948">
        <v>0.75</v>
      </c>
      <c r="G10" s="940">
        <f t="shared" si="0"/>
        <v>92.051282051282072</v>
      </c>
      <c r="H10" s="943">
        <f t="shared" si="1"/>
        <v>69.038461538461547</v>
      </c>
      <c r="I10" s="914">
        <f>VLOOKUP(B10,All_Ingredients!$A$1:$F$161,6,FALSE())</f>
        <v>0.86</v>
      </c>
      <c r="J10" s="944">
        <f>VLOOKUP(B10,All_Ingredients!$A$1:$J$161,10,FALSE())</f>
        <v>14</v>
      </c>
      <c r="K10" s="945">
        <f t="shared" si="4"/>
        <v>8.027728085867622E-2</v>
      </c>
      <c r="L10" s="945">
        <f t="shared" si="5"/>
        <v>1.123881932021467</v>
      </c>
      <c r="R10" s="890"/>
      <c r="T10" s="890"/>
      <c r="W10" s="890"/>
      <c r="Y10" s="890"/>
      <c r="AI10" s="949" t="s">
        <v>94</v>
      </c>
      <c r="AJ10" s="938" t="s">
        <v>93</v>
      </c>
      <c r="AK10" s="951" t="s">
        <v>14</v>
      </c>
      <c r="AL10" s="914">
        <v>30</v>
      </c>
      <c r="AM10" s="918">
        <f t="shared" si="6"/>
        <v>3.6245110821381998</v>
      </c>
      <c r="AN10" s="948">
        <v>1</v>
      </c>
      <c r="AO10" s="940">
        <f t="shared" si="7"/>
        <v>108.735332464146</v>
      </c>
      <c r="AP10" s="943">
        <f t="shared" si="8"/>
        <v>108.735332464146</v>
      </c>
      <c r="AQ10" s="955">
        <f>VLOOKUP(AJ10,Marination_Ordering!$A:$J,6,FALSE)</f>
        <v>1</v>
      </c>
      <c r="AR10" s="955">
        <f>VLOOKUP(AJ10,Marination_Ordering!$A:$J,10,FALSE)</f>
        <v>0.74</v>
      </c>
      <c r="AS10" s="954">
        <f t="shared" si="9"/>
        <v>108.735332464146</v>
      </c>
      <c r="AT10" s="955">
        <f t="shared" si="10"/>
        <v>8.0464146023468047E-2</v>
      </c>
    </row>
    <row r="11" spans="1:46" ht="25.5" x14ac:dyDescent="0.25">
      <c r="A11" s="949"/>
      <c r="B11" s="938" t="s">
        <v>105</v>
      </c>
      <c r="C11" s="947" t="s">
        <v>14</v>
      </c>
      <c r="D11" s="914">
        <v>5</v>
      </c>
      <c r="E11" s="918">
        <f t="shared" si="3"/>
        <v>18.410256410256416</v>
      </c>
      <c r="F11" s="948">
        <v>0.9</v>
      </c>
      <c r="G11" s="940">
        <f t="shared" si="0"/>
        <v>92.051282051282072</v>
      </c>
      <c r="H11" s="943">
        <f t="shared" si="1"/>
        <v>82.846153846153868</v>
      </c>
      <c r="I11" s="914">
        <f>VLOOKUP(B11,All_Ingredients!$A$1:$F$161,6,FALSE())</f>
        <v>1</v>
      </c>
      <c r="J11" s="944">
        <f>VLOOKUP(B11,All_Ingredients!$A$1:$J$161,10,FALSE())</f>
        <v>15</v>
      </c>
      <c r="K11" s="945">
        <f t="shared" si="4"/>
        <v>8.2846153846153875E-2</v>
      </c>
      <c r="L11" s="945">
        <f t="shared" si="5"/>
        <v>1.2426923076923082</v>
      </c>
      <c r="R11" s="890"/>
      <c r="T11" s="890"/>
      <c r="W11" s="890"/>
      <c r="Y11" s="890"/>
      <c r="AI11" s="949" t="s">
        <v>94</v>
      </c>
      <c r="AJ11" s="938" t="s">
        <v>99</v>
      </c>
      <c r="AK11" s="951" t="s">
        <v>14</v>
      </c>
      <c r="AL11" s="914">
        <v>5</v>
      </c>
      <c r="AM11" s="918">
        <f t="shared" si="6"/>
        <v>3.6245110821381998</v>
      </c>
      <c r="AN11" s="948">
        <v>1</v>
      </c>
      <c r="AO11" s="940">
        <f t="shared" si="7"/>
        <v>18.122555410691</v>
      </c>
      <c r="AP11" s="943">
        <f t="shared" si="8"/>
        <v>18.122555410691</v>
      </c>
      <c r="AQ11" s="955">
        <f>VLOOKUP(AJ11,Marination_Ordering!$A:$J,6,FALSE)</f>
        <v>1</v>
      </c>
      <c r="AR11" s="955">
        <f>VLOOKUP(AJ11,Marination_Ordering!$A:$J,10,FALSE)</f>
        <v>31</v>
      </c>
      <c r="AS11" s="954">
        <f t="shared" si="9"/>
        <v>18.122555410691</v>
      </c>
      <c r="AT11" s="955">
        <f t="shared" si="10"/>
        <v>0.56179921773142105</v>
      </c>
    </row>
    <row r="12" spans="1:46" x14ac:dyDescent="0.25">
      <c r="A12" s="949"/>
      <c r="B12" s="938" t="s">
        <v>107</v>
      </c>
      <c r="C12" s="947" t="s">
        <v>14</v>
      </c>
      <c r="D12" s="914">
        <v>5</v>
      </c>
      <c r="E12" s="918">
        <f t="shared" si="3"/>
        <v>18.410256410256416</v>
      </c>
      <c r="F12" s="948">
        <v>0.9</v>
      </c>
      <c r="G12" s="940">
        <f t="shared" si="0"/>
        <v>92.051282051282072</v>
      </c>
      <c r="H12" s="943">
        <f t="shared" si="1"/>
        <v>82.846153846153868</v>
      </c>
      <c r="I12" s="914">
        <f>VLOOKUP(B12,All_Ingredients!$A$1:$F$161,6,FALSE())</f>
        <v>1</v>
      </c>
      <c r="J12" s="944">
        <f>VLOOKUP(B12,All_Ingredients!$A$1:$J$161,10,FALSE())</f>
        <v>8</v>
      </c>
      <c r="K12" s="945">
        <f t="shared" si="4"/>
        <v>8.2846153846153875E-2</v>
      </c>
      <c r="L12" s="945">
        <f t="shared" si="5"/>
        <v>0.662769230769231</v>
      </c>
      <c r="R12" s="890"/>
      <c r="T12" s="890"/>
      <c r="W12" s="890"/>
      <c r="Y12" s="890"/>
      <c r="AI12" s="949" t="s">
        <v>94</v>
      </c>
      <c r="AJ12" s="938" t="s">
        <v>105</v>
      </c>
      <c r="AK12" s="951" t="s">
        <v>14</v>
      </c>
      <c r="AL12" s="914">
        <v>25</v>
      </c>
      <c r="AM12" s="918">
        <f t="shared" si="6"/>
        <v>3.6245110821381998</v>
      </c>
      <c r="AN12" s="948">
        <v>1</v>
      </c>
      <c r="AO12" s="940">
        <f t="shared" si="7"/>
        <v>90.612777053454991</v>
      </c>
      <c r="AP12" s="943">
        <f t="shared" si="8"/>
        <v>90.612777053454991</v>
      </c>
      <c r="AQ12" s="955">
        <f>VLOOKUP(AJ12,Marination_Ordering!$A:$J,6,FALSE)</f>
        <v>1</v>
      </c>
      <c r="AR12" s="955">
        <f>VLOOKUP(AJ12,Marination_Ordering!$A:$J,10,FALSE)</f>
        <v>15</v>
      </c>
      <c r="AS12" s="954">
        <f t="shared" si="9"/>
        <v>90.612777053454991</v>
      </c>
      <c r="AT12" s="955">
        <f t="shared" si="10"/>
        <v>1.3591916558018249</v>
      </c>
    </row>
    <row r="13" spans="1:46" x14ac:dyDescent="0.25">
      <c r="A13" s="949"/>
      <c r="B13" s="938" t="s">
        <v>108</v>
      </c>
      <c r="C13" s="947" t="s">
        <v>14</v>
      </c>
      <c r="D13" s="914">
        <v>10</v>
      </c>
      <c r="E13" s="918">
        <f t="shared" si="3"/>
        <v>18.410256410256416</v>
      </c>
      <c r="F13" s="948">
        <v>0.75</v>
      </c>
      <c r="G13" s="940">
        <f t="shared" si="0"/>
        <v>184.10256410256414</v>
      </c>
      <c r="H13" s="943">
        <f t="shared" si="1"/>
        <v>138.07692307692309</v>
      </c>
      <c r="I13" s="914">
        <f>VLOOKUP(B13,All_Ingredients!$A$1:$F$161,6,FALSE())</f>
        <v>1</v>
      </c>
      <c r="J13" s="944">
        <f>VLOOKUP(B13,All_Ingredients!$A$1:$J$161,10,FALSE())</f>
        <v>26.5</v>
      </c>
      <c r="K13" s="945">
        <f t="shared" si="4"/>
        <v>0.1380769230769231</v>
      </c>
      <c r="L13" s="945">
        <f t="shared" si="5"/>
        <v>3.6590384615384619</v>
      </c>
      <c r="R13" s="890"/>
      <c r="T13" s="890"/>
      <c r="W13" s="890"/>
      <c r="Y13" s="890"/>
      <c r="AI13" s="949" t="s">
        <v>94</v>
      </c>
      <c r="AJ13" s="938" t="s">
        <v>108</v>
      </c>
      <c r="AK13" s="951" t="s">
        <v>14</v>
      </c>
      <c r="AL13" s="914">
        <v>50</v>
      </c>
      <c r="AM13" s="918">
        <f t="shared" si="6"/>
        <v>3.6245110821381998</v>
      </c>
      <c r="AN13" s="948">
        <v>1</v>
      </c>
      <c r="AO13" s="940">
        <f t="shared" si="7"/>
        <v>181.22555410690998</v>
      </c>
      <c r="AP13" s="943">
        <f t="shared" si="8"/>
        <v>181.22555410690998</v>
      </c>
      <c r="AQ13" s="955">
        <f>VLOOKUP(AJ13,Marination_Ordering!$A:$J,6,FALSE)</f>
        <v>1</v>
      </c>
      <c r="AR13" s="955">
        <f>VLOOKUP(AJ13,Marination_Ordering!$A:$J,10,FALSE)</f>
        <v>26.5</v>
      </c>
      <c r="AS13" s="954">
        <f t="shared" si="9"/>
        <v>181.22555410690998</v>
      </c>
      <c r="AT13" s="955">
        <f t="shared" si="10"/>
        <v>4.8024771838331146</v>
      </c>
    </row>
    <row r="14" spans="1:46" ht="25.5" x14ac:dyDescent="0.25">
      <c r="A14" s="949"/>
      <c r="B14" s="938" t="s">
        <v>799</v>
      </c>
      <c r="C14" s="947" t="s">
        <v>14</v>
      </c>
      <c r="D14" s="914">
        <v>2</v>
      </c>
      <c r="E14" s="918">
        <f t="shared" si="3"/>
        <v>18.410256410256416</v>
      </c>
      <c r="F14" s="948">
        <v>0.75</v>
      </c>
      <c r="G14" s="940">
        <f t="shared" si="0"/>
        <v>36.820512820512832</v>
      </c>
      <c r="H14" s="943">
        <f t="shared" si="1"/>
        <v>27.615384615384624</v>
      </c>
      <c r="I14" s="914">
        <f>VLOOKUP(B14,All_Ingredients!$A$1:$F$161,6,FALSE())</f>
        <v>1</v>
      </c>
      <c r="J14" s="944">
        <f>VLOOKUP(B14,All_Ingredients!$A$1:$J$161,10,FALSE())</f>
        <v>22.5</v>
      </c>
      <c r="K14" s="945">
        <f t="shared" si="4"/>
        <v>2.7615384615384625E-2</v>
      </c>
      <c r="L14" s="945">
        <f t="shared" si="5"/>
        <v>0.6213461538461541</v>
      </c>
      <c r="R14" s="890"/>
      <c r="T14" s="890"/>
      <c r="W14" s="890"/>
      <c r="Y14" s="890"/>
      <c r="AJ14" s="890"/>
      <c r="AK14" s="890"/>
      <c r="AL14" s="890"/>
      <c r="AM14" s="890"/>
      <c r="AN14" s="890"/>
      <c r="AP14" s="890"/>
      <c r="AR14" s="550"/>
      <c r="AS14" s="890"/>
    </row>
    <row r="15" spans="1:46" x14ac:dyDescent="0.25">
      <c r="A15" s="949"/>
      <c r="B15" s="938" t="s">
        <v>139</v>
      </c>
      <c r="C15" s="947" t="s">
        <v>14</v>
      </c>
      <c r="D15" s="914">
        <v>5</v>
      </c>
      <c r="E15" s="918">
        <f t="shared" si="3"/>
        <v>18.410256410256416</v>
      </c>
      <c r="F15" s="948">
        <v>0.6</v>
      </c>
      <c r="G15" s="940">
        <f t="shared" si="0"/>
        <v>92.051282051282072</v>
      </c>
      <c r="H15" s="943">
        <f t="shared" si="1"/>
        <v>55.230769230769241</v>
      </c>
      <c r="I15" s="914">
        <f>VLOOKUP(B15,All_Ingredients!$A$1:$F$161,6,FALSE())</f>
        <v>1</v>
      </c>
      <c r="J15" s="944">
        <f>VLOOKUP(B15,All_Ingredients!$A$1:$J$161,10,FALSE())</f>
        <v>15.277777777777779</v>
      </c>
      <c r="K15" s="945">
        <f t="shared" si="4"/>
        <v>5.5230769230769243E-2</v>
      </c>
      <c r="L15" s="945">
        <f t="shared" si="5"/>
        <v>0.84380341880341903</v>
      </c>
      <c r="R15" s="890"/>
      <c r="T15" s="890"/>
      <c r="W15" s="890"/>
      <c r="Y15" s="890"/>
      <c r="AJ15" s="890"/>
      <c r="AK15" s="890"/>
      <c r="AL15" s="890"/>
      <c r="AM15" s="890"/>
      <c r="AN15" s="890"/>
      <c r="AP15" s="890"/>
      <c r="AS15" s="890"/>
    </row>
    <row r="16" spans="1:46" x14ac:dyDescent="0.25">
      <c r="A16" s="949"/>
      <c r="B16" s="938" t="s">
        <v>93</v>
      </c>
      <c r="C16" s="947" t="s">
        <v>14</v>
      </c>
      <c r="D16" s="914">
        <v>5</v>
      </c>
      <c r="E16" s="918">
        <f t="shared" si="3"/>
        <v>18.410256410256416</v>
      </c>
      <c r="F16" s="948">
        <v>0.75</v>
      </c>
      <c r="G16" s="940">
        <f t="shared" si="0"/>
        <v>92.051282051282072</v>
      </c>
      <c r="H16" s="943">
        <f t="shared" si="1"/>
        <v>69.038461538461547</v>
      </c>
      <c r="I16" s="914">
        <f>VLOOKUP(B16,All_Ingredients!$A$1:$F$161,6,FALSE())</f>
        <v>1</v>
      </c>
      <c r="J16" s="944">
        <f>VLOOKUP(B16,All_Ingredients!$A$1:$J$161,10,FALSE())</f>
        <v>0.74</v>
      </c>
      <c r="K16" s="945">
        <f t="shared" si="4"/>
        <v>6.9038461538461549E-2</v>
      </c>
      <c r="L16" s="945">
        <f t="shared" si="5"/>
        <v>5.1088461538461548E-2</v>
      </c>
      <c r="R16" s="890"/>
      <c r="T16" s="890"/>
      <c r="W16" s="890"/>
      <c r="Y16" s="890"/>
      <c r="AJ16" s="890"/>
      <c r="AK16" s="890"/>
      <c r="AL16" s="890"/>
      <c r="AM16" s="890"/>
      <c r="AN16" s="890"/>
      <c r="AP16" s="890"/>
      <c r="AS16" s="890"/>
    </row>
    <row r="17" spans="1:32" x14ac:dyDescent="0.25">
      <c r="A17" s="949"/>
      <c r="B17" s="938" t="s">
        <v>152</v>
      </c>
      <c r="C17" s="947" t="s">
        <v>14</v>
      </c>
      <c r="D17" s="914">
        <v>20</v>
      </c>
      <c r="E17" s="918">
        <f t="shared" si="3"/>
        <v>18.410256410256416</v>
      </c>
      <c r="F17" s="948">
        <v>1</v>
      </c>
      <c r="G17" s="940">
        <f t="shared" si="0"/>
        <v>368.20512820512829</v>
      </c>
      <c r="H17" s="943">
        <f t="shared" si="1"/>
        <v>368.20512820512829</v>
      </c>
      <c r="I17" s="914">
        <f>VLOOKUP(B17,All_Ingredients!$A$1:$F$161,6,FALSE())</f>
        <v>1</v>
      </c>
      <c r="J17" s="944">
        <f>VLOOKUP(B17,All_Ingredients!$A$1:$J$161,10,FALSE())</f>
        <v>30</v>
      </c>
      <c r="K17" s="945">
        <f t="shared" si="4"/>
        <v>0.3682051282051283</v>
      </c>
      <c r="L17" s="945">
        <f t="shared" si="5"/>
        <v>11.04615384615385</v>
      </c>
      <c r="R17" s="890"/>
      <c r="T17" s="890"/>
      <c r="W17" s="890"/>
      <c r="Y17" s="890"/>
    </row>
    <row r="18" spans="1:32" x14ac:dyDescent="0.25">
      <c r="A18" s="949"/>
      <c r="B18" s="938" t="s">
        <v>163</v>
      </c>
      <c r="C18" s="947" t="s">
        <v>14</v>
      </c>
      <c r="D18" s="914">
        <v>200</v>
      </c>
      <c r="E18" s="918">
        <f t="shared" si="3"/>
        <v>18.410256410256416</v>
      </c>
      <c r="F18" s="948">
        <v>1</v>
      </c>
      <c r="G18" s="940">
        <f t="shared" si="0"/>
        <v>3682.0512820512831</v>
      </c>
      <c r="H18" s="943">
        <f t="shared" si="1"/>
        <v>3682.0512820512831</v>
      </c>
      <c r="I18" s="914">
        <f>VLOOKUP(B18,All_Ingredients!$A$1:$F$161,6,FALSE())</f>
        <v>1</v>
      </c>
      <c r="J18" s="944">
        <f>VLOOKUP(B18,All_Ingredients!$A$1:$J$161,10,FALSE())</f>
        <v>6.6959999999999997</v>
      </c>
      <c r="K18" s="945">
        <f t="shared" si="4"/>
        <v>3.6820512820512832</v>
      </c>
      <c r="L18" s="945">
        <f t="shared" si="5"/>
        <v>24.655015384615393</v>
      </c>
      <c r="R18" s="890"/>
      <c r="T18" s="890"/>
      <c r="W18" s="890"/>
      <c r="Y18" s="890"/>
    </row>
    <row r="19" spans="1:32" x14ac:dyDescent="0.25">
      <c r="A19" s="949"/>
      <c r="B19" s="938" t="s">
        <v>166</v>
      </c>
      <c r="C19" s="947" t="s">
        <v>160</v>
      </c>
      <c r="D19" s="914">
        <v>300</v>
      </c>
      <c r="E19" s="918">
        <f t="shared" si="3"/>
        <v>18.410256410256416</v>
      </c>
      <c r="F19" s="948">
        <v>1</v>
      </c>
      <c r="G19" s="940">
        <f t="shared" si="0"/>
        <v>5523.0769230769247</v>
      </c>
      <c r="H19" s="943">
        <f t="shared" si="1"/>
        <v>5523.0769230769247</v>
      </c>
      <c r="I19" s="914">
        <f>VLOOKUP(B19,All_Ingredients!$A$1:$F$161,6,FALSE())</f>
        <v>1</v>
      </c>
      <c r="J19" s="944">
        <f>VLOOKUP(B19,All_Ingredients!$A$1:$J$161,10,FALSE())</f>
        <v>12.666666666666666</v>
      </c>
      <c r="K19" s="945">
        <f t="shared" si="4"/>
        <v>5.5230769230769248</v>
      </c>
      <c r="L19" s="945">
        <f t="shared" si="5"/>
        <v>69.958974358974373</v>
      </c>
      <c r="R19" s="890"/>
      <c r="T19" s="890"/>
      <c r="W19" s="890"/>
      <c r="Y19" s="890"/>
    </row>
    <row r="20" spans="1:32" x14ac:dyDescent="0.25">
      <c r="A20" s="949"/>
      <c r="B20" s="938" t="s">
        <v>203</v>
      </c>
      <c r="C20" s="947" t="s">
        <v>160</v>
      </c>
      <c r="D20" s="914">
        <v>170</v>
      </c>
      <c r="E20" s="918">
        <f t="shared" si="3"/>
        <v>18.410256410256416</v>
      </c>
      <c r="F20" s="948">
        <v>1</v>
      </c>
      <c r="G20" s="940">
        <f t="shared" si="0"/>
        <v>3129.7435897435907</v>
      </c>
      <c r="H20" s="943">
        <f t="shared" si="1"/>
        <v>3129.7435897435907</v>
      </c>
      <c r="I20" s="914">
        <f>VLOOKUP(B20,All_Ingredients!$A$1:$F$161,6,FALSE())</f>
        <v>1</v>
      </c>
      <c r="J20" s="944">
        <f>VLOOKUP(B20,All_Ingredients!$A$1:$J$161,10,FALSE())</f>
        <v>0</v>
      </c>
      <c r="K20" s="945">
        <f t="shared" si="4"/>
        <v>3.1297435897435908</v>
      </c>
      <c r="L20" s="945">
        <f t="shared" si="5"/>
        <v>0</v>
      </c>
      <c r="R20" s="890"/>
      <c r="T20" s="890"/>
      <c r="W20" s="890"/>
      <c r="Y20" s="890"/>
    </row>
    <row r="21" spans="1:32" x14ac:dyDescent="0.2">
      <c r="A21" s="946" t="s">
        <v>869</v>
      </c>
      <c r="B21" s="938" t="s">
        <v>60</v>
      </c>
      <c r="C21" s="947" t="s">
        <v>14</v>
      </c>
      <c r="D21" s="950">
        <v>5</v>
      </c>
      <c r="E21" s="918">
        <f t="shared" si="3"/>
        <v>18.410256410256416</v>
      </c>
      <c r="F21" s="948">
        <v>0.75</v>
      </c>
      <c r="G21" s="940">
        <f t="shared" si="0"/>
        <v>92.051282051282072</v>
      </c>
      <c r="H21" s="943">
        <f t="shared" si="1"/>
        <v>69.038461538461547</v>
      </c>
      <c r="I21" s="914">
        <f>VLOOKUP(B21,All_Ingredients!$A$1:$F$161,6,FALSE())</f>
        <v>0.94</v>
      </c>
      <c r="J21" s="944">
        <f>VLOOKUP(B21,All_Ingredients!$A$1:$J$161,10,FALSE())</f>
        <v>3.6363636363636367</v>
      </c>
      <c r="K21" s="945">
        <f t="shared" si="4"/>
        <v>7.3445171849427185E-2</v>
      </c>
      <c r="L21" s="945">
        <f t="shared" si="5"/>
        <v>0.26707335217973527</v>
      </c>
      <c r="R21" s="890"/>
      <c r="T21" s="890"/>
      <c r="W21" s="890"/>
      <c r="Y21" s="890"/>
    </row>
    <row r="22" spans="1:32" x14ac:dyDescent="0.25">
      <c r="A22" s="949"/>
      <c r="B22" s="938" t="s">
        <v>187</v>
      </c>
      <c r="C22" s="947" t="s">
        <v>14</v>
      </c>
      <c r="D22" s="950">
        <v>20</v>
      </c>
      <c r="E22" s="918">
        <f t="shared" si="3"/>
        <v>18.410256410256416</v>
      </c>
      <c r="F22" s="948">
        <v>1</v>
      </c>
      <c r="G22" s="940">
        <f t="shared" si="0"/>
        <v>368.20512820512829</v>
      </c>
      <c r="H22" s="943">
        <f t="shared" si="1"/>
        <v>368.20512820512829</v>
      </c>
      <c r="I22" s="914">
        <f>VLOOKUP(B22,All_Ingredients!$A$1:$F$161,6,FALSE())</f>
        <v>0.9</v>
      </c>
      <c r="J22" s="944">
        <f>VLOOKUP(B22,All_Ingredients!$A$1:$J$161,10,FALSE())</f>
        <v>2.3199999999999998</v>
      </c>
      <c r="K22" s="945">
        <f t="shared" si="4"/>
        <v>0.4091168091168092</v>
      </c>
      <c r="L22" s="945">
        <f t="shared" si="5"/>
        <v>0.94915099715099727</v>
      </c>
      <c r="M22" s="87"/>
      <c r="N22" s="87"/>
      <c r="R22" s="890"/>
      <c r="T22" s="890"/>
      <c r="W22" s="890"/>
      <c r="Y22" s="890"/>
    </row>
    <row r="23" spans="1:32" x14ac:dyDescent="0.25">
      <c r="B23" s="890"/>
      <c r="C23" s="89"/>
      <c r="D23" s="147"/>
      <c r="E23" s="238"/>
      <c r="F23" s="900"/>
      <c r="G23" s="92"/>
      <c r="H23" s="901"/>
      <c r="I23" s="73"/>
      <c r="J23" s="94"/>
      <c r="K23" s="73"/>
      <c r="L23" s="95"/>
      <c r="M23" s="87"/>
      <c r="N23" s="87"/>
      <c r="R23" s="890"/>
      <c r="T23" s="890"/>
      <c r="W23" s="890"/>
      <c r="Y23" s="890"/>
      <c r="Z23" s="597"/>
    </row>
    <row r="24" spans="1:32" x14ac:dyDescent="0.25">
      <c r="B24" s="890"/>
      <c r="D24" s="890"/>
      <c r="E24" s="890"/>
      <c r="F24" s="890"/>
      <c r="H24" s="890"/>
      <c r="I24" s="73"/>
      <c r="J24" s="94"/>
      <c r="K24" s="73"/>
      <c r="L24" s="95"/>
      <c r="M24" s="87"/>
      <c r="N24" s="87"/>
      <c r="R24" s="890"/>
      <c r="S24" s="244"/>
      <c r="T24" s="890"/>
      <c r="W24" s="890"/>
      <c r="Y24" s="890"/>
      <c r="Z24" s="597"/>
    </row>
    <row r="25" spans="1:32" ht="15.75" x14ac:dyDescent="0.25">
      <c r="B25" s="890"/>
      <c r="D25" s="890"/>
      <c r="E25" s="890"/>
      <c r="F25" s="890"/>
      <c r="H25" s="890"/>
      <c r="I25" s="73"/>
      <c r="J25" s="94"/>
      <c r="K25" s="73"/>
      <c r="L25" s="95"/>
      <c r="M25" s="87"/>
      <c r="N25" s="87"/>
      <c r="R25" s="1779" t="s">
        <v>251</v>
      </c>
      <c r="S25" s="1780"/>
      <c r="T25" s="1779"/>
      <c r="U25" s="1780"/>
      <c r="V25" s="956"/>
      <c r="W25" s="957"/>
      <c r="Y25" s="890"/>
      <c r="Z25" s="982" t="s">
        <v>252</v>
      </c>
      <c r="AA25" s="983">
        <v>1</v>
      </c>
      <c r="AB25" s="984" t="s">
        <v>249</v>
      </c>
      <c r="AC25" s="985">
        <f>(AA25*(4/3))*AF30+(AA30*(AB28/R1))</f>
        <v>3.1887097139624572E-2</v>
      </c>
      <c r="AD25" s="146"/>
      <c r="AE25" s="146"/>
      <c r="AF25" s="146"/>
    </row>
    <row r="26" spans="1:32" x14ac:dyDescent="0.25">
      <c r="B26" s="890"/>
      <c r="D26" s="890"/>
      <c r="E26" s="890"/>
      <c r="F26" s="890"/>
      <c r="H26" s="890"/>
      <c r="I26" s="73"/>
      <c r="J26" s="94"/>
      <c r="K26" s="73"/>
      <c r="L26" s="95"/>
      <c r="M26" s="87"/>
      <c r="N26" s="87"/>
      <c r="R26" s="1786" t="s">
        <v>253</v>
      </c>
      <c r="S26" s="1787"/>
      <c r="T26" s="1788"/>
      <c r="U26" s="1787"/>
      <c r="V26" s="956"/>
      <c r="W26" s="957"/>
      <c r="Y26" s="890"/>
      <c r="Z26" s="146"/>
      <c r="AA26" s="146"/>
      <c r="AB26" s="146"/>
      <c r="AC26" s="598"/>
      <c r="AD26" s="146"/>
      <c r="AE26" s="146"/>
      <c r="AF26" s="146"/>
    </row>
    <row r="27" spans="1:32" ht="15.75" x14ac:dyDescent="0.25">
      <c r="B27" s="80"/>
      <c r="C27" s="426"/>
      <c r="D27" s="230"/>
      <c r="E27" s="230"/>
      <c r="F27" s="230"/>
      <c r="G27" s="426"/>
      <c r="H27" s="830"/>
      <c r="I27" s="73"/>
      <c r="J27" s="94"/>
      <c r="K27" s="73"/>
      <c r="L27" s="95"/>
      <c r="M27" s="87"/>
      <c r="N27" s="87"/>
      <c r="R27" s="961" t="s">
        <v>254</v>
      </c>
      <c r="S27" s="962" t="s">
        <v>255</v>
      </c>
      <c r="T27" s="961" t="s">
        <v>256</v>
      </c>
      <c r="U27" s="962" t="s">
        <v>257</v>
      </c>
      <c r="V27" s="962" t="s">
        <v>746</v>
      </c>
      <c r="W27" s="961" t="s">
        <v>753</v>
      </c>
      <c r="Y27" s="890"/>
      <c r="Z27" s="984" t="s">
        <v>258</v>
      </c>
      <c r="AA27" s="984" t="s">
        <v>311</v>
      </c>
      <c r="AB27" s="984" t="s">
        <v>259</v>
      </c>
      <c r="AC27" s="984" t="s">
        <v>260</v>
      </c>
      <c r="AD27" s="984" t="s">
        <v>261</v>
      </c>
      <c r="AE27" s="984" t="s">
        <v>753</v>
      </c>
      <c r="AF27" s="984" t="s">
        <v>262</v>
      </c>
    </row>
    <row r="28" spans="1:32" x14ac:dyDescent="0.25">
      <c r="B28" s="235"/>
      <c r="C28" s="227"/>
      <c r="D28" s="876"/>
      <c r="E28" s="235"/>
      <c r="F28" s="235"/>
      <c r="G28" s="177"/>
      <c r="H28" s="902"/>
      <c r="I28" s="73"/>
      <c r="J28" s="94"/>
      <c r="K28" s="73"/>
      <c r="L28" s="95"/>
      <c r="M28" s="87"/>
      <c r="N28" s="87"/>
      <c r="R28" s="961" t="s">
        <v>263</v>
      </c>
      <c r="S28" s="963">
        <f>U28*S40</f>
        <v>20615.38461538461</v>
      </c>
      <c r="T28" s="964">
        <f>U28*U40</f>
        <v>6184.6153846153911</v>
      </c>
      <c r="U28" s="965">
        <f>$Z$1</f>
        <v>26800</v>
      </c>
      <c r="V28" s="966">
        <f>SUM(AP5:AP13)</f>
        <v>2247.1968709256835</v>
      </c>
      <c r="W28" s="967">
        <f>H37</f>
        <v>13.090000000000002</v>
      </c>
      <c r="Y28" s="890"/>
      <c r="Z28" s="986"/>
      <c r="AA28" s="987"/>
      <c r="AB28" s="988">
        <f>AA25*$S$40</f>
        <v>0.76923076923076905</v>
      </c>
      <c r="AC28" s="988">
        <f>AA25*U40</f>
        <v>0.230769230769231</v>
      </c>
      <c r="AD28" s="989">
        <f>AA25*(1/3)</f>
        <v>0.33333333333333331</v>
      </c>
      <c r="AE28" s="987"/>
      <c r="AF28" s="990">
        <f>SUM(AB28:AD28)</f>
        <v>1.3333333333333333</v>
      </c>
    </row>
    <row r="29" spans="1:32" x14ac:dyDescent="0.25">
      <c r="B29" s="890"/>
      <c r="D29" s="890"/>
      <c r="E29" s="890"/>
      <c r="F29" s="890"/>
      <c r="H29" s="890"/>
      <c r="I29" s="73"/>
      <c r="J29" s="94"/>
      <c r="K29" s="73"/>
      <c r="L29" s="95"/>
      <c r="M29" s="87"/>
      <c r="N29" s="87"/>
      <c r="R29" s="961" t="s">
        <v>264</v>
      </c>
      <c r="S29" s="968"/>
      <c r="T29" s="967">
        <f>U28*(1/3)</f>
        <v>8933.3333333333321</v>
      </c>
      <c r="U29" s="963">
        <f>T29</f>
        <v>8933.3333333333321</v>
      </c>
      <c r="V29" s="966"/>
      <c r="W29" s="967"/>
      <c r="Y29" s="890"/>
      <c r="Z29" s="986"/>
      <c r="AA29" s="991"/>
      <c r="AB29" s="992">
        <f>AB28/$AF$28</f>
        <v>0.57692307692307687</v>
      </c>
      <c r="AC29" s="992">
        <f>AC28/$AF$28</f>
        <v>0.17307692307692327</v>
      </c>
      <c r="AD29" s="992">
        <f>AD28/AF28</f>
        <v>0.25</v>
      </c>
      <c r="AE29" s="991"/>
      <c r="AF29" s="993">
        <f>AF28/$AF$28</f>
        <v>1</v>
      </c>
    </row>
    <row r="30" spans="1:32" x14ac:dyDescent="0.25">
      <c r="B30" s="890"/>
      <c r="D30" s="890"/>
      <c r="E30" s="890"/>
      <c r="F30" s="890"/>
      <c r="H30" s="890"/>
      <c r="I30" s="73"/>
      <c r="J30" s="94"/>
      <c r="K30" s="73"/>
      <c r="L30" s="95"/>
      <c r="M30" s="87"/>
      <c r="N30" s="87"/>
      <c r="R30" s="961" t="s">
        <v>265</v>
      </c>
      <c r="S30" s="969">
        <f>U30*S40</f>
        <v>769.23076923076906</v>
      </c>
      <c r="T30" s="970">
        <f>(U30*U40)+(U30*0.3)</f>
        <v>530.76923076923094</v>
      </c>
      <c r="U30" s="971">
        <f>$AB$1</f>
        <v>1000</v>
      </c>
      <c r="V30" s="972"/>
      <c r="W30" s="973"/>
      <c r="Y30" s="890"/>
      <c r="Z30" s="984" t="s">
        <v>266</v>
      </c>
      <c r="AA30" s="994">
        <f>V35/(S32/R1)</f>
        <v>4.9480139173656409E-4</v>
      </c>
      <c r="AB30" s="990">
        <f>S35/(S32)</f>
        <v>3.3701221915648408E-2</v>
      </c>
      <c r="AC30" s="990">
        <f>T35/T32</f>
        <v>9.3689941210059174E-3</v>
      </c>
      <c r="AD30" s="990">
        <f>T35/T32</f>
        <v>9.3689941210059174E-3</v>
      </c>
      <c r="AE30" s="995">
        <f>W35/U32</f>
        <v>2.4670529107915687E-5</v>
      </c>
      <c r="AF30" s="996">
        <f>(SUMPRODUCT(AB30:AD30,AB29:AD29))+AE30</f>
        <v>2.3431488377792194E-2</v>
      </c>
    </row>
    <row r="31" spans="1:32" x14ac:dyDescent="0.25">
      <c r="B31" s="890"/>
      <c r="D31" s="890"/>
      <c r="E31" s="890"/>
      <c r="F31" s="890"/>
      <c r="H31" s="890"/>
      <c r="I31" s="73"/>
      <c r="J31" s="94"/>
      <c r="K31" s="73"/>
      <c r="L31" s="95"/>
      <c r="M31" s="87"/>
      <c r="N31" s="87"/>
      <c r="R31" s="961" t="s">
        <v>267</v>
      </c>
      <c r="S31" s="974"/>
      <c r="T31" s="967"/>
      <c r="U31" s="975"/>
      <c r="V31" s="966"/>
      <c r="W31" s="967"/>
      <c r="Y31" s="890"/>
      <c r="Z31" s="952"/>
      <c r="AA31" s="997">
        <f>AA30*(AB28/R1)</f>
        <v>6.4511263590164795E-4</v>
      </c>
      <c r="AB31" s="998">
        <f>AB28*AB30</f>
        <v>2.5924016858191078E-2</v>
      </c>
      <c r="AC31" s="998">
        <f>AC28*AC30</f>
        <v>2.1620755663859831E-3</v>
      </c>
      <c r="AD31" s="998">
        <f>AD28*AD30</f>
        <v>3.1229980403353055E-3</v>
      </c>
      <c r="AE31" s="999">
        <f>AF28*AE30</f>
        <v>3.2894038810554245E-5</v>
      </c>
      <c r="AF31" s="952">
        <f>AF28*AF30</f>
        <v>3.1241984503722925E-2</v>
      </c>
    </row>
    <row r="32" spans="1:32" x14ac:dyDescent="0.25">
      <c r="B32" s="890"/>
      <c r="D32" s="890"/>
      <c r="E32" s="890"/>
      <c r="F32" s="890"/>
      <c r="H32" s="890"/>
      <c r="I32" s="73"/>
      <c r="J32" s="94"/>
      <c r="K32" s="73"/>
      <c r="L32" s="95"/>
      <c r="M32" s="87"/>
      <c r="N32" s="87"/>
      <c r="R32" s="961" t="s">
        <v>257</v>
      </c>
      <c r="S32" s="966">
        <f>S28+S30</f>
        <v>21384.615384615379</v>
      </c>
      <c r="T32" s="967">
        <f>SUM(T28:T30)</f>
        <v>15648.717948717953</v>
      </c>
      <c r="U32" s="966">
        <f>SUM(U28:U30)</f>
        <v>36733.333333333328</v>
      </c>
      <c r="V32" s="966">
        <f>SUM(V28:V30)</f>
        <v>2247.1968709256835</v>
      </c>
      <c r="W32" s="967">
        <f>SUM(W28:W30)</f>
        <v>13.090000000000002</v>
      </c>
      <c r="Y32" s="890"/>
      <c r="Z32" s="952"/>
      <c r="AA32" s="952"/>
      <c r="AB32" s="952"/>
      <c r="AC32" s="952">
        <f>AC31+AD31</f>
        <v>5.285073606721289E-3</v>
      </c>
      <c r="AD32" s="952"/>
      <c r="AE32" s="952"/>
      <c r="AF32" s="952"/>
    </row>
    <row r="33" spans="2:25" ht="30" x14ac:dyDescent="0.25">
      <c r="B33" s="890"/>
      <c r="D33" s="890"/>
      <c r="E33" s="890"/>
      <c r="F33" s="890"/>
      <c r="H33" s="890"/>
      <c r="I33" s="73"/>
      <c r="J33" s="94"/>
      <c r="K33" s="73"/>
      <c r="L33" s="95"/>
      <c r="M33" s="87"/>
      <c r="N33" s="87"/>
      <c r="R33" s="976" t="s">
        <v>268</v>
      </c>
      <c r="S33" s="959"/>
      <c r="T33" s="960"/>
      <c r="U33" s="959"/>
      <c r="V33" s="959"/>
      <c r="W33" s="960"/>
      <c r="Y33" s="890"/>
    </row>
    <row r="34" spans="2:25" x14ac:dyDescent="0.25">
      <c r="B34" s="890"/>
      <c r="D34" s="890"/>
      <c r="E34" s="890"/>
      <c r="F34" s="890"/>
      <c r="H34" s="890"/>
      <c r="I34" s="73"/>
      <c r="J34" s="94"/>
      <c r="K34" s="73"/>
      <c r="L34" s="95"/>
      <c r="M34" s="87"/>
      <c r="N34" s="87"/>
      <c r="R34" s="961" t="s">
        <v>269</v>
      </c>
      <c r="S34" s="959"/>
      <c r="T34" s="967"/>
      <c r="U34" s="959"/>
      <c r="V34" s="959"/>
      <c r="W34" s="960"/>
      <c r="Y34" s="890"/>
    </row>
    <row r="35" spans="2:25" ht="15.75" x14ac:dyDescent="0.25">
      <c r="B35" s="1781" t="s">
        <v>617</v>
      </c>
      <c r="C35" s="1782"/>
      <c r="D35" s="1781"/>
      <c r="E35" s="1781"/>
      <c r="F35" s="1781"/>
      <c r="G35" s="1000"/>
      <c r="H35" s="1009"/>
      <c r="I35" s="1010"/>
      <c r="J35" s="1010"/>
      <c r="K35" s="1009"/>
      <c r="L35" s="1010"/>
      <c r="M35" s="87"/>
      <c r="N35" s="87"/>
      <c r="R35" s="977" t="s">
        <v>249</v>
      </c>
      <c r="S35" s="978">
        <f>$L$5</f>
        <v>720.68766865771192</v>
      </c>
      <c r="T35" s="979">
        <f>SUM(L6:L22)</f>
        <v>146.61274646281828</v>
      </c>
      <c r="U35" s="980">
        <f>T35+S35+V35+W35</f>
        <v>886.14077716782685</v>
      </c>
      <c r="V35" s="981">
        <f>SUM(AT6:AT13)</f>
        <v>17.934131278065813</v>
      </c>
      <c r="W35" s="979">
        <f>L37</f>
        <v>0.9062307692307694</v>
      </c>
      <c r="Y35" s="890"/>
    </row>
    <row r="36" spans="2:25"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M36" s="87"/>
      <c r="N36" s="87"/>
      <c r="R36" s="890"/>
      <c r="T36" s="890"/>
      <c r="W36" s="890"/>
      <c r="Y36" s="890"/>
    </row>
    <row r="37" spans="2:25" x14ac:dyDescent="0.25">
      <c r="B37" s="1005" t="s">
        <v>666</v>
      </c>
      <c r="C37" s="1006" t="s">
        <v>14</v>
      </c>
      <c r="D37" s="1007">
        <v>7.0000000000000007E-2</v>
      </c>
      <c r="E37" s="1005">
        <f>$AD$1</f>
        <v>187</v>
      </c>
      <c r="F37" s="1005">
        <f>D37*E37</f>
        <v>13.090000000000002</v>
      </c>
      <c r="G37" s="437"/>
      <c r="H37" s="1005">
        <f>F37</f>
        <v>13.090000000000002</v>
      </c>
      <c r="I37" s="1005">
        <f>VLOOKUP(B37,All_Ingredients!$A$1:$F$161,6,FALSE())</f>
        <v>0.65</v>
      </c>
      <c r="J37" s="1005">
        <f>VLOOKUP(B37,All_Ingredients!$A$1:$J$161,10,FALSE())</f>
        <v>45</v>
      </c>
      <c r="K37" s="1005">
        <f>(H37/I37)/1000</f>
        <v>2.0138461538461543E-2</v>
      </c>
      <c r="L37" s="1005">
        <f>K37*J37</f>
        <v>0.9062307692307694</v>
      </c>
      <c r="M37" s="87"/>
      <c r="N37" s="87"/>
      <c r="R37" s="890"/>
      <c r="T37" s="890"/>
      <c r="W37" s="890"/>
      <c r="Y37" s="890"/>
    </row>
    <row r="38" spans="2:25" x14ac:dyDescent="0.25">
      <c r="B38" s="891"/>
      <c r="C38" s="89"/>
      <c r="D38" s="147"/>
      <c r="E38" s="238"/>
      <c r="F38" s="900"/>
      <c r="G38" s="92"/>
      <c r="H38" s="901"/>
      <c r="I38" s="73"/>
      <c r="J38" s="94"/>
      <c r="K38" s="73"/>
      <c r="L38" s="95"/>
      <c r="M38" s="87"/>
      <c r="N38" s="87"/>
      <c r="R38" s="890"/>
      <c r="T38" s="890"/>
      <c r="W38" s="890"/>
      <c r="Y38" s="890"/>
    </row>
    <row r="39" spans="2:25" x14ac:dyDescent="0.25">
      <c r="B39" s="891"/>
      <c r="C39" s="89"/>
      <c r="D39" s="147"/>
      <c r="E39" s="238"/>
      <c r="F39" s="900"/>
      <c r="G39" s="92"/>
      <c r="H39" s="901"/>
      <c r="I39" s="73"/>
      <c r="J39" s="94"/>
      <c r="K39" s="73"/>
      <c r="L39" s="95"/>
      <c r="M39" s="87"/>
      <c r="N39" s="87"/>
      <c r="R39" s="890"/>
      <c r="T39" s="890"/>
      <c r="W39" s="890"/>
      <c r="Y39" s="890"/>
    </row>
    <row r="40" spans="2:25" ht="26.25" x14ac:dyDescent="0.25">
      <c r="B40" s="891"/>
      <c r="C40" s="89"/>
      <c r="D40" s="147"/>
      <c r="E40" s="238"/>
      <c r="F40" s="900"/>
      <c r="G40" s="92"/>
      <c r="H40" s="901"/>
      <c r="I40" s="73"/>
      <c r="J40" s="94"/>
      <c r="K40" s="73"/>
      <c r="L40" s="95"/>
      <c r="M40" s="87"/>
      <c r="N40" s="87"/>
      <c r="R40" s="1011" t="s">
        <v>270</v>
      </c>
      <c r="S40" s="1012">
        <v>0.76923076923076905</v>
      </c>
      <c r="T40" s="1011" t="s">
        <v>271</v>
      </c>
      <c r="U40" s="1013">
        <v>0.230769230769231</v>
      </c>
      <c r="V40" s="1014">
        <f>S40+U40</f>
        <v>1</v>
      </c>
      <c r="W40" s="890"/>
      <c r="Y40" s="890"/>
    </row>
    <row r="41" spans="2:25" x14ac:dyDescent="0.25">
      <c r="B41" s="891"/>
      <c r="C41" s="89"/>
      <c r="D41" s="147"/>
      <c r="E41" s="238"/>
      <c r="F41" s="900"/>
      <c r="G41" s="92"/>
      <c r="H41" s="901"/>
      <c r="I41" s="73"/>
      <c r="J41" s="94"/>
      <c r="K41" s="73"/>
      <c r="L41" s="95"/>
      <c r="M41" s="87"/>
      <c r="N41" s="87"/>
      <c r="R41" s="890"/>
      <c r="T41" s="890"/>
      <c r="U41" s="123"/>
      <c r="W41" s="890"/>
      <c r="Y41" s="890"/>
    </row>
    <row r="42" spans="2:25" x14ac:dyDescent="0.25">
      <c r="B42" s="891"/>
      <c r="C42" s="89"/>
      <c r="D42" s="147"/>
      <c r="E42" s="238"/>
      <c r="F42" s="900"/>
      <c r="G42" s="92"/>
      <c r="H42" s="901"/>
      <c r="I42" s="73"/>
      <c r="J42" s="94"/>
      <c r="K42" s="73"/>
      <c r="L42" s="95"/>
      <c r="M42" s="87"/>
      <c r="N42" s="87"/>
      <c r="R42" s="890"/>
      <c r="T42" s="890"/>
      <c r="W42" s="890"/>
      <c r="Y42" s="890"/>
    </row>
    <row r="43" spans="2:25" ht="26.25" x14ac:dyDescent="0.25">
      <c r="B43" s="891"/>
      <c r="C43" s="89"/>
      <c r="D43" s="147"/>
      <c r="E43" s="238"/>
      <c r="F43" s="900"/>
      <c r="G43" s="92"/>
      <c r="H43" s="901"/>
      <c r="I43" s="73"/>
      <c r="J43" s="94"/>
      <c r="K43" s="73"/>
      <c r="L43" s="95"/>
      <c r="M43" s="87"/>
      <c r="N43" s="87"/>
      <c r="Q43" s="1015" t="s">
        <v>272</v>
      </c>
      <c r="R43" s="1011" t="s">
        <v>273</v>
      </c>
      <c r="S43" s="1015" t="s">
        <v>274</v>
      </c>
      <c r="T43" s="1011" t="s">
        <v>275</v>
      </c>
      <c r="U43" s="1015" t="s">
        <v>276</v>
      </c>
      <c r="V43" s="1015" t="s">
        <v>277</v>
      </c>
      <c r="W43" s="1011" t="s">
        <v>278</v>
      </c>
      <c r="Y43" s="890"/>
    </row>
    <row r="44" spans="2:25" x14ac:dyDescent="0.25">
      <c r="B44" s="88"/>
      <c r="C44" s="89"/>
      <c r="D44" s="80"/>
      <c r="E44" s="80"/>
      <c r="F44" s="900"/>
      <c r="G44" s="125"/>
      <c r="H44" s="890"/>
      <c r="K44" s="890"/>
      <c r="Q44" s="1016">
        <v>17728</v>
      </c>
      <c r="R44" s="1017">
        <f>D51</f>
        <v>10000</v>
      </c>
      <c r="S44" s="1018">
        <v>0.40909090909090912</v>
      </c>
      <c r="T44" s="1019">
        <v>0.59090909090909094</v>
      </c>
      <c r="U44" s="1020">
        <f>R44*S44</f>
        <v>4090.909090909091</v>
      </c>
      <c r="V44" s="1021">
        <f>R44*T44</f>
        <v>5909.090909090909</v>
      </c>
      <c r="W44" s="1745">
        <f>Q44-U44</f>
        <v>13637.090909090908</v>
      </c>
      <c r="Y44" s="890"/>
    </row>
    <row r="45" spans="2:25" x14ac:dyDescent="0.25">
      <c r="B45" s="890"/>
      <c r="D45" s="890"/>
      <c r="E45" s="890"/>
      <c r="F45" s="890"/>
      <c r="H45" s="890"/>
      <c r="K45" s="890"/>
      <c r="R45" s="890"/>
      <c r="T45" s="890"/>
      <c r="W45" s="890"/>
      <c r="Y45" s="890"/>
    </row>
    <row r="46" spans="2:25" x14ac:dyDescent="0.25">
      <c r="B46" s="890"/>
      <c r="D46" s="890"/>
      <c r="E46" s="890"/>
      <c r="F46" s="890"/>
      <c r="H46" s="890"/>
      <c r="K46" s="890"/>
      <c r="R46" s="890"/>
      <c r="T46" s="890"/>
      <c r="W46" s="890"/>
      <c r="Y46" s="890"/>
    </row>
    <row r="47" spans="2:25" ht="26.25" x14ac:dyDescent="0.25">
      <c r="B47" s="890"/>
      <c r="D47" s="890"/>
      <c r="E47" s="890"/>
      <c r="F47" s="890"/>
      <c r="H47" s="890"/>
      <c r="K47" s="890"/>
      <c r="Q47" s="1015" t="s">
        <v>272</v>
      </c>
      <c r="R47" s="1011" t="s">
        <v>273</v>
      </c>
      <c r="S47" s="1015" t="s">
        <v>751</v>
      </c>
      <c r="T47" s="1011" t="s">
        <v>274</v>
      </c>
      <c r="U47" s="1015" t="s">
        <v>275</v>
      </c>
      <c r="V47" s="1015" t="s">
        <v>276</v>
      </c>
      <c r="W47" s="1011" t="s">
        <v>277</v>
      </c>
      <c r="X47" s="1015" t="s">
        <v>752</v>
      </c>
      <c r="Y47" s="1011" t="s">
        <v>278</v>
      </c>
    </row>
    <row r="48" spans="2:25" x14ac:dyDescent="0.25">
      <c r="B48" s="890"/>
      <c r="D48" s="890"/>
      <c r="E48" s="890"/>
      <c r="F48" s="890"/>
      <c r="H48" s="890"/>
      <c r="K48" s="890"/>
      <c r="Q48" s="1023">
        <v>18841</v>
      </c>
      <c r="R48" s="1017">
        <f>D55</f>
        <v>0</v>
      </c>
      <c r="S48" s="1024">
        <v>0.05</v>
      </c>
      <c r="T48" s="1025">
        <f>43.47826%-(S48/2)</f>
        <v>0.40978259999999994</v>
      </c>
      <c r="U48" s="1024">
        <f>56.52174%-(S48/2)</f>
        <v>0.54021739999999996</v>
      </c>
      <c r="V48" s="1020">
        <f>R48*T48</f>
        <v>0</v>
      </c>
      <c r="W48" s="1026">
        <f>R48*U48</f>
        <v>0</v>
      </c>
      <c r="X48" s="1021"/>
      <c r="Y48" s="1022">
        <f>Q48-V48</f>
        <v>18841</v>
      </c>
    </row>
    <row r="50" spans="1:11" x14ac:dyDescent="0.25">
      <c r="B50" s="961"/>
      <c r="C50" s="962" t="s">
        <v>233</v>
      </c>
      <c r="D50" s="961" t="s">
        <v>279</v>
      </c>
      <c r="E50" s="898"/>
      <c r="F50" s="898"/>
      <c r="G50" s="962" t="s">
        <v>280</v>
      </c>
      <c r="H50" s="961" t="s">
        <v>233</v>
      </c>
      <c r="I50" s="962" t="s">
        <v>281</v>
      </c>
      <c r="J50" s="962" t="s">
        <v>282</v>
      </c>
      <c r="K50" s="890"/>
    </row>
    <row r="51" spans="1:11" x14ac:dyDescent="0.25">
      <c r="B51" s="1027" t="s">
        <v>283</v>
      </c>
      <c r="C51" s="1028">
        <f>10/K1</f>
        <v>11.764705882352942</v>
      </c>
      <c r="D51" s="1029">
        <f>C1*10</f>
        <v>10000</v>
      </c>
      <c r="E51" s="135"/>
      <c r="F51" s="87"/>
      <c r="G51" s="1033" t="s">
        <v>283</v>
      </c>
      <c r="H51" s="1034">
        <f>I51/$D$5</f>
        <v>10</v>
      </c>
      <c r="I51" s="1028">
        <f>J51/$R$1</f>
        <v>23113.713405238828</v>
      </c>
      <c r="J51" s="1028">
        <f>$W$44</f>
        <v>13637.090909090908</v>
      </c>
      <c r="K51" s="890"/>
    </row>
    <row r="52" spans="1:11" x14ac:dyDescent="0.25">
      <c r="B52" s="961" t="s">
        <v>262</v>
      </c>
      <c r="C52" s="1030">
        <f>I1</f>
        <v>18.410256410256416</v>
      </c>
      <c r="D52" s="1031">
        <f>E1</f>
        <v>15648.717948717953</v>
      </c>
      <c r="E52" s="80"/>
      <c r="F52" s="87"/>
      <c r="G52" s="962" t="s">
        <v>262</v>
      </c>
      <c r="H52" s="1026">
        <f>I52/$D$5</f>
        <v>15.681214950587247</v>
      </c>
      <c r="I52" s="1021">
        <f>J52/$R$1</f>
        <v>36245.110821381997</v>
      </c>
      <c r="J52" s="1030">
        <f>$S$32</f>
        <v>21384.615384615379</v>
      </c>
      <c r="K52" s="890"/>
    </row>
    <row r="53" spans="1:11" x14ac:dyDescent="0.25">
      <c r="B53" s="961" t="s">
        <v>284</v>
      </c>
      <c r="C53" s="1032">
        <f>MIN($C$52,C51)</f>
        <v>11.764705882352942</v>
      </c>
      <c r="D53" s="1031">
        <f>(C53*$K$1)*$C$1</f>
        <v>10000</v>
      </c>
      <c r="E53" s="80"/>
      <c r="F53" s="87"/>
      <c r="G53" s="962" t="s">
        <v>284</v>
      </c>
      <c r="H53" s="1035">
        <f>MIN(H52,H51)</f>
        <v>10</v>
      </c>
      <c r="I53" s="1021">
        <f>J53/$R$1</f>
        <v>23113.713405238828</v>
      </c>
      <c r="J53" s="1021">
        <f>MIN(J52,J51)</f>
        <v>13637.090909090908</v>
      </c>
      <c r="K53" s="890"/>
    </row>
    <row r="54" spans="1:11" x14ac:dyDescent="0.25">
      <c r="B54" s="961" t="s">
        <v>285</v>
      </c>
      <c r="C54" s="1032">
        <f>MIN(MAX($C$52-C53,0),C51)</f>
        <v>6.6455505279034739</v>
      </c>
      <c r="D54" s="1031">
        <f>(C54*$K$1)*$C$1</f>
        <v>5648.7179487179528</v>
      </c>
      <c r="E54" s="80"/>
      <c r="F54" s="87"/>
      <c r="G54" s="962" t="s">
        <v>285</v>
      </c>
      <c r="H54" s="1035">
        <f>MIN(MAX(H52-H53),H51)</f>
        <v>5.6812149505872469</v>
      </c>
      <c r="I54" s="1021">
        <f>J54/$R$1</f>
        <v>13131.397416143172</v>
      </c>
      <c r="J54" s="1021">
        <f>MIN(MAX(J52-J53),J51)</f>
        <v>7747.5244755244712</v>
      </c>
      <c r="K54" s="890"/>
    </row>
    <row r="55" spans="1:11" x14ac:dyDescent="0.25">
      <c r="B55" s="961" t="s">
        <v>286</v>
      </c>
      <c r="C55" s="1032">
        <f>MIN(MAX($C$52-C53-C54,0),C51)</f>
        <v>0</v>
      </c>
      <c r="D55" s="1031">
        <f>(C55*$K$1)*$C$1</f>
        <v>0</v>
      </c>
      <c r="E55" s="80"/>
      <c r="F55" s="80"/>
      <c r="G55" s="962" t="s">
        <v>286</v>
      </c>
      <c r="H55" s="1035">
        <f>MIN(MAX(H52-H53-H54),H51)</f>
        <v>0</v>
      </c>
      <c r="I55" s="1021">
        <f>J55/$R$1</f>
        <v>0</v>
      </c>
      <c r="J55" s="1021">
        <f>MIN(MAX(J52-J53-J54),J51)</f>
        <v>0</v>
      </c>
      <c r="K55" s="890"/>
    </row>
    <row r="56" spans="1:11" x14ac:dyDescent="0.25">
      <c r="B56" s="890"/>
      <c r="D56" s="890"/>
      <c r="E56" s="890"/>
      <c r="F56" s="890"/>
      <c r="H56" s="890"/>
      <c r="K56" s="890"/>
    </row>
    <row r="57" spans="1:11" x14ac:dyDescent="0.25">
      <c r="B57" s="80"/>
      <c r="D57" s="890"/>
      <c r="E57" s="80"/>
      <c r="F57" s="80"/>
      <c r="H57" s="890"/>
      <c r="K57" s="890"/>
    </row>
    <row r="58" spans="1:11" x14ac:dyDescent="0.25">
      <c r="B58" s="80"/>
      <c r="D58" s="890"/>
      <c r="E58" s="80"/>
      <c r="F58" s="80"/>
      <c r="H58" s="890"/>
      <c r="K58" s="890"/>
    </row>
    <row r="59" spans="1:11" x14ac:dyDescent="0.25">
      <c r="B59" s="80"/>
      <c r="D59" s="890"/>
      <c r="E59" s="80"/>
      <c r="F59" s="80"/>
      <c r="H59" s="890"/>
      <c r="K59" s="890"/>
    </row>
    <row r="60" spans="1:11" x14ac:dyDescent="0.25">
      <c r="B60" s="80"/>
      <c r="D60" s="890"/>
      <c r="E60" s="80"/>
      <c r="F60" s="80"/>
      <c r="H60" s="890"/>
      <c r="K60" s="890"/>
    </row>
    <row r="61" spans="1:11" x14ac:dyDescent="0.25">
      <c r="B61" s="80"/>
      <c r="D61" s="890"/>
      <c r="E61" s="80"/>
      <c r="F61" s="80"/>
      <c r="H61" s="890"/>
      <c r="K61" s="890"/>
    </row>
    <row r="62" spans="1:11" x14ac:dyDescent="0.25">
      <c r="A62" s="1036"/>
      <c r="B62" s="1776" t="str">
        <f>" دجاج بالكاري 1 / " &amp; COUNTIF($C$53:$C$55, "&gt;0")</f>
        <v xml:space="preserve"> دجاج بالكاري 1 / 2</v>
      </c>
      <c r="C62" s="1777"/>
      <c r="D62" s="1778"/>
      <c r="E62" s="1778"/>
      <c r="F62" s="1778"/>
      <c r="G62" s="1777"/>
      <c r="H62" s="1778"/>
      <c r="K62" s="890"/>
    </row>
    <row r="63" spans="1:11" x14ac:dyDescent="0.25">
      <c r="A63" s="1036"/>
      <c r="B63" s="1776" t="str">
        <f>" Curry Chicken  1 / " &amp; COUNTIF($C$53:$C$55, "&gt;0")</f>
        <v xml:space="preserve"> Curry Chicken  1 / 2</v>
      </c>
      <c r="C63" s="1777"/>
      <c r="D63" s="1778"/>
      <c r="E63" s="1778"/>
      <c r="F63" s="1778"/>
      <c r="G63" s="1777"/>
      <c r="H63" s="1778"/>
      <c r="K63" s="890"/>
    </row>
    <row r="64" spans="1:11" ht="38.25" x14ac:dyDescent="0.2">
      <c r="A64" s="933" t="s">
        <v>864</v>
      </c>
      <c r="B64" s="923" t="s">
        <v>241</v>
      </c>
      <c r="C64" s="934" t="s">
        <v>242</v>
      </c>
      <c r="D64" s="923" t="s">
        <v>231</v>
      </c>
      <c r="E64" s="935" t="s">
        <v>234</v>
      </c>
      <c r="F64" s="935" t="s">
        <v>243</v>
      </c>
      <c r="G64" s="923" t="s">
        <v>244</v>
      </c>
      <c r="H64" s="936" t="s">
        <v>245</v>
      </c>
      <c r="K64" s="890"/>
    </row>
    <row r="65" spans="1:11" x14ac:dyDescent="0.2">
      <c r="A65" s="937" t="s">
        <v>872</v>
      </c>
      <c r="B65" s="914" t="str">
        <f>$B$5</f>
        <v>Chicken - دجاج</v>
      </c>
      <c r="C65" s="939" t="str">
        <f t="shared" ref="C65:D82" si="11">C5</f>
        <v>gm</v>
      </c>
      <c r="D65" s="1037">
        <f t="shared" si="11"/>
        <v>2311.3713405238827</v>
      </c>
      <c r="E65" s="1037">
        <f>H53</f>
        <v>10</v>
      </c>
      <c r="F65" s="948">
        <f>F5</f>
        <v>1</v>
      </c>
      <c r="G65" s="1038">
        <f>G5</f>
        <v>36245.110821381997</v>
      </c>
      <c r="H65" s="1039">
        <f>H5</f>
        <v>36245.110821381997</v>
      </c>
      <c r="K65" s="890"/>
    </row>
    <row r="66" spans="1:11" x14ac:dyDescent="0.2">
      <c r="A66" s="946" t="s">
        <v>866</v>
      </c>
      <c r="B66" s="938" t="str">
        <f t="shared" ref="B66:B82" si="12">B6</f>
        <v>Onion - بصل</v>
      </c>
      <c r="C66" s="938" t="str">
        <f t="shared" si="11"/>
        <v>gm</v>
      </c>
      <c r="D66" s="938">
        <f t="shared" si="11"/>
        <v>150</v>
      </c>
      <c r="E66" s="1040">
        <f t="shared" ref="E66:E82" si="13">$C$53</f>
        <v>11.764705882352942</v>
      </c>
      <c r="F66" s="948">
        <f t="shared" ref="F66:F82" si="14">F6</f>
        <v>0.95</v>
      </c>
      <c r="G66" s="940">
        <f t="shared" ref="G66:G81" si="15">D66*E66</f>
        <v>1764.7058823529412</v>
      </c>
      <c r="H66" s="943">
        <f t="shared" ref="H66:H81" si="16">G66*F66</f>
        <v>1676.4705882352941</v>
      </c>
      <c r="K66" s="890"/>
    </row>
    <row r="67" spans="1:11" x14ac:dyDescent="0.2">
      <c r="A67" s="946" t="s">
        <v>870</v>
      </c>
      <c r="B67" s="938" t="str">
        <f t="shared" si="12"/>
        <v>Tomato - طماطم</v>
      </c>
      <c r="C67" s="938" t="str">
        <f t="shared" si="11"/>
        <v>gm</v>
      </c>
      <c r="D67" s="938">
        <f t="shared" si="11"/>
        <v>250</v>
      </c>
      <c r="E67" s="1040">
        <f t="shared" si="13"/>
        <v>11.764705882352942</v>
      </c>
      <c r="F67" s="948">
        <f t="shared" si="14"/>
        <v>1</v>
      </c>
      <c r="G67" s="940">
        <f t="shared" si="15"/>
        <v>2941.1764705882356</v>
      </c>
      <c r="H67" s="943">
        <f t="shared" si="16"/>
        <v>2941.1764705882356</v>
      </c>
      <c r="K67" s="890"/>
    </row>
    <row r="68" spans="1:11" x14ac:dyDescent="0.2">
      <c r="A68" s="946" t="s">
        <v>867</v>
      </c>
      <c r="B68" s="938" t="str">
        <f t="shared" si="12"/>
        <v>Ginger - زنجبيل</v>
      </c>
      <c r="C68" s="938" t="str">
        <f t="shared" si="11"/>
        <v>gm</v>
      </c>
      <c r="D68" s="938">
        <f t="shared" si="11"/>
        <v>15</v>
      </c>
      <c r="E68" s="1040">
        <f t="shared" si="13"/>
        <v>11.764705882352942</v>
      </c>
      <c r="F68" s="948">
        <f t="shared" si="14"/>
        <v>0.9</v>
      </c>
      <c r="G68" s="940">
        <f t="shared" si="15"/>
        <v>176.47058823529414</v>
      </c>
      <c r="H68" s="943">
        <f t="shared" si="16"/>
        <v>158.82352941176472</v>
      </c>
      <c r="K68" s="890"/>
    </row>
    <row r="69" spans="1:11" x14ac:dyDescent="0.2">
      <c r="A69" s="946" t="s">
        <v>868</v>
      </c>
      <c r="B69" s="938" t="str">
        <f t="shared" si="12"/>
        <v>Garlic - ثوم مقشر</v>
      </c>
      <c r="C69" s="938" t="str">
        <f t="shared" si="11"/>
        <v>gm</v>
      </c>
      <c r="D69" s="938">
        <f t="shared" si="11"/>
        <v>25</v>
      </c>
      <c r="E69" s="1040">
        <f t="shared" si="13"/>
        <v>11.764705882352942</v>
      </c>
      <c r="F69" s="948">
        <f t="shared" si="14"/>
        <v>0.9</v>
      </c>
      <c r="G69" s="940">
        <f t="shared" si="15"/>
        <v>294.11764705882354</v>
      </c>
      <c r="H69" s="943">
        <f t="shared" si="16"/>
        <v>264.70588235294122</v>
      </c>
      <c r="K69" s="890"/>
    </row>
    <row r="70" spans="1:11" x14ac:dyDescent="0.25">
      <c r="A70" s="949"/>
      <c r="B70" s="938" t="str">
        <f t="shared" si="12"/>
        <v>Green Chilli Pepper - فلفل أخضر حار</v>
      </c>
      <c r="C70" s="938" t="str">
        <f t="shared" si="11"/>
        <v>gm</v>
      </c>
      <c r="D70" s="938">
        <f t="shared" si="11"/>
        <v>5</v>
      </c>
      <c r="E70" s="1040">
        <f t="shared" si="13"/>
        <v>11.764705882352942</v>
      </c>
      <c r="F70" s="948">
        <f t="shared" si="14"/>
        <v>0.75</v>
      </c>
      <c r="G70" s="940">
        <f t="shared" si="15"/>
        <v>58.82352941176471</v>
      </c>
      <c r="H70" s="943">
        <f t="shared" si="16"/>
        <v>44.117647058823536</v>
      </c>
      <c r="K70" s="890"/>
    </row>
    <row r="71" spans="1:11" x14ac:dyDescent="0.25">
      <c r="A71" s="949"/>
      <c r="B71" s="938" t="str">
        <f t="shared" si="12"/>
        <v>Cumin Powder - كمون مطحون</v>
      </c>
      <c r="C71" s="938" t="str">
        <f t="shared" si="11"/>
        <v>gm</v>
      </c>
      <c r="D71" s="938">
        <f t="shared" si="11"/>
        <v>5</v>
      </c>
      <c r="E71" s="1040">
        <f t="shared" si="13"/>
        <v>11.764705882352942</v>
      </c>
      <c r="F71" s="948">
        <f t="shared" si="14"/>
        <v>0.9</v>
      </c>
      <c r="G71" s="940">
        <f t="shared" si="15"/>
        <v>58.82352941176471</v>
      </c>
      <c r="H71" s="943">
        <f t="shared" si="16"/>
        <v>52.941176470588239</v>
      </c>
      <c r="K71" s="890"/>
    </row>
    <row r="72" spans="1:11" x14ac:dyDescent="0.25">
      <c r="A72" s="949"/>
      <c r="B72" s="938" t="str">
        <f t="shared" si="12"/>
        <v>Coriander Powder - كزبرة مطحونة</v>
      </c>
      <c r="C72" s="938" t="str">
        <f t="shared" si="11"/>
        <v>gm</v>
      </c>
      <c r="D72" s="938">
        <f t="shared" si="11"/>
        <v>5</v>
      </c>
      <c r="E72" s="1040">
        <f t="shared" si="13"/>
        <v>11.764705882352942</v>
      </c>
      <c r="F72" s="948">
        <f t="shared" si="14"/>
        <v>0.9</v>
      </c>
      <c r="G72" s="940">
        <f t="shared" si="15"/>
        <v>58.82352941176471</v>
      </c>
      <c r="H72" s="943">
        <f t="shared" si="16"/>
        <v>52.941176470588239</v>
      </c>
      <c r="K72" s="890"/>
    </row>
    <row r="73" spans="1:11" x14ac:dyDescent="0.25">
      <c r="A73" s="949"/>
      <c r="B73" s="938" t="str">
        <f t="shared" si="12"/>
        <v>Curry Powder - كاري بودرة</v>
      </c>
      <c r="C73" s="938" t="str">
        <f t="shared" si="11"/>
        <v>gm</v>
      </c>
      <c r="D73" s="938">
        <f t="shared" si="11"/>
        <v>10</v>
      </c>
      <c r="E73" s="1040">
        <f t="shared" si="13"/>
        <v>11.764705882352942</v>
      </c>
      <c r="F73" s="948">
        <f t="shared" si="14"/>
        <v>0.75</v>
      </c>
      <c r="G73" s="940">
        <f t="shared" si="15"/>
        <v>117.64705882352942</v>
      </c>
      <c r="H73" s="943">
        <f t="shared" si="16"/>
        <v>88.235294117647072</v>
      </c>
      <c r="K73" s="890"/>
    </row>
    <row r="74" spans="1:11" ht="25.5" x14ac:dyDescent="0.25">
      <c r="A74" s="949"/>
      <c r="B74" s="938" t="str">
        <f t="shared" si="12"/>
        <v>Saffron yellow color powder - لون صفار زعفران بودر</v>
      </c>
      <c r="C74" s="938" t="str">
        <f t="shared" si="11"/>
        <v>gm</v>
      </c>
      <c r="D74" s="938">
        <f t="shared" si="11"/>
        <v>2</v>
      </c>
      <c r="E74" s="1040">
        <f t="shared" si="13"/>
        <v>11.764705882352942</v>
      </c>
      <c r="F74" s="948">
        <f t="shared" si="14"/>
        <v>0.75</v>
      </c>
      <c r="G74" s="940">
        <f t="shared" si="15"/>
        <v>23.529411764705884</v>
      </c>
      <c r="H74" s="943">
        <f t="shared" si="16"/>
        <v>17.647058823529413</v>
      </c>
      <c r="K74" s="890"/>
    </row>
    <row r="75" spans="1:11" x14ac:dyDescent="0.25">
      <c r="A75" s="949"/>
      <c r="B75" s="938" t="str">
        <f t="shared" si="12"/>
        <v>Maggi Cubes - مكعبات ماجي</v>
      </c>
      <c r="C75" s="938" t="str">
        <f t="shared" si="11"/>
        <v>gm</v>
      </c>
      <c r="D75" s="938">
        <f t="shared" si="11"/>
        <v>5</v>
      </c>
      <c r="E75" s="1040">
        <f t="shared" si="13"/>
        <v>11.764705882352942</v>
      </c>
      <c r="F75" s="948">
        <f t="shared" si="14"/>
        <v>0.6</v>
      </c>
      <c r="G75" s="940">
        <f t="shared" si="15"/>
        <v>58.82352941176471</v>
      </c>
      <c r="H75" s="943">
        <f t="shared" si="16"/>
        <v>35.294117647058826</v>
      </c>
      <c r="K75" s="890"/>
    </row>
    <row r="76" spans="1:11" x14ac:dyDescent="0.25">
      <c r="A76" s="949"/>
      <c r="B76" s="938" t="str">
        <f t="shared" si="12"/>
        <v>Salt - ملح</v>
      </c>
      <c r="C76" s="938" t="str">
        <f t="shared" si="11"/>
        <v>gm</v>
      </c>
      <c r="D76" s="938">
        <f t="shared" si="11"/>
        <v>5</v>
      </c>
      <c r="E76" s="1040">
        <f t="shared" si="13"/>
        <v>11.764705882352942</v>
      </c>
      <c r="F76" s="948">
        <f t="shared" si="14"/>
        <v>0.75</v>
      </c>
      <c r="G76" s="940">
        <f t="shared" si="15"/>
        <v>58.82352941176471</v>
      </c>
      <c r="H76" s="943">
        <f t="shared" si="16"/>
        <v>44.117647058823536</v>
      </c>
      <c r="K76" s="890"/>
    </row>
    <row r="77" spans="1:11" x14ac:dyDescent="0.25">
      <c r="A77" s="949"/>
      <c r="B77" s="938" t="str">
        <f t="shared" si="12"/>
        <v>Butter - زبدة</v>
      </c>
      <c r="C77" s="938" t="str">
        <f t="shared" si="11"/>
        <v>gm</v>
      </c>
      <c r="D77" s="938">
        <f t="shared" si="11"/>
        <v>20</v>
      </c>
      <c r="E77" s="1040">
        <f t="shared" si="13"/>
        <v>11.764705882352942</v>
      </c>
      <c r="F77" s="948">
        <f t="shared" si="14"/>
        <v>1</v>
      </c>
      <c r="G77" s="940">
        <f t="shared" si="15"/>
        <v>235.29411764705884</v>
      </c>
      <c r="H77" s="943">
        <f t="shared" si="16"/>
        <v>235.29411764705884</v>
      </c>
      <c r="K77" s="890"/>
    </row>
    <row r="78" spans="1:11" x14ac:dyDescent="0.25">
      <c r="A78" s="949"/>
      <c r="B78" s="938" t="str">
        <f t="shared" si="12"/>
        <v>Yogurt - زبادي</v>
      </c>
      <c r="C78" s="938" t="str">
        <f t="shared" si="11"/>
        <v>gm</v>
      </c>
      <c r="D78" s="938">
        <f t="shared" si="11"/>
        <v>200</v>
      </c>
      <c r="E78" s="1040">
        <f t="shared" si="13"/>
        <v>11.764705882352942</v>
      </c>
      <c r="F78" s="948">
        <f t="shared" si="14"/>
        <v>1</v>
      </c>
      <c r="G78" s="940">
        <f t="shared" si="15"/>
        <v>2352.9411764705883</v>
      </c>
      <c r="H78" s="943">
        <f t="shared" si="16"/>
        <v>2352.9411764705883</v>
      </c>
      <c r="K78" s="890"/>
    </row>
    <row r="79" spans="1:11" x14ac:dyDescent="0.25">
      <c r="A79" s="949"/>
      <c r="B79" s="938" t="str">
        <f t="shared" si="12"/>
        <v>Cooking Cream - كريمة طبخ</v>
      </c>
      <c r="C79" s="938" t="str">
        <f t="shared" si="11"/>
        <v>ml</v>
      </c>
      <c r="D79" s="938">
        <f t="shared" si="11"/>
        <v>300</v>
      </c>
      <c r="E79" s="1040">
        <f t="shared" si="13"/>
        <v>11.764705882352942</v>
      </c>
      <c r="F79" s="948">
        <f t="shared" si="14"/>
        <v>1</v>
      </c>
      <c r="G79" s="940">
        <f t="shared" si="15"/>
        <v>3529.4117647058824</v>
      </c>
      <c r="H79" s="943">
        <f t="shared" si="16"/>
        <v>3529.4117647058824</v>
      </c>
      <c r="K79" s="890"/>
    </row>
    <row r="80" spans="1:11" x14ac:dyDescent="0.25">
      <c r="A80" s="949"/>
      <c r="B80" s="938" t="str">
        <f t="shared" si="12"/>
        <v>Water - ماء</v>
      </c>
      <c r="C80" s="938" t="str">
        <f t="shared" si="11"/>
        <v>ml</v>
      </c>
      <c r="D80" s="938">
        <f t="shared" si="11"/>
        <v>170</v>
      </c>
      <c r="E80" s="1040">
        <f t="shared" si="13"/>
        <v>11.764705882352942</v>
      </c>
      <c r="F80" s="948">
        <f t="shared" si="14"/>
        <v>1</v>
      </c>
      <c r="G80" s="940">
        <f t="shared" si="15"/>
        <v>2000.0000000000002</v>
      </c>
      <c r="H80" s="943">
        <f t="shared" si="16"/>
        <v>2000.0000000000002</v>
      </c>
      <c r="K80" s="890"/>
    </row>
    <row r="81" spans="1:11" x14ac:dyDescent="0.2">
      <c r="A81" s="946" t="s">
        <v>869</v>
      </c>
      <c r="B81" s="938" t="str">
        <f t="shared" si="12"/>
        <v>Coriander Leaves - كزبرة خضراء</v>
      </c>
      <c r="C81" s="938" t="str">
        <f t="shared" si="11"/>
        <v>gm</v>
      </c>
      <c r="D81" s="938">
        <f t="shared" si="11"/>
        <v>5</v>
      </c>
      <c r="E81" s="1040">
        <f t="shared" si="13"/>
        <v>11.764705882352942</v>
      </c>
      <c r="F81" s="948">
        <f t="shared" si="14"/>
        <v>0.75</v>
      </c>
      <c r="G81" s="940">
        <f t="shared" si="15"/>
        <v>58.82352941176471</v>
      </c>
      <c r="H81" s="943">
        <f t="shared" si="16"/>
        <v>44.117647058823536</v>
      </c>
      <c r="K81" s="890"/>
    </row>
    <row r="82" spans="1:11" ht="20.25" x14ac:dyDescent="0.3">
      <c r="A82" s="949"/>
      <c r="B82" s="938" t="str">
        <f t="shared" si="12"/>
        <v>Corn Starch - نشا ذرة</v>
      </c>
      <c r="C82" s="938" t="str">
        <f t="shared" si="11"/>
        <v>gm</v>
      </c>
      <c r="D82" s="938">
        <f t="shared" si="11"/>
        <v>20</v>
      </c>
      <c r="E82" s="1040">
        <f t="shared" si="13"/>
        <v>11.764705882352942</v>
      </c>
      <c r="F82" s="948">
        <f t="shared" si="14"/>
        <v>1</v>
      </c>
      <c r="G82" s="940">
        <f>D82*E82</f>
        <v>235.29411764705884</v>
      </c>
      <c r="H82" s="943">
        <f>G82*F82</f>
        <v>235.29411764705884</v>
      </c>
      <c r="I82" s="142"/>
      <c r="J82" s="141"/>
      <c r="K82" s="890"/>
    </row>
    <row r="83" spans="1:11" ht="18" x14ac:dyDescent="0.25">
      <c r="A83" s="949"/>
      <c r="B83" s="1041" t="s">
        <v>287</v>
      </c>
      <c r="C83" s="1042" t="s">
        <v>273</v>
      </c>
      <c r="D83" s="1043"/>
      <c r="E83" s="1044" t="s">
        <v>288</v>
      </c>
      <c r="F83" s="1043"/>
      <c r="G83" s="1045" t="s">
        <v>264</v>
      </c>
      <c r="H83" s="1046" t="s">
        <v>661</v>
      </c>
      <c r="K83" s="890"/>
    </row>
    <row r="84" spans="1:11" ht="20.25" x14ac:dyDescent="0.3">
      <c r="A84" s="949"/>
      <c r="B84" s="1047">
        <f>$J$53</f>
        <v>13637.090909090908</v>
      </c>
      <c r="C84" s="1048">
        <f>E84+G84</f>
        <v>10000</v>
      </c>
      <c r="D84" s="1049"/>
      <c r="E84" s="1047">
        <f>$D$53*$S$44</f>
        <v>4090.909090909091</v>
      </c>
      <c r="F84" s="1050"/>
      <c r="G84" s="1048">
        <f>$D$53*$T$44</f>
        <v>5909.090909090909</v>
      </c>
      <c r="H84" s="1047">
        <f>B84+E84</f>
        <v>17728</v>
      </c>
      <c r="K84" s="890"/>
    </row>
    <row r="85" spans="1:11" x14ac:dyDescent="0.25">
      <c r="B85" s="890"/>
      <c r="D85" s="890"/>
      <c r="E85" s="890"/>
      <c r="F85" s="890"/>
      <c r="H85" s="890"/>
      <c r="K85" s="890"/>
    </row>
    <row r="86" spans="1:11" x14ac:dyDescent="0.25">
      <c r="A86" s="1036"/>
      <c r="B86" s="1776" t="str">
        <f>" دجاج بالكاري 2 / " &amp; COUNTIF($C$53:$C$55, "&gt;0")</f>
        <v xml:space="preserve"> دجاج بالكاري 2 / 2</v>
      </c>
      <c r="C86" s="1777"/>
      <c r="D86" s="1778"/>
      <c r="E86" s="1778"/>
      <c r="F86" s="1778"/>
      <c r="G86" s="1777"/>
      <c r="H86" s="1778"/>
      <c r="K86" s="890"/>
    </row>
    <row r="87" spans="1:11" x14ac:dyDescent="0.25">
      <c r="A87" s="1036"/>
      <c r="B87" s="1776" t="str">
        <f>" Curry Chicken  2 / " &amp; COUNTIF($C$53:$C$55, "&gt;0")</f>
        <v xml:space="preserve"> Curry Chicken  2 / 2</v>
      </c>
      <c r="C87" s="1777"/>
      <c r="D87" s="1778"/>
      <c r="E87" s="1778"/>
      <c r="F87" s="1778"/>
      <c r="G87" s="1777"/>
      <c r="H87" s="1778"/>
      <c r="K87" s="890"/>
    </row>
    <row r="88" spans="1:11" ht="38.25" x14ac:dyDescent="0.2">
      <c r="A88" s="933" t="s">
        <v>864</v>
      </c>
      <c r="B88" s="923" t="s">
        <v>241</v>
      </c>
      <c r="C88" s="934" t="s">
        <v>242</v>
      </c>
      <c r="D88" s="923" t="s">
        <v>231</v>
      </c>
      <c r="E88" s="935" t="s">
        <v>234</v>
      </c>
      <c r="F88" s="935" t="s">
        <v>243</v>
      </c>
      <c r="G88" s="923" t="s">
        <v>244</v>
      </c>
      <c r="H88" s="936" t="s">
        <v>245</v>
      </c>
      <c r="K88" s="890"/>
    </row>
    <row r="89" spans="1:11" x14ac:dyDescent="0.2">
      <c r="A89" s="937" t="s">
        <v>872</v>
      </c>
      <c r="B89" s="914" t="str">
        <f>$B$5</f>
        <v>Chicken - دجاج</v>
      </c>
      <c r="C89" s="939" t="str">
        <f t="shared" ref="C89:D106" si="17">C5</f>
        <v>gm</v>
      </c>
      <c r="D89" s="1037">
        <f t="shared" si="17"/>
        <v>2311.3713405238827</v>
      </c>
      <c r="E89" s="1051">
        <f>H54</f>
        <v>5.6812149505872469</v>
      </c>
      <c r="F89" s="948">
        <f>F5</f>
        <v>1</v>
      </c>
      <c r="G89" s="1038">
        <f>G5</f>
        <v>36245.110821381997</v>
      </c>
      <c r="H89" s="1039">
        <f>H5</f>
        <v>36245.110821381997</v>
      </c>
      <c r="K89" s="890"/>
    </row>
    <row r="90" spans="1:11" x14ac:dyDescent="0.2">
      <c r="A90" s="946" t="s">
        <v>866</v>
      </c>
      <c r="B90" s="938" t="str">
        <f t="shared" ref="B90:B106" si="18">B6</f>
        <v>Onion - بصل</v>
      </c>
      <c r="C90" s="938" t="str">
        <f t="shared" si="17"/>
        <v>gm</v>
      </c>
      <c r="D90" s="938">
        <f t="shared" si="17"/>
        <v>150</v>
      </c>
      <c r="E90" s="918">
        <f t="shared" ref="E90:E106" si="19">$C$54</f>
        <v>6.6455505279034739</v>
      </c>
      <c r="F90" s="948">
        <f t="shared" ref="F90:F106" si="20">F6</f>
        <v>0.95</v>
      </c>
      <c r="G90" s="940">
        <f t="shared" ref="G90:G105" si="21">D90*E90</f>
        <v>996.83257918552113</v>
      </c>
      <c r="H90" s="943">
        <f t="shared" ref="H90:H105" si="22">G90*F90</f>
        <v>946.99095022624499</v>
      </c>
      <c r="K90" s="890"/>
    </row>
    <row r="91" spans="1:11" x14ac:dyDescent="0.2">
      <c r="A91" s="946" t="s">
        <v>870</v>
      </c>
      <c r="B91" s="938" t="str">
        <f t="shared" si="18"/>
        <v>Tomato - طماطم</v>
      </c>
      <c r="C91" s="938" t="str">
        <f t="shared" si="17"/>
        <v>gm</v>
      </c>
      <c r="D91" s="938">
        <f t="shared" si="17"/>
        <v>250</v>
      </c>
      <c r="E91" s="918">
        <f t="shared" si="19"/>
        <v>6.6455505279034739</v>
      </c>
      <c r="F91" s="948">
        <f t="shared" si="20"/>
        <v>1</v>
      </c>
      <c r="G91" s="940">
        <f t="shared" si="21"/>
        <v>1661.3876319758685</v>
      </c>
      <c r="H91" s="943">
        <f t="shared" si="22"/>
        <v>1661.3876319758685</v>
      </c>
      <c r="K91" s="890"/>
    </row>
    <row r="92" spans="1:11" x14ac:dyDescent="0.2">
      <c r="A92" s="946" t="s">
        <v>867</v>
      </c>
      <c r="B92" s="938" t="str">
        <f t="shared" si="18"/>
        <v>Ginger - زنجبيل</v>
      </c>
      <c r="C92" s="938" t="str">
        <f t="shared" si="17"/>
        <v>gm</v>
      </c>
      <c r="D92" s="938">
        <f t="shared" si="17"/>
        <v>15</v>
      </c>
      <c r="E92" s="918">
        <f t="shared" si="19"/>
        <v>6.6455505279034739</v>
      </c>
      <c r="F92" s="948">
        <f t="shared" si="20"/>
        <v>0.9</v>
      </c>
      <c r="G92" s="940">
        <f t="shared" si="21"/>
        <v>99.683257918552101</v>
      </c>
      <c r="H92" s="943">
        <f t="shared" si="22"/>
        <v>89.714932126696894</v>
      </c>
      <c r="K92" s="890"/>
    </row>
    <row r="93" spans="1:11" x14ac:dyDescent="0.2">
      <c r="A93" s="946" t="s">
        <v>868</v>
      </c>
      <c r="B93" s="938" t="str">
        <f t="shared" si="18"/>
        <v>Garlic - ثوم مقشر</v>
      </c>
      <c r="C93" s="938" t="str">
        <f t="shared" si="17"/>
        <v>gm</v>
      </c>
      <c r="D93" s="938">
        <f t="shared" si="17"/>
        <v>25</v>
      </c>
      <c r="E93" s="918">
        <f t="shared" si="19"/>
        <v>6.6455505279034739</v>
      </c>
      <c r="F93" s="948">
        <f t="shared" si="20"/>
        <v>0.9</v>
      </c>
      <c r="G93" s="940">
        <f t="shared" si="21"/>
        <v>166.13876319758685</v>
      </c>
      <c r="H93" s="943">
        <f t="shared" si="22"/>
        <v>149.52488687782818</v>
      </c>
      <c r="K93" s="890"/>
    </row>
    <row r="94" spans="1:11" x14ac:dyDescent="0.25">
      <c r="A94" s="949"/>
      <c r="B94" s="938" t="str">
        <f t="shared" si="18"/>
        <v>Green Chilli Pepper - فلفل أخضر حار</v>
      </c>
      <c r="C94" s="938" t="str">
        <f t="shared" si="17"/>
        <v>gm</v>
      </c>
      <c r="D94" s="938">
        <f t="shared" si="17"/>
        <v>5</v>
      </c>
      <c r="E94" s="918">
        <f t="shared" si="19"/>
        <v>6.6455505279034739</v>
      </c>
      <c r="F94" s="948">
        <f t="shared" si="20"/>
        <v>0.75</v>
      </c>
      <c r="G94" s="940">
        <f t="shared" si="21"/>
        <v>33.227752639517369</v>
      </c>
      <c r="H94" s="943">
        <f t="shared" si="22"/>
        <v>24.920814479638025</v>
      </c>
      <c r="K94" s="890"/>
    </row>
    <row r="95" spans="1:11" x14ac:dyDescent="0.25">
      <c r="A95" s="949"/>
      <c r="B95" s="938" t="str">
        <f t="shared" si="18"/>
        <v>Cumin Powder - كمون مطحون</v>
      </c>
      <c r="C95" s="938" t="str">
        <f t="shared" si="17"/>
        <v>gm</v>
      </c>
      <c r="D95" s="938">
        <f t="shared" si="17"/>
        <v>5</v>
      </c>
      <c r="E95" s="918">
        <f t="shared" si="19"/>
        <v>6.6455505279034739</v>
      </c>
      <c r="F95" s="948">
        <f t="shared" si="20"/>
        <v>0.9</v>
      </c>
      <c r="G95" s="940">
        <f t="shared" si="21"/>
        <v>33.227752639517369</v>
      </c>
      <c r="H95" s="943">
        <f t="shared" si="22"/>
        <v>29.904977375565633</v>
      </c>
      <c r="K95" s="890"/>
    </row>
    <row r="96" spans="1:11" x14ac:dyDescent="0.25">
      <c r="A96" s="949"/>
      <c r="B96" s="938" t="str">
        <f t="shared" si="18"/>
        <v>Coriander Powder - كزبرة مطحونة</v>
      </c>
      <c r="C96" s="938" t="str">
        <f t="shared" si="17"/>
        <v>gm</v>
      </c>
      <c r="D96" s="938">
        <f t="shared" si="17"/>
        <v>5</v>
      </c>
      <c r="E96" s="918">
        <f t="shared" si="19"/>
        <v>6.6455505279034739</v>
      </c>
      <c r="F96" s="948">
        <f t="shared" si="20"/>
        <v>0.9</v>
      </c>
      <c r="G96" s="940">
        <f t="shared" si="21"/>
        <v>33.227752639517369</v>
      </c>
      <c r="H96" s="943">
        <f t="shared" si="22"/>
        <v>29.904977375565633</v>
      </c>
      <c r="K96" s="890"/>
    </row>
    <row r="97" spans="1:11" x14ac:dyDescent="0.25">
      <c r="A97" s="949"/>
      <c r="B97" s="938" t="str">
        <f t="shared" si="18"/>
        <v>Curry Powder - كاري بودرة</v>
      </c>
      <c r="C97" s="938" t="str">
        <f t="shared" si="17"/>
        <v>gm</v>
      </c>
      <c r="D97" s="938">
        <f t="shared" si="17"/>
        <v>10</v>
      </c>
      <c r="E97" s="918">
        <f t="shared" si="19"/>
        <v>6.6455505279034739</v>
      </c>
      <c r="F97" s="948">
        <f t="shared" si="20"/>
        <v>0.75</v>
      </c>
      <c r="G97" s="940">
        <f t="shared" si="21"/>
        <v>66.455505279034739</v>
      </c>
      <c r="H97" s="943">
        <f t="shared" si="22"/>
        <v>49.841628959276051</v>
      </c>
      <c r="K97" s="890"/>
    </row>
    <row r="98" spans="1:11" ht="25.5" x14ac:dyDescent="0.25">
      <c r="A98" s="949"/>
      <c r="B98" s="938" t="str">
        <f t="shared" si="18"/>
        <v>Saffron yellow color powder - لون صفار زعفران بودر</v>
      </c>
      <c r="C98" s="938" t="str">
        <f t="shared" si="17"/>
        <v>gm</v>
      </c>
      <c r="D98" s="938">
        <f t="shared" si="17"/>
        <v>2</v>
      </c>
      <c r="E98" s="918">
        <f t="shared" si="19"/>
        <v>6.6455505279034739</v>
      </c>
      <c r="F98" s="948">
        <f t="shared" si="20"/>
        <v>0.75</v>
      </c>
      <c r="G98" s="940">
        <f t="shared" si="21"/>
        <v>13.291101055806948</v>
      </c>
      <c r="H98" s="943">
        <f t="shared" si="22"/>
        <v>9.9683257918552108</v>
      </c>
      <c r="K98" s="890"/>
    </row>
    <row r="99" spans="1:11" x14ac:dyDescent="0.25">
      <c r="A99" s="949"/>
      <c r="B99" s="938" t="str">
        <f t="shared" si="18"/>
        <v>Maggi Cubes - مكعبات ماجي</v>
      </c>
      <c r="C99" s="938" t="str">
        <f t="shared" si="17"/>
        <v>gm</v>
      </c>
      <c r="D99" s="938">
        <f t="shared" si="17"/>
        <v>5</v>
      </c>
      <c r="E99" s="918">
        <f t="shared" si="19"/>
        <v>6.6455505279034739</v>
      </c>
      <c r="F99" s="948">
        <f t="shared" si="20"/>
        <v>0.6</v>
      </c>
      <c r="G99" s="940">
        <f t="shared" si="21"/>
        <v>33.227752639517369</v>
      </c>
      <c r="H99" s="943">
        <f t="shared" si="22"/>
        <v>19.936651583710422</v>
      </c>
      <c r="K99" s="890"/>
    </row>
    <row r="100" spans="1:11" x14ac:dyDescent="0.25">
      <c r="A100" s="949"/>
      <c r="B100" s="938" t="str">
        <f t="shared" si="18"/>
        <v>Salt - ملح</v>
      </c>
      <c r="C100" s="938" t="str">
        <f t="shared" si="17"/>
        <v>gm</v>
      </c>
      <c r="D100" s="938">
        <f t="shared" si="17"/>
        <v>5</v>
      </c>
      <c r="E100" s="918">
        <f t="shared" si="19"/>
        <v>6.6455505279034739</v>
      </c>
      <c r="F100" s="948">
        <f t="shared" si="20"/>
        <v>0.75</v>
      </c>
      <c r="G100" s="940">
        <f t="shared" si="21"/>
        <v>33.227752639517369</v>
      </c>
      <c r="H100" s="943">
        <f t="shared" si="22"/>
        <v>24.920814479638025</v>
      </c>
      <c r="K100" s="890"/>
    </row>
    <row r="101" spans="1:11" x14ac:dyDescent="0.25">
      <c r="A101" s="949"/>
      <c r="B101" s="938" t="str">
        <f t="shared" si="18"/>
        <v>Butter - زبدة</v>
      </c>
      <c r="C101" s="938" t="str">
        <f t="shared" si="17"/>
        <v>gm</v>
      </c>
      <c r="D101" s="938">
        <f t="shared" si="17"/>
        <v>20</v>
      </c>
      <c r="E101" s="918">
        <f t="shared" si="19"/>
        <v>6.6455505279034739</v>
      </c>
      <c r="F101" s="948">
        <f t="shared" si="20"/>
        <v>1</v>
      </c>
      <c r="G101" s="940">
        <f t="shared" si="21"/>
        <v>132.91101055806948</v>
      </c>
      <c r="H101" s="943">
        <f t="shared" si="22"/>
        <v>132.91101055806948</v>
      </c>
      <c r="K101" s="890"/>
    </row>
    <row r="102" spans="1:11" x14ac:dyDescent="0.25">
      <c r="A102" s="949"/>
      <c r="B102" s="938" t="str">
        <f t="shared" si="18"/>
        <v>Yogurt - زبادي</v>
      </c>
      <c r="C102" s="938" t="str">
        <f t="shared" si="17"/>
        <v>gm</v>
      </c>
      <c r="D102" s="938">
        <f t="shared" si="17"/>
        <v>200</v>
      </c>
      <c r="E102" s="918">
        <f t="shared" si="19"/>
        <v>6.6455505279034739</v>
      </c>
      <c r="F102" s="948">
        <f t="shared" si="20"/>
        <v>1</v>
      </c>
      <c r="G102" s="940">
        <f t="shared" si="21"/>
        <v>1329.1101055806948</v>
      </c>
      <c r="H102" s="943">
        <f t="shared" si="22"/>
        <v>1329.1101055806948</v>
      </c>
      <c r="K102" s="890"/>
    </row>
    <row r="103" spans="1:11" x14ac:dyDescent="0.25">
      <c r="A103" s="949"/>
      <c r="B103" s="938" t="str">
        <f t="shared" si="18"/>
        <v>Cooking Cream - كريمة طبخ</v>
      </c>
      <c r="C103" s="938" t="str">
        <f t="shared" si="17"/>
        <v>ml</v>
      </c>
      <c r="D103" s="938">
        <f t="shared" si="17"/>
        <v>300</v>
      </c>
      <c r="E103" s="918">
        <f t="shared" si="19"/>
        <v>6.6455505279034739</v>
      </c>
      <c r="F103" s="948">
        <f t="shared" si="20"/>
        <v>1</v>
      </c>
      <c r="G103" s="940">
        <f t="shared" si="21"/>
        <v>1993.6651583710423</v>
      </c>
      <c r="H103" s="943">
        <f t="shared" si="22"/>
        <v>1993.6651583710423</v>
      </c>
      <c r="K103" s="890"/>
    </row>
    <row r="104" spans="1:11" x14ac:dyDescent="0.25">
      <c r="A104" s="949"/>
      <c r="B104" s="938" t="str">
        <f t="shared" si="18"/>
        <v>Water - ماء</v>
      </c>
      <c r="C104" s="938" t="str">
        <f t="shared" si="17"/>
        <v>ml</v>
      </c>
      <c r="D104" s="938">
        <f t="shared" si="17"/>
        <v>170</v>
      </c>
      <c r="E104" s="918">
        <f t="shared" si="19"/>
        <v>6.6455505279034739</v>
      </c>
      <c r="F104" s="948">
        <f t="shared" si="20"/>
        <v>1</v>
      </c>
      <c r="G104" s="940">
        <f t="shared" si="21"/>
        <v>1129.7435897435905</v>
      </c>
      <c r="H104" s="943">
        <f t="shared" si="22"/>
        <v>1129.7435897435905</v>
      </c>
      <c r="K104" s="890"/>
    </row>
    <row r="105" spans="1:11" ht="20.25" x14ac:dyDescent="0.3">
      <c r="A105" s="946" t="s">
        <v>869</v>
      </c>
      <c r="B105" s="938" t="str">
        <f t="shared" si="18"/>
        <v>Coriander Leaves - كزبرة خضراء</v>
      </c>
      <c r="C105" s="938" t="str">
        <f t="shared" si="17"/>
        <v>gm</v>
      </c>
      <c r="D105" s="938">
        <f t="shared" si="17"/>
        <v>5</v>
      </c>
      <c r="E105" s="918">
        <f t="shared" si="19"/>
        <v>6.6455505279034739</v>
      </c>
      <c r="F105" s="948">
        <f t="shared" si="20"/>
        <v>0.75</v>
      </c>
      <c r="G105" s="940">
        <f t="shared" si="21"/>
        <v>33.227752639517369</v>
      </c>
      <c r="H105" s="943">
        <f t="shared" si="22"/>
        <v>24.920814479638025</v>
      </c>
      <c r="I105" s="142"/>
      <c r="J105" s="141"/>
      <c r="K105" s="890"/>
    </row>
    <row r="106" spans="1:11" x14ac:dyDescent="0.25">
      <c r="A106" s="949"/>
      <c r="B106" s="938" t="str">
        <f t="shared" si="18"/>
        <v>Corn Starch - نشا ذرة</v>
      </c>
      <c r="C106" s="938" t="str">
        <f t="shared" si="17"/>
        <v>gm</v>
      </c>
      <c r="D106" s="938">
        <f t="shared" si="17"/>
        <v>20</v>
      </c>
      <c r="E106" s="918">
        <f t="shared" si="19"/>
        <v>6.6455505279034739</v>
      </c>
      <c r="F106" s="948">
        <f t="shared" si="20"/>
        <v>1</v>
      </c>
      <c r="G106" s="940">
        <f>D106*E106</f>
        <v>132.91101055806948</v>
      </c>
      <c r="H106" s="943">
        <f>G106*F106</f>
        <v>132.91101055806948</v>
      </c>
      <c r="K106" s="890"/>
    </row>
    <row r="107" spans="1:11" ht="18" x14ac:dyDescent="0.25">
      <c r="A107" s="949"/>
      <c r="B107" s="1041" t="s">
        <v>287</v>
      </c>
      <c r="C107" s="1042" t="s">
        <v>273</v>
      </c>
      <c r="D107" s="1043"/>
      <c r="E107" s="1044" t="s">
        <v>288</v>
      </c>
      <c r="F107" s="1043"/>
      <c r="G107" s="1045" t="s">
        <v>264</v>
      </c>
      <c r="H107" s="1046" t="s">
        <v>661</v>
      </c>
      <c r="K107" s="890"/>
    </row>
    <row r="108" spans="1:11" ht="20.25" x14ac:dyDescent="0.3">
      <c r="A108" s="949"/>
      <c r="B108" s="1047">
        <f>$J$54</f>
        <v>7747.5244755244712</v>
      </c>
      <c r="C108" s="1048">
        <f>E108+G108</f>
        <v>5648.7179487179528</v>
      </c>
      <c r="D108" s="1049"/>
      <c r="E108" s="1047">
        <f>$D$54*$S$44</f>
        <v>2310.8391608391626</v>
      </c>
      <c r="F108" s="1050"/>
      <c r="G108" s="1048">
        <f>$D$54*$T$44</f>
        <v>3337.8787878787903</v>
      </c>
      <c r="H108" s="1047">
        <f>B108+E108</f>
        <v>10058.363636363634</v>
      </c>
      <c r="K108" s="890"/>
    </row>
    <row r="109" spans="1:11" x14ac:dyDescent="0.25">
      <c r="B109" s="890"/>
      <c r="D109" s="890"/>
      <c r="E109" s="890"/>
      <c r="F109" s="890"/>
      <c r="H109" s="890"/>
      <c r="K109" s="890"/>
    </row>
    <row r="110" spans="1:11" x14ac:dyDescent="0.25">
      <c r="B110" s="890"/>
      <c r="D110" s="890"/>
      <c r="E110" s="890"/>
      <c r="F110" s="890"/>
      <c r="H110" s="890"/>
      <c r="K110" s="890"/>
    </row>
    <row r="111" spans="1:11" x14ac:dyDescent="0.25">
      <c r="B111" s="890"/>
      <c r="D111" s="890"/>
      <c r="E111" s="890"/>
      <c r="F111" s="890"/>
      <c r="H111" s="890"/>
      <c r="K111" s="890"/>
    </row>
    <row r="112" spans="1:11" x14ac:dyDescent="0.25">
      <c r="B112" s="890"/>
      <c r="D112" s="890"/>
      <c r="E112" s="890"/>
      <c r="F112" s="890"/>
      <c r="H112" s="890"/>
      <c r="K112" s="890"/>
    </row>
    <row r="113" spans="1:11" x14ac:dyDescent="0.25">
      <c r="B113" s="890"/>
      <c r="D113" s="890"/>
      <c r="E113" s="890"/>
      <c r="F113" s="890"/>
      <c r="H113" s="890"/>
      <c r="K113" s="890"/>
    </row>
    <row r="114" spans="1:11" x14ac:dyDescent="0.25">
      <c r="A114" s="1036"/>
      <c r="B114" s="1776" t="str">
        <f>" دجاج بالكاري 3 / " &amp; COUNTIF($C$53:$C$55, "&gt;0")</f>
        <v xml:space="preserve"> دجاج بالكاري 3 / 2</v>
      </c>
      <c r="C114" s="1777"/>
      <c r="D114" s="1778"/>
      <c r="E114" s="1778"/>
      <c r="F114" s="1778"/>
      <c r="G114" s="1777"/>
      <c r="H114" s="1778"/>
      <c r="K114" s="890"/>
    </row>
    <row r="115" spans="1:11" x14ac:dyDescent="0.25">
      <c r="A115" s="1036"/>
      <c r="B115" s="1776" t="str">
        <f>" Curry Chicken  3 / " &amp; COUNTIF($C$53:$C$55, "&gt;0")</f>
        <v xml:space="preserve"> Curry Chicken  3 / 2</v>
      </c>
      <c r="C115" s="1777"/>
      <c r="D115" s="1778"/>
      <c r="E115" s="1778"/>
      <c r="F115" s="1778"/>
      <c r="G115" s="1777"/>
      <c r="H115" s="1778"/>
      <c r="K115" s="890"/>
    </row>
    <row r="116" spans="1:11" ht="38.25" x14ac:dyDescent="0.2">
      <c r="A116" s="933" t="s">
        <v>864</v>
      </c>
      <c r="B116" s="923" t="s">
        <v>241</v>
      </c>
      <c r="C116" s="934" t="s">
        <v>242</v>
      </c>
      <c r="D116" s="923" t="s">
        <v>231</v>
      </c>
      <c r="E116" s="935" t="s">
        <v>234</v>
      </c>
      <c r="F116" s="935" t="s">
        <v>243</v>
      </c>
      <c r="G116" s="923" t="s">
        <v>244</v>
      </c>
      <c r="H116" s="936" t="s">
        <v>245</v>
      </c>
      <c r="K116" s="890"/>
    </row>
    <row r="117" spans="1:11" x14ac:dyDescent="0.2">
      <c r="A117" s="937" t="s">
        <v>872</v>
      </c>
      <c r="B117" s="914" t="str">
        <f>$B$5</f>
        <v>Chicken - دجاج</v>
      </c>
      <c r="C117" s="939" t="str">
        <f t="shared" ref="C117:D134" si="23">C5</f>
        <v>gm</v>
      </c>
      <c r="D117" s="1037">
        <f t="shared" si="23"/>
        <v>2311.3713405238827</v>
      </c>
      <c r="E117" s="1052">
        <f>H55</f>
        <v>0</v>
      </c>
      <c r="F117" s="1053">
        <f>F5</f>
        <v>1</v>
      </c>
      <c r="G117" s="939">
        <f>G5</f>
        <v>36245.110821381997</v>
      </c>
      <c r="H117" s="1039">
        <f>H5</f>
        <v>36245.110821381997</v>
      </c>
      <c r="K117" s="890"/>
    </row>
    <row r="118" spans="1:11" x14ac:dyDescent="0.2">
      <c r="A118" s="946" t="s">
        <v>866</v>
      </c>
      <c r="B118" s="938" t="str">
        <f t="shared" ref="B118:B134" si="24">B6</f>
        <v>Onion - بصل</v>
      </c>
      <c r="C118" s="938" t="str">
        <f t="shared" si="23"/>
        <v>gm</v>
      </c>
      <c r="D118" s="938">
        <f t="shared" si="23"/>
        <v>150</v>
      </c>
      <c r="E118" s="918">
        <f t="shared" ref="E118:E134" si="25">$C$55</f>
        <v>0</v>
      </c>
      <c r="F118" s="948">
        <f t="shared" ref="F118:F134" si="26">F6</f>
        <v>0.95</v>
      </c>
      <c r="G118" s="944">
        <f t="shared" ref="G118:G133" si="27">D118*E118</f>
        <v>0</v>
      </c>
      <c r="H118" s="943">
        <f t="shared" ref="H118:H133" si="28">G118*F118</f>
        <v>0</v>
      </c>
      <c r="K118" s="890"/>
    </row>
    <row r="119" spans="1:11" x14ac:dyDescent="0.2">
      <c r="A119" s="946" t="s">
        <v>870</v>
      </c>
      <c r="B119" s="938" t="str">
        <f t="shared" si="24"/>
        <v>Tomato - طماطم</v>
      </c>
      <c r="C119" s="938" t="str">
        <f t="shared" si="23"/>
        <v>gm</v>
      </c>
      <c r="D119" s="938">
        <f t="shared" si="23"/>
        <v>250</v>
      </c>
      <c r="E119" s="918">
        <f t="shared" si="25"/>
        <v>0</v>
      </c>
      <c r="F119" s="948">
        <f t="shared" si="26"/>
        <v>1</v>
      </c>
      <c r="G119" s="944">
        <f t="shared" si="27"/>
        <v>0</v>
      </c>
      <c r="H119" s="943">
        <f t="shared" si="28"/>
        <v>0</v>
      </c>
      <c r="K119" s="890"/>
    </row>
    <row r="120" spans="1:11" x14ac:dyDescent="0.2">
      <c r="A120" s="946" t="s">
        <v>867</v>
      </c>
      <c r="B120" s="938" t="str">
        <f t="shared" si="24"/>
        <v>Ginger - زنجبيل</v>
      </c>
      <c r="C120" s="938" t="str">
        <f t="shared" si="23"/>
        <v>gm</v>
      </c>
      <c r="D120" s="938">
        <f t="shared" si="23"/>
        <v>15</v>
      </c>
      <c r="E120" s="918">
        <f t="shared" si="25"/>
        <v>0</v>
      </c>
      <c r="F120" s="948">
        <f t="shared" si="26"/>
        <v>0.9</v>
      </c>
      <c r="G120" s="944">
        <f t="shared" si="27"/>
        <v>0</v>
      </c>
      <c r="H120" s="943">
        <f t="shared" si="28"/>
        <v>0</v>
      </c>
      <c r="K120" s="890"/>
    </row>
    <row r="121" spans="1:11" x14ac:dyDescent="0.2">
      <c r="A121" s="946" t="s">
        <v>868</v>
      </c>
      <c r="B121" s="938" t="str">
        <f t="shared" si="24"/>
        <v>Garlic - ثوم مقشر</v>
      </c>
      <c r="C121" s="938" t="str">
        <f t="shared" si="23"/>
        <v>gm</v>
      </c>
      <c r="D121" s="938">
        <f t="shared" si="23"/>
        <v>25</v>
      </c>
      <c r="E121" s="918">
        <f t="shared" si="25"/>
        <v>0</v>
      </c>
      <c r="F121" s="948">
        <f t="shared" si="26"/>
        <v>0.9</v>
      </c>
      <c r="G121" s="944">
        <f t="shared" si="27"/>
        <v>0</v>
      </c>
      <c r="H121" s="943">
        <f t="shared" si="28"/>
        <v>0</v>
      </c>
      <c r="K121" s="890"/>
    </row>
    <row r="122" spans="1:11" x14ac:dyDescent="0.25">
      <c r="A122" s="949"/>
      <c r="B122" s="938" t="str">
        <f t="shared" si="24"/>
        <v>Green Chilli Pepper - فلفل أخضر حار</v>
      </c>
      <c r="C122" s="938" t="str">
        <f t="shared" si="23"/>
        <v>gm</v>
      </c>
      <c r="D122" s="938">
        <f t="shared" si="23"/>
        <v>5</v>
      </c>
      <c r="E122" s="918">
        <f t="shared" si="25"/>
        <v>0</v>
      </c>
      <c r="F122" s="948">
        <f t="shared" si="26"/>
        <v>0.75</v>
      </c>
      <c r="G122" s="944">
        <f t="shared" si="27"/>
        <v>0</v>
      </c>
      <c r="H122" s="943">
        <f t="shared" si="28"/>
        <v>0</v>
      </c>
      <c r="K122" s="890"/>
    </row>
    <row r="123" spans="1:11" x14ac:dyDescent="0.25">
      <c r="A123" s="949"/>
      <c r="B123" s="938" t="str">
        <f t="shared" si="24"/>
        <v>Cumin Powder - كمون مطحون</v>
      </c>
      <c r="C123" s="938" t="str">
        <f t="shared" si="23"/>
        <v>gm</v>
      </c>
      <c r="D123" s="938">
        <f t="shared" si="23"/>
        <v>5</v>
      </c>
      <c r="E123" s="918">
        <f t="shared" si="25"/>
        <v>0</v>
      </c>
      <c r="F123" s="948">
        <f t="shared" si="26"/>
        <v>0.9</v>
      </c>
      <c r="G123" s="944">
        <f t="shared" si="27"/>
        <v>0</v>
      </c>
      <c r="H123" s="943">
        <f t="shared" si="28"/>
        <v>0</v>
      </c>
      <c r="K123" s="890"/>
    </row>
    <row r="124" spans="1:11" x14ac:dyDescent="0.25">
      <c r="A124" s="949"/>
      <c r="B124" s="938" t="str">
        <f t="shared" si="24"/>
        <v>Coriander Powder - كزبرة مطحونة</v>
      </c>
      <c r="C124" s="938" t="str">
        <f t="shared" si="23"/>
        <v>gm</v>
      </c>
      <c r="D124" s="938">
        <f t="shared" si="23"/>
        <v>5</v>
      </c>
      <c r="E124" s="918">
        <f t="shared" si="25"/>
        <v>0</v>
      </c>
      <c r="F124" s="948">
        <f t="shared" si="26"/>
        <v>0.9</v>
      </c>
      <c r="G124" s="944">
        <f t="shared" si="27"/>
        <v>0</v>
      </c>
      <c r="H124" s="943">
        <f t="shared" si="28"/>
        <v>0</v>
      </c>
      <c r="K124" s="890"/>
    </row>
    <row r="125" spans="1:11" x14ac:dyDescent="0.25">
      <c r="A125" s="949"/>
      <c r="B125" s="938" t="str">
        <f t="shared" si="24"/>
        <v>Curry Powder - كاري بودرة</v>
      </c>
      <c r="C125" s="938" t="str">
        <f t="shared" si="23"/>
        <v>gm</v>
      </c>
      <c r="D125" s="938">
        <f t="shared" si="23"/>
        <v>10</v>
      </c>
      <c r="E125" s="918">
        <f t="shared" si="25"/>
        <v>0</v>
      </c>
      <c r="F125" s="948">
        <f t="shared" si="26"/>
        <v>0.75</v>
      </c>
      <c r="G125" s="944">
        <f t="shared" si="27"/>
        <v>0</v>
      </c>
      <c r="H125" s="943">
        <f t="shared" si="28"/>
        <v>0</v>
      </c>
      <c r="K125" s="890"/>
    </row>
    <row r="126" spans="1:11" ht="25.5" x14ac:dyDescent="0.25">
      <c r="A126" s="949"/>
      <c r="B126" s="938" t="str">
        <f t="shared" si="24"/>
        <v>Saffron yellow color powder - لون صفار زعفران بودر</v>
      </c>
      <c r="C126" s="938" t="str">
        <f t="shared" si="23"/>
        <v>gm</v>
      </c>
      <c r="D126" s="938">
        <f t="shared" si="23"/>
        <v>2</v>
      </c>
      <c r="E126" s="918">
        <f t="shared" si="25"/>
        <v>0</v>
      </c>
      <c r="F126" s="948">
        <f t="shared" si="26"/>
        <v>0.75</v>
      </c>
      <c r="G126" s="944">
        <f t="shared" si="27"/>
        <v>0</v>
      </c>
      <c r="H126" s="943">
        <f t="shared" si="28"/>
        <v>0</v>
      </c>
      <c r="K126" s="890"/>
    </row>
    <row r="127" spans="1:11" x14ac:dyDescent="0.25">
      <c r="A127" s="949"/>
      <c r="B127" s="938" t="str">
        <f t="shared" si="24"/>
        <v>Maggi Cubes - مكعبات ماجي</v>
      </c>
      <c r="C127" s="938" t="str">
        <f t="shared" si="23"/>
        <v>gm</v>
      </c>
      <c r="D127" s="938">
        <f t="shared" si="23"/>
        <v>5</v>
      </c>
      <c r="E127" s="918">
        <f t="shared" si="25"/>
        <v>0</v>
      </c>
      <c r="F127" s="948">
        <f t="shared" si="26"/>
        <v>0.6</v>
      </c>
      <c r="G127" s="944">
        <f t="shared" si="27"/>
        <v>0</v>
      </c>
      <c r="H127" s="943">
        <f t="shared" si="28"/>
        <v>0</v>
      </c>
      <c r="K127" s="890"/>
    </row>
    <row r="128" spans="1:11" x14ac:dyDescent="0.25">
      <c r="A128" s="949"/>
      <c r="B128" s="938" t="str">
        <f t="shared" si="24"/>
        <v>Salt - ملح</v>
      </c>
      <c r="C128" s="938" t="str">
        <f t="shared" si="23"/>
        <v>gm</v>
      </c>
      <c r="D128" s="938">
        <f t="shared" si="23"/>
        <v>5</v>
      </c>
      <c r="E128" s="918">
        <f t="shared" si="25"/>
        <v>0</v>
      </c>
      <c r="F128" s="948">
        <f t="shared" si="26"/>
        <v>0.75</v>
      </c>
      <c r="G128" s="944">
        <f t="shared" si="27"/>
        <v>0</v>
      </c>
      <c r="H128" s="943">
        <f t="shared" si="28"/>
        <v>0</v>
      </c>
      <c r="K128" s="890"/>
    </row>
    <row r="129" spans="1:11" x14ac:dyDescent="0.25">
      <c r="A129" s="949"/>
      <c r="B129" s="938" t="str">
        <f t="shared" si="24"/>
        <v>Butter - زبدة</v>
      </c>
      <c r="C129" s="938" t="str">
        <f t="shared" si="23"/>
        <v>gm</v>
      </c>
      <c r="D129" s="938">
        <f t="shared" si="23"/>
        <v>20</v>
      </c>
      <c r="E129" s="918">
        <f t="shared" si="25"/>
        <v>0</v>
      </c>
      <c r="F129" s="948">
        <f t="shared" si="26"/>
        <v>1</v>
      </c>
      <c r="G129" s="944">
        <f t="shared" si="27"/>
        <v>0</v>
      </c>
      <c r="H129" s="943">
        <f t="shared" si="28"/>
        <v>0</v>
      </c>
      <c r="K129" s="890"/>
    </row>
    <row r="130" spans="1:11" x14ac:dyDescent="0.25">
      <c r="A130" s="949"/>
      <c r="B130" s="938" t="str">
        <f t="shared" si="24"/>
        <v>Yogurt - زبادي</v>
      </c>
      <c r="C130" s="938" t="str">
        <f t="shared" si="23"/>
        <v>gm</v>
      </c>
      <c r="D130" s="938">
        <f t="shared" si="23"/>
        <v>200</v>
      </c>
      <c r="E130" s="918">
        <f t="shared" si="25"/>
        <v>0</v>
      </c>
      <c r="F130" s="948">
        <f t="shared" si="26"/>
        <v>1</v>
      </c>
      <c r="G130" s="944">
        <f t="shared" si="27"/>
        <v>0</v>
      </c>
      <c r="H130" s="943">
        <f t="shared" si="28"/>
        <v>0</v>
      </c>
      <c r="K130" s="890"/>
    </row>
    <row r="131" spans="1:11" x14ac:dyDescent="0.25">
      <c r="A131" s="949"/>
      <c r="B131" s="938" t="str">
        <f t="shared" si="24"/>
        <v>Cooking Cream - كريمة طبخ</v>
      </c>
      <c r="C131" s="938" t="str">
        <f t="shared" si="23"/>
        <v>ml</v>
      </c>
      <c r="D131" s="938">
        <f t="shared" si="23"/>
        <v>300</v>
      </c>
      <c r="E131" s="918">
        <f t="shared" si="25"/>
        <v>0</v>
      </c>
      <c r="F131" s="948">
        <f t="shared" si="26"/>
        <v>1</v>
      </c>
      <c r="G131" s="944">
        <f t="shared" si="27"/>
        <v>0</v>
      </c>
      <c r="H131" s="943">
        <f t="shared" si="28"/>
        <v>0</v>
      </c>
      <c r="K131" s="890"/>
    </row>
    <row r="132" spans="1:11" ht="20.25" x14ac:dyDescent="0.3">
      <c r="A132" s="949"/>
      <c r="B132" s="938" t="str">
        <f t="shared" si="24"/>
        <v>Water - ماء</v>
      </c>
      <c r="C132" s="938" t="str">
        <f t="shared" si="23"/>
        <v>ml</v>
      </c>
      <c r="D132" s="938">
        <f t="shared" si="23"/>
        <v>170</v>
      </c>
      <c r="E132" s="918">
        <f t="shared" si="25"/>
        <v>0</v>
      </c>
      <c r="F132" s="948">
        <f t="shared" si="26"/>
        <v>1</v>
      </c>
      <c r="G132" s="944">
        <f t="shared" si="27"/>
        <v>0</v>
      </c>
      <c r="H132" s="943">
        <f t="shared" si="28"/>
        <v>0</v>
      </c>
      <c r="I132" s="142"/>
      <c r="J132" s="141"/>
      <c r="K132" s="890"/>
    </row>
    <row r="133" spans="1:11" x14ac:dyDescent="0.2">
      <c r="A133" s="946" t="s">
        <v>869</v>
      </c>
      <c r="B133" s="938" t="str">
        <f t="shared" si="24"/>
        <v>Coriander Leaves - كزبرة خضراء</v>
      </c>
      <c r="C133" s="938" t="str">
        <f t="shared" si="23"/>
        <v>gm</v>
      </c>
      <c r="D133" s="938">
        <f t="shared" si="23"/>
        <v>5</v>
      </c>
      <c r="E133" s="918">
        <f t="shared" si="25"/>
        <v>0</v>
      </c>
      <c r="F133" s="948">
        <f t="shared" si="26"/>
        <v>0.75</v>
      </c>
      <c r="G133" s="944">
        <f t="shared" si="27"/>
        <v>0</v>
      </c>
      <c r="H133" s="943">
        <f t="shared" si="28"/>
        <v>0</v>
      </c>
      <c r="K133" s="890"/>
    </row>
    <row r="134" spans="1:11" x14ac:dyDescent="0.25">
      <c r="A134" s="949"/>
      <c r="B134" s="938" t="str">
        <f t="shared" si="24"/>
        <v>Corn Starch - نشا ذرة</v>
      </c>
      <c r="C134" s="938" t="str">
        <f t="shared" si="23"/>
        <v>gm</v>
      </c>
      <c r="D134" s="938">
        <f t="shared" si="23"/>
        <v>20</v>
      </c>
      <c r="E134" s="918">
        <f t="shared" si="25"/>
        <v>0</v>
      </c>
      <c r="F134" s="948">
        <f t="shared" si="26"/>
        <v>1</v>
      </c>
      <c r="G134" s="944">
        <f>D134*E134</f>
        <v>0</v>
      </c>
      <c r="H134" s="943">
        <f>G134*F134</f>
        <v>0</v>
      </c>
      <c r="K134" s="890"/>
    </row>
    <row r="135" spans="1:11" ht="18" x14ac:dyDescent="0.25">
      <c r="A135" s="949"/>
      <c r="B135" s="1041" t="s">
        <v>287</v>
      </c>
      <c r="C135" s="1042" t="s">
        <v>273</v>
      </c>
      <c r="D135" s="1043"/>
      <c r="E135" s="1044" t="s">
        <v>288</v>
      </c>
      <c r="F135" s="1043"/>
      <c r="G135" s="1045" t="s">
        <v>264</v>
      </c>
      <c r="H135" s="1046" t="s">
        <v>661</v>
      </c>
      <c r="K135" s="890"/>
    </row>
    <row r="136" spans="1:11" ht="20.25" x14ac:dyDescent="0.3">
      <c r="A136" s="949"/>
      <c r="B136" s="1047">
        <f>$J$55</f>
        <v>0</v>
      </c>
      <c r="C136" s="1048">
        <f>E136+G136</f>
        <v>0</v>
      </c>
      <c r="D136" s="1054"/>
      <c r="E136" s="1047">
        <f>$D$55*$S$44</f>
        <v>0</v>
      </c>
      <c r="F136" s="1054"/>
      <c r="G136" s="1048">
        <f>$D$55*$T$44</f>
        <v>0</v>
      </c>
      <c r="H136" s="1047">
        <f>B136+E136</f>
        <v>0</v>
      </c>
      <c r="K136" s="890"/>
    </row>
  </sheetData>
  <mergeCells count="11">
    <mergeCell ref="AK2:AM2"/>
    <mergeCell ref="F2:F3"/>
    <mergeCell ref="B63:H63"/>
    <mergeCell ref="B86:H86"/>
    <mergeCell ref="R26:U26"/>
    <mergeCell ref="B115:H115"/>
    <mergeCell ref="B62:H62"/>
    <mergeCell ref="R25:U25"/>
    <mergeCell ref="B87:H87"/>
    <mergeCell ref="B114:H114"/>
    <mergeCell ref="B35:F35"/>
  </mergeCells>
  <printOptions horizontalCentered="1"/>
  <pageMargins left="0.4" right="0.4" top="1" bottom="0.5" header="0.3" footer="0.511811023622047"/>
  <pageSetup paperSize="9" scale="41"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pageSetUpPr fitToPage="1"/>
  </sheetPr>
  <dimension ref="A1:AE169"/>
  <sheetViews>
    <sheetView topLeftCell="A36" zoomScale="40" zoomScaleNormal="40" workbookViewId="0">
      <selection activeCell="E121" sqref="E121:F121"/>
    </sheetView>
  </sheetViews>
  <sheetFormatPr defaultColWidth="12.5" defaultRowHeight="15" x14ac:dyDescent="0.25"/>
  <cols>
    <col min="1" max="1" width="18.625" style="861" customWidth="1"/>
    <col min="2" max="2" width="25.875" style="26" customWidth="1"/>
    <col min="3" max="3" width="18.625" style="146" customWidth="1"/>
    <col min="4" max="6" width="25.875" style="146" customWidth="1"/>
    <col min="7" max="7" width="18.625" style="146" customWidth="1"/>
    <col min="8" max="8" width="25.875" style="146" customWidth="1"/>
    <col min="9" max="10" width="18.625" style="146" customWidth="1"/>
    <col min="11" max="11" width="25.875" style="146" customWidth="1"/>
    <col min="12" max="13" width="12.625" style="146" customWidth="1"/>
    <col min="14" max="14" width="12.5" style="146" customWidth="1"/>
    <col min="15" max="15" width="18.625" style="146" customWidth="1"/>
    <col min="16" max="16" width="8.625" style="146" customWidth="1"/>
    <col min="17" max="17" width="18.625" style="146" customWidth="1"/>
    <col min="18" max="18" width="25.875" style="146" customWidth="1"/>
    <col min="19" max="19" width="12.625" style="146" customWidth="1"/>
    <col min="20" max="20" width="25.875" style="146" customWidth="1"/>
    <col min="21" max="22" width="12.625" style="146" customWidth="1"/>
    <col min="23" max="23" width="25.875" style="146" customWidth="1"/>
    <col min="24" max="24" width="9.375" style="146" bestFit="1" customWidth="1"/>
    <col min="25" max="25" width="8.625" style="146" customWidth="1"/>
    <col min="26" max="28" width="12.625" style="146" customWidth="1"/>
    <col min="29" max="29" width="18.625" style="146" customWidth="1"/>
    <col min="30" max="31" width="12.625" style="146" customWidth="1"/>
    <col min="32" max="16384" width="12.5" style="146"/>
  </cols>
  <sheetData>
    <row r="1" spans="1:30" ht="25.5" x14ac:dyDescent="0.25">
      <c r="B1" s="1062" t="s">
        <v>231</v>
      </c>
      <c r="C1" s="914">
        <v>1000</v>
      </c>
      <c r="D1" s="915" t="s">
        <v>232</v>
      </c>
      <c r="E1" s="941">
        <f>S32</f>
        <v>21150</v>
      </c>
      <c r="F1" s="913" t="s">
        <v>233</v>
      </c>
      <c r="G1" s="1063">
        <f>E1/C1</f>
        <v>21.15</v>
      </c>
      <c r="H1" s="913" t="s">
        <v>234</v>
      </c>
      <c r="I1" s="1063">
        <f>G1/K1</f>
        <v>21.15</v>
      </c>
      <c r="J1" s="919" t="s">
        <v>235</v>
      </c>
      <c r="K1" s="914">
        <v>1</v>
      </c>
      <c r="L1" s="147"/>
      <c r="M1" s="148"/>
      <c r="N1" s="1064"/>
      <c r="O1" s="923" t="s">
        <v>236</v>
      </c>
      <c r="P1" s="914" t="s">
        <v>289</v>
      </c>
      <c r="Q1" s="924" t="s">
        <v>238</v>
      </c>
      <c r="R1" s="914">
        <v>0.49</v>
      </c>
      <c r="S1" s="147"/>
      <c r="T1" s="1056"/>
      <c r="W1" s="1056"/>
      <c r="Y1" s="923" t="s">
        <v>444</v>
      </c>
      <c r="Z1" s="925">
        <v>20650</v>
      </c>
      <c r="AA1" s="923" t="s">
        <v>544</v>
      </c>
      <c r="AB1" s="925">
        <v>500</v>
      </c>
      <c r="AC1" s="923" t="s">
        <v>537</v>
      </c>
      <c r="AD1" s="925">
        <v>139</v>
      </c>
    </row>
    <row r="2" spans="1:30" ht="15.75" x14ac:dyDescent="0.25">
      <c r="A2" s="870"/>
      <c r="B2" s="1784" t="s">
        <v>290</v>
      </c>
      <c r="C2" s="1784"/>
      <c r="D2" s="1784"/>
      <c r="E2" s="1784"/>
      <c r="F2" s="1784"/>
      <c r="G2" s="1784"/>
      <c r="H2" s="1784"/>
      <c r="I2" s="952"/>
      <c r="J2" s="952"/>
      <c r="K2" s="921"/>
      <c r="L2" s="78"/>
      <c r="M2" s="79"/>
      <c r="N2" s="79"/>
      <c r="O2" s="147"/>
      <c r="P2" s="147"/>
      <c r="Q2" s="147"/>
      <c r="R2" s="147"/>
      <c r="S2" s="147"/>
      <c r="T2" s="147"/>
      <c r="U2" s="147"/>
      <c r="W2" s="1056"/>
    </row>
    <row r="3" spans="1:30" ht="15.75" x14ac:dyDescent="0.25">
      <c r="A3" s="870"/>
      <c r="B3" s="1791"/>
      <c r="C3" s="1791"/>
      <c r="D3" s="1791"/>
      <c r="E3" s="1791"/>
      <c r="F3" s="1791"/>
      <c r="G3" s="1791"/>
      <c r="H3" s="1791"/>
      <c r="I3"/>
      <c r="J3"/>
      <c r="K3" s="78"/>
      <c r="L3" s="78"/>
      <c r="M3" s="79"/>
      <c r="N3" s="79"/>
      <c r="O3" s="147"/>
      <c r="P3" s="147"/>
      <c r="Q3" s="147"/>
      <c r="R3" s="147"/>
      <c r="S3" s="147"/>
      <c r="T3" s="147"/>
      <c r="U3" s="147"/>
      <c r="W3" s="1056"/>
    </row>
    <row r="4" spans="1:30" ht="38.25" x14ac:dyDescent="0.2">
      <c r="A4" s="933" t="s">
        <v>864</v>
      </c>
      <c r="B4" s="1066" t="s">
        <v>241</v>
      </c>
      <c r="C4" s="934" t="s">
        <v>242</v>
      </c>
      <c r="D4" s="923" t="s">
        <v>231</v>
      </c>
      <c r="E4" s="936" t="s">
        <v>234</v>
      </c>
      <c r="F4" s="935" t="s">
        <v>243</v>
      </c>
      <c r="G4" s="923" t="s">
        <v>244</v>
      </c>
      <c r="H4" s="936" t="s">
        <v>245</v>
      </c>
      <c r="I4" s="923" t="s">
        <v>246</v>
      </c>
      <c r="J4" s="923" t="s">
        <v>247</v>
      </c>
      <c r="K4" s="923" t="s">
        <v>248</v>
      </c>
      <c r="L4" s="923" t="s">
        <v>249</v>
      </c>
      <c r="M4" s="950"/>
      <c r="N4" s="147"/>
      <c r="O4" s="147"/>
      <c r="P4" s="147"/>
      <c r="Q4" s="147"/>
      <c r="R4" s="147"/>
      <c r="S4" s="147"/>
      <c r="T4" s="1056"/>
      <c r="W4" s="1056"/>
    </row>
    <row r="5" spans="1:30" ht="28.5" x14ac:dyDescent="0.2">
      <c r="A5" s="1067" t="s">
        <v>872</v>
      </c>
      <c r="B5" s="1068" t="s">
        <v>223</v>
      </c>
      <c r="C5" s="947" t="s">
        <v>14</v>
      </c>
      <c r="D5" s="944">
        <f>I51/10</f>
        <v>2040.8163265306125</v>
      </c>
      <c r="E5" s="1040">
        <f>H52</f>
        <v>21.15</v>
      </c>
      <c r="F5" s="948">
        <v>1</v>
      </c>
      <c r="G5" s="940">
        <f t="shared" ref="G5" si="0">D5*E5</f>
        <v>43163.265306122448</v>
      </c>
      <c r="H5" s="943">
        <f t="shared" ref="H5" si="1">G5*F5</f>
        <v>43163.265306122448</v>
      </c>
      <c r="I5" s="914">
        <f>VLOOKUP(B5,All_Ingredients!$A$1:$F$161,6,FALSE())</f>
        <v>0.55000000000000004</v>
      </c>
      <c r="J5" s="940">
        <f>VLOOKUP(B5,All_Ingredients!$A$1:$J$161,10,FALSE())</f>
        <v>14.361111111111111</v>
      </c>
      <c r="K5" s="945">
        <f t="shared" ref="K5" si="2">(H5/I5)/1000</f>
        <v>78.478664192949907</v>
      </c>
      <c r="L5" s="945">
        <f t="shared" ref="L5:L14" si="3">K5*J5</f>
        <v>1127.0408163265306</v>
      </c>
      <c r="M5" s="1069">
        <f>L5/(H5/1000)</f>
        <v>26.111111111111111</v>
      </c>
      <c r="N5" s="147"/>
      <c r="O5" s="147"/>
      <c r="P5" s="147"/>
      <c r="Q5" s="147"/>
      <c r="R5" s="147"/>
      <c r="S5" s="147"/>
      <c r="T5" s="1056"/>
      <c r="W5" s="1056"/>
    </row>
    <row r="6" spans="1:30" ht="28.5" x14ac:dyDescent="0.25">
      <c r="A6" s="1070"/>
      <c r="B6" s="1068" t="s">
        <v>97</v>
      </c>
      <c r="C6" s="947" t="s">
        <v>14</v>
      </c>
      <c r="D6" s="914">
        <v>2</v>
      </c>
      <c r="E6" s="944">
        <f t="shared" ref="E6:E16" si="4">$G$1</f>
        <v>21.15</v>
      </c>
      <c r="F6" s="948">
        <v>1</v>
      </c>
      <c r="G6" s="940">
        <f t="shared" ref="G6:G14" si="5">D6*E6</f>
        <v>42.3</v>
      </c>
      <c r="H6" s="943">
        <f t="shared" ref="H6:H14" si="6">G6*F6</f>
        <v>42.3</v>
      </c>
      <c r="I6" s="914">
        <f>VLOOKUP(B6,All_Ingredients!$A$1:$F$161,6,FALSE())</f>
        <v>1</v>
      </c>
      <c r="J6" s="940">
        <f>VLOOKUP(B6,All_Ingredients!$A$1:$J$161,10,FALSE())</f>
        <v>38</v>
      </c>
      <c r="K6" s="945">
        <f t="shared" ref="K6:K14" si="7">(H6/I6)/1000</f>
        <v>4.2299999999999997E-2</v>
      </c>
      <c r="L6" s="945">
        <f t="shared" si="3"/>
        <v>1.6073999999999999</v>
      </c>
      <c r="M6" s="1071"/>
      <c r="R6" s="1056"/>
      <c r="T6" s="1056"/>
      <c r="W6" s="1056"/>
    </row>
    <row r="7" spans="1:30" x14ac:dyDescent="0.25">
      <c r="A7" s="1070"/>
      <c r="B7" s="1068" t="s">
        <v>103</v>
      </c>
      <c r="C7" s="947" t="s">
        <v>14</v>
      </c>
      <c r="D7" s="914">
        <v>2</v>
      </c>
      <c r="E7" s="944">
        <f t="shared" si="4"/>
        <v>21.15</v>
      </c>
      <c r="F7" s="948">
        <v>0.95</v>
      </c>
      <c r="G7" s="940">
        <f t="shared" si="5"/>
        <v>42.3</v>
      </c>
      <c r="H7" s="943">
        <f t="shared" si="6"/>
        <v>40.184999999999995</v>
      </c>
      <c r="I7" s="914">
        <f>VLOOKUP(B7,All_Ingredients!$A$1:$F$161,6,FALSE())</f>
        <v>1</v>
      </c>
      <c r="J7" s="940">
        <f>VLOOKUP(B7,All_Ingredients!$A$1:$J$161,10,FALSE())</f>
        <v>19</v>
      </c>
      <c r="K7" s="945">
        <f t="shared" si="7"/>
        <v>4.0184999999999998E-2</v>
      </c>
      <c r="L7" s="945">
        <f t="shared" si="3"/>
        <v>0.76351499999999994</v>
      </c>
      <c r="M7" s="1071"/>
      <c r="R7" s="1056"/>
      <c r="T7" s="1056"/>
      <c r="W7" s="1056"/>
    </row>
    <row r="8" spans="1:30" x14ac:dyDescent="0.25">
      <c r="A8" s="1070"/>
      <c r="B8" s="1068" t="s">
        <v>124</v>
      </c>
      <c r="C8" s="947" t="s">
        <v>14</v>
      </c>
      <c r="D8" s="914">
        <v>2</v>
      </c>
      <c r="E8" s="944">
        <f t="shared" si="4"/>
        <v>21.15</v>
      </c>
      <c r="F8" s="948">
        <v>0.95</v>
      </c>
      <c r="G8" s="940">
        <f t="shared" si="5"/>
        <v>42.3</v>
      </c>
      <c r="H8" s="943">
        <f t="shared" si="6"/>
        <v>40.184999999999995</v>
      </c>
      <c r="I8" s="914">
        <f>VLOOKUP(B8,All_Ingredients!$A$1:$F$161,6,FALSE())</f>
        <v>1</v>
      </c>
      <c r="J8" s="940">
        <f>VLOOKUP(B8,All_Ingredients!$A$1:$J$161,10,FALSE())</f>
        <v>37</v>
      </c>
      <c r="K8" s="945">
        <f t="shared" si="7"/>
        <v>4.0184999999999998E-2</v>
      </c>
      <c r="L8" s="945">
        <f t="shared" si="3"/>
        <v>1.486845</v>
      </c>
      <c r="M8" s="1071"/>
      <c r="R8" s="1056"/>
      <c r="T8" s="1056"/>
      <c r="W8" s="1056"/>
    </row>
    <row r="9" spans="1:30" x14ac:dyDescent="0.25">
      <c r="A9" s="1070"/>
      <c r="B9" s="1068" t="s">
        <v>120</v>
      </c>
      <c r="C9" s="947" t="s">
        <v>14</v>
      </c>
      <c r="D9" s="914">
        <v>2</v>
      </c>
      <c r="E9" s="944">
        <f t="shared" si="4"/>
        <v>21.15</v>
      </c>
      <c r="F9" s="948">
        <v>1</v>
      </c>
      <c r="G9" s="940">
        <f t="shared" si="5"/>
        <v>42.3</v>
      </c>
      <c r="H9" s="943">
        <f t="shared" si="6"/>
        <v>42.3</v>
      </c>
      <c r="I9" s="914">
        <f>VLOOKUP(B9,All_Ingredients!$A$1:$F$161,6,FALSE())</f>
        <v>1</v>
      </c>
      <c r="J9" s="940">
        <f>VLOOKUP(B9,All_Ingredients!$A$1:$J$161,10,FALSE())</f>
        <v>15</v>
      </c>
      <c r="K9" s="945">
        <f t="shared" si="7"/>
        <v>4.2299999999999997E-2</v>
      </c>
      <c r="L9" s="945">
        <f t="shared" si="3"/>
        <v>0.63449999999999995</v>
      </c>
      <c r="M9" s="1071"/>
      <c r="R9" s="1056"/>
      <c r="T9" s="1056"/>
      <c r="W9" s="1056"/>
    </row>
    <row r="10" spans="1:30" ht="28.5" x14ac:dyDescent="0.25">
      <c r="A10" s="1070"/>
      <c r="B10" s="1068" t="s">
        <v>799</v>
      </c>
      <c r="C10" s="947" t="s">
        <v>14</v>
      </c>
      <c r="D10" s="914">
        <v>5</v>
      </c>
      <c r="E10" s="944">
        <f t="shared" si="4"/>
        <v>21.15</v>
      </c>
      <c r="F10" s="948">
        <v>1</v>
      </c>
      <c r="G10" s="940">
        <f t="shared" si="5"/>
        <v>105.75</v>
      </c>
      <c r="H10" s="943">
        <f t="shared" si="6"/>
        <v>105.75</v>
      </c>
      <c r="I10" s="914">
        <f>VLOOKUP(B10,All_Ingredients!$A$1:$F$161,6,FALSE())</f>
        <v>1</v>
      </c>
      <c r="J10" s="940">
        <f>VLOOKUP(B10,All_Ingredients!$A$1:$J$161,10,FALSE())</f>
        <v>22.5</v>
      </c>
      <c r="K10" s="945">
        <f t="shared" si="7"/>
        <v>0.10575</v>
      </c>
      <c r="L10" s="945">
        <f t="shared" si="3"/>
        <v>2.379375</v>
      </c>
      <c r="M10" s="1071"/>
      <c r="R10" s="1056"/>
      <c r="T10" s="1056"/>
      <c r="W10" s="1056"/>
    </row>
    <row r="11" spans="1:30" x14ac:dyDescent="0.25">
      <c r="A11" s="1070"/>
      <c r="B11" s="1068" t="s">
        <v>105</v>
      </c>
      <c r="C11" s="947" t="s">
        <v>14</v>
      </c>
      <c r="D11" s="914">
        <v>6</v>
      </c>
      <c r="E11" s="944">
        <f t="shared" si="4"/>
        <v>21.15</v>
      </c>
      <c r="F11" s="948">
        <v>1</v>
      </c>
      <c r="G11" s="940">
        <f t="shared" si="5"/>
        <v>126.89999999999999</v>
      </c>
      <c r="H11" s="943">
        <f t="shared" si="6"/>
        <v>126.89999999999999</v>
      </c>
      <c r="I11" s="914">
        <f>VLOOKUP(B11,All_Ingredients!$A$1:$F$161,6,FALSE())</f>
        <v>1</v>
      </c>
      <c r="J11" s="940">
        <f>VLOOKUP(B11,All_Ingredients!$A$1:$J$161,10,FALSE())</f>
        <v>15</v>
      </c>
      <c r="K11" s="945">
        <f t="shared" si="7"/>
        <v>0.12689999999999999</v>
      </c>
      <c r="L11" s="945">
        <f t="shared" si="3"/>
        <v>1.9034999999999997</v>
      </c>
      <c r="M11" s="1071"/>
      <c r="R11" s="1056"/>
      <c r="T11" s="1056"/>
      <c r="W11" s="1056"/>
    </row>
    <row r="12" spans="1:30" ht="28.5" x14ac:dyDescent="0.25">
      <c r="A12" s="1070"/>
      <c r="B12" s="1068" t="s">
        <v>99</v>
      </c>
      <c r="C12" s="947" t="s">
        <v>14</v>
      </c>
      <c r="D12" s="914">
        <v>6</v>
      </c>
      <c r="E12" s="944">
        <f t="shared" si="4"/>
        <v>21.15</v>
      </c>
      <c r="F12" s="948">
        <v>1</v>
      </c>
      <c r="G12" s="940">
        <f t="shared" si="5"/>
        <v>126.89999999999999</v>
      </c>
      <c r="H12" s="943">
        <f t="shared" si="6"/>
        <v>126.89999999999999</v>
      </c>
      <c r="I12" s="914">
        <f>VLOOKUP(B12,All_Ingredients!$A$1:$F$161,6,FALSE())</f>
        <v>1</v>
      </c>
      <c r="J12" s="940">
        <f>VLOOKUP(B12,All_Ingredients!$A$1:$J$161,10,FALSE())</f>
        <v>31</v>
      </c>
      <c r="K12" s="945">
        <f t="shared" si="7"/>
        <v>0.12689999999999999</v>
      </c>
      <c r="L12" s="945">
        <f t="shared" si="3"/>
        <v>3.9338999999999995</v>
      </c>
      <c r="M12" s="1071"/>
      <c r="R12" s="1056"/>
      <c r="T12" s="1056"/>
      <c r="W12" s="1056"/>
    </row>
    <row r="13" spans="1:30" x14ac:dyDescent="0.25">
      <c r="A13" s="1070"/>
      <c r="B13" s="1072" t="s">
        <v>152</v>
      </c>
      <c r="C13" s="947" t="s">
        <v>14</v>
      </c>
      <c r="D13" s="1073">
        <v>75</v>
      </c>
      <c r="E13" s="944">
        <f t="shared" si="4"/>
        <v>21.15</v>
      </c>
      <c r="F13" s="948">
        <v>1</v>
      </c>
      <c r="G13" s="940">
        <f t="shared" si="5"/>
        <v>1586.25</v>
      </c>
      <c r="H13" s="943">
        <f t="shared" si="6"/>
        <v>1586.25</v>
      </c>
      <c r="I13" s="914">
        <f>VLOOKUP(B13,All_Ingredients!$A$1:$F$161,6,FALSE())</f>
        <v>1</v>
      </c>
      <c r="J13" s="940">
        <f>VLOOKUP(B13,All_Ingredients!$A$1:$J$161,10,FALSE())</f>
        <v>30</v>
      </c>
      <c r="K13" s="945">
        <f t="shared" si="7"/>
        <v>1.5862499999999999</v>
      </c>
      <c r="L13" s="945">
        <f t="shared" si="3"/>
        <v>47.587499999999999</v>
      </c>
      <c r="M13" s="1071"/>
      <c r="R13" s="1056"/>
      <c r="T13" s="1056"/>
      <c r="W13" s="1056"/>
    </row>
    <row r="14" spans="1:30" x14ac:dyDescent="0.25">
      <c r="A14" s="1070"/>
      <c r="B14" s="1068" t="s">
        <v>126</v>
      </c>
      <c r="C14" s="947" t="s">
        <v>14</v>
      </c>
      <c r="D14" s="1073">
        <v>6</v>
      </c>
      <c r="E14" s="944">
        <f t="shared" si="4"/>
        <v>21.15</v>
      </c>
      <c r="F14" s="948">
        <v>1</v>
      </c>
      <c r="G14" s="940">
        <f t="shared" si="5"/>
        <v>126.89999999999999</v>
      </c>
      <c r="H14" s="943">
        <f t="shared" si="6"/>
        <v>126.89999999999999</v>
      </c>
      <c r="I14" s="914">
        <f>VLOOKUP(B14,All_Ingredients!$A$1:$F$161,6,FALSE())</f>
        <v>1</v>
      </c>
      <c r="J14" s="940">
        <f>VLOOKUP(B14,All_Ingredients!$A$1:$J$161,10,FALSE())</f>
        <v>125</v>
      </c>
      <c r="K14" s="945">
        <f t="shared" si="7"/>
        <v>0.12689999999999999</v>
      </c>
      <c r="L14" s="945">
        <f t="shared" si="3"/>
        <v>15.862499999999999</v>
      </c>
      <c r="M14" s="1071"/>
      <c r="R14" s="1056"/>
      <c r="T14" s="1056"/>
      <c r="W14" s="1056"/>
    </row>
    <row r="15" spans="1:30" x14ac:dyDescent="0.25">
      <c r="A15" s="1070"/>
      <c r="B15" s="1068" t="s">
        <v>139</v>
      </c>
      <c r="C15" s="947" t="s">
        <v>14</v>
      </c>
      <c r="D15" s="1073">
        <v>8</v>
      </c>
      <c r="E15" s="944">
        <f t="shared" si="4"/>
        <v>21.15</v>
      </c>
      <c r="F15" s="948">
        <v>1</v>
      </c>
      <c r="G15" s="940">
        <f t="shared" ref="G15:G16" si="8">D15*E15</f>
        <v>169.2</v>
      </c>
      <c r="H15" s="943">
        <f t="shared" ref="H15:H16" si="9">G15*F15</f>
        <v>169.2</v>
      </c>
      <c r="I15" s="914">
        <f>VLOOKUP(B15,All_Ingredients!$A$1:$F$161,6,FALSE())</f>
        <v>1</v>
      </c>
      <c r="J15" s="940">
        <f>VLOOKUP(B15,All_Ingredients!$A$1:$J$161,10,FALSE())</f>
        <v>15.277777777777779</v>
      </c>
      <c r="K15" s="945">
        <f t="shared" ref="K15:K16" si="10">(H15/I15)/1000</f>
        <v>0.16919999999999999</v>
      </c>
      <c r="L15" s="945">
        <f t="shared" ref="L15:L16" si="11">K15*J15</f>
        <v>2.585</v>
      </c>
      <c r="M15" s="1071"/>
      <c r="R15" s="1056"/>
      <c r="T15" s="1056"/>
      <c r="W15" s="1056"/>
    </row>
    <row r="16" spans="1:30" x14ac:dyDescent="0.25">
      <c r="A16" s="1070"/>
      <c r="B16" s="1068" t="s">
        <v>93</v>
      </c>
      <c r="C16" s="947" t="s">
        <v>14</v>
      </c>
      <c r="D16" s="1073">
        <v>11</v>
      </c>
      <c r="E16" s="944">
        <f t="shared" si="4"/>
        <v>21.15</v>
      </c>
      <c r="F16" s="948">
        <v>1</v>
      </c>
      <c r="G16" s="940">
        <f t="shared" si="8"/>
        <v>232.64999999999998</v>
      </c>
      <c r="H16" s="943">
        <f t="shared" si="9"/>
        <v>232.64999999999998</v>
      </c>
      <c r="I16" s="914">
        <f>VLOOKUP(B16,All_Ingredients!$A$1:$F$161,6,FALSE())</f>
        <v>1</v>
      </c>
      <c r="J16" s="940">
        <f>VLOOKUP(B16,All_Ingredients!$A$1:$J$161,10,FALSE())</f>
        <v>0.74</v>
      </c>
      <c r="K16" s="945">
        <f t="shared" si="10"/>
        <v>0.23264999999999997</v>
      </c>
      <c r="L16" s="945">
        <f t="shared" si="11"/>
        <v>0.17216099999999998</v>
      </c>
      <c r="M16" s="1071"/>
      <c r="R16" s="1056"/>
      <c r="T16" s="1056"/>
      <c r="W16" s="1056"/>
    </row>
    <row r="25" spans="18:31" x14ac:dyDescent="0.25">
      <c r="R25" s="1792" t="s">
        <v>290</v>
      </c>
      <c r="S25" s="1793"/>
      <c r="T25" s="1794"/>
      <c r="U25" s="1793"/>
      <c r="V25" s="1076"/>
      <c r="W25" s="1056"/>
      <c r="Z25" s="982" t="s">
        <v>252</v>
      </c>
      <c r="AA25" s="989">
        <v>1</v>
      </c>
      <c r="AB25" s="982" t="s">
        <v>249</v>
      </c>
      <c r="AC25" s="985">
        <f>AE30*AA25</f>
        <v>5.7631403226931797E-2</v>
      </c>
      <c r="AD25" s="14"/>
    </row>
    <row r="26" spans="18:31" x14ac:dyDescent="0.25">
      <c r="R26" s="1792" t="s">
        <v>291</v>
      </c>
      <c r="S26" s="1793"/>
      <c r="T26" s="1794"/>
      <c r="U26" s="1793"/>
      <c r="V26" s="1076"/>
      <c r="W26" s="1056"/>
      <c r="Z26" s="14"/>
      <c r="AA26" s="14"/>
      <c r="AB26" s="14"/>
      <c r="AC26" s="14"/>
      <c r="AD26" s="14"/>
    </row>
    <row r="27" spans="18:31" x14ac:dyDescent="0.25">
      <c r="R27" s="958" t="s">
        <v>254</v>
      </c>
      <c r="S27" s="1076" t="s">
        <v>292</v>
      </c>
      <c r="T27" s="958" t="s">
        <v>256</v>
      </c>
      <c r="U27" s="1076" t="s">
        <v>257</v>
      </c>
      <c r="V27" s="962" t="s">
        <v>753</v>
      </c>
      <c r="W27" s="1056"/>
      <c r="Z27" s="982" t="s">
        <v>258</v>
      </c>
      <c r="AA27" s="982" t="s">
        <v>259</v>
      </c>
      <c r="AB27" s="982" t="s">
        <v>260</v>
      </c>
      <c r="AC27" s="982" t="s">
        <v>261</v>
      </c>
      <c r="AD27" s="984" t="s">
        <v>753</v>
      </c>
      <c r="AE27" s="982" t="s">
        <v>262</v>
      </c>
    </row>
    <row r="28" spans="18:31" x14ac:dyDescent="0.25">
      <c r="R28" s="958" t="s">
        <v>263</v>
      </c>
      <c r="S28" s="1077">
        <f>$Z$1</f>
        <v>20650</v>
      </c>
      <c r="T28" s="1078"/>
      <c r="U28" s="1079">
        <f>S28</f>
        <v>20650</v>
      </c>
      <c r="V28" s="966">
        <f>G37</f>
        <v>0</v>
      </c>
      <c r="W28" s="1056"/>
      <c r="Z28" s="1086"/>
      <c r="AA28" s="1087">
        <f>AA25</f>
        <v>1</v>
      </c>
      <c r="AB28" s="985">
        <f>AA25-AA28</f>
        <v>0</v>
      </c>
      <c r="AC28" s="989">
        <v>0</v>
      </c>
      <c r="AD28" s="987"/>
      <c r="AE28" s="1088">
        <f>SUM(AA28:AC28)</f>
        <v>1</v>
      </c>
    </row>
    <row r="29" spans="18:31" x14ac:dyDescent="0.25">
      <c r="R29" s="958" t="s">
        <v>264</v>
      </c>
      <c r="S29" s="1080"/>
      <c r="T29" s="1081"/>
      <c r="U29" s="1079">
        <f>T29</f>
        <v>0</v>
      </c>
      <c r="V29" s="966"/>
      <c r="W29" s="1056"/>
      <c r="Z29" s="1086"/>
      <c r="AA29" s="1089">
        <f>AA28/$AE$28</f>
        <v>1</v>
      </c>
      <c r="AB29" s="1089">
        <f>AB28/$AE$28</f>
        <v>0</v>
      </c>
      <c r="AC29" s="1089">
        <f>AC28/$AE$28</f>
        <v>0</v>
      </c>
      <c r="AD29" s="991"/>
      <c r="AE29" s="1089">
        <f>AE28/$AE$28</f>
        <v>1</v>
      </c>
    </row>
    <row r="30" spans="18:31" x14ac:dyDescent="0.25">
      <c r="R30" s="958" t="s">
        <v>265</v>
      </c>
      <c r="S30" s="1080">
        <f>$AB$1</f>
        <v>500</v>
      </c>
      <c r="T30" s="1078"/>
      <c r="U30" s="1079">
        <f>T30+S30</f>
        <v>500</v>
      </c>
      <c r="V30" s="972"/>
      <c r="W30" s="1056"/>
      <c r="Z30" s="982" t="s">
        <v>266</v>
      </c>
      <c r="AA30" s="1090">
        <f>S35/(S32)</f>
        <v>5.6888881859410427E-2</v>
      </c>
      <c r="AB30" s="1091"/>
      <c r="AC30" s="1091"/>
      <c r="AD30" s="994">
        <f>V35/U32</f>
        <v>7.4252136752136751E-4</v>
      </c>
      <c r="AE30" s="1092">
        <f>SUMPRODUCT(AA30:AC30,AA29:AC29)+(AD30)</f>
        <v>5.7631403226931797E-2</v>
      </c>
    </row>
    <row r="31" spans="18:31" x14ac:dyDescent="0.25">
      <c r="R31" s="958" t="s">
        <v>267</v>
      </c>
      <c r="S31" s="1082"/>
      <c r="T31" s="1081">
        <f>T28+T29</f>
        <v>0</v>
      </c>
      <c r="U31" s="1083">
        <f>T31</f>
        <v>0</v>
      </c>
      <c r="V31" s="966"/>
      <c r="W31" s="1056"/>
    </row>
    <row r="32" spans="18:31" x14ac:dyDescent="0.25">
      <c r="R32" s="958" t="s">
        <v>257</v>
      </c>
      <c r="S32" s="1083">
        <f>SUM(S28:S30)</f>
        <v>21150</v>
      </c>
      <c r="T32" s="1081">
        <f>SUM(T28:T30)</f>
        <v>0</v>
      </c>
      <c r="U32" s="1083">
        <f>T32+S32</f>
        <v>21150</v>
      </c>
      <c r="V32" s="966">
        <f>SUM(V28:V30)</f>
        <v>0</v>
      </c>
      <c r="W32" s="1056"/>
    </row>
    <row r="33" spans="2:23" ht="30" x14ac:dyDescent="0.25">
      <c r="B33" s="1055"/>
      <c r="D33" s="1056"/>
      <c r="E33" s="1056"/>
      <c r="F33" s="1056"/>
      <c r="H33" s="1056"/>
      <c r="K33" s="1056"/>
      <c r="R33" s="1084" t="s">
        <v>268</v>
      </c>
      <c r="S33" s="1082"/>
      <c r="T33" s="1073"/>
      <c r="U33" s="1082"/>
      <c r="V33" s="959"/>
      <c r="W33" s="1056"/>
    </row>
    <row r="34" spans="2:23" x14ac:dyDescent="0.25">
      <c r="B34" s="1055"/>
      <c r="D34" s="1056"/>
      <c r="E34" s="1056"/>
      <c r="F34" s="1056"/>
      <c r="H34" s="1056"/>
      <c r="K34" s="1056"/>
      <c r="R34" s="958" t="s">
        <v>269</v>
      </c>
      <c r="S34" s="1082"/>
      <c r="T34" s="1081"/>
      <c r="U34" s="1082"/>
      <c r="V34" s="959"/>
      <c r="W34" s="1056"/>
    </row>
    <row r="35" spans="2:23" ht="15.75" x14ac:dyDescent="0.25">
      <c r="B35" s="1781" t="s">
        <v>928</v>
      </c>
      <c r="C35" s="1782"/>
      <c r="D35" s="1781"/>
      <c r="E35" s="1781"/>
      <c r="F35" s="1781"/>
      <c r="G35" s="1000"/>
      <c r="H35" s="1009"/>
      <c r="I35" s="1010"/>
      <c r="J35" s="1010"/>
      <c r="K35" s="1009"/>
      <c r="L35" s="1010"/>
      <c r="R35" s="977" t="s">
        <v>249</v>
      </c>
      <c r="S35" s="978">
        <f>SUM(L5:L14)</f>
        <v>1203.1998513265305</v>
      </c>
      <c r="T35" s="979"/>
      <c r="U35" s="1085">
        <f>S35+T35+V35</f>
        <v>1218.9041782496074</v>
      </c>
      <c r="V35" s="978">
        <f>SUM(L37:L38)</f>
        <v>15.704326923076923</v>
      </c>
      <c r="W35" s="1056"/>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1056"/>
      <c r="T36" s="1056"/>
      <c r="W36" s="1056"/>
    </row>
    <row r="37" spans="2:23" x14ac:dyDescent="0.25">
      <c r="B37" s="1005" t="s">
        <v>666</v>
      </c>
      <c r="C37" s="1006" t="s">
        <v>14</v>
      </c>
      <c r="D37" s="1007">
        <v>1</v>
      </c>
      <c r="E37" s="1005">
        <f>$AD$1</f>
        <v>139</v>
      </c>
      <c r="F37" s="1005">
        <f>D37*E37</f>
        <v>139</v>
      </c>
      <c r="G37" s="437"/>
      <c r="H37" s="1005">
        <f>F37</f>
        <v>139</v>
      </c>
      <c r="I37" s="1005">
        <f>VLOOKUP(B37,All_Ingredients!$A$1:$F$161,6,FALSE())</f>
        <v>0.65</v>
      </c>
      <c r="J37" s="1005">
        <f>VLOOKUP(B37,All_Ingredients!$A$1:$J$161,10,FALSE())</f>
        <v>45</v>
      </c>
      <c r="K37" s="1005">
        <f>(H37/I37)/1000</f>
        <v>0.21384615384615385</v>
      </c>
      <c r="L37" s="1005">
        <f t="shared" ref="L37" si="12">K37*J37</f>
        <v>9.6230769230769226</v>
      </c>
      <c r="R37" s="1056"/>
      <c r="T37" s="1056"/>
      <c r="W37" s="1056"/>
    </row>
    <row r="38" spans="2:23" x14ac:dyDescent="0.25">
      <c r="B38" s="1005" t="s">
        <v>184</v>
      </c>
      <c r="C38" s="1006" t="s">
        <v>14</v>
      </c>
      <c r="D38" s="1007">
        <v>2.5</v>
      </c>
      <c r="E38" s="1005">
        <f>$AD$1</f>
        <v>139</v>
      </c>
      <c r="F38" s="1005">
        <f>D38*E38</f>
        <v>347.5</v>
      </c>
      <c r="G38" s="437"/>
      <c r="H38" s="1005">
        <f>F38</f>
        <v>347.5</v>
      </c>
      <c r="I38" s="1005">
        <f>VLOOKUP(B38,All_Ingredients!$A$1:$F$161,6,FALSE())</f>
        <v>1</v>
      </c>
      <c r="J38" s="1005">
        <f>VLOOKUP(B38,All_Ingredients!$A$1:$J$161,10,FALSE())</f>
        <v>17.5</v>
      </c>
      <c r="K38" s="1005">
        <f>(H38/I38)/1000</f>
        <v>0.34749999999999998</v>
      </c>
      <c r="L38" s="1005">
        <f t="shared" ref="L38" si="13">K38*J38</f>
        <v>6.0812499999999998</v>
      </c>
      <c r="R38" s="1056"/>
      <c r="T38" s="1056"/>
      <c r="W38" s="1056"/>
    </row>
    <row r="39" spans="2:23" x14ac:dyDescent="0.25">
      <c r="B39" s="1055"/>
      <c r="D39" s="1056"/>
      <c r="E39" s="1056"/>
      <c r="F39" s="1056"/>
      <c r="H39" s="1056"/>
      <c r="I39" s="14"/>
      <c r="J39" s="14"/>
      <c r="K39" s="1056"/>
      <c r="R39" s="1056"/>
      <c r="T39" s="1056"/>
      <c r="W39" s="1056"/>
    </row>
    <row r="40" spans="2:23" ht="26.25" x14ac:dyDescent="0.25">
      <c r="B40" s="1055"/>
      <c r="D40" s="1056"/>
      <c r="E40" s="1056"/>
      <c r="F40" s="1056"/>
      <c r="H40" s="1056"/>
      <c r="I40" s="14"/>
      <c r="J40" s="14"/>
      <c r="K40" s="1056"/>
      <c r="Q40" s="14"/>
      <c r="R40" s="1011" t="s">
        <v>270</v>
      </c>
      <c r="S40" s="1093">
        <v>1</v>
      </c>
      <c r="T40" s="1011" t="s">
        <v>271</v>
      </c>
      <c r="U40" s="1093">
        <v>0</v>
      </c>
      <c r="V40" s="1014">
        <f>S40+U40</f>
        <v>1</v>
      </c>
      <c r="W40" s="890"/>
    </row>
    <row r="41" spans="2:23" x14ac:dyDescent="0.25">
      <c r="B41" s="1055"/>
      <c r="D41" s="1056"/>
      <c r="E41" s="1056"/>
      <c r="F41" s="1056"/>
      <c r="H41" s="1056"/>
      <c r="I41" s="14"/>
      <c r="J41" s="14"/>
      <c r="K41" s="1056"/>
      <c r="Q41" s="14"/>
      <c r="R41" s="890"/>
      <c r="S41" s="14"/>
      <c r="T41" s="890"/>
      <c r="U41" s="123"/>
      <c r="V41" s="14"/>
      <c r="W41" s="890"/>
    </row>
    <row r="42" spans="2:23" x14ac:dyDescent="0.25">
      <c r="B42" s="1055"/>
      <c r="D42" s="1056"/>
      <c r="E42" s="1056"/>
      <c r="F42" s="1056"/>
      <c r="H42" s="1056"/>
      <c r="I42" s="14"/>
      <c r="J42" s="14"/>
      <c r="K42" s="1056"/>
      <c r="Q42" s="14"/>
      <c r="R42" s="890"/>
      <c r="S42" s="14"/>
      <c r="T42" s="890"/>
      <c r="U42" s="14"/>
      <c r="V42" s="14"/>
      <c r="W42" s="890"/>
    </row>
    <row r="43" spans="2:23" ht="26.25" x14ac:dyDescent="0.25">
      <c r="B43" s="1055"/>
      <c r="D43" s="1056"/>
      <c r="E43" s="1056"/>
      <c r="F43" s="1056"/>
      <c r="G43" s="14"/>
      <c r="H43" s="890"/>
      <c r="I43" s="14"/>
      <c r="J43" s="14"/>
      <c r="K43" s="1056"/>
      <c r="Q43" s="1015" t="s">
        <v>272</v>
      </c>
      <c r="R43" s="1011" t="s">
        <v>273</v>
      </c>
      <c r="S43" s="1015" t="s">
        <v>274</v>
      </c>
      <c r="T43" s="1011" t="s">
        <v>275</v>
      </c>
      <c r="U43" s="1015" t="s">
        <v>276</v>
      </c>
      <c r="V43" s="1015" t="s">
        <v>277</v>
      </c>
      <c r="W43" s="1011" t="s">
        <v>278</v>
      </c>
    </row>
    <row r="44" spans="2:23" x14ac:dyDescent="0.25">
      <c r="B44" s="192"/>
      <c r="C44" s="14"/>
      <c r="D44" s="890"/>
      <c r="E44" s="80"/>
      <c r="F44" s="80"/>
      <c r="G44" s="14"/>
      <c r="H44" s="890"/>
      <c r="I44" s="14"/>
      <c r="J44" s="14"/>
      <c r="K44" s="1056"/>
      <c r="Q44" s="1094">
        <v>10000</v>
      </c>
      <c r="R44" s="1017">
        <v>0</v>
      </c>
      <c r="S44" s="1095">
        <v>0</v>
      </c>
      <c r="T44" s="1025">
        <v>0</v>
      </c>
      <c r="U44" s="1096">
        <f>R44*S44</f>
        <v>0</v>
      </c>
      <c r="V44" s="1021">
        <f>R44*T44</f>
        <v>0</v>
      </c>
      <c r="W44" s="1026">
        <f>Q44-U44</f>
        <v>10000</v>
      </c>
    </row>
    <row r="50" spans="1:11" x14ac:dyDescent="0.25">
      <c r="A50" s="61"/>
      <c r="B50" s="1097"/>
      <c r="C50" s="1076" t="s">
        <v>233</v>
      </c>
      <c r="D50" s="958" t="s">
        <v>279</v>
      </c>
      <c r="E50" s="135"/>
      <c r="F50" s="147"/>
      <c r="G50" s="962" t="s">
        <v>280</v>
      </c>
      <c r="H50" s="961" t="s">
        <v>233</v>
      </c>
      <c r="I50" s="962" t="s">
        <v>281</v>
      </c>
      <c r="J50" s="962" t="s">
        <v>282</v>
      </c>
      <c r="K50" s="1056"/>
    </row>
    <row r="51" spans="1:11" x14ac:dyDescent="0.25">
      <c r="A51" s="61"/>
      <c r="B51" s="1098" t="s">
        <v>283</v>
      </c>
      <c r="C51" s="1028">
        <f>10/K1</f>
        <v>10</v>
      </c>
      <c r="D51" s="1029">
        <f>$C$1*10</f>
        <v>10000</v>
      </c>
      <c r="E51" s="153"/>
      <c r="F51" s="147"/>
      <c r="G51" s="1033" t="s">
        <v>283</v>
      </c>
      <c r="H51" s="1034">
        <f>I51/$D$5</f>
        <v>10</v>
      </c>
      <c r="I51" s="1028">
        <f t="shared" ref="I51:I56" si="14">J51/$R$1</f>
        <v>20408.163265306124</v>
      </c>
      <c r="J51" s="1028">
        <f>$W$44</f>
        <v>10000</v>
      </c>
      <c r="K51" s="1056"/>
    </row>
    <row r="52" spans="1:11" x14ac:dyDescent="0.25">
      <c r="A52" s="61"/>
      <c r="B52" s="1097" t="s">
        <v>262</v>
      </c>
      <c r="C52" s="1099">
        <f>I1</f>
        <v>21.15</v>
      </c>
      <c r="D52" s="1100">
        <f>E1</f>
        <v>21150</v>
      </c>
      <c r="E52" s="147"/>
      <c r="F52" s="147"/>
      <c r="G52" s="962" t="s">
        <v>262</v>
      </c>
      <c r="H52" s="1026">
        <f>I52/$D$5</f>
        <v>21.15</v>
      </c>
      <c r="I52" s="1021">
        <f t="shared" si="14"/>
        <v>43163.265306122448</v>
      </c>
      <c r="J52" s="1030">
        <f>$S$32</f>
        <v>21150</v>
      </c>
      <c r="K52" s="1056"/>
    </row>
    <row r="53" spans="1:11" x14ac:dyDescent="0.25">
      <c r="A53" s="61"/>
      <c r="B53" s="1097" t="s">
        <v>284</v>
      </c>
      <c r="C53" s="1101">
        <f>MIN($C$52, 10)</f>
        <v>10</v>
      </c>
      <c r="D53" s="1100">
        <f>(C53*$K$1)*$C$1</f>
        <v>10000</v>
      </c>
      <c r="E53" s="147"/>
      <c r="F53" s="147"/>
      <c r="G53" s="962" t="s">
        <v>284</v>
      </c>
      <c r="H53" s="1035">
        <f>MIN(H52,H51)</f>
        <v>10</v>
      </c>
      <c r="I53" s="1021">
        <f t="shared" si="14"/>
        <v>20408.163265306124</v>
      </c>
      <c r="J53" s="1021">
        <f>MIN(J52,J51)</f>
        <v>10000</v>
      </c>
      <c r="K53" s="1056"/>
    </row>
    <row r="54" spans="1:11" x14ac:dyDescent="0.25">
      <c r="A54" s="61"/>
      <c r="B54" s="1097" t="s">
        <v>285</v>
      </c>
      <c r="C54" s="1101">
        <f>MIN(MAX($C$52-C53,0),10)</f>
        <v>10</v>
      </c>
      <c r="D54" s="1100">
        <f>(C54*$K$1)*$C$1</f>
        <v>10000</v>
      </c>
      <c r="E54" s="147"/>
      <c r="F54" s="147"/>
      <c r="G54" s="962" t="s">
        <v>285</v>
      </c>
      <c r="H54" s="1035">
        <f>MIN(MAX(H52-H53),H51)</f>
        <v>10</v>
      </c>
      <c r="I54" s="1021">
        <f t="shared" si="14"/>
        <v>20408.163265306124</v>
      </c>
      <c r="J54" s="1021">
        <f>MIN(MAX(J52-J53),J51)</f>
        <v>10000</v>
      </c>
      <c r="K54" s="1056"/>
    </row>
    <row r="55" spans="1:11" x14ac:dyDescent="0.25">
      <c r="A55" s="61"/>
      <c r="B55" s="1097" t="s">
        <v>286</v>
      </c>
      <c r="C55" s="1101">
        <f>MIN(MAX($C$52-C53-C54,0),10)</f>
        <v>1.1499999999999986</v>
      </c>
      <c r="D55" s="1100">
        <f>(C55*$K$1)*$C$1</f>
        <v>1149.9999999999986</v>
      </c>
      <c r="E55" s="147"/>
      <c r="F55" s="147"/>
      <c r="G55" s="962" t="s">
        <v>286</v>
      </c>
      <c r="H55" s="1035">
        <f>MIN(MAX(H52-H53-H54),H51)</f>
        <v>1.1499999999999986</v>
      </c>
      <c r="I55" s="1021">
        <f t="shared" si="14"/>
        <v>2346.9387755102043</v>
      </c>
      <c r="J55" s="1021">
        <f>MIN(MAX(J52-J53-J54),J51)</f>
        <v>1150</v>
      </c>
      <c r="K55" s="1056"/>
    </row>
    <row r="56" spans="1:11" x14ac:dyDescent="0.25">
      <c r="A56" s="61"/>
      <c r="B56" s="1097" t="s">
        <v>293</v>
      </c>
      <c r="C56" s="1101">
        <f>MIN(MAX($C$52-C53-C54-C55,0),10)</f>
        <v>0</v>
      </c>
      <c r="D56" s="1102">
        <f>C56*$K$1</f>
        <v>0</v>
      </c>
      <c r="E56" s="80"/>
      <c r="F56" s="80"/>
      <c r="G56" s="962" t="s">
        <v>293</v>
      </c>
      <c r="H56" s="1035">
        <f>MIN(MAX(H52-H53-H54-H55),H51)</f>
        <v>0</v>
      </c>
      <c r="I56" s="1021">
        <f t="shared" si="14"/>
        <v>0</v>
      </c>
      <c r="J56" s="1021">
        <f>MIN(MAX(J52-J53-J54-J55),J51)</f>
        <v>0</v>
      </c>
      <c r="K56" s="1056"/>
    </row>
    <row r="57" spans="1:11" x14ac:dyDescent="0.25">
      <c r="A57" s="61"/>
      <c r="B57" s="1055"/>
      <c r="D57" s="1056"/>
      <c r="E57" s="1056"/>
      <c r="F57" s="1056"/>
      <c r="H57" s="1056"/>
      <c r="K57" s="1056"/>
    </row>
    <row r="58" spans="1:11" x14ac:dyDescent="0.25">
      <c r="A58" s="61"/>
      <c r="B58" s="192"/>
      <c r="C58" s="14"/>
      <c r="D58" s="890"/>
      <c r="E58" s="80"/>
      <c r="F58" s="80"/>
      <c r="G58" s="14"/>
      <c r="H58" s="890"/>
      <c r="I58" s="14"/>
      <c r="J58" s="14"/>
      <c r="K58" s="1056"/>
    </row>
    <row r="59" spans="1:11" x14ac:dyDescent="0.25">
      <c r="A59" s="61"/>
      <c r="B59" s="192"/>
      <c r="C59" s="14"/>
      <c r="D59" s="890"/>
      <c r="E59" s="80"/>
      <c r="F59" s="80"/>
      <c r="G59" s="14"/>
      <c r="H59" s="890"/>
      <c r="I59" s="14"/>
      <c r="J59" s="14"/>
      <c r="K59" s="1056"/>
    </row>
    <row r="60" spans="1:11" x14ac:dyDescent="0.25">
      <c r="A60" s="61"/>
      <c r="B60" s="192"/>
      <c r="C60" s="14"/>
      <c r="D60" s="890"/>
      <c r="E60" s="80"/>
      <c r="F60" s="80"/>
      <c r="G60" s="14"/>
      <c r="H60" s="890"/>
      <c r="I60" s="14"/>
      <c r="J60" s="14"/>
      <c r="K60" s="1056"/>
    </row>
    <row r="61" spans="1:11" x14ac:dyDescent="0.25">
      <c r="A61" s="61"/>
      <c r="B61" s="192"/>
      <c r="C61" s="14"/>
      <c r="D61" s="890"/>
      <c r="E61" s="80"/>
      <c r="F61" s="80"/>
      <c r="G61" s="14"/>
      <c r="H61" s="890"/>
      <c r="I61" s="14"/>
      <c r="J61" s="14"/>
      <c r="K61" s="1056"/>
    </row>
    <row r="62" spans="1:11" x14ac:dyDescent="0.25">
      <c r="A62" s="871"/>
      <c r="B62" s="1776" t="str">
        <f>"لحم كبسة دفعة  1  / " &amp; COUNTIF($C$53:$C$56, "&gt;0")</f>
        <v>لحم كبسة دفعة  1  / 3</v>
      </c>
      <c r="C62" s="1789"/>
      <c r="D62" s="1790"/>
      <c r="E62" s="1790"/>
      <c r="F62" s="1790"/>
      <c r="G62" s="1789"/>
      <c r="H62" s="1790"/>
      <c r="K62" s="1056"/>
    </row>
    <row r="63" spans="1:11" x14ac:dyDescent="0.25">
      <c r="A63" s="871"/>
      <c r="B63" s="1776" t="str">
        <f>"Kabsah Laham 1 / " &amp; COUNTIF($C$53:$C$56, "&gt;0")</f>
        <v>Kabsah Laham 1 / 3</v>
      </c>
      <c r="C63" s="1777"/>
      <c r="D63" s="1778"/>
      <c r="E63" s="1778"/>
      <c r="F63" s="1778"/>
      <c r="G63" s="1777"/>
      <c r="H63" s="1778"/>
      <c r="K63" s="1056"/>
    </row>
    <row r="64" spans="1:11" ht="38.25" x14ac:dyDescent="0.2">
      <c r="A64" s="933" t="s">
        <v>864</v>
      </c>
      <c r="B64" s="1103" t="s">
        <v>241</v>
      </c>
      <c r="C64" s="934" t="s">
        <v>242</v>
      </c>
      <c r="D64" s="1104" t="s">
        <v>231</v>
      </c>
      <c r="E64" s="936" t="s">
        <v>234</v>
      </c>
      <c r="F64" s="936" t="s">
        <v>243</v>
      </c>
      <c r="G64" s="1104" t="s">
        <v>244</v>
      </c>
      <c r="H64" s="936" t="s">
        <v>245</v>
      </c>
      <c r="K64" s="1056"/>
    </row>
    <row r="65" spans="1:11" ht="28.5" x14ac:dyDescent="0.2">
      <c r="A65" s="1067" t="s">
        <v>872</v>
      </c>
      <c r="B65" s="1068" t="str">
        <f t="shared" ref="B65:D76" si="15">B5</f>
        <v>Indian Meat Alana  - لحم هندى ألانا</v>
      </c>
      <c r="C65" s="947" t="str">
        <f t="shared" si="15"/>
        <v>gm</v>
      </c>
      <c r="D65" s="940">
        <f t="shared" si="15"/>
        <v>2040.8163265306125</v>
      </c>
      <c r="E65" s="918">
        <f>H53</f>
        <v>10</v>
      </c>
      <c r="F65" s="948">
        <f t="shared" ref="F65:F76" si="16">F5</f>
        <v>1</v>
      </c>
      <c r="G65" s="940">
        <f t="shared" ref="G65:G72" si="17">D65*E65</f>
        <v>20408.163265306124</v>
      </c>
      <c r="H65" s="943">
        <f t="shared" ref="H65:H72" si="18">G65*F65</f>
        <v>20408.163265306124</v>
      </c>
      <c r="K65" s="1056"/>
    </row>
    <row r="66" spans="1:11" ht="28.5" x14ac:dyDescent="0.25">
      <c r="B66" s="1068" t="str">
        <f t="shared" si="15"/>
        <v>Black Pepper Whole - فلفل أسود حب</v>
      </c>
      <c r="C66" s="947" t="str">
        <f t="shared" si="15"/>
        <v>gm</v>
      </c>
      <c r="D66" s="940">
        <f t="shared" si="15"/>
        <v>2</v>
      </c>
      <c r="E66" s="918">
        <f t="shared" ref="E66:E76" si="19">$C$53</f>
        <v>10</v>
      </c>
      <c r="F66" s="948">
        <f t="shared" si="16"/>
        <v>1</v>
      </c>
      <c r="G66" s="914">
        <f t="shared" si="17"/>
        <v>20</v>
      </c>
      <c r="H66" s="943">
        <f t="shared" si="18"/>
        <v>20</v>
      </c>
      <c r="K66" s="1056"/>
    </row>
    <row r="67" spans="1:11" x14ac:dyDescent="0.25">
      <c r="B67" s="1068" t="str">
        <f t="shared" si="15"/>
        <v>Cumin Whole - كمون حب</v>
      </c>
      <c r="C67" s="947" t="str">
        <f t="shared" si="15"/>
        <v>gm</v>
      </c>
      <c r="D67" s="940">
        <f t="shared" si="15"/>
        <v>2</v>
      </c>
      <c r="E67" s="918">
        <f t="shared" si="19"/>
        <v>10</v>
      </c>
      <c r="F67" s="948">
        <f t="shared" si="16"/>
        <v>0.95</v>
      </c>
      <c r="G67" s="914">
        <f t="shared" si="17"/>
        <v>20</v>
      </c>
      <c r="H67" s="943">
        <f t="shared" si="18"/>
        <v>19</v>
      </c>
      <c r="K67" s="1056"/>
    </row>
    <row r="68" spans="1:11" x14ac:dyDescent="0.25">
      <c r="B68" s="1068" t="str">
        <f t="shared" si="15"/>
        <v>Cloves Whole - قرنفل حب</v>
      </c>
      <c r="C68" s="947" t="str">
        <f t="shared" si="15"/>
        <v>gm</v>
      </c>
      <c r="D68" s="940">
        <f t="shared" si="15"/>
        <v>2</v>
      </c>
      <c r="E68" s="918">
        <f t="shared" si="19"/>
        <v>10</v>
      </c>
      <c r="F68" s="948">
        <f t="shared" si="16"/>
        <v>0.95</v>
      </c>
      <c r="G68" s="914">
        <f t="shared" si="17"/>
        <v>20</v>
      </c>
      <c r="H68" s="943">
        <f t="shared" si="18"/>
        <v>19</v>
      </c>
      <c r="K68" s="1056"/>
    </row>
    <row r="69" spans="1:11" x14ac:dyDescent="0.25">
      <c r="B69" s="1068" t="str">
        <f t="shared" si="15"/>
        <v>Cinnamon Whole - قرفة أعواد</v>
      </c>
      <c r="C69" s="947" t="str">
        <f t="shared" si="15"/>
        <v>gm</v>
      </c>
      <c r="D69" s="940">
        <f t="shared" si="15"/>
        <v>2</v>
      </c>
      <c r="E69" s="918">
        <f t="shared" si="19"/>
        <v>10</v>
      </c>
      <c r="F69" s="948">
        <f t="shared" si="16"/>
        <v>1</v>
      </c>
      <c r="G69" s="914">
        <f t="shared" si="17"/>
        <v>20</v>
      </c>
      <c r="H69" s="943">
        <f t="shared" si="18"/>
        <v>20</v>
      </c>
      <c r="K69" s="1056"/>
    </row>
    <row r="70" spans="1:11" ht="28.5" x14ac:dyDescent="0.25">
      <c r="B70" s="1068" t="str">
        <f t="shared" si="15"/>
        <v>Saffron yellow color powder - لون صفار زعفران بودر</v>
      </c>
      <c r="C70" s="947" t="str">
        <f t="shared" si="15"/>
        <v>gm</v>
      </c>
      <c r="D70" s="940">
        <f t="shared" si="15"/>
        <v>5</v>
      </c>
      <c r="E70" s="918">
        <f t="shared" si="19"/>
        <v>10</v>
      </c>
      <c r="F70" s="948">
        <f t="shared" si="16"/>
        <v>1</v>
      </c>
      <c r="G70" s="914">
        <f t="shared" si="17"/>
        <v>50</v>
      </c>
      <c r="H70" s="943">
        <f t="shared" si="18"/>
        <v>50</v>
      </c>
      <c r="K70" s="1056"/>
    </row>
    <row r="71" spans="1:11" x14ac:dyDescent="0.25">
      <c r="B71" s="1068" t="str">
        <f t="shared" si="15"/>
        <v>Cumin Powder - كمون مطحون</v>
      </c>
      <c r="C71" s="947" t="str">
        <f t="shared" si="15"/>
        <v>gm</v>
      </c>
      <c r="D71" s="940">
        <f t="shared" si="15"/>
        <v>6</v>
      </c>
      <c r="E71" s="918">
        <f t="shared" si="19"/>
        <v>10</v>
      </c>
      <c r="F71" s="948">
        <f t="shared" si="16"/>
        <v>1</v>
      </c>
      <c r="G71" s="914">
        <f t="shared" si="17"/>
        <v>60</v>
      </c>
      <c r="H71" s="943">
        <f t="shared" si="18"/>
        <v>60</v>
      </c>
      <c r="K71" s="1056"/>
    </row>
    <row r="72" spans="1:11" ht="28.5" x14ac:dyDescent="0.25">
      <c r="B72" s="1068" t="str">
        <f t="shared" si="15"/>
        <v>Black Pepper Powder - فلفل أسود مطحون</v>
      </c>
      <c r="C72" s="947" t="str">
        <f t="shared" si="15"/>
        <v>gm</v>
      </c>
      <c r="D72" s="940">
        <f t="shared" si="15"/>
        <v>6</v>
      </c>
      <c r="E72" s="918">
        <f t="shared" si="19"/>
        <v>10</v>
      </c>
      <c r="F72" s="948">
        <f t="shared" si="16"/>
        <v>1</v>
      </c>
      <c r="G72" s="914">
        <f t="shared" si="17"/>
        <v>60</v>
      </c>
      <c r="H72" s="943">
        <f t="shared" si="18"/>
        <v>60</v>
      </c>
      <c r="K72" s="1056"/>
    </row>
    <row r="73" spans="1:11" x14ac:dyDescent="0.25">
      <c r="B73" s="1068" t="str">
        <f t="shared" si="15"/>
        <v>Butter - زبدة</v>
      </c>
      <c r="C73" s="947" t="str">
        <f t="shared" si="15"/>
        <v>gm</v>
      </c>
      <c r="D73" s="940">
        <f t="shared" si="15"/>
        <v>75</v>
      </c>
      <c r="E73" s="918">
        <f t="shared" si="19"/>
        <v>10</v>
      </c>
      <c r="F73" s="948">
        <f t="shared" si="16"/>
        <v>1</v>
      </c>
      <c r="G73" s="914">
        <f t="shared" ref="G73:G76" si="20">D73*E73</f>
        <v>750</v>
      </c>
      <c r="H73" s="943">
        <f t="shared" ref="H73:H76" si="21">G73*F73</f>
        <v>750</v>
      </c>
      <c r="K73" s="1056"/>
    </row>
    <row r="74" spans="1:11" x14ac:dyDescent="0.25">
      <c r="B74" s="1068" t="str">
        <f t="shared" si="15"/>
        <v>Cardamom Whole - هيل حب</v>
      </c>
      <c r="C74" s="947" t="str">
        <f t="shared" si="15"/>
        <v>gm</v>
      </c>
      <c r="D74" s="940">
        <f t="shared" si="15"/>
        <v>6</v>
      </c>
      <c r="E74" s="918">
        <f t="shared" si="19"/>
        <v>10</v>
      </c>
      <c r="F74" s="948">
        <f t="shared" si="16"/>
        <v>1</v>
      </c>
      <c r="G74" s="914">
        <f t="shared" si="20"/>
        <v>60</v>
      </c>
      <c r="H74" s="943">
        <f t="shared" si="21"/>
        <v>60</v>
      </c>
      <c r="K74" s="1056"/>
    </row>
    <row r="75" spans="1:11" x14ac:dyDescent="0.25">
      <c r="B75" s="1068" t="str">
        <f t="shared" si="15"/>
        <v>Maggi Cubes - مكعبات ماجي</v>
      </c>
      <c r="C75" s="947" t="str">
        <f t="shared" si="15"/>
        <v>gm</v>
      </c>
      <c r="D75" s="940">
        <f t="shared" si="15"/>
        <v>8</v>
      </c>
      <c r="E75" s="918">
        <f t="shared" si="19"/>
        <v>10</v>
      </c>
      <c r="F75" s="948">
        <f t="shared" si="16"/>
        <v>1</v>
      </c>
      <c r="G75" s="914">
        <f t="shared" si="20"/>
        <v>80</v>
      </c>
      <c r="H75" s="943">
        <f t="shared" si="21"/>
        <v>80</v>
      </c>
      <c r="K75" s="1056"/>
    </row>
    <row r="76" spans="1:11" x14ac:dyDescent="0.25">
      <c r="B76" s="1068" t="str">
        <f t="shared" si="15"/>
        <v>Salt - ملح</v>
      </c>
      <c r="C76" s="947" t="str">
        <f t="shared" si="15"/>
        <v>gm</v>
      </c>
      <c r="D76" s="940">
        <f t="shared" si="15"/>
        <v>11</v>
      </c>
      <c r="E76" s="918">
        <f t="shared" si="19"/>
        <v>10</v>
      </c>
      <c r="F76" s="948">
        <f t="shared" si="16"/>
        <v>1</v>
      </c>
      <c r="G76" s="914">
        <f t="shared" si="20"/>
        <v>110</v>
      </c>
      <c r="H76" s="943">
        <f t="shared" si="21"/>
        <v>110</v>
      </c>
      <c r="K76" s="1056"/>
    </row>
    <row r="77" spans="1:11" ht="18" x14ac:dyDescent="0.25">
      <c r="B77" s="1105" t="s">
        <v>287</v>
      </c>
      <c r="C77" s="1042" t="s">
        <v>273</v>
      </c>
      <c r="D77" s="1043"/>
      <c r="E77" s="1044" t="s">
        <v>288</v>
      </c>
      <c r="F77" s="1043"/>
      <c r="G77" s="1045" t="s">
        <v>264</v>
      </c>
      <c r="H77" s="1046" t="s">
        <v>661</v>
      </c>
      <c r="K77" s="1056"/>
    </row>
    <row r="78" spans="1:11" ht="20.25" x14ac:dyDescent="0.3">
      <c r="B78" s="1106">
        <f>$J$53</f>
        <v>10000</v>
      </c>
      <c r="C78" s="1048">
        <f>E78+G78</f>
        <v>0</v>
      </c>
      <c r="D78" s="1049"/>
      <c r="E78" s="1047">
        <f>$C$53*$S$44</f>
        <v>0</v>
      </c>
      <c r="F78" s="1050"/>
      <c r="G78" s="1048">
        <f>$C$53*$T$44</f>
        <v>0</v>
      </c>
      <c r="H78" s="1047">
        <f>B78+E78</f>
        <v>10000</v>
      </c>
      <c r="K78" s="1056"/>
    </row>
    <row r="79" spans="1:11" x14ac:dyDescent="0.25">
      <c r="B79" s="192"/>
      <c r="D79" s="1056"/>
      <c r="E79" s="147"/>
      <c r="F79" s="147"/>
      <c r="H79" s="1056"/>
      <c r="K79" s="1056"/>
    </row>
    <row r="80" spans="1:11" x14ac:dyDescent="0.25">
      <c r="A80" s="871"/>
      <c r="B80" s="1776" t="str">
        <f>"لحم كبسة دفعة  2  / " &amp; COUNTIF($C$53:$C$56, "&gt;0")</f>
        <v>لحم كبسة دفعة  2  / 3</v>
      </c>
      <c r="C80" s="1789"/>
      <c r="D80" s="1790"/>
      <c r="E80" s="1790"/>
      <c r="F80" s="1790"/>
      <c r="G80" s="1789"/>
      <c r="H80" s="1790"/>
      <c r="K80" s="1056"/>
    </row>
    <row r="81" spans="1:11" x14ac:dyDescent="0.25">
      <c r="A81" s="871"/>
      <c r="B81" s="1776" t="str">
        <f>"Kabsah Laham 2 / " &amp; COUNTIF($C$53:$C$56, "&gt;0")</f>
        <v>Kabsah Laham 2 / 3</v>
      </c>
      <c r="C81" s="1777"/>
      <c r="D81" s="1778"/>
      <c r="E81" s="1778"/>
      <c r="F81" s="1778"/>
      <c r="G81" s="1777"/>
      <c r="H81" s="1778"/>
      <c r="K81" s="1056"/>
    </row>
    <row r="82" spans="1:11" ht="38.25" x14ac:dyDescent="0.2">
      <c r="A82" s="933" t="s">
        <v>864</v>
      </c>
      <c r="B82" s="1066" t="s">
        <v>241</v>
      </c>
      <c r="C82" s="934" t="s">
        <v>242</v>
      </c>
      <c r="D82" s="923" t="s">
        <v>231</v>
      </c>
      <c r="E82" s="936" t="s">
        <v>234</v>
      </c>
      <c r="F82" s="936" t="s">
        <v>243</v>
      </c>
      <c r="G82" s="923" t="s">
        <v>244</v>
      </c>
      <c r="H82" s="936" t="s">
        <v>245</v>
      </c>
      <c r="K82" s="1056"/>
    </row>
    <row r="83" spans="1:11" ht="28.5" x14ac:dyDescent="0.2">
      <c r="A83" s="1067" t="s">
        <v>872</v>
      </c>
      <c r="B83" s="1068" t="str">
        <f t="shared" ref="B83:D94" si="22">B5</f>
        <v>Indian Meat Alana  - لحم هندى ألانا</v>
      </c>
      <c r="C83" s="947" t="str">
        <f t="shared" si="22"/>
        <v>gm</v>
      </c>
      <c r="D83" s="940">
        <f t="shared" si="22"/>
        <v>2040.8163265306125</v>
      </c>
      <c r="E83" s="918">
        <f>H54</f>
        <v>10</v>
      </c>
      <c r="F83" s="948">
        <f t="shared" ref="F83:F94" si="23">F5</f>
        <v>1</v>
      </c>
      <c r="G83" s="940">
        <f t="shared" ref="G83:G90" si="24">D83*E83</f>
        <v>20408.163265306124</v>
      </c>
      <c r="H83" s="943">
        <f t="shared" ref="H83:H90" si="25">G83*F83</f>
        <v>20408.163265306124</v>
      </c>
      <c r="K83" s="1056"/>
    </row>
    <row r="84" spans="1:11" ht="28.5" x14ac:dyDescent="0.25">
      <c r="B84" s="1068" t="str">
        <f t="shared" si="22"/>
        <v>Black Pepper Whole - فلفل أسود حب</v>
      </c>
      <c r="C84" s="947" t="str">
        <f t="shared" si="22"/>
        <v>gm</v>
      </c>
      <c r="D84" s="940">
        <f t="shared" si="22"/>
        <v>2</v>
      </c>
      <c r="E84" s="918">
        <f t="shared" ref="E84:E94" si="26">$C$54</f>
        <v>10</v>
      </c>
      <c r="F84" s="948">
        <f t="shared" si="23"/>
        <v>1</v>
      </c>
      <c r="G84" s="914">
        <f t="shared" si="24"/>
        <v>20</v>
      </c>
      <c r="H84" s="943">
        <f t="shared" si="25"/>
        <v>20</v>
      </c>
      <c r="K84" s="1056"/>
    </row>
    <row r="85" spans="1:11" x14ac:dyDescent="0.25">
      <c r="B85" s="1068" t="str">
        <f t="shared" si="22"/>
        <v>Cumin Whole - كمون حب</v>
      </c>
      <c r="C85" s="947" t="str">
        <f t="shared" si="22"/>
        <v>gm</v>
      </c>
      <c r="D85" s="940">
        <f t="shared" si="22"/>
        <v>2</v>
      </c>
      <c r="E85" s="918">
        <f t="shared" si="26"/>
        <v>10</v>
      </c>
      <c r="F85" s="948">
        <f t="shared" si="23"/>
        <v>0.95</v>
      </c>
      <c r="G85" s="914">
        <f t="shared" si="24"/>
        <v>20</v>
      </c>
      <c r="H85" s="943">
        <f t="shared" si="25"/>
        <v>19</v>
      </c>
      <c r="K85" s="1056"/>
    </row>
    <row r="86" spans="1:11" x14ac:dyDescent="0.25">
      <c r="B86" s="1068" t="str">
        <f t="shared" si="22"/>
        <v>Cloves Whole - قرنفل حب</v>
      </c>
      <c r="C86" s="947" t="str">
        <f t="shared" si="22"/>
        <v>gm</v>
      </c>
      <c r="D86" s="940">
        <f t="shared" si="22"/>
        <v>2</v>
      </c>
      <c r="E86" s="918">
        <f t="shared" si="26"/>
        <v>10</v>
      </c>
      <c r="F86" s="948">
        <f t="shared" si="23"/>
        <v>0.95</v>
      </c>
      <c r="G86" s="914">
        <f t="shared" si="24"/>
        <v>20</v>
      </c>
      <c r="H86" s="943">
        <f t="shared" si="25"/>
        <v>19</v>
      </c>
      <c r="K86" s="1056"/>
    </row>
    <row r="87" spans="1:11" x14ac:dyDescent="0.25">
      <c r="B87" s="1068" t="str">
        <f t="shared" si="22"/>
        <v>Cinnamon Whole - قرفة أعواد</v>
      </c>
      <c r="C87" s="947" t="str">
        <f t="shared" si="22"/>
        <v>gm</v>
      </c>
      <c r="D87" s="940">
        <f t="shared" si="22"/>
        <v>2</v>
      </c>
      <c r="E87" s="918">
        <f t="shared" si="26"/>
        <v>10</v>
      </c>
      <c r="F87" s="948">
        <f t="shared" si="23"/>
        <v>1</v>
      </c>
      <c r="G87" s="914">
        <f t="shared" si="24"/>
        <v>20</v>
      </c>
      <c r="H87" s="943">
        <f t="shared" si="25"/>
        <v>20</v>
      </c>
      <c r="K87" s="1056"/>
    </row>
    <row r="88" spans="1:11" ht="28.5" x14ac:dyDescent="0.25">
      <c r="B88" s="1068" t="str">
        <f t="shared" si="22"/>
        <v>Saffron yellow color powder - لون صفار زعفران بودر</v>
      </c>
      <c r="C88" s="947" t="str">
        <f t="shared" si="22"/>
        <v>gm</v>
      </c>
      <c r="D88" s="940">
        <f t="shared" si="22"/>
        <v>5</v>
      </c>
      <c r="E88" s="918">
        <f t="shared" si="26"/>
        <v>10</v>
      </c>
      <c r="F88" s="948">
        <f t="shared" si="23"/>
        <v>1</v>
      </c>
      <c r="G88" s="914">
        <f t="shared" si="24"/>
        <v>50</v>
      </c>
      <c r="H88" s="943">
        <f t="shared" si="25"/>
        <v>50</v>
      </c>
      <c r="K88" s="1056"/>
    </row>
    <row r="89" spans="1:11" x14ac:dyDescent="0.25">
      <c r="B89" s="1068" t="str">
        <f t="shared" si="22"/>
        <v>Cumin Powder - كمون مطحون</v>
      </c>
      <c r="C89" s="947" t="str">
        <f t="shared" si="22"/>
        <v>gm</v>
      </c>
      <c r="D89" s="940">
        <f t="shared" si="22"/>
        <v>6</v>
      </c>
      <c r="E89" s="918">
        <f t="shared" si="26"/>
        <v>10</v>
      </c>
      <c r="F89" s="948">
        <f t="shared" si="23"/>
        <v>1</v>
      </c>
      <c r="G89" s="914">
        <f t="shared" si="24"/>
        <v>60</v>
      </c>
      <c r="H89" s="943">
        <f t="shared" si="25"/>
        <v>60</v>
      </c>
      <c r="K89" s="1056"/>
    </row>
    <row r="90" spans="1:11" ht="28.5" x14ac:dyDescent="0.25">
      <c r="B90" s="1068" t="str">
        <f t="shared" si="22"/>
        <v>Black Pepper Powder - فلفل أسود مطحون</v>
      </c>
      <c r="C90" s="947" t="str">
        <f t="shared" si="22"/>
        <v>gm</v>
      </c>
      <c r="D90" s="940">
        <f t="shared" si="22"/>
        <v>6</v>
      </c>
      <c r="E90" s="918">
        <f t="shared" si="26"/>
        <v>10</v>
      </c>
      <c r="F90" s="948">
        <f t="shared" si="23"/>
        <v>1</v>
      </c>
      <c r="G90" s="914">
        <f t="shared" si="24"/>
        <v>60</v>
      </c>
      <c r="H90" s="943">
        <f t="shared" si="25"/>
        <v>60</v>
      </c>
      <c r="K90" s="1056"/>
    </row>
    <row r="91" spans="1:11" x14ac:dyDescent="0.25">
      <c r="B91" s="1068" t="str">
        <f t="shared" si="22"/>
        <v>Butter - زبدة</v>
      </c>
      <c r="C91" s="947" t="str">
        <f t="shared" si="22"/>
        <v>gm</v>
      </c>
      <c r="D91" s="940">
        <f t="shared" si="22"/>
        <v>75</v>
      </c>
      <c r="E91" s="918">
        <f t="shared" si="26"/>
        <v>10</v>
      </c>
      <c r="F91" s="948">
        <f t="shared" si="23"/>
        <v>1</v>
      </c>
      <c r="G91" s="914">
        <f t="shared" ref="G91:G94" si="27">D91*E91</f>
        <v>750</v>
      </c>
      <c r="H91" s="943">
        <f t="shared" ref="H91:H94" si="28">G91*F91</f>
        <v>750</v>
      </c>
      <c r="K91" s="1056"/>
    </row>
    <row r="92" spans="1:11" x14ac:dyDescent="0.25">
      <c r="B92" s="1068" t="str">
        <f t="shared" si="22"/>
        <v>Cardamom Whole - هيل حب</v>
      </c>
      <c r="C92" s="947" t="str">
        <f t="shared" si="22"/>
        <v>gm</v>
      </c>
      <c r="D92" s="940">
        <f t="shared" si="22"/>
        <v>6</v>
      </c>
      <c r="E92" s="918">
        <f t="shared" si="26"/>
        <v>10</v>
      </c>
      <c r="F92" s="948">
        <f t="shared" si="23"/>
        <v>1</v>
      </c>
      <c r="G92" s="914">
        <f t="shared" si="27"/>
        <v>60</v>
      </c>
      <c r="H92" s="943">
        <f t="shared" si="28"/>
        <v>60</v>
      </c>
      <c r="K92" s="1056"/>
    </row>
    <row r="93" spans="1:11" x14ac:dyDescent="0.25">
      <c r="B93" s="1068" t="str">
        <f t="shared" si="22"/>
        <v>Maggi Cubes - مكعبات ماجي</v>
      </c>
      <c r="C93" s="947" t="str">
        <f t="shared" si="22"/>
        <v>gm</v>
      </c>
      <c r="D93" s="940">
        <f t="shared" si="22"/>
        <v>8</v>
      </c>
      <c r="E93" s="918">
        <f t="shared" si="26"/>
        <v>10</v>
      </c>
      <c r="F93" s="948">
        <f t="shared" si="23"/>
        <v>1</v>
      </c>
      <c r="G93" s="914">
        <f t="shared" si="27"/>
        <v>80</v>
      </c>
      <c r="H93" s="943">
        <f t="shared" si="28"/>
        <v>80</v>
      </c>
      <c r="K93" s="1056"/>
    </row>
    <row r="94" spans="1:11" x14ac:dyDescent="0.25">
      <c r="B94" s="1068" t="str">
        <f t="shared" si="22"/>
        <v>Salt - ملح</v>
      </c>
      <c r="C94" s="947" t="str">
        <f t="shared" si="22"/>
        <v>gm</v>
      </c>
      <c r="D94" s="940">
        <f t="shared" si="22"/>
        <v>11</v>
      </c>
      <c r="E94" s="918">
        <f t="shared" si="26"/>
        <v>10</v>
      </c>
      <c r="F94" s="948">
        <f t="shared" si="23"/>
        <v>1</v>
      </c>
      <c r="G94" s="914">
        <f t="shared" si="27"/>
        <v>110</v>
      </c>
      <c r="H94" s="943">
        <f t="shared" si="28"/>
        <v>110</v>
      </c>
      <c r="K94" s="1056"/>
    </row>
    <row r="95" spans="1:11" ht="18" x14ac:dyDescent="0.25">
      <c r="B95" s="1105" t="s">
        <v>287</v>
      </c>
      <c r="C95" s="1042" t="s">
        <v>273</v>
      </c>
      <c r="D95" s="1043"/>
      <c r="E95" s="1044" t="s">
        <v>288</v>
      </c>
      <c r="F95" s="1043"/>
      <c r="G95" s="1045" t="s">
        <v>264</v>
      </c>
      <c r="H95" s="1046" t="s">
        <v>661</v>
      </c>
      <c r="K95" s="1056"/>
    </row>
    <row r="96" spans="1:11" ht="20.25" x14ac:dyDescent="0.3">
      <c r="B96" s="1106">
        <f>$J$54</f>
        <v>10000</v>
      </c>
      <c r="C96" s="1048">
        <f>E96+G96</f>
        <v>0</v>
      </c>
      <c r="D96" s="1049"/>
      <c r="E96" s="1047">
        <f>$C$54*$S$44</f>
        <v>0</v>
      </c>
      <c r="F96" s="1050"/>
      <c r="G96" s="1048">
        <f>$C$54*$T$44</f>
        <v>0</v>
      </c>
      <c r="H96" s="1047">
        <f>B96+E96</f>
        <v>10000</v>
      </c>
      <c r="K96" s="1056"/>
    </row>
    <row r="97" spans="1:11" x14ac:dyDescent="0.25">
      <c r="B97" s="1055"/>
      <c r="D97" s="1056"/>
      <c r="E97" s="1056"/>
      <c r="F97" s="1056"/>
      <c r="H97" s="1056"/>
      <c r="K97" s="1056"/>
    </row>
    <row r="98" spans="1:11" x14ac:dyDescent="0.25">
      <c r="B98" s="1055"/>
      <c r="D98" s="1056"/>
      <c r="E98" s="1056"/>
      <c r="F98" s="1056"/>
      <c r="H98" s="1056"/>
      <c r="K98" s="1056"/>
    </row>
    <row r="99" spans="1:11" x14ac:dyDescent="0.25">
      <c r="B99" s="1055"/>
      <c r="D99" s="1056"/>
      <c r="E99" s="1056"/>
      <c r="F99" s="1056"/>
      <c r="H99" s="1056"/>
      <c r="K99" s="1056"/>
    </row>
    <row r="100" spans="1:11" x14ac:dyDescent="0.25">
      <c r="A100" s="871"/>
      <c r="B100" s="1776" t="str">
        <f>"لحم كبسة دفعة  3  / " &amp; COUNTIF($C$53:$C$56, "&gt;0")</f>
        <v>لحم كبسة دفعة  3  / 3</v>
      </c>
      <c r="C100" s="1789"/>
      <c r="D100" s="1790"/>
      <c r="E100" s="1790"/>
      <c r="F100" s="1790"/>
      <c r="G100" s="1789"/>
      <c r="H100" s="1790"/>
      <c r="K100" s="1056"/>
    </row>
    <row r="101" spans="1:11" x14ac:dyDescent="0.25">
      <c r="A101" s="871"/>
      <c r="B101" s="1776" t="str">
        <f>"Kabsah Laham 3 / " &amp; COUNTIF($C$53:$C$56, "&gt;0")</f>
        <v>Kabsah Laham 3 / 3</v>
      </c>
      <c r="C101" s="1777"/>
      <c r="D101" s="1778"/>
      <c r="E101" s="1778"/>
      <c r="F101" s="1778"/>
      <c r="G101" s="1777"/>
      <c r="H101" s="1778"/>
      <c r="K101" s="1056"/>
    </row>
    <row r="102" spans="1:11" ht="38.25" x14ac:dyDescent="0.2">
      <c r="A102" s="933" t="s">
        <v>864</v>
      </c>
      <c r="B102" s="1066" t="s">
        <v>241</v>
      </c>
      <c r="C102" s="934" t="s">
        <v>242</v>
      </c>
      <c r="D102" s="923" t="s">
        <v>231</v>
      </c>
      <c r="E102" s="936" t="s">
        <v>234</v>
      </c>
      <c r="F102" s="936" t="s">
        <v>243</v>
      </c>
      <c r="G102" s="923" t="s">
        <v>244</v>
      </c>
      <c r="H102" s="936" t="s">
        <v>245</v>
      </c>
      <c r="K102" s="1056"/>
    </row>
    <row r="103" spans="1:11" ht="28.5" x14ac:dyDescent="0.2">
      <c r="A103" s="1067" t="s">
        <v>872</v>
      </c>
      <c r="B103" s="1068" t="str">
        <f t="shared" ref="B103:D114" si="29">B5</f>
        <v>Indian Meat Alana  - لحم هندى ألانا</v>
      </c>
      <c r="C103" s="947" t="str">
        <f t="shared" si="29"/>
        <v>gm</v>
      </c>
      <c r="D103" s="940">
        <f t="shared" si="29"/>
        <v>2040.8163265306125</v>
      </c>
      <c r="E103" s="918">
        <f>H55</f>
        <v>1.1499999999999986</v>
      </c>
      <c r="F103" s="948">
        <f t="shared" ref="F103:F114" si="30">F5</f>
        <v>1</v>
      </c>
      <c r="G103" s="944">
        <f t="shared" ref="G103:G110" si="31">D103*E103</f>
        <v>2346.9387755102016</v>
      </c>
      <c r="H103" s="943">
        <f t="shared" ref="H103:H110" si="32">G103*F103</f>
        <v>2346.9387755102016</v>
      </c>
      <c r="K103" s="1056"/>
    </row>
    <row r="104" spans="1:11" ht="28.5" x14ac:dyDescent="0.25">
      <c r="B104" s="1068" t="str">
        <f t="shared" si="29"/>
        <v>Black Pepper Whole - فلفل أسود حب</v>
      </c>
      <c r="C104" s="947" t="str">
        <f t="shared" si="29"/>
        <v>gm</v>
      </c>
      <c r="D104" s="940">
        <f t="shared" si="29"/>
        <v>2</v>
      </c>
      <c r="E104" s="918">
        <f t="shared" ref="E104:E114" si="33">$C$55</f>
        <v>1.1499999999999986</v>
      </c>
      <c r="F104" s="948">
        <f t="shared" si="30"/>
        <v>1</v>
      </c>
      <c r="G104" s="944">
        <f t="shared" si="31"/>
        <v>2.2999999999999972</v>
      </c>
      <c r="H104" s="943">
        <f t="shared" si="32"/>
        <v>2.2999999999999972</v>
      </c>
      <c r="K104" s="1056"/>
    </row>
    <row r="105" spans="1:11" x14ac:dyDescent="0.25">
      <c r="B105" s="1068" t="str">
        <f t="shared" si="29"/>
        <v>Cumin Whole - كمون حب</v>
      </c>
      <c r="C105" s="947" t="str">
        <f t="shared" si="29"/>
        <v>gm</v>
      </c>
      <c r="D105" s="940">
        <f t="shared" si="29"/>
        <v>2</v>
      </c>
      <c r="E105" s="918">
        <f t="shared" si="33"/>
        <v>1.1499999999999986</v>
      </c>
      <c r="F105" s="948">
        <f t="shared" si="30"/>
        <v>0.95</v>
      </c>
      <c r="G105" s="944">
        <f t="shared" si="31"/>
        <v>2.2999999999999972</v>
      </c>
      <c r="H105" s="943">
        <f t="shared" si="32"/>
        <v>2.1849999999999974</v>
      </c>
      <c r="K105" s="1056"/>
    </row>
    <row r="106" spans="1:11" x14ac:dyDescent="0.25">
      <c r="B106" s="1068" t="str">
        <f t="shared" si="29"/>
        <v>Cloves Whole - قرنفل حب</v>
      </c>
      <c r="C106" s="947" t="str">
        <f t="shared" si="29"/>
        <v>gm</v>
      </c>
      <c r="D106" s="940">
        <f t="shared" si="29"/>
        <v>2</v>
      </c>
      <c r="E106" s="918">
        <f t="shared" si="33"/>
        <v>1.1499999999999986</v>
      </c>
      <c r="F106" s="948">
        <f t="shared" si="30"/>
        <v>0.95</v>
      </c>
      <c r="G106" s="944">
        <f t="shared" si="31"/>
        <v>2.2999999999999972</v>
      </c>
      <c r="H106" s="943">
        <f t="shared" si="32"/>
        <v>2.1849999999999974</v>
      </c>
      <c r="K106" s="1056"/>
    </row>
    <row r="107" spans="1:11" x14ac:dyDescent="0.25">
      <c r="B107" s="1068" t="str">
        <f t="shared" si="29"/>
        <v>Cinnamon Whole - قرفة أعواد</v>
      </c>
      <c r="C107" s="947" t="str">
        <f t="shared" si="29"/>
        <v>gm</v>
      </c>
      <c r="D107" s="940">
        <f t="shared" si="29"/>
        <v>2</v>
      </c>
      <c r="E107" s="918">
        <f t="shared" si="33"/>
        <v>1.1499999999999986</v>
      </c>
      <c r="F107" s="948">
        <f t="shared" si="30"/>
        <v>1</v>
      </c>
      <c r="G107" s="944">
        <f t="shared" si="31"/>
        <v>2.2999999999999972</v>
      </c>
      <c r="H107" s="943">
        <f t="shared" si="32"/>
        <v>2.2999999999999972</v>
      </c>
      <c r="K107" s="1056"/>
    </row>
    <row r="108" spans="1:11" ht="28.5" x14ac:dyDescent="0.25">
      <c r="B108" s="1068" t="str">
        <f t="shared" si="29"/>
        <v>Saffron yellow color powder - لون صفار زعفران بودر</v>
      </c>
      <c r="C108" s="947" t="str">
        <f t="shared" si="29"/>
        <v>gm</v>
      </c>
      <c r="D108" s="940">
        <f t="shared" si="29"/>
        <v>5</v>
      </c>
      <c r="E108" s="918">
        <f t="shared" si="33"/>
        <v>1.1499999999999986</v>
      </c>
      <c r="F108" s="948">
        <f t="shared" si="30"/>
        <v>1</v>
      </c>
      <c r="G108" s="944">
        <f t="shared" si="31"/>
        <v>5.7499999999999929</v>
      </c>
      <c r="H108" s="943">
        <f t="shared" si="32"/>
        <v>5.7499999999999929</v>
      </c>
      <c r="K108" s="1056"/>
    </row>
    <row r="109" spans="1:11" x14ac:dyDescent="0.25">
      <c r="B109" s="1068" t="str">
        <f t="shared" si="29"/>
        <v>Cumin Powder - كمون مطحون</v>
      </c>
      <c r="C109" s="947" t="str">
        <f t="shared" si="29"/>
        <v>gm</v>
      </c>
      <c r="D109" s="940">
        <f t="shared" si="29"/>
        <v>6</v>
      </c>
      <c r="E109" s="918">
        <f t="shared" si="33"/>
        <v>1.1499999999999986</v>
      </c>
      <c r="F109" s="948">
        <f t="shared" si="30"/>
        <v>1</v>
      </c>
      <c r="G109" s="944">
        <f t="shared" si="31"/>
        <v>6.8999999999999915</v>
      </c>
      <c r="H109" s="943">
        <f t="shared" si="32"/>
        <v>6.8999999999999915</v>
      </c>
      <c r="K109" s="1056"/>
    </row>
    <row r="110" spans="1:11" ht="28.5" x14ac:dyDescent="0.25">
      <c r="B110" s="1068" t="str">
        <f t="shared" si="29"/>
        <v>Black Pepper Powder - فلفل أسود مطحون</v>
      </c>
      <c r="C110" s="947" t="str">
        <f t="shared" si="29"/>
        <v>gm</v>
      </c>
      <c r="D110" s="940">
        <f t="shared" si="29"/>
        <v>6</v>
      </c>
      <c r="E110" s="918">
        <f t="shared" si="33"/>
        <v>1.1499999999999986</v>
      </c>
      <c r="F110" s="948">
        <f t="shared" si="30"/>
        <v>1</v>
      </c>
      <c r="G110" s="944">
        <f t="shared" si="31"/>
        <v>6.8999999999999915</v>
      </c>
      <c r="H110" s="943">
        <f t="shared" si="32"/>
        <v>6.8999999999999915</v>
      </c>
      <c r="K110" s="1056"/>
    </row>
    <row r="111" spans="1:11" x14ac:dyDescent="0.25">
      <c r="B111" s="1068" t="str">
        <f t="shared" si="29"/>
        <v>Butter - زبدة</v>
      </c>
      <c r="C111" s="947" t="str">
        <f t="shared" si="29"/>
        <v>gm</v>
      </c>
      <c r="D111" s="940">
        <f t="shared" si="29"/>
        <v>75</v>
      </c>
      <c r="E111" s="918">
        <f t="shared" si="33"/>
        <v>1.1499999999999986</v>
      </c>
      <c r="F111" s="948">
        <f t="shared" si="30"/>
        <v>1</v>
      </c>
      <c r="G111" s="944">
        <f t="shared" ref="G111:G114" si="34">D111*E111</f>
        <v>86.249999999999886</v>
      </c>
      <c r="H111" s="943">
        <f t="shared" ref="H111:H114" si="35">G111*F111</f>
        <v>86.249999999999886</v>
      </c>
      <c r="K111" s="1056"/>
    </row>
    <row r="112" spans="1:11" x14ac:dyDescent="0.25">
      <c r="B112" s="1068" t="str">
        <f t="shared" si="29"/>
        <v>Cardamom Whole - هيل حب</v>
      </c>
      <c r="C112" s="947" t="str">
        <f t="shared" si="29"/>
        <v>gm</v>
      </c>
      <c r="D112" s="940">
        <f t="shared" si="29"/>
        <v>6</v>
      </c>
      <c r="E112" s="918">
        <f t="shared" si="33"/>
        <v>1.1499999999999986</v>
      </c>
      <c r="F112" s="948">
        <f t="shared" si="30"/>
        <v>1</v>
      </c>
      <c r="G112" s="944">
        <f t="shared" si="34"/>
        <v>6.8999999999999915</v>
      </c>
      <c r="H112" s="943">
        <f t="shared" si="35"/>
        <v>6.8999999999999915</v>
      </c>
      <c r="K112" s="1056"/>
    </row>
    <row r="113" spans="1:11" x14ac:dyDescent="0.25">
      <c r="B113" s="1068" t="str">
        <f t="shared" si="29"/>
        <v>Maggi Cubes - مكعبات ماجي</v>
      </c>
      <c r="C113" s="947" t="str">
        <f t="shared" si="29"/>
        <v>gm</v>
      </c>
      <c r="D113" s="940">
        <f t="shared" si="29"/>
        <v>8</v>
      </c>
      <c r="E113" s="918">
        <f t="shared" si="33"/>
        <v>1.1499999999999986</v>
      </c>
      <c r="F113" s="948">
        <f t="shared" si="30"/>
        <v>1</v>
      </c>
      <c r="G113" s="944">
        <f t="shared" si="34"/>
        <v>9.1999999999999886</v>
      </c>
      <c r="H113" s="943">
        <f t="shared" si="35"/>
        <v>9.1999999999999886</v>
      </c>
      <c r="K113" s="1056"/>
    </row>
    <row r="114" spans="1:11" x14ac:dyDescent="0.25">
      <c r="B114" s="1068" t="str">
        <f t="shared" si="29"/>
        <v>Salt - ملح</v>
      </c>
      <c r="C114" s="947" t="str">
        <f t="shared" si="29"/>
        <v>gm</v>
      </c>
      <c r="D114" s="940">
        <f t="shared" si="29"/>
        <v>11</v>
      </c>
      <c r="E114" s="918">
        <f t="shared" si="33"/>
        <v>1.1499999999999986</v>
      </c>
      <c r="F114" s="948">
        <f t="shared" si="30"/>
        <v>1</v>
      </c>
      <c r="G114" s="944">
        <f t="shared" si="34"/>
        <v>12.649999999999984</v>
      </c>
      <c r="H114" s="943">
        <f t="shared" si="35"/>
        <v>12.649999999999984</v>
      </c>
      <c r="K114" s="1056"/>
    </row>
    <row r="115" spans="1:11" ht="18" x14ac:dyDescent="0.25">
      <c r="A115" s="61"/>
      <c r="B115" s="1105" t="s">
        <v>287</v>
      </c>
      <c r="C115" s="1042" t="s">
        <v>273</v>
      </c>
      <c r="D115" s="1043"/>
      <c r="E115" s="1044" t="s">
        <v>288</v>
      </c>
      <c r="F115" s="1043"/>
      <c r="G115" s="1045" t="s">
        <v>264</v>
      </c>
      <c r="H115" s="1046" t="s">
        <v>661</v>
      </c>
      <c r="K115" s="1056"/>
    </row>
    <row r="116" spans="1:11" ht="20.25" x14ac:dyDescent="0.3">
      <c r="A116" s="61"/>
      <c r="B116" s="1106">
        <f>$J$55</f>
        <v>1150</v>
      </c>
      <c r="C116" s="1048">
        <f>E116+G116</f>
        <v>0</v>
      </c>
      <c r="D116" s="1054"/>
      <c r="E116" s="1047">
        <f>$C$55*$S$44</f>
        <v>0</v>
      </c>
      <c r="F116" s="1054"/>
      <c r="G116" s="1048">
        <f>$C$55*$T$44</f>
        <v>0</v>
      </c>
      <c r="H116" s="1047">
        <f>B116+E116</f>
        <v>1150</v>
      </c>
      <c r="K116" s="1056"/>
    </row>
    <row r="117" spans="1:11" x14ac:dyDescent="0.25">
      <c r="B117" s="192"/>
      <c r="D117" s="1056"/>
      <c r="E117" s="147"/>
      <c r="F117" s="147"/>
      <c r="H117" s="1056"/>
      <c r="K117" s="1056"/>
    </row>
    <row r="118" spans="1:11" x14ac:dyDescent="0.25">
      <c r="B118" s="192"/>
      <c r="D118" s="1056"/>
      <c r="E118" s="147"/>
      <c r="F118" s="147"/>
      <c r="H118" s="1056"/>
      <c r="K118" s="1056"/>
    </row>
    <row r="119" spans="1:11" x14ac:dyDescent="0.25">
      <c r="A119" s="871"/>
      <c r="B119" s="1776" t="str">
        <f>"لحم كبسة دفعة  4  / " &amp; COUNTIF($C$53:$C$56, "&gt;0")</f>
        <v>لحم كبسة دفعة  4  / 3</v>
      </c>
      <c r="C119" s="1789"/>
      <c r="D119" s="1790"/>
      <c r="E119" s="1790"/>
      <c r="F119" s="1790"/>
      <c r="G119" s="1789"/>
      <c r="H119" s="1790"/>
      <c r="K119" s="1056"/>
    </row>
    <row r="120" spans="1:11" x14ac:dyDescent="0.25">
      <c r="A120" s="871"/>
      <c r="B120" s="1776" t="str">
        <f>"Kabsah Laham 4 / " &amp; COUNTIF($C$53:$C$56, "&gt;0")</f>
        <v>Kabsah Laham 4 / 3</v>
      </c>
      <c r="C120" s="1777"/>
      <c r="D120" s="1778"/>
      <c r="E120" s="1778"/>
      <c r="F120" s="1778"/>
      <c r="G120" s="1777"/>
      <c r="H120" s="1778"/>
      <c r="K120" s="1056"/>
    </row>
    <row r="121" spans="1:11" ht="38.25" x14ac:dyDescent="0.2">
      <c r="A121" s="933" t="s">
        <v>864</v>
      </c>
      <c r="B121" s="1066" t="s">
        <v>241</v>
      </c>
      <c r="C121" s="934" t="s">
        <v>242</v>
      </c>
      <c r="D121" s="923" t="s">
        <v>231</v>
      </c>
      <c r="E121" s="936" t="s">
        <v>234</v>
      </c>
      <c r="F121" s="936" t="s">
        <v>243</v>
      </c>
      <c r="G121" s="923" t="s">
        <v>244</v>
      </c>
      <c r="H121" s="936" t="s">
        <v>245</v>
      </c>
      <c r="K121" s="1056"/>
    </row>
    <row r="122" spans="1:11" ht="28.5" x14ac:dyDescent="0.2">
      <c r="A122" s="1067" t="s">
        <v>872</v>
      </c>
      <c r="B122" s="1068" t="str">
        <f t="shared" ref="B122:D130" si="36">B5</f>
        <v>Indian Meat Alana  - لحم هندى ألانا</v>
      </c>
      <c r="C122" s="947" t="str">
        <f t="shared" si="36"/>
        <v>gm</v>
      </c>
      <c r="D122" s="943">
        <f t="shared" si="36"/>
        <v>2040.8163265306125</v>
      </c>
      <c r="E122" s="918">
        <f>H56</f>
        <v>0</v>
      </c>
      <c r="F122" s="948">
        <f t="shared" ref="F122:F133" si="37">F5</f>
        <v>1</v>
      </c>
      <c r="G122" s="940">
        <f t="shared" ref="G122:G129" si="38">D122*E122</f>
        <v>0</v>
      </c>
      <c r="H122" s="943">
        <f t="shared" ref="H122:H129" si="39">G122*F122</f>
        <v>0</v>
      </c>
      <c r="K122" s="1056"/>
    </row>
    <row r="123" spans="1:11" ht="28.5" x14ac:dyDescent="0.25">
      <c r="B123" s="1068" t="str">
        <f t="shared" si="36"/>
        <v>Black Pepper Whole - فلفل أسود حب</v>
      </c>
      <c r="C123" s="947" t="str">
        <f t="shared" si="36"/>
        <v>gm</v>
      </c>
      <c r="D123" s="943">
        <f t="shared" si="36"/>
        <v>2</v>
      </c>
      <c r="E123" s="918">
        <f t="shared" ref="E123:E133" si="40">$C$56</f>
        <v>0</v>
      </c>
      <c r="F123" s="948">
        <f t="shared" si="37"/>
        <v>1</v>
      </c>
      <c r="G123" s="914">
        <f t="shared" si="38"/>
        <v>0</v>
      </c>
      <c r="H123" s="943">
        <f t="shared" si="39"/>
        <v>0</v>
      </c>
      <c r="K123" s="1056"/>
    </row>
    <row r="124" spans="1:11" x14ac:dyDescent="0.25">
      <c r="B124" s="1068" t="str">
        <f t="shared" si="36"/>
        <v>Cumin Whole - كمون حب</v>
      </c>
      <c r="C124" s="947" t="str">
        <f t="shared" si="36"/>
        <v>gm</v>
      </c>
      <c r="D124" s="943">
        <f t="shared" si="36"/>
        <v>2</v>
      </c>
      <c r="E124" s="918">
        <f t="shared" si="40"/>
        <v>0</v>
      </c>
      <c r="F124" s="948">
        <f t="shared" si="37"/>
        <v>0.95</v>
      </c>
      <c r="G124" s="914">
        <f t="shared" si="38"/>
        <v>0</v>
      </c>
      <c r="H124" s="943">
        <f t="shared" si="39"/>
        <v>0</v>
      </c>
      <c r="K124" s="1056"/>
    </row>
    <row r="125" spans="1:11" x14ac:dyDescent="0.25">
      <c r="B125" s="1068" t="str">
        <f t="shared" si="36"/>
        <v>Cloves Whole - قرنفل حب</v>
      </c>
      <c r="C125" s="947" t="str">
        <f t="shared" si="36"/>
        <v>gm</v>
      </c>
      <c r="D125" s="943">
        <f t="shared" si="36"/>
        <v>2</v>
      </c>
      <c r="E125" s="918">
        <f t="shared" si="40"/>
        <v>0</v>
      </c>
      <c r="F125" s="948">
        <f t="shared" si="37"/>
        <v>0.95</v>
      </c>
      <c r="G125" s="914">
        <f t="shared" si="38"/>
        <v>0</v>
      </c>
      <c r="H125" s="943">
        <f t="shared" si="39"/>
        <v>0</v>
      </c>
      <c r="K125" s="1056"/>
    </row>
    <row r="126" spans="1:11" x14ac:dyDescent="0.25">
      <c r="B126" s="1068" t="str">
        <f t="shared" si="36"/>
        <v>Cinnamon Whole - قرفة أعواد</v>
      </c>
      <c r="C126" s="947" t="str">
        <f t="shared" si="36"/>
        <v>gm</v>
      </c>
      <c r="D126" s="943">
        <f t="shared" si="36"/>
        <v>2</v>
      </c>
      <c r="E126" s="918">
        <f t="shared" si="40"/>
        <v>0</v>
      </c>
      <c r="F126" s="948">
        <f t="shared" si="37"/>
        <v>1</v>
      </c>
      <c r="G126" s="914">
        <f t="shared" si="38"/>
        <v>0</v>
      </c>
      <c r="H126" s="943">
        <f t="shared" si="39"/>
        <v>0</v>
      </c>
      <c r="K126" s="1056"/>
    </row>
    <row r="127" spans="1:11" ht="28.5" x14ac:dyDescent="0.25">
      <c r="B127" s="1068" t="str">
        <f t="shared" si="36"/>
        <v>Saffron yellow color powder - لون صفار زعفران بودر</v>
      </c>
      <c r="C127" s="947" t="str">
        <f t="shared" si="36"/>
        <v>gm</v>
      </c>
      <c r="D127" s="943">
        <f t="shared" si="36"/>
        <v>5</v>
      </c>
      <c r="E127" s="918">
        <f t="shared" si="40"/>
        <v>0</v>
      </c>
      <c r="F127" s="948">
        <f t="shared" si="37"/>
        <v>1</v>
      </c>
      <c r="G127" s="914">
        <f t="shared" si="38"/>
        <v>0</v>
      </c>
      <c r="H127" s="943">
        <f t="shared" si="39"/>
        <v>0</v>
      </c>
      <c r="K127" s="1056"/>
    </row>
    <row r="128" spans="1:11" x14ac:dyDescent="0.25">
      <c r="B128" s="1068" t="str">
        <f t="shared" si="36"/>
        <v>Cumin Powder - كمون مطحون</v>
      </c>
      <c r="C128" s="947" t="str">
        <f t="shared" si="36"/>
        <v>gm</v>
      </c>
      <c r="D128" s="943">
        <f t="shared" si="36"/>
        <v>6</v>
      </c>
      <c r="E128" s="918">
        <f t="shared" si="40"/>
        <v>0</v>
      </c>
      <c r="F128" s="948">
        <f t="shared" si="37"/>
        <v>1</v>
      </c>
      <c r="G128" s="914">
        <f t="shared" si="38"/>
        <v>0</v>
      </c>
      <c r="H128" s="943">
        <f t="shared" si="39"/>
        <v>0</v>
      </c>
      <c r="K128" s="1056"/>
    </row>
    <row r="129" spans="1:11" ht="28.5" x14ac:dyDescent="0.25">
      <c r="B129" s="1068" t="str">
        <f t="shared" si="36"/>
        <v>Black Pepper Powder - فلفل أسود مطحون</v>
      </c>
      <c r="C129" s="947" t="str">
        <f t="shared" si="36"/>
        <v>gm</v>
      </c>
      <c r="D129" s="943">
        <f t="shared" si="36"/>
        <v>6</v>
      </c>
      <c r="E129" s="918">
        <f t="shared" si="40"/>
        <v>0</v>
      </c>
      <c r="F129" s="948">
        <f t="shared" si="37"/>
        <v>1</v>
      </c>
      <c r="G129" s="914">
        <f t="shared" si="38"/>
        <v>0</v>
      </c>
      <c r="H129" s="943">
        <f t="shared" si="39"/>
        <v>0</v>
      </c>
      <c r="K129" s="1056"/>
    </row>
    <row r="130" spans="1:11" x14ac:dyDescent="0.25">
      <c r="B130" s="1068" t="str">
        <f t="shared" si="36"/>
        <v>Butter - زبدة</v>
      </c>
      <c r="C130" s="947" t="str">
        <f t="shared" si="36"/>
        <v>gm</v>
      </c>
      <c r="D130" s="943">
        <f t="shared" si="36"/>
        <v>75</v>
      </c>
      <c r="E130" s="918">
        <f t="shared" si="40"/>
        <v>0</v>
      </c>
      <c r="F130" s="948">
        <f t="shared" si="37"/>
        <v>1</v>
      </c>
      <c r="G130" s="914">
        <f t="shared" ref="G130:G133" si="41">D130*E130</f>
        <v>0</v>
      </c>
      <c r="H130" s="943">
        <f t="shared" ref="H130:H133" si="42">G130*F130</f>
        <v>0</v>
      </c>
      <c r="K130" s="1056"/>
    </row>
    <row r="131" spans="1:11" x14ac:dyDescent="0.25">
      <c r="B131" s="1068" t="str">
        <f t="shared" ref="B131:D131" si="43">B14</f>
        <v>Cardamom Whole - هيل حب</v>
      </c>
      <c r="C131" s="947" t="str">
        <f t="shared" si="43"/>
        <v>gm</v>
      </c>
      <c r="D131" s="943">
        <f t="shared" si="43"/>
        <v>6</v>
      </c>
      <c r="E131" s="918">
        <f t="shared" si="40"/>
        <v>0</v>
      </c>
      <c r="F131" s="948">
        <f t="shared" si="37"/>
        <v>1</v>
      </c>
      <c r="G131" s="914">
        <f t="shared" si="41"/>
        <v>0</v>
      </c>
      <c r="H131" s="943">
        <f t="shared" si="42"/>
        <v>0</v>
      </c>
      <c r="K131" s="1056"/>
    </row>
    <row r="132" spans="1:11" x14ac:dyDescent="0.25">
      <c r="B132" s="1068" t="str">
        <f t="shared" ref="B132:D132" si="44">B15</f>
        <v>Maggi Cubes - مكعبات ماجي</v>
      </c>
      <c r="C132" s="947" t="str">
        <f t="shared" si="44"/>
        <v>gm</v>
      </c>
      <c r="D132" s="943">
        <f t="shared" si="44"/>
        <v>8</v>
      </c>
      <c r="E132" s="918">
        <f t="shared" si="40"/>
        <v>0</v>
      </c>
      <c r="F132" s="948">
        <f t="shared" si="37"/>
        <v>1</v>
      </c>
      <c r="G132" s="914">
        <f t="shared" si="41"/>
        <v>0</v>
      </c>
      <c r="H132" s="943">
        <f t="shared" si="42"/>
        <v>0</v>
      </c>
      <c r="K132" s="1056"/>
    </row>
    <row r="133" spans="1:11" x14ac:dyDescent="0.25">
      <c r="B133" s="1068" t="str">
        <f>B16</f>
        <v>Salt - ملح</v>
      </c>
      <c r="C133" s="947" t="str">
        <f>C16</f>
        <v>gm</v>
      </c>
      <c r="D133" s="943">
        <f>D16</f>
        <v>11</v>
      </c>
      <c r="E133" s="918">
        <f t="shared" si="40"/>
        <v>0</v>
      </c>
      <c r="F133" s="948">
        <f t="shared" si="37"/>
        <v>1</v>
      </c>
      <c r="G133" s="914">
        <f t="shared" si="41"/>
        <v>0</v>
      </c>
      <c r="H133" s="943">
        <f t="shared" si="42"/>
        <v>0</v>
      </c>
      <c r="K133" s="1056"/>
    </row>
    <row r="134" spans="1:11" ht="18" x14ac:dyDescent="0.25">
      <c r="A134" s="61"/>
      <c r="B134" s="1105" t="s">
        <v>287</v>
      </c>
      <c r="C134" s="1042" t="s">
        <v>273</v>
      </c>
      <c r="D134" s="1043"/>
      <c r="E134" s="1044" t="s">
        <v>288</v>
      </c>
      <c r="F134" s="1043"/>
      <c r="G134" s="1045" t="s">
        <v>264</v>
      </c>
      <c r="H134" s="1046" t="s">
        <v>661</v>
      </c>
      <c r="K134" s="1056"/>
    </row>
    <row r="135" spans="1:11" ht="20.25" x14ac:dyDescent="0.3">
      <c r="A135" s="61"/>
      <c r="B135" s="1106">
        <f>$J$56</f>
        <v>0</v>
      </c>
      <c r="C135" s="1048">
        <f>E135+G135</f>
        <v>0</v>
      </c>
      <c r="D135" s="1054"/>
      <c r="E135" s="1047">
        <f>$C$56*$S$44</f>
        <v>0</v>
      </c>
      <c r="F135" s="1054"/>
      <c r="G135" s="1048">
        <f>$C$56*$T$44</f>
        <v>0</v>
      </c>
      <c r="H135" s="1047">
        <f>B135+E135</f>
        <v>0</v>
      </c>
      <c r="K135" s="1056"/>
    </row>
    <row r="136" spans="1:11" ht="14.25" customHeight="1" x14ac:dyDescent="0.25">
      <c r="B136" s="192"/>
      <c r="E136" s="147"/>
      <c r="F136" s="147"/>
    </row>
    <row r="137" spans="1:11" ht="14.25" customHeight="1" x14ac:dyDescent="0.25">
      <c r="B137" s="192"/>
      <c r="E137" s="147"/>
      <c r="F137" s="147"/>
    </row>
    <row r="138" spans="1:11" ht="14.25" customHeight="1" x14ac:dyDescent="0.25">
      <c r="B138" s="192"/>
      <c r="E138" s="147"/>
      <c r="F138" s="147"/>
    </row>
    <row r="139" spans="1:11" ht="14.25" customHeight="1" x14ac:dyDescent="0.25">
      <c r="B139" s="166"/>
    </row>
    <row r="140" spans="1:11" ht="14.25" customHeight="1" x14ac:dyDescent="0.25">
      <c r="B140" s="166"/>
    </row>
    <row r="141" spans="1:11" ht="14.25" customHeight="1" x14ac:dyDescent="0.25"/>
    <row r="142" spans="1:11" ht="20.25" customHeight="1" x14ac:dyDescent="0.25"/>
    <row r="143" spans="1:11" ht="25.5" customHeight="1" x14ac:dyDescent="0.25"/>
    <row r="144" spans="1:11" ht="14.25" customHeight="1" x14ac:dyDescent="0.25"/>
    <row r="145" ht="14.25" customHeight="1" x14ac:dyDescent="0.25"/>
    <row r="146" ht="18" customHeight="1" x14ac:dyDescent="0.25"/>
    <row r="147" ht="18" customHeight="1" x14ac:dyDescent="0.25"/>
    <row r="148" ht="56.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sheetData>
  <mergeCells count="12">
    <mergeCell ref="B100:H100"/>
    <mergeCell ref="B120:H120"/>
    <mergeCell ref="B80:H80"/>
    <mergeCell ref="B2:H3"/>
    <mergeCell ref="R26:U26"/>
    <mergeCell ref="B81:H81"/>
    <mergeCell ref="R25:U25"/>
    <mergeCell ref="B63:H63"/>
    <mergeCell ref="B119:H119"/>
    <mergeCell ref="B35:F35"/>
    <mergeCell ref="B101:H101"/>
    <mergeCell ref="B62:H62"/>
  </mergeCells>
  <printOptions horizontalCentered="1"/>
  <pageMargins left="0.5" right="0.5" top="1" bottom="0.5" header="0.3" footer="0.511811023622047"/>
  <pageSetup paperSize="9" scale="27"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B050"/>
    <pageSetUpPr fitToPage="1"/>
  </sheetPr>
  <dimension ref="A1:AT86"/>
  <sheetViews>
    <sheetView topLeftCell="A60" zoomScale="70" zoomScaleNormal="70" workbookViewId="0">
      <selection activeCell="A116" sqref="A116:A133"/>
    </sheetView>
  </sheetViews>
  <sheetFormatPr defaultColWidth="12.5" defaultRowHeight="15" x14ac:dyDescent="0.25"/>
  <cols>
    <col min="1" max="1" width="18.625" style="1" customWidth="1"/>
    <col min="2" max="2" width="25.875" customWidth="1"/>
    <col min="3" max="3" width="18.625" customWidth="1"/>
    <col min="4" max="6" width="25.875" customWidth="1"/>
    <col min="7" max="7" width="18.625" customWidth="1"/>
    <col min="8" max="8" width="25.875" customWidth="1"/>
    <col min="9" max="10" width="18.625" customWidth="1"/>
    <col min="11" max="11" width="25.875" customWidth="1"/>
    <col min="12" max="12" width="12.625" customWidth="1"/>
    <col min="13" max="14" width="5.25" customWidth="1"/>
    <col min="15" max="15" width="18.625" customWidth="1"/>
    <col min="16" max="16" width="8.625" customWidth="1"/>
    <col min="17" max="17" width="18.625" customWidth="1"/>
    <col min="18" max="18" width="25.875" customWidth="1"/>
    <col min="19" max="19" width="12.625" customWidth="1"/>
    <col min="20" max="20" width="25.875" customWidth="1"/>
    <col min="21" max="22" width="12.625" customWidth="1"/>
    <col min="23" max="23" width="25.875" customWidth="1"/>
    <col min="25" max="25" width="8.625" customWidth="1"/>
    <col min="26" max="29" width="12.625" customWidth="1"/>
    <col min="30" max="30" width="18.625" customWidth="1"/>
    <col min="31" max="31" width="12.625" customWidth="1"/>
    <col min="32" max="32" width="8.625" customWidth="1"/>
    <col min="33" max="34" width="4.25" customWidth="1"/>
    <col min="35" max="35" width="18.625" customWidth="1"/>
    <col min="36" max="40" width="25.875" customWidth="1"/>
    <col min="41" max="41" width="18.625" customWidth="1"/>
    <col min="42" max="42" width="25.875" customWidth="1"/>
    <col min="43" max="44" width="18.625" customWidth="1"/>
    <col min="45" max="45" width="25.875" customWidth="1"/>
    <col min="46" max="46" width="12.625" customWidth="1"/>
  </cols>
  <sheetData>
    <row r="1" spans="1:46" s="89" customFormat="1" ht="25.5" x14ac:dyDescent="0.25">
      <c r="A1" s="177"/>
      <c r="B1" s="913" t="s">
        <v>231</v>
      </c>
      <c r="C1" s="914">
        <v>1000</v>
      </c>
      <c r="D1" s="915" t="s">
        <v>232</v>
      </c>
      <c r="E1" s="941">
        <f>T32</f>
        <v>8036.6666666666661</v>
      </c>
      <c r="F1" s="913" t="s">
        <v>233</v>
      </c>
      <c r="G1" s="944">
        <f>E1/C1</f>
        <v>8.0366666666666653</v>
      </c>
      <c r="H1" s="913" t="s">
        <v>234</v>
      </c>
      <c r="I1" s="1040">
        <f>(G1/K1)</f>
        <v>8.0366666666666653</v>
      </c>
      <c r="J1" s="919" t="s">
        <v>235</v>
      </c>
      <c r="K1" s="914">
        <v>1</v>
      </c>
      <c r="L1" s="73"/>
      <c r="M1" s="70"/>
      <c r="N1" s="922"/>
      <c r="O1" s="923" t="s">
        <v>236</v>
      </c>
      <c r="P1" s="914" t="s">
        <v>298</v>
      </c>
      <c r="Q1" s="924" t="s">
        <v>238</v>
      </c>
      <c r="R1" s="914">
        <v>0.54</v>
      </c>
      <c r="T1" s="891"/>
      <c r="W1" s="891"/>
      <c r="Y1" s="923" t="s">
        <v>444</v>
      </c>
      <c r="Z1" s="925">
        <v>23110</v>
      </c>
      <c r="AA1" s="923" t="s">
        <v>544</v>
      </c>
      <c r="AB1" s="925">
        <v>1000</v>
      </c>
      <c r="AC1" s="923" t="s">
        <v>537</v>
      </c>
      <c r="AD1" s="925">
        <v>160</v>
      </c>
      <c r="AE1" s="168"/>
      <c r="AF1" s="170"/>
      <c r="AG1" s="73"/>
      <c r="AI1" s="1"/>
      <c r="AJ1" s="926" t="s">
        <v>250</v>
      </c>
      <c r="AK1" s="926">
        <v>10000</v>
      </c>
      <c r="AL1" s="927" t="s">
        <v>494</v>
      </c>
      <c r="AM1" s="928">
        <f>$S$32</f>
        <v>24110</v>
      </c>
      <c r="AN1" s="926" t="s">
        <v>239</v>
      </c>
      <c r="AO1" s="929">
        <f>(($S$32)/$R$1)/$AK$1</f>
        <v>4.4648148148148143</v>
      </c>
      <c r="AP1" s="76"/>
      <c r="AS1" s="891"/>
    </row>
    <row r="2" spans="1:46" ht="15.75" x14ac:dyDescent="0.25">
      <c r="A2" s="860"/>
      <c r="B2" s="921"/>
      <c r="C2" s="921"/>
      <c r="D2" s="921"/>
      <c r="E2" s="921"/>
      <c r="F2" s="1784" t="s">
        <v>22</v>
      </c>
      <c r="G2" s="921"/>
      <c r="H2" s="921"/>
      <c r="I2" s="921"/>
      <c r="J2" s="921"/>
      <c r="K2" s="921"/>
      <c r="L2" s="78"/>
      <c r="M2" s="80"/>
      <c r="N2" s="80"/>
      <c r="O2" s="80"/>
      <c r="P2" s="80"/>
      <c r="Q2" s="80"/>
      <c r="R2" s="80"/>
      <c r="T2" s="830"/>
      <c r="W2" s="830"/>
      <c r="AC2" s="79"/>
      <c r="AD2" s="79"/>
      <c r="AE2" s="1795"/>
      <c r="AF2" s="1796"/>
      <c r="AG2" s="1796"/>
      <c r="AI2" s="1"/>
      <c r="AJ2" s="930"/>
      <c r="AK2" s="1783" t="s">
        <v>301</v>
      </c>
      <c r="AL2" s="1783"/>
      <c r="AM2" s="1783"/>
      <c r="AN2" s="931"/>
      <c r="AO2" s="930"/>
      <c r="AP2" s="81"/>
      <c r="AS2" s="830"/>
    </row>
    <row r="3" spans="1:46" ht="15.75" x14ac:dyDescent="0.25">
      <c r="A3" s="860"/>
      <c r="B3" s="78"/>
      <c r="C3" s="78"/>
      <c r="D3" s="78"/>
      <c r="E3" s="78"/>
      <c r="F3" s="1785"/>
      <c r="G3" s="78"/>
      <c r="H3" s="78"/>
      <c r="I3" s="78"/>
      <c r="J3" s="78"/>
      <c r="K3" s="78"/>
      <c r="L3" s="78"/>
      <c r="M3" s="80"/>
      <c r="N3" s="80"/>
      <c r="O3" s="80"/>
      <c r="P3" s="80"/>
      <c r="Q3" s="80"/>
      <c r="R3" s="80"/>
      <c r="T3" s="830"/>
      <c r="W3" s="830"/>
      <c r="AC3" s="79"/>
      <c r="AD3" s="79"/>
      <c r="AE3" s="1796"/>
      <c r="AF3" s="1796"/>
      <c r="AG3" s="1796"/>
      <c r="AI3" s="1"/>
      <c r="AJ3" s="81"/>
      <c r="AK3" s="81"/>
      <c r="AL3" s="82"/>
      <c r="AM3" s="82"/>
      <c r="AN3" s="82"/>
      <c r="AO3" s="81"/>
      <c r="AP3" s="81"/>
      <c r="AS3" s="830"/>
    </row>
    <row r="4" spans="1:46" ht="38.25" x14ac:dyDescent="0.25">
      <c r="A4" s="933" t="s">
        <v>864</v>
      </c>
      <c r="B4" s="923" t="s">
        <v>241</v>
      </c>
      <c r="C4" s="934" t="s">
        <v>242</v>
      </c>
      <c r="D4" s="923" t="s">
        <v>231</v>
      </c>
      <c r="E4" s="935" t="s">
        <v>234</v>
      </c>
      <c r="F4" s="935" t="s">
        <v>243</v>
      </c>
      <c r="G4" s="923" t="s">
        <v>244</v>
      </c>
      <c r="H4" s="936" t="s">
        <v>245</v>
      </c>
      <c r="I4" s="923" t="s">
        <v>246</v>
      </c>
      <c r="J4" s="923" t="s">
        <v>247</v>
      </c>
      <c r="K4" s="923" t="s">
        <v>248</v>
      </c>
      <c r="L4" s="923" t="s">
        <v>249</v>
      </c>
      <c r="P4" s="80"/>
      <c r="R4" s="830"/>
      <c r="T4" s="830"/>
      <c r="W4" s="830"/>
      <c r="AA4" s="169"/>
      <c r="AB4" s="171"/>
      <c r="AC4" s="169"/>
      <c r="AD4" s="169"/>
      <c r="AE4" s="169"/>
      <c r="AI4" s="1117"/>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937" t="s">
        <v>875</v>
      </c>
      <c r="B5" s="1115" t="s">
        <v>225</v>
      </c>
      <c r="C5" s="947" t="s">
        <v>14</v>
      </c>
      <c r="D5" s="944">
        <f>I51/10</f>
        <v>6172.9629629629626</v>
      </c>
      <c r="E5" s="1116">
        <f>H52</f>
        <v>7.2328553428931421</v>
      </c>
      <c r="F5" s="942">
        <v>1</v>
      </c>
      <c r="G5" s="944">
        <f t="shared" ref="G5:G11" si="0">D5*E5</f>
        <v>44648.148148148146</v>
      </c>
      <c r="H5" s="943">
        <f t="shared" ref="H5:H11" si="1">G5*F5</f>
        <v>44648.148148148146</v>
      </c>
      <c r="I5" s="914">
        <f>VLOOKUP(B5,All_Ingredients!$A$1:$F$161,6,FALSE())</f>
        <v>0.47</v>
      </c>
      <c r="J5" s="940">
        <f>VLOOKUP(B5,All_Ingredients!$A$1:$J$161,10,FALSE())</f>
        <v>12</v>
      </c>
      <c r="K5" s="945">
        <f t="shared" ref="K5" si="2">(H5/I5)/1000</f>
        <v>94.996059889676914</v>
      </c>
      <c r="L5" s="945">
        <f t="shared" ref="L5" si="3">K5*J5</f>
        <v>1139.9527186761229</v>
      </c>
      <c r="M5" s="80"/>
      <c r="N5" s="80"/>
      <c r="O5" s="80"/>
      <c r="P5" s="80"/>
      <c r="R5" s="830"/>
      <c r="T5" s="830"/>
      <c r="W5" s="830"/>
      <c r="AA5" s="73"/>
      <c r="AB5" s="89"/>
      <c r="AC5" s="172"/>
      <c r="AD5" s="90"/>
      <c r="AE5" s="91"/>
      <c r="AI5" s="1117"/>
      <c r="AJ5" s="1118" t="s">
        <v>225</v>
      </c>
      <c r="AK5" s="951" t="s">
        <v>227</v>
      </c>
      <c r="AL5" s="951">
        <v>10</v>
      </c>
      <c r="AM5" s="918">
        <f>$AO$1</f>
        <v>4.4648148148148143</v>
      </c>
      <c r="AN5" s="948">
        <v>1</v>
      </c>
      <c r="AO5" s="940">
        <f>AL5*AM5</f>
        <v>44.648148148148145</v>
      </c>
      <c r="AP5" s="943">
        <f>AN5*AO5</f>
        <v>44.648148148148145</v>
      </c>
      <c r="AQ5" s="952"/>
      <c r="AR5" s="953"/>
      <c r="AS5" s="954"/>
      <c r="AT5" s="955"/>
    </row>
    <row r="6" spans="1:46" x14ac:dyDescent="0.25">
      <c r="A6" s="1117" t="s">
        <v>868</v>
      </c>
      <c r="B6" s="1115" t="s">
        <v>706</v>
      </c>
      <c r="C6" s="947" t="s">
        <v>14</v>
      </c>
      <c r="D6" s="914">
        <v>60</v>
      </c>
      <c r="E6" s="944">
        <f t="shared" ref="E6:E11" si="4">$I$1</f>
        <v>8.0366666666666653</v>
      </c>
      <c r="F6" s="948">
        <v>0.95</v>
      </c>
      <c r="G6" s="944">
        <f t="shared" si="0"/>
        <v>482.19999999999993</v>
      </c>
      <c r="H6" s="943">
        <f t="shared" si="1"/>
        <v>458.08999999999992</v>
      </c>
      <c r="I6" s="914">
        <f>VLOOKUP(B6,All_Ingredients!$A$1:$F$161,6,FALSE())</f>
        <v>1</v>
      </c>
      <c r="J6" s="940">
        <f>VLOOKUP(B6,All_Ingredients!$A$1:$J$161,10,FALSE())</f>
        <v>10.5</v>
      </c>
      <c r="K6" s="945">
        <f t="shared" ref="K6:K11" si="5">(H6/I6)/1000</f>
        <v>0.45808999999999994</v>
      </c>
      <c r="L6" s="945">
        <f t="shared" ref="L6:L11" si="6">K6*J6</f>
        <v>4.809944999999999</v>
      </c>
      <c r="R6" s="830"/>
      <c r="T6" s="830"/>
      <c r="W6" s="830"/>
      <c r="AB6" s="89"/>
      <c r="AC6" s="89"/>
      <c r="AD6" s="90"/>
      <c r="AE6" s="91"/>
      <c r="AI6" s="1117" t="s">
        <v>55</v>
      </c>
      <c r="AJ6" s="1118" t="s">
        <v>54</v>
      </c>
      <c r="AK6" s="951" t="s">
        <v>14</v>
      </c>
      <c r="AL6" s="951">
        <v>200</v>
      </c>
      <c r="AM6" s="918">
        <f t="shared" ref="AM6:AM13" si="7">$AO$1</f>
        <v>4.4648148148148143</v>
      </c>
      <c r="AN6" s="948">
        <v>1</v>
      </c>
      <c r="AO6" s="940">
        <f t="shared" ref="AO6:AO13" si="8">AL6*AM6</f>
        <v>892.96296296296282</v>
      </c>
      <c r="AP6" s="943">
        <f t="shared" ref="AP6:AP13" si="9">AN6*AO6</f>
        <v>892.96296296296282</v>
      </c>
      <c r="AQ6" s="955">
        <f>VLOOKUP(AJ6,Marination_Ordering!$A:$J,6,FALSE)</f>
        <v>0.87</v>
      </c>
      <c r="AR6" s="955">
        <f>VLOOKUP(AJ6,Marination_Ordering!$A:$J,10,FALSE)</f>
        <v>7</v>
      </c>
      <c r="AS6" s="954">
        <f>AP6/AQ6</f>
        <v>1026.3942103022562</v>
      </c>
      <c r="AT6" s="955">
        <f>AR6*(AS6/1000)</f>
        <v>7.1847594721157924</v>
      </c>
    </row>
    <row r="7" spans="1:46" x14ac:dyDescent="0.25">
      <c r="A7" s="1117"/>
      <c r="B7" s="1115" t="s">
        <v>209</v>
      </c>
      <c r="C7" s="947" t="s">
        <v>160</v>
      </c>
      <c r="D7" s="914">
        <v>10</v>
      </c>
      <c r="E7" s="944">
        <f t="shared" si="4"/>
        <v>8.0366666666666653</v>
      </c>
      <c r="F7" s="948">
        <f>F6</f>
        <v>0.95</v>
      </c>
      <c r="G7" s="944">
        <f t="shared" si="0"/>
        <v>80.366666666666646</v>
      </c>
      <c r="H7" s="943">
        <f t="shared" si="1"/>
        <v>76.348333333333315</v>
      </c>
      <c r="I7" s="914">
        <f>VLOOKUP(B7,All_Ingredients!$A$1:$F$161,6,FALSE())</f>
        <v>1</v>
      </c>
      <c r="J7" s="940">
        <f>VLOOKUP(B7,All_Ingredients!$A$1:$J$161,10,FALSE())</f>
        <v>28.406666666666666</v>
      </c>
      <c r="K7" s="945">
        <f t="shared" si="5"/>
        <v>7.634833333333331E-2</v>
      </c>
      <c r="L7" s="945">
        <f t="shared" si="6"/>
        <v>2.1688016555555549</v>
      </c>
      <c r="R7" s="830"/>
      <c r="T7" s="830"/>
      <c r="W7" s="830"/>
      <c r="AB7" s="89"/>
      <c r="AC7" s="89"/>
      <c r="AD7" s="90"/>
      <c r="AE7" s="91"/>
      <c r="AI7" s="1117" t="s">
        <v>13</v>
      </c>
      <c r="AJ7" s="1115" t="s">
        <v>706</v>
      </c>
      <c r="AK7" s="951" t="s">
        <v>14</v>
      </c>
      <c r="AL7" s="951">
        <v>150</v>
      </c>
      <c r="AM7" s="918">
        <f t="shared" si="7"/>
        <v>4.4648148148148143</v>
      </c>
      <c r="AN7" s="948">
        <v>1</v>
      </c>
      <c r="AO7" s="940">
        <f t="shared" si="8"/>
        <v>669.72222222222217</v>
      </c>
      <c r="AP7" s="943">
        <f t="shared" si="9"/>
        <v>669.72222222222217</v>
      </c>
      <c r="AQ7" s="955">
        <f>VLOOKUP(AJ7,Marination_Ordering!$A:$J,6,FALSE)</f>
        <v>1</v>
      </c>
      <c r="AR7" s="955">
        <f>VLOOKUP(AJ7,Marination_Ordering!$A:$J,10,FALSE)</f>
        <v>10.5</v>
      </c>
      <c r="AS7" s="954">
        <f t="shared" ref="AS7:AS13" si="10">AP7/AQ7</f>
        <v>669.72222222222217</v>
      </c>
      <c r="AT7" s="955">
        <f t="shared" ref="AT7:AT13" si="11">AR7*(AS7/1000)</f>
        <v>7.0320833333333335</v>
      </c>
    </row>
    <row r="8" spans="1:46" x14ac:dyDescent="0.25">
      <c r="A8" s="1117"/>
      <c r="B8" s="1115" t="s">
        <v>174</v>
      </c>
      <c r="C8" s="947" t="s">
        <v>160</v>
      </c>
      <c r="D8" s="914">
        <v>1200</v>
      </c>
      <c r="E8" s="944">
        <f t="shared" si="4"/>
        <v>8.0366666666666653</v>
      </c>
      <c r="F8" s="948">
        <f>F7</f>
        <v>0.95</v>
      </c>
      <c r="G8" s="944">
        <f t="shared" si="0"/>
        <v>9643.9999999999982</v>
      </c>
      <c r="H8" s="943">
        <f t="shared" si="1"/>
        <v>9161.7999999999975</v>
      </c>
      <c r="I8" s="914">
        <f>VLOOKUP(B8,All_Ingredients!$A$1:$F$161,6,FALSE())</f>
        <v>1</v>
      </c>
      <c r="J8" s="940">
        <f>VLOOKUP(B8,All_Ingredients!$A$1:$J$161,10,FALSE())</f>
        <v>9.8958333333333339</v>
      </c>
      <c r="K8" s="945">
        <f t="shared" si="5"/>
        <v>9.1617999999999977</v>
      </c>
      <c r="L8" s="945">
        <f t="shared" si="6"/>
        <v>90.66364583333332</v>
      </c>
      <c r="R8" s="830"/>
      <c r="T8" s="830"/>
      <c r="W8" s="830"/>
      <c r="AB8" s="89"/>
      <c r="AC8" s="89"/>
      <c r="AD8" s="90"/>
      <c r="AE8" s="91"/>
      <c r="AI8" s="1117" t="s">
        <v>204</v>
      </c>
      <c r="AJ8" s="1118" t="s">
        <v>212</v>
      </c>
      <c r="AK8" s="951" t="s">
        <v>160</v>
      </c>
      <c r="AL8" s="951">
        <v>450</v>
      </c>
      <c r="AM8" s="918">
        <f t="shared" si="7"/>
        <v>4.4648148148148143</v>
      </c>
      <c r="AN8" s="948">
        <v>1</v>
      </c>
      <c r="AO8" s="940">
        <f t="shared" si="8"/>
        <v>2009.1666666666665</v>
      </c>
      <c r="AP8" s="943">
        <f t="shared" si="9"/>
        <v>2009.1666666666665</v>
      </c>
      <c r="AQ8" s="955">
        <f>VLOOKUP(AJ8,Marination_Ordering!$A:$J,6,FALSE)</f>
        <v>1</v>
      </c>
      <c r="AR8" s="955">
        <f>VLOOKUP(AJ8,Marination_Ordering!$A:$J,10,FALSE)</f>
        <v>5</v>
      </c>
      <c r="AS8" s="954">
        <f t="shared" si="10"/>
        <v>2009.1666666666665</v>
      </c>
      <c r="AT8" s="955">
        <f t="shared" si="11"/>
        <v>10.045833333333331</v>
      </c>
    </row>
    <row r="9" spans="1:46" x14ac:dyDescent="0.25">
      <c r="A9" s="1117"/>
      <c r="B9" s="1115" t="s">
        <v>101</v>
      </c>
      <c r="C9" s="947" t="s">
        <v>14</v>
      </c>
      <c r="D9" s="914">
        <v>3</v>
      </c>
      <c r="E9" s="944">
        <f t="shared" si="4"/>
        <v>8.0366666666666653</v>
      </c>
      <c r="F9" s="948">
        <f>F8</f>
        <v>0.95</v>
      </c>
      <c r="G9" s="944">
        <f t="shared" si="0"/>
        <v>24.109999999999996</v>
      </c>
      <c r="H9" s="943">
        <f t="shared" si="1"/>
        <v>22.904499999999995</v>
      </c>
      <c r="I9" s="914">
        <f>VLOOKUP(B9,All_Ingredients!$A$1:$F$161,6,FALSE())</f>
        <v>1</v>
      </c>
      <c r="J9" s="940">
        <f>VLOOKUP(B9,All_Ingredients!$A$1:$J$161,10,FALSE())</f>
        <v>47</v>
      </c>
      <c r="K9" s="945">
        <f t="shared" si="5"/>
        <v>2.2904499999999994E-2</v>
      </c>
      <c r="L9" s="945">
        <f t="shared" si="6"/>
        <v>1.0765114999999996</v>
      </c>
      <c r="R9" s="830"/>
      <c r="T9" s="830"/>
      <c r="W9" s="830"/>
      <c r="AB9" s="89"/>
      <c r="AC9" s="89"/>
      <c r="AD9" s="90"/>
      <c r="AE9" s="91"/>
      <c r="AI9" s="1117" t="s">
        <v>204</v>
      </c>
      <c r="AJ9" s="1118" t="s">
        <v>208</v>
      </c>
      <c r="AK9" s="951" t="s">
        <v>160</v>
      </c>
      <c r="AL9" s="951">
        <v>100</v>
      </c>
      <c r="AM9" s="918">
        <f t="shared" si="7"/>
        <v>4.4648148148148143</v>
      </c>
      <c r="AN9" s="948">
        <v>1</v>
      </c>
      <c r="AO9" s="940">
        <f t="shared" si="8"/>
        <v>446.48148148148141</v>
      </c>
      <c r="AP9" s="943">
        <f t="shared" si="9"/>
        <v>446.48148148148141</v>
      </c>
      <c r="AQ9" s="955">
        <f>VLOOKUP(AJ9,Marination_Ordering!$A:$J,6,FALSE)</f>
        <v>1</v>
      </c>
      <c r="AR9" s="955">
        <f>VLOOKUP(AJ9,Marination_Ordering!$A:$J,10,FALSE)</f>
        <v>2.1621621621621623</v>
      </c>
      <c r="AS9" s="954">
        <f t="shared" si="10"/>
        <v>446.48148148148141</v>
      </c>
      <c r="AT9" s="955">
        <f t="shared" si="11"/>
        <v>0.96536536536536532</v>
      </c>
    </row>
    <row r="10" spans="1:46" x14ac:dyDescent="0.25">
      <c r="A10" s="1117"/>
      <c r="B10" s="1115" t="s">
        <v>93</v>
      </c>
      <c r="C10" s="947" t="s">
        <v>14</v>
      </c>
      <c r="D10" s="914">
        <v>11</v>
      </c>
      <c r="E10" s="944">
        <f t="shared" si="4"/>
        <v>8.0366666666666653</v>
      </c>
      <c r="F10" s="948">
        <f>F9</f>
        <v>0.95</v>
      </c>
      <c r="G10" s="944">
        <f t="shared" si="0"/>
        <v>88.403333333333322</v>
      </c>
      <c r="H10" s="943">
        <f t="shared" si="1"/>
        <v>83.983166666666648</v>
      </c>
      <c r="I10" s="914">
        <f>VLOOKUP(B10,All_Ingredients!$A$1:$F$161,6,FALSE())</f>
        <v>1</v>
      </c>
      <c r="J10" s="940">
        <f>VLOOKUP(B10,All_Ingredients!$A$1:$J$161,10,FALSE())</f>
        <v>0.74</v>
      </c>
      <c r="K10" s="945">
        <f t="shared" si="5"/>
        <v>8.398316666666665E-2</v>
      </c>
      <c r="L10" s="945">
        <f t="shared" si="6"/>
        <v>6.2147543333333319E-2</v>
      </c>
      <c r="R10" s="830"/>
      <c r="T10" s="830"/>
      <c r="W10" s="830"/>
      <c r="AB10" s="89"/>
      <c r="AC10" s="89"/>
      <c r="AD10" s="90"/>
      <c r="AE10" s="91"/>
      <c r="AI10" s="1117" t="s">
        <v>94</v>
      </c>
      <c r="AJ10" s="1118" t="s">
        <v>93</v>
      </c>
      <c r="AK10" s="951" t="s">
        <v>14</v>
      </c>
      <c r="AL10" s="951">
        <v>2</v>
      </c>
      <c r="AM10" s="918">
        <f t="shared" si="7"/>
        <v>4.4648148148148143</v>
      </c>
      <c r="AN10" s="948">
        <v>1</v>
      </c>
      <c r="AO10" s="940">
        <f t="shared" si="8"/>
        <v>8.9296296296296287</v>
      </c>
      <c r="AP10" s="943">
        <f t="shared" si="9"/>
        <v>8.9296296296296287</v>
      </c>
      <c r="AQ10" s="955">
        <f>VLOOKUP(AJ10,Marination_Ordering!$A:$J,6,FALSE)</f>
        <v>1</v>
      </c>
      <c r="AR10" s="955">
        <f>VLOOKUP(AJ10,Marination_Ordering!$A:$J,10,FALSE)</f>
        <v>0.74</v>
      </c>
      <c r="AS10" s="954">
        <f t="shared" si="10"/>
        <v>8.9296296296296287</v>
      </c>
      <c r="AT10" s="955">
        <f t="shared" si="11"/>
        <v>6.6079259259259259E-3</v>
      </c>
    </row>
    <row r="11" spans="1:46" ht="25.5" x14ac:dyDescent="0.25">
      <c r="A11" s="1117"/>
      <c r="B11" s="1115" t="s">
        <v>187</v>
      </c>
      <c r="C11" s="947" t="s">
        <v>14</v>
      </c>
      <c r="D11" s="914">
        <v>80</v>
      </c>
      <c r="E11" s="944">
        <f t="shared" si="4"/>
        <v>8.0366666666666653</v>
      </c>
      <c r="F11" s="948">
        <v>1</v>
      </c>
      <c r="G11" s="944">
        <f t="shared" si="0"/>
        <v>642.93333333333317</v>
      </c>
      <c r="H11" s="943">
        <f t="shared" si="1"/>
        <v>642.93333333333317</v>
      </c>
      <c r="I11" s="914">
        <f>VLOOKUP(B11,All_Ingredients!$A$1:$F$161,6,FALSE())</f>
        <v>0.9</v>
      </c>
      <c r="J11" s="940">
        <f>VLOOKUP(B11,All_Ingredients!$A$1:$J$161,10,FALSE())</f>
        <v>2.3199999999999998</v>
      </c>
      <c r="K11" s="945">
        <f t="shared" si="5"/>
        <v>0.71437037037037021</v>
      </c>
      <c r="L11" s="945">
        <f t="shared" si="6"/>
        <v>1.6573392592592588</v>
      </c>
      <c r="R11" s="830"/>
      <c r="T11" s="830"/>
      <c r="W11" s="830"/>
      <c r="AB11" s="89"/>
      <c r="AC11" s="89"/>
      <c r="AD11" s="90"/>
      <c r="AE11" s="91"/>
      <c r="AI11" s="1117" t="s">
        <v>94</v>
      </c>
      <c r="AJ11" s="1118" t="s">
        <v>99</v>
      </c>
      <c r="AK11" s="951" t="s">
        <v>14</v>
      </c>
      <c r="AL11" s="951">
        <v>4</v>
      </c>
      <c r="AM11" s="918">
        <f t="shared" si="7"/>
        <v>4.4648148148148143</v>
      </c>
      <c r="AN11" s="948">
        <v>1</v>
      </c>
      <c r="AO11" s="940">
        <f t="shared" si="8"/>
        <v>17.859259259259257</v>
      </c>
      <c r="AP11" s="943">
        <f t="shared" si="9"/>
        <v>17.859259259259257</v>
      </c>
      <c r="AQ11" s="955">
        <f>VLOOKUP(AJ11,Marination_Ordering!$A:$J,6,FALSE)</f>
        <v>1</v>
      </c>
      <c r="AR11" s="955">
        <f>VLOOKUP(AJ11,Marination_Ordering!$A:$J,10,FALSE)</f>
        <v>31</v>
      </c>
      <c r="AS11" s="954">
        <f t="shared" si="10"/>
        <v>17.859259259259257</v>
      </c>
      <c r="AT11" s="955">
        <f t="shared" si="11"/>
        <v>0.55363703703703704</v>
      </c>
    </row>
    <row r="12" spans="1:46" x14ac:dyDescent="0.25">
      <c r="B12" s="80"/>
      <c r="D12" s="830"/>
      <c r="E12" s="80"/>
      <c r="F12" s="80"/>
      <c r="H12" s="830"/>
      <c r="K12" s="830"/>
      <c r="L12" s="144"/>
      <c r="R12" s="830"/>
      <c r="T12" s="830"/>
      <c r="W12" s="830"/>
      <c r="AD12" s="89"/>
      <c r="AE12" s="89"/>
      <c r="AF12" s="90"/>
      <c r="AG12" s="91"/>
      <c r="AI12" s="1117" t="s">
        <v>94</v>
      </c>
      <c r="AJ12" s="1118" t="s">
        <v>105</v>
      </c>
      <c r="AK12" s="951" t="s">
        <v>14</v>
      </c>
      <c r="AL12" s="951">
        <v>35</v>
      </c>
      <c r="AM12" s="918">
        <f t="shared" si="7"/>
        <v>4.4648148148148143</v>
      </c>
      <c r="AN12" s="948">
        <v>1</v>
      </c>
      <c r="AO12" s="940">
        <f t="shared" si="8"/>
        <v>156.2685185185185</v>
      </c>
      <c r="AP12" s="943">
        <f t="shared" si="9"/>
        <v>156.2685185185185</v>
      </c>
      <c r="AQ12" s="955">
        <f>VLOOKUP(AJ12,Marination_Ordering!$A:$J,6,FALSE)</f>
        <v>1</v>
      </c>
      <c r="AR12" s="955">
        <f>VLOOKUP(AJ12,Marination_Ordering!$A:$J,10,FALSE)</f>
        <v>15</v>
      </c>
      <c r="AS12" s="954">
        <f t="shared" si="10"/>
        <v>156.2685185185185</v>
      </c>
      <c r="AT12" s="955">
        <f t="shared" si="11"/>
        <v>2.3440277777777774</v>
      </c>
    </row>
    <row r="13" spans="1:46" x14ac:dyDescent="0.25">
      <c r="B13" s="80"/>
      <c r="D13" s="830"/>
      <c r="E13" s="80"/>
      <c r="F13" s="80"/>
      <c r="H13" s="830"/>
      <c r="K13" s="830"/>
      <c r="L13" s="144"/>
      <c r="R13" s="830"/>
      <c r="T13" s="830"/>
      <c r="W13" s="830"/>
      <c r="AD13" s="89"/>
      <c r="AE13" s="89"/>
      <c r="AF13" s="90"/>
      <c r="AG13" s="91"/>
      <c r="AI13" s="1117" t="s">
        <v>190</v>
      </c>
      <c r="AJ13" s="1118" t="s">
        <v>202</v>
      </c>
      <c r="AK13" s="951" t="s">
        <v>14</v>
      </c>
      <c r="AL13" s="951">
        <v>250</v>
      </c>
      <c r="AM13" s="918">
        <f t="shared" si="7"/>
        <v>4.4648148148148143</v>
      </c>
      <c r="AN13" s="948">
        <v>1</v>
      </c>
      <c r="AO13" s="940">
        <f t="shared" si="8"/>
        <v>1116.2037037037037</v>
      </c>
      <c r="AP13" s="943">
        <f t="shared" si="9"/>
        <v>1116.2037037037037</v>
      </c>
      <c r="AQ13" s="955">
        <f>VLOOKUP(AJ13,Marination_Ordering!$A:$J,6,FALSE)</f>
        <v>1</v>
      </c>
      <c r="AR13" s="955">
        <f>VLOOKUP(AJ13,Marination_Ordering!$A:$J,10,FALSE)</f>
        <v>11.243386243386244</v>
      </c>
      <c r="AS13" s="954">
        <f t="shared" si="10"/>
        <v>1116.2037037037037</v>
      </c>
      <c r="AT13" s="955">
        <f t="shared" si="11"/>
        <v>12.549909367038996</v>
      </c>
    </row>
    <row r="14" spans="1:46" x14ac:dyDescent="0.25">
      <c r="B14" s="830"/>
      <c r="D14" s="830"/>
      <c r="E14" s="830"/>
      <c r="F14" s="830"/>
      <c r="H14" s="830"/>
      <c r="K14" s="830"/>
      <c r="L14" s="144"/>
      <c r="R14" s="830"/>
      <c r="T14" s="830"/>
      <c r="W14" s="830"/>
      <c r="AJ14" s="830"/>
      <c r="AK14" s="830"/>
      <c r="AL14" s="830"/>
      <c r="AM14" s="830"/>
      <c r="AN14" s="830"/>
      <c r="AP14" s="830"/>
      <c r="AS14" s="830"/>
    </row>
    <row r="15" spans="1:46" x14ac:dyDescent="0.25">
      <c r="B15" s="830"/>
      <c r="D15" s="830"/>
      <c r="E15" s="830"/>
      <c r="F15" s="830"/>
      <c r="H15" s="830"/>
      <c r="K15" s="830"/>
      <c r="L15" s="144"/>
      <c r="R15" s="830"/>
      <c r="T15" s="830"/>
      <c r="W15" s="830"/>
      <c r="AJ15" s="830"/>
      <c r="AK15" s="830"/>
      <c r="AL15" s="830"/>
      <c r="AM15" s="830"/>
      <c r="AN15" s="830"/>
      <c r="AP15" s="830"/>
      <c r="AS15" s="830"/>
    </row>
    <row r="16" spans="1:46" ht="26.25" x14ac:dyDescent="0.25">
      <c r="B16" s="830"/>
      <c r="D16" s="830"/>
      <c r="E16" s="830"/>
      <c r="F16" s="830"/>
      <c r="H16" s="830"/>
      <c r="K16" s="830"/>
      <c r="L16" s="144"/>
      <c r="R16" s="1110" t="s">
        <v>299</v>
      </c>
      <c r="T16" s="830"/>
      <c r="W16" s="830"/>
      <c r="AJ16" s="830"/>
      <c r="AK16" s="830"/>
      <c r="AL16" s="830"/>
      <c r="AM16" s="830"/>
      <c r="AN16" s="830"/>
      <c r="AP16" s="830"/>
      <c r="AS16" s="830"/>
    </row>
    <row r="17" spans="18:32" ht="26.25" x14ac:dyDescent="0.25">
      <c r="R17" s="211" t="s">
        <v>300</v>
      </c>
      <c r="T17" s="830"/>
      <c r="W17" s="830"/>
    </row>
    <row r="18" spans="18:32" x14ac:dyDescent="0.25">
      <c r="R18" s="830"/>
      <c r="T18" s="830"/>
      <c r="W18" s="830"/>
    </row>
    <row r="19" spans="18:32" x14ac:dyDescent="0.25">
      <c r="R19" s="830"/>
      <c r="T19" s="830"/>
      <c r="W19" s="830"/>
    </row>
    <row r="20" spans="18:32" x14ac:dyDescent="0.25">
      <c r="R20" s="830"/>
      <c r="T20" s="830"/>
      <c r="W20" s="830"/>
    </row>
    <row r="21" spans="18:32" x14ac:dyDescent="0.25">
      <c r="R21" s="830"/>
      <c r="T21" s="830"/>
      <c r="W21" s="830"/>
    </row>
    <row r="22" spans="18:32" x14ac:dyDescent="0.25">
      <c r="R22" s="830"/>
      <c r="T22" s="830"/>
      <c r="W22" s="830"/>
    </row>
    <row r="23" spans="18:32" x14ac:dyDescent="0.25">
      <c r="R23" s="830"/>
      <c r="T23" s="830"/>
      <c r="W23" s="830"/>
      <c r="Z23" s="630"/>
    </row>
    <row r="24" spans="18:32" x14ac:dyDescent="0.25">
      <c r="R24" s="830"/>
      <c r="T24" s="830"/>
      <c r="W24" s="830"/>
      <c r="Z24" s="630"/>
    </row>
    <row r="25" spans="18:32" x14ac:dyDescent="0.25">
      <c r="R25" s="1779" t="s">
        <v>301</v>
      </c>
      <c r="S25" s="1787"/>
      <c r="T25" s="1788"/>
      <c r="U25" s="1787"/>
      <c r="V25" s="956"/>
      <c r="W25" s="961"/>
      <c r="Z25" s="982" t="s">
        <v>252</v>
      </c>
      <c r="AA25" s="989">
        <v>1</v>
      </c>
      <c r="AB25" s="982" t="s">
        <v>249</v>
      </c>
      <c r="AC25" s="985">
        <f>(AA25*(4/3))*AF30+(AA30*(AB28/R1))</f>
        <v>5.3137137573349078E-2</v>
      </c>
      <c r="AD25" s="14"/>
    </row>
    <row r="26" spans="18:32" x14ac:dyDescent="0.25">
      <c r="R26" s="1786" t="s">
        <v>296</v>
      </c>
      <c r="S26" s="1787"/>
      <c r="T26" s="1788"/>
      <c r="U26" s="1787"/>
      <c r="V26" s="956"/>
      <c r="W26" s="961"/>
      <c r="Z26" s="14"/>
      <c r="AA26" s="14"/>
      <c r="AB26" s="14"/>
      <c r="AC26" s="14"/>
      <c r="AD26" s="14"/>
    </row>
    <row r="27" spans="18:32" x14ac:dyDescent="0.25">
      <c r="R27" s="961" t="s">
        <v>254</v>
      </c>
      <c r="S27" s="962" t="s">
        <v>302</v>
      </c>
      <c r="T27" s="961" t="s">
        <v>256</v>
      </c>
      <c r="U27" s="962" t="s">
        <v>257</v>
      </c>
      <c r="V27" s="962" t="s">
        <v>746</v>
      </c>
      <c r="W27" s="961" t="s">
        <v>753</v>
      </c>
      <c r="Z27" s="982" t="s">
        <v>258</v>
      </c>
      <c r="AA27" s="984" t="s">
        <v>311</v>
      </c>
      <c r="AB27" s="982" t="s">
        <v>259</v>
      </c>
      <c r="AC27" s="982" t="s">
        <v>260</v>
      </c>
      <c r="AD27" s="982" t="s">
        <v>261</v>
      </c>
      <c r="AE27" s="984" t="s">
        <v>753</v>
      </c>
      <c r="AF27" s="982" t="s">
        <v>262</v>
      </c>
    </row>
    <row r="28" spans="18:32" x14ac:dyDescent="0.25">
      <c r="R28" s="961" t="s">
        <v>263</v>
      </c>
      <c r="S28" s="965">
        <f>$Z$1</f>
        <v>23110</v>
      </c>
      <c r="T28" s="964"/>
      <c r="U28" s="968">
        <f>S28</f>
        <v>23110</v>
      </c>
      <c r="V28" s="966">
        <f>SUM(AP5:AP13)</f>
        <v>5362.2425925925918</v>
      </c>
      <c r="W28" s="967">
        <f>H37</f>
        <v>4.8</v>
      </c>
      <c r="Z28" s="1086"/>
      <c r="AA28" s="987"/>
      <c r="AB28" s="985">
        <f>AA25*$S$40</f>
        <v>1</v>
      </c>
      <c r="AC28" s="985">
        <f>AA25-AB28</f>
        <v>0</v>
      </c>
      <c r="AD28" s="989">
        <f>AA25*(1/3)</f>
        <v>0.33333333333333331</v>
      </c>
      <c r="AE28" s="987"/>
      <c r="AF28" s="1088">
        <f>SUM(AB28:AD28)</f>
        <v>1.3333333333333333</v>
      </c>
    </row>
    <row r="29" spans="18:32" x14ac:dyDescent="0.25">
      <c r="R29" s="961" t="s">
        <v>264</v>
      </c>
      <c r="S29" s="968"/>
      <c r="T29" s="967">
        <f>S28*(1/3)</f>
        <v>7703.333333333333</v>
      </c>
      <c r="U29" s="963">
        <f>T29</f>
        <v>7703.333333333333</v>
      </c>
      <c r="V29" s="966"/>
      <c r="W29" s="967"/>
      <c r="Z29" s="1086"/>
      <c r="AA29" s="991"/>
      <c r="AB29" s="1089">
        <f>AB28/$AF$28</f>
        <v>0.75</v>
      </c>
      <c r="AC29" s="1089">
        <f>AC28/$AF$28</f>
        <v>0</v>
      </c>
      <c r="AD29" s="992">
        <f>AD28/AF28</f>
        <v>0.25</v>
      </c>
      <c r="AE29" s="991"/>
      <c r="AF29" s="1089">
        <f>AF28/$AF$28</f>
        <v>1</v>
      </c>
    </row>
    <row r="30" spans="18:32" x14ac:dyDescent="0.25">
      <c r="R30" s="961" t="s">
        <v>265</v>
      </c>
      <c r="S30" s="1119">
        <f>$AB$1</f>
        <v>1000</v>
      </c>
      <c r="T30" s="964">
        <f>S30*(1/3)</f>
        <v>333.33333333333331</v>
      </c>
      <c r="U30" s="968">
        <f>S30</f>
        <v>1000</v>
      </c>
      <c r="V30" s="972"/>
      <c r="W30" s="973"/>
      <c r="Z30" s="982" t="s">
        <v>266</v>
      </c>
      <c r="AA30" s="994">
        <f>V35/(S32/R1)</f>
        <v>9.1117381793616274E-4</v>
      </c>
      <c r="AB30" s="1090">
        <f>S35/(S32)</f>
        <v>4.7281323877068557E-2</v>
      </c>
      <c r="AC30" s="1088">
        <f>T35/T32</f>
        <v>1.2497518555555556E-2</v>
      </c>
      <c r="AD30" s="990">
        <f>T35/T32</f>
        <v>1.2497518555555556E-2</v>
      </c>
      <c r="AE30" s="995">
        <f>W35/U32</f>
        <v>1.9614417435037719E-6</v>
      </c>
      <c r="AF30" s="1121">
        <f>SUMPRODUCT(AB30:AD30,AB29:AD29)+(AE30)</f>
        <v>3.8587333988433808E-2</v>
      </c>
    </row>
    <row r="31" spans="18:32" x14ac:dyDescent="0.25">
      <c r="R31" s="961" t="s">
        <v>267</v>
      </c>
      <c r="S31" s="959"/>
      <c r="T31" s="967"/>
      <c r="U31" s="966"/>
      <c r="V31" s="966"/>
      <c r="W31" s="967"/>
      <c r="Z31" s="959"/>
      <c r="AA31" s="959"/>
      <c r="AB31" s="959">
        <f>AB30*AB28</f>
        <v>4.7281323877068557E-2</v>
      </c>
      <c r="AC31" s="959"/>
      <c r="AD31" s="959">
        <f>AD30*AD28</f>
        <v>4.1658395185185182E-3</v>
      </c>
      <c r="AE31" s="959"/>
      <c r="AF31" s="959"/>
    </row>
    <row r="32" spans="18:32" x14ac:dyDescent="0.25">
      <c r="R32" s="961" t="s">
        <v>257</v>
      </c>
      <c r="S32" s="966">
        <f>SUM(S28:S30)</f>
        <v>24110</v>
      </c>
      <c r="T32" s="967">
        <f>SUM(T28:T30)</f>
        <v>8036.6666666666661</v>
      </c>
      <c r="U32" s="966">
        <f>SUM(U28:U30)</f>
        <v>31813.333333333332</v>
      </c>
      <c r="V32" s="966"/>
      <c r="W32" s="967">
        <f>SUM(W28:W30)</f>
        <v>4.8</v>
      </c>
    </row>
    <row r="33" spans="2:23" ht="30" x14ac:dyDescent="0.25">
      <c r="B33" s="80"/>
      <c r="D33" s="830"/>
      <c r="E33" s="80"/>
      <c r="F33" s="80"/>
      <c r="H33" s="830"/>
      <c r="K33" s="830"/>
      <c r="L33" s="144"/>
      <c r="R33" s="976" t="s">
        <v>268</v>
      </c>
      <c r="S33" s="959"/>
      <c r="T33" s="960"/>
      <c r="U33" s="959"/>
      <c r="V33" s="959"/>
      <c r="W33" s="960"/>
    </row>
    <row r="34" spans="2:23" x14ac:dyDescent="0.25">
      <c r="B34" s="80"/>
      <c r="D34" s="830"/>
      <c r="E34" s="80"/>
      <c r="F34" s="80"/>
      <c r="H34" s="830"/>
      <c r="K34" s="830"/>
      <c r="L34" s="144"/>
      <c r="R34" s="961" t="s">
        <v>269</v>
      </c>
      <c r="S34" s="959"/>
      <c r="T34" s="967"/>
      <c r="U34" s="959"/>
      <c r="V34" s="959"/>
      <c r="W34" s="960"/>
    </row>
    <row r="35" spans="2:23" ht="15.75" x14ac:dyDescent="0.25">
      <c r="B35" s="1781" t="s">
        <v>618</v>
      </c>
      <c r="C35" s="1782"/>
      <c r="D35" s="1781"/>
      <c r="E35" s="1781"/>
      <c r="F35" s="1781"/>
      <c r="G35" s="1000"/>
      <c r="H35" s="1009"/>
      <c r="I35" s="1010"/>
      <c r="J35" s="1010"/>
      <c r="K35" s="1009"/>
      <c r="L35" s="1010"/>
      <c r="R35" s="977" t="s">
        <v>249</v>
      </c>
      <c r="S35" s="978">
        <f>$L$5</f>
        <v>1139.9527186761229</v>
      </c>
      <c r="T35" s="979">
        <f>SUM(L6:L11)</f>
        <v>100.43839079148147</v>
      </c>
      <c r="U35" s="978">
        <f>S35+T35+V35+W35</f>
        <v>1281.135733079532</v>
      </c>
      <c r="V35" s="978">
        <f>SUM(AT6:AT13)</f>
        <v>40.682223611927562</v>
      </c>
      <c r="W35" s="1120">
        <f>L37</f>
        <v>6.2399999999999997E-2</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30"/>
      <c r="T36" s="830"/>
      <c r="W36" s="830"/>
    </row>
    <row r="37" spans="2:23" x14ac:dyDescent="0.25">
      <c r="B37" s="1005" t="s">
        <v>677</v>
      </c>
      <c r="C37" s="1006" t="s">
        <v>14</v>
      </c>
      <c r="D37" s="1007">
        <v>0.03</v>
      </c>
      <c r="E37" s="1005">
        <f>$AD$1</f>
        <v>160</v>
      </c>
      <c r="F37" s="1005">
        <f>D37*E37</f>
        <v>4.8</v>
      </c>
      <c r="G37" s="437"/>
      <c r="H37" s="1005">
        <f>F37</f>
        <v>4.8</v>
      </c>
      <c r="I37" s="1005">
        <f>VLOOKUP(B37,All_Ingredients!$A$1:$F$161,6,FALSE())</f>
        <v>1</v>
      </c>
      <c r="J37" s="1005">
        <f>VLOOKUP(B37,All_Ingredients!$A$1:$J$161,10,FALSE())</f>
        <v>13</v>
      </c>
      <c r="K37" s="1005">
        <f>(H37/I37)/1000</f>
        <v>4.7999999999999996E-3</v>
      </c>
      <c r="L37" s="1005">
        <f t="shared" ref="L37" si="12">K37*J37</f>
        <v>6.2399999999999997E-2</v>
      </c>
      <c r="R37" s="830"/>
      <c r="T37" s="830"/>
      <c r="W37" s="830"/>
    </row>
    <row r="38" spans="2:23" x14ac:dyDescent="0.25">
      <c r="B38" s="80"/>
      <c r="D38" s="830"/>
      <c r="E38" s="80"/>
      <c r="F38" s="80"/>
      <c r="H38" s="830"/>
      <c r="K38" s="830"/>
      <c r="L38" s="144"/>
      <c r="R38" s="830"/>
      <c r="T38" s="830"/>
      <c r="W38" s="830"/>
    </row>
    <row r="39" spans="2:23" x14ac:dyDescent="0.25">
      <c r="B39" s="80"/>
      <c r="D39" s="830"/>
      <c r="E39" s="80"/>
      <c r="F39" s="80"/>
      <c r="H39" s="830"/>
      <c r="K39" s="830"/>
      <c r="L39" s="144"/>
      <c r="R39" s="830"/>
      <c r="T39" s="830"/>
      <c r="W39" s="830"/>
    </row>
    <row r="40" spans="2:23" ht="26.25" x14ac:dyDescent="0.25">
      <c r="B40" s="830"/>
      <c r="D40" s="830"/>
      <c r="E40" s="830"/>
      <c r="F40" s="830"/>
      <c r="H40" s="830"/>
      <c r="K40" s="830"/>
      <c r="L40" s="144"/>
      <c r="Q40" s="14"/>
      <c r="R40" s="1011" t="s">
        <v>270</v>
      </c>
      <c r="S40" s="1093">
        <v>1</v>
      </c>
      <c r="T40" s="1011" t="s">
        <v>271</v>
      </c>
      <c r="U40" s="1093">
        <v>0</v>
      </c>
      <c r="V40" s="1014">
        <f>S40+U40</f>
        <v>1</v>
      </c>
      <c r="W40" s="890"/>
    </row>
    <row r="41" spans="2:23" x14ac:dyDescent="0.25">
      <c r="B41" s="830"/>
      <c r="D41" s="830"/>
      <c r="E41" s="830"/>
      <c r="F41" s="830"/>
      <c r="H41" s="830"/>
      <c r="K41" s="830"/>
      <c r="L41" s="144"/>
      <c r="Q41" s="14"/>
      <c r="R41" s="890"/>
      <c r="S41" s="14"/>
      <c r="T41" s="890"/>
      <c r="U41" s="123"/>
      <c r="V41" s="14"/>
      <c r="W41" s="890"/>
    </row>
    <row r="42" spans="2:23" x14ac:dyDescent="0.25">
      <c r="B42" s="830"/>
      <c r="D42" s="830"/>
      <c r="E42" s="830"/>
      <c r="F42" s="830"/>
      <c r="H42" s="830"/>
      <c r="K42" s="830"/>
      <c r="L42" s="144"/>
      <c r="Q42" s="14"/>
      <c r="R42" s="890"/>
      <c r="S42" s="14"/>
      <c r="T42" s="890"/>
      <c r="U42" s="14"/>
      <c r="V42" s="14"/>
      <c r="W42" s="890"/>
    </row>
    <row r="43" spans="2:23" ht="26.25" x14ac:dyDescent="0.25">
      <c r="B43" s="830"/>
      <c r="D43" s="830"/>
      <c r="E43" s="830"/>
      <c r="F43" s="830"/>
      <c r="H43" s="830"/>
      <c r="K43" s="830"/>
      <c r="L43" s="144"/>
      <c r="Q43" s="1015" t="s">
        <v>272</v>
      </c>
      <c r="R43" s="1011" t="s">
        <v>273</v>
      </c>
      <c r="S43" s="1015" t="s">
        <v>274</v>
      </c>
      <c r="T43" s="1011" t="s">
        <v>275</v>
      </c>
      <c r="U43" s="1015" t="s">
        <v>276</v>
      </c>
      <c r="V43" s="1015" t="s">
        <v>277</v>
      </c>
      <c r="W43" s="1011" t="s">
        <v>278</v>
      </c>
    </row>
    <row r="44" spans="2:23" x14ac:dyDescent="0.25">
      <c r="B44" s="830"/>
      <c r="D44" s="830"/>
      <c r="E44" s="830"/>
      <c r="F44" s="830"/>
      <c r="H44" s="830"/>
      <c r="K44" s="830"/>
      <c r="L44" s="144"/>
      <c r="Q44" s="1023">
        <v>33334</v>
      </c>
      <c r="R44" s="1017">
        <f>D51</f>
        <v>10000</v>
      </c>
      <c r="S44" s="1024">
        <v>0</v>
      </c>
      <c r="T44" s="1025">
        <v>1</v>
      </c>
      <c r="U44" s="1096">
        <f>R44*S44</f>
        <v>0</v>
      </c>
      <c r="V44" s="1021">
        <f>R44*T44</f>
        <v>10000</v>
      </c>
      <c r="W44" s="1026">
        <f>Q44-U44</f>
        <v>33334</v>
      </c>
    </row>
    <row r="50" spans="1:12" x14ac:dyDescent="0.25">
      <c r="B50" s="961"/>
      <c r="C50" s="962" t="s">
        <v>233</v>
      </c>
      <c r="D50" s="961" t="s">
        <v>279</v>
      </c>
      <c r="E50" s="830"/>
      <c r="F50" s="80"/>
      <c r="G50" s="962" t="s">
        <v>280</v>
      </c>
      <c r="H50" s="961" t="s">
        <v>233</v>
      </c>
      <c r="I50" s="962" t="s">
        <v>281</v>
      </c>
      <c r="J50" s="962" t="s">
        <v>282</v>
      </c>
      <c r="K50" s="830"/>
      <c r="L50" s="144"/>
    </row>
    <row r="51" spans="1:12" x14ac:dyDescent="0.25">
      <c r="B51" s="1027" t="s">
        <v>283</v>
      </c>
      <c r="C51" s="1028">
        <f>10/$K$1</f>
        <v>10</v>
      </c>
      <c r="D51" s="1029">
        <f>$C$1*10</f>
        <v>10000</v>
      </c>
      <c r="E51" s="830"/>
      <c r="F51" s="80"/>
      <c r="G51" s="1033" t="s">
        <v>283</v>
      </c>
      <c r="H51" s="1122">
        <f>I51/$D$5</f>
        <v>10</v>
      </c>
      <c r="I51" s="1028">
        <f>J51/$R$1</f>
        <v>61729.629629629628</v>
      </c>
      <c r="J51" s="1028">
        <f>$W$44</f>
        <v>33334</v>
      </c>
      <c r="K51" s="830"/>
      <c r="L51" s="144"/>
    </row>
    <row r="52" spans="1:12" x14ac:dyDescent="0.25">
      <c r="B52" s="958" t="s">
        <v>262</v>
      </c>
      <c r="C52" s="1099">
        <f>$I$1</f>
        <v>8.0366666666666653</v>
      </c>
      <c r="D52" s="1100">
        <f>$E$1</f>
        <v>8036.6666666666661</v>
      </c>
      <c r="E52" s="830"/>
      <c r="F52" s="80"/>
      <c r="G52" s="962" t="s">
        <v>262</v>
      </c>
      <c r="H52" s="1052">
        <f>I52/$D$5</f>
        <v>7.2328553428931421</v>
      </c>
      <c r="I52" s="1021">
        <f>J52/$R$1</f>
        <v>44648.148148148146</v>
      </c>
      <c r="J52" s="1030">
        <f>$S$32</f>
        <v>24110</v>
      </c>
      <c r="K52" s="830"/>
    </row>
    <row r="53" spans="1:12" x14ac:dyDescent="0.25">
      <c r="B53" s="958" t="s">
        <v>284</v>
      </c>
      <c r="C53" s="1101">
        <f>MIN(C52, C51)</f>
        <v>8.0366666666666653</v>
      </c>
      <c r="D53" s="1100">
        <f>(C53*$K$1)*$C$1</f>
        <v>8036.6666666666652</v>
      </c>
      <c r="E53" s="830"/>
      <c r="F53" s="80"/>
      <c r="G53" s="962" t="s">
        <v>284</v>
      </c>
      <c r="H53" s="1035">
        <f>MIN(H52,H51)</f>
        <v>7.2328553428931421</v>
      </c>
      <c r="I53" s="1021">
        <f>J53/$R$1</f>
        <v>44648.148148148146</v>
      </c>
      <c r="J53" s="1021">
        <f>MIN(J52,J51)</f>
        <v>24110</v>
      </c>
      <c r="K53" s="830"/>
    </row>
    <row r="54" spans="1:12" x14ac:dyDescent="0.25">
      <c r="B54" s="958" t="s">
        <v>285</v>
      </c>
      <c r="C54" s="1101">
        <f>MIN(MAX(C52-C53,0),C51)</f>
        <v>0</v>
      </c>
      <c r="D54" s="1100">
        <f>(C54*$K$1)*$C$1</f>
        <v>0</v>
      </c>
      <c r="E54" s="830"/>
      <c r="F54" s="80"/>
      <c r="G54" s="962" t="s">
        <v>285</v>
      </c>
      <c r="H54" s="1035">
        <f>MIN(MAX(H52-H53),H51)</f>
        <v>0</v>
      </c>
      <c r="I54" s="1021">
        <f>J54/$R$1</f>
        <v>0</v>
      </c>
      <c r="J54" s="1021">
        <f>MIN(MAX(J52-J53),J51)</f>
        <v>0</v>
      </c>
      <c r="K54" s="830"/>
    </row>
    <row r="55" spans="1:12" x14ac:dyDescent="0.25">
      <c r="B55" s="958" t="s">
        <v>286</v>
      </c>
      <c r="C55" s="1101">
        <f>MIN(MAX(C52-C53-C54,0),C51)</f>
        <v>0</v>
      </c>
      <c r="D55" s="1100">
        <f>(C55*$K$1)*$C$1</f>
        <v>0</v>
      </c>
      <c r="E55" s="80"/>
      <c r="F55" s="80"/>
      <c r="G55" s="962" t="s">
        <v>286</v>
      </c>
      <c r="H55" s="1035">
        <f>MIN(MAX(H52-H53-H54),H51)</f>
        <v>0</v>
      </c>
      <c r="I55" s="1021">
        <f>J55/$R$1</f>
        <v>0</v>
      </c>
      <c r="J55" s="1021">
        <f>MIN(MAX(J52-J53-J54),J51)</f>
        <v>0</v>
      </c>
      <c r="K55" s="830"/>
    </row>
    <row r="56" spans="1:12" x14ac:dyDescent="0.25">
      <c r="B56" s="80"/>
      <c r="D56" s="830"/>
      <c r="E56" s="80"/>
      <c r="F56" s="80"/>
      <c r="H56" s="830"/>
      <c r="K56" s="830"/>
    </row>
    <row r="57" spans="1:12" ht="18" x14ac:dyDescent="0.25">
      <c r="B57" s="1108"/>
      <c r="C57" s="183"/>
      <c r="D57" s="1108"/>
      <c r="E57" s="1108"/>
      <c r="F57" s="1108"/>
      <c r="G57" s="183"/>
      <c r="H57" s="1108"/>
      <c r="I57" s="183"/>
      <c r="J57" s="183"/>
      <c r="K57" s="166"/>
    </row>
    <row r="58" spans="1:12" ht="18" x14ac:dyDescent="0.25">
      <c r="B58" s="1108"/>
      <c r="C58" s="183"/>
      <c r="D58" s="1108"/>
      <c r="E58" s="1108"/>
      <c r="F58" s="1108"/>
      <c r="G58" s="183"/>
      <c r="H58" s="1108"/>
      <c r="I58" s="183"/>
      <c r="J58" s="183"/>
      <c r="K58" s="166"/>
    </row>
    <row r="59" spans="1:12" x14ac:dyDescent="0.25">
      <c r="B59" s="830"/>
      <c r="D59" s="830"/>
      <c r="E59" s="830"/>
      <c r="F59" s="830"/>
      <c r="H59" s="830"/>
      <c r="K59" s="830"/>
    </row>
    <row r="60" spans="1:12" x14ac:dyDescent="0.25">
      <c r="B60" s="830"/>
      <c r="D60" s="830"/>
      <c r="E60" s="830"/>
      <c r="F60" s="830"/>
      <c r="H60" s="830"/>
      <c r="K60" s="830"/>
    </row>
    <row r="61" spans="1:12" x14ac:dyDescent="0.25">
      <c r="B61" s="830"/>
      <c r="D61" s="830"/>
      <c r="E61" s="830"/>
      <c r="F61" s="830"/>
      <c r="H61" s="830"/>
      <c r="K61" s="830"/>
    </row>
    <row r="62" spans="1:12" x14ac:dyDescent="0.25">
      <c r="A62" s="1124"/>
      <c r="B62" s="1776" t="str">
        <f>"بان فرايد فيش دفعة  1  / " &amp; COUNTIF($C$53:$C$55, "&gt;0")</f>
        <v>بان فرايد فيش دفعة  1  / 1</v>
      </c>
      <c r="C62" s="1777"/>
      <c r="D62" s="1778"/>
      <c r="E62" s="1778"/>
      <c r="F62" s="1778"/>
      <c r="G62" s="1777"/>
      <c r="H62" s="1778"/>
      <c r="K62" s="830"/>
    </row>
    <row r="63" spans="1:12" x14ac:dyDescent="0.25">
      <c r="A63" s="1124"/>
      <c r="B63" s="1776" t="str">
        <f>"Pan Fried Fish 1 / " &amp; COUNTIF($C$53:$C$55, "&gt;0")</f>
        <v>Pan Fried Fish 1 / 1</v>
      </c>
      <c r="C63" s="1777"/>
      <c r="D63" s="1778"/>
      <c r="E63" s="1778"/>
      <c r="F63" s="1778"/>
      <c r="G63" s="1777"/>
      <c r="H63" s="1778"/>
      <c r="K63" s="830"/>
    </row>
    <row r="64" spans="1:12" ht="38.25" x14ac:dyDescent="0.2">
      <c r="A64" s="933" t="s">
        <v>864</v>
      </c>
      <c r="B64" s="923" t="s">
        <v>241</v>
      </c>
      <c r="C64" s="934" t="s">
        <v>242</v>
      </c>
      <c r="D64" s="923" t="s">
        <v>231</v>
      </c>
      <c r="E64" s="935" t="s">
        <v>234</v>
      </c>
      <c r="F64" s="935" t="s">
        <v>243</v>
      </c>
      <c r="G64" s="923" t="s">
        <v>244</v>
      </c>
      <c r="H64" s="936" t="s">
        <v>245</v>
      </c>
      <c r="K64" s="830"/>
    </row>
    <row r="65" spans="1:11" x14ac:dyDescent="0.2">
      <c r="A65" s="937" t="s">
        <v>875</v>
      </c>
      <c r="B65" s="938" t="str">
        <f t="shared" ref="B65:D71" si="13">B5</f>
        <v>Fillet Fish - سمك فيليه</v>
      </c>
      <c r="C65" s="938" t="str">
        <f t="shared" si="13"/>
        <v>gm</v>
      </c>
      <c r="D65" s="1125">
        <f>D5</f>
        <v>6172.9629629629626</v>
      </c>
      <c r="E65" s="1116">
        <f>H53</f>
        <v>7.2328553428931421</v>
      </c>
      <c r="F65" s="948">
        <f t="shared" ref="F65:F71" si="14">F5</f>
        <v>1</v>
      </c>
      <c r="G65" s="944">
        <f t="shared" ref="G65:G71" si="15">D65*E65</f>
        <v>44648.148148148146</v>
      </c>
      <c r="H65" s="943">
        <f t="shared" ref="H65:H71" si="16">G65*F65</f>
        <v>44648.148148148146</v>
      </c>
      <c r="K65" s="830"/>
    </row>
    <row r="66" spans="1:11" x14ac:dyDescent="0.25">
      <c r="A66" s="1117" t="s">
        <v>868</v>
      </c>
      <c r="B66" s="938" t="str">
        <f t="shared" si="13"/>
        <v>Garlic - ثوم مقشر</v>
      </c>
      <c r="C66" s="938" t="str">
        <f t="shared" si="13"/>
        <v>gm</v>
      </c>
      <c r="D66" s="938">
        <f t="shared" si="13"/>
        <v>60</v>
      </c>
      <c r="E66" s="1126">
        <f t="shared" ref="E66:E71" si="17">$C$53</f>
        <v>8.0366666666666653</v>
      </c>
      <c r="F66" s="948">
        <f t="shared" si="14"/>
        <v>0.95</v>
      </c>
      <c r="G66" s="944">
        <f t="shared" si="15"/>
        <v>482.19999999999993</v>
      </c>
      <c r="H66" s="943">
        <f t="shared" si="16"/>
        <v>458.08999999999992</v>
      </c>
      <c r="K66" s="830"/>
    </row>
    <row r="67" spans="1:11" x14ac:dyDescent="0.25">
      <c r="A67" s="1117"/>
      <c r="B67" s="938" t="str">
        <f t="shared" si="13"/>
        <v>Balsamic Vinegar - خل بلسميك</v>
      </c>
      <c r="C67" s="938" t="str">
        <f t="shared" si="13"/>
        <v>ml</v>
      </c>
      <c r="D67" s="938">
        <f t="shared" si="13"/>
        <v>10</v>
      </c>
      <c r="E67" s="1126">
        <f t="shared" si="17"/>
        <v>8.0366666666666653</v>
      </c>
      <c r="F67" s="948">
        <f t="shared" si="14"/>
        <v>0.95</v>
      </c>
      <c r="G67" s="944">
        <f t="shared" si="15"/>
        <v>80.366666666666646</v>
      </c>
      <c r="H67" s="943">
        <f t="shared" si="16"/>
        <v>76.348333333333315</v>
      </c>
      <c r="K67" s="830"/>
    </row>
    <row r="68" spans="1:11" x14ac:dyDescent="0.25">
      <c r="A68" s="1117"/>
      <c r="B68" s="938" t="str">
        <f t="shared" si="13"/>
        <v>Coconut Milk - حليب جوز الهند</v>
      </c>
      <c r="C68" s="938" t="str">
        <f t="shared" si="13"/>
        <v>ml</v>
      </c>
      <c r="D68" s="938">
        <f t="shared" si="13"/>
        <v>1200</v>
      </c>
      <c r="E68" s="1126">
        <f t="shared" si="17"/>
        <v>8.0366666666666653</v>
      </c>
      <c r="F68" s="948">
        <f t="shared" si="14"/>
        <v>0.95</v>
      </c>
      <c r="G68" s="944">
        <f t="shared" si="15"/>
        <v>9643.9999999999982</v>
      </c>
      <c r="H68" s="943">
        <f t="shared" si="16"/>
        <v>9161.7999999999975</v>
      </c>
      <c r="K68" s="830"/>
    </row>
    <row r="69" spans="1:11" x14ac:dyDescent="0.25">
      <c r="A69" s="1117"/>
      <c r="B69" s="938" t="str">
        <f t="shared" si="13"/>
        <v>White Pepper - فلفل أبيض</v>
      </c>
      <c r="C69" s="938" t="str">
        <f t="shared" si="13"/>
        <v>gm</v>
      </c>
      <c r="D69" s="938">
        <f t="shared" si="13"/>
        <v>3</v>
      </c>
      <c r="E69" s="1126">
        <f t="shared" si="17"/>
        <v>8.0366666666666653</v>
      </c>
      <c r="F69" s="948">
        <f t="shared" si="14"/>
        <v>0.95</v>
      </c>
      <c r="G69" s="944">
        <f t="shared" si="15"/>
        <v>24.109999999999996</v>
      </c>
      <c r="H69" s="943">
        <f t="shared" si="16"/>
        <v>22.904499999999995</v>
      </c>
      <c r="K69" s="830"/>
    </row>
    <row r="70" spans="1:11" x14ac:dyDescent="0.25">
      <c r="A70" s="1117"/>
      <c r="B70" s="938" t="str">
        <f t="shared" si="13"/>
        <v>Salt - ملح</v>
      </c>
      <c r="C70" s="938" t="str">
        <f t="shared" si="13"/>
        <v>gm</v>
      </c>
      <c r="D70" s="938">
        <f t="shared" si="13"/>
        <v>11</v>
      </c>
      <c r="E70" s="1126">
        <f t="shared" si="17"/>
        <v>8.0366666666666653</v>
      </c>
      <c r="F70" s="948">
        <f t="shared" si="14"/>
        <v>0.95</v>
      </c>
      <c r="G70" s="944">
        <f t="shared" si="15"/>
        <v>88.403333333333322</v>
      </c>
      <c r="H70" s="943">
        <f t="shared" si="16"/>
        <v>83.983166666666648</v>
      </c>
      <c r="K70" s="830"/>
    </row>
    <row r="71" spans="1:11" x14ac:dyDescent="0.25">
      <c r="A71" s="1117"/>
      <c r="B71" s="938" t="str">
        <f t="shared" si="13"/>
        <v>Corn Starch - نشا ذرة</v>
      </c>
      <c r="C71" s="938" t="str">
        <f t="shared" si="13"/>
        <v>gm</v>
      </c>
      <c r="D71" s="938">
        <f t="shared" si="13"/>
        <v>80</v>
      </c>
      <c r="E71" s="1126">
        <f t="shared" si="17"/>
        <v>8.0366666666666653</v>
      </c>
      <c r="F71" s="948">
        <f t="shared" si="14"/>
        <v>1</v>
      </c>
      <c r="G71" s="944">
        <f t="shared" si="15"/>
        <v>642.93333333333317</v>
      </c>
      <c r="H71" s="943">
        <f t="shared" si="16"/>
        <v>642.93333333333317</v>
      </c>
      <c r="K71" s="830"/>
    </row>
    <row r="72" spans="1:11" ht="18" x14ac:dyDescent="0.25">
      <c r="A72" s="1070"/>
      <c r="B72" s="1041" t="s">
        <v>287</v>
      </c>
      <c r="C72" s="1042" t="s">
        <v>273</v>
      </c>
      <c r="D72" s="1043"/>
      <c r="E72" s="1044" t="s">
        <v>288</v>
      </c>
      <c r="F72" s="1043"/>
      <c r="G72" s="1045" t="s">
        <v>264</v>
      </c>
      <c r="H72" s="1046" t="s">
        <v>661</v>
      </c>
      <c r="K72" s="830"/>
    </row>
    <row r="73" spans="1:11" ht="20.25" x14ac:dyDescent="0.3">
      <c r="A73" s="1070"/>
      <c r="B73" s="1047">
        <f>$J$53</f>
        <v>24110</v>
      </c>
      <c r="C73" s="1048">
        <f>E73+G73</f>
        <v>8036.6666666666652</v>
      </c>
      <c r="D73" s="1049"/>
      <c r="E73" s="1047">
        <f>$D$53*$S$44</f>
        <v>0</v>
      </c>
      <c r="F73" s="1050"/>
      <c r="G73" s="1048">
        <f>$D$53*$T$44</f>
        <v>8036.6666666666652</v>
      </c>
      <c r="H73" s="1047">
        <f>B73+E73</f>
        <v>24110</v>
      </c>
      <c r="K73" s="830"/>
    </row>
    <row r="74" spans="1:11" x14ac:dyDescent="0.25">
      <c r="B74" s="830"/>
      <c r="D74" s="830"/>
      <c r="E74" s="80"/>
      <c r="F74" s="830"/>
      <c r="H74" s="830"/>
      <c r="K74" s="830"/>
    </row>
    <row r="75" spans="1:11" x14ac:dyDescent="0.25">
      <c r="A75" s="1124"/>
      <c r="B75" s="1776" t="str">
        <f>"بان فرايد فيش دفعة  2  / " &amp; COUNTIF($C$53:$C$55, "&gt;0")</f>
        <v>بان فرايد فيش دفعة  2  / 1</v>
      </c>
      <c r="C75" s="1777"/>
      <c r="D75" s="1778"/>
      <c r="E75" s="1778"/>
      <c r="F75" s="1778"/>
      <c r="G75" s="1777"/>
      <c r="H75" s="1778"/>
      <c r="K75" s="830"/>
    </row>
    <row r="76" spans="1:11" x14ac:dyDescent="0.25">
      <c r="A76" s="1124"/>
      <c r="B76" s="1776" t="str">
        <f>"Pan Fried Fish 2 / " &amp; COUNTIF($C$53:$C$55, "&gt;0")</f>
        <v>Pan Fried Fish 2 / 1</v>
      </c>
      <c r="C76" s="1777"/>
      <c r="D76" s="1778"/>
      <c r="E76" s="1778"/>
      <c r="F76" s="1778"/>
      <c r="G76" s="1777"/>
      <c r="H76" s="1778"/>
      <c r="K76" s="830"/>
    </row>
    <row r="77" spans="1:11" ht="38.25" x14ac:dyDescent="0.2">
      <c r="A77" s="933" t="s">
        <v>864</v>
      </c>
      <c r="B77" s="923" t="s">
        <v>241</v>
      </c>
      <c r="C77" s="934" t="s">
        <v>242</v>
      </c>
      <c r="D77" s="923" t="s">
        <v>231</v>
      </c>
      <c r="E77" s="935" t="s">
        <v>234</v>
      </c>
      <c r="F77" s="935" t="s">
        <v>243</v>
      </c>
      <c r="G77" s="923" t="s">
        <v>244</v>
      </c>
      <c r="H77" s="936" t="s">
        <v>245</v>
      </c>
      <c r="K77" s="830"/>
    </row>
    <row r="78" spans="1:11" x14ac:dyDescent="0.2">
      <c r="A78" s="937" t="s">
        <v>875</v>
      </c>
      <c r="B78" s="938" t="str">
        <f t="shared" ref="B78:D84" si="18">B5</f>
        <v>Fillet Fish - سمك فيليه</v>
      </c>
      <c r="C78" s="938" t="str">
        <f t="shared" si="18"/>
        <v>gm</v>
      </c>
      <c r="D78" s="1127">
        <f t="shared" si="18"/>
        <v>6172.9629629629626</v>
      </c>
      <c r="E78" s="1116">
        <f>H54</f>
        <v>0</v>
      </c>
      <c r="F78" s="948">
        <f>F5</f>
        <v>1</v>
      </c>
      <c r="G78" s="944">
        <f t="shared" ref="G78:G84" si="19">D78*E78</f>
        <v>0</v>
      </c>
      <c r="H78" s="943">
        <f t="shared" ref="H78:H84" si="20">G78*F78</f>
        <v>0</v>
      </c>
      <c r="K78" s="830"/>
    </row>
    <row r="79" spans="1:11" x14ac:dyDescent="0.25">
      <c r="A79" s="1117" t="s">
        <v>868</v>
      </c>
      <c r="B79" s="938" t="str">
        <f t="shared" si="18"/>
        <v>Garlic - ثوم مقشر</v>
      </c>
      <c r="C79" s="938" t="str">
        <f t="shared" si="18"/>
        <v>gm</v>
      </c>
      <c r="D79" s="938">
        <f t="shared" si="18"/>
        <v>60</v>
      </c>
      <c r="E79" s="1126">
        <f t="shared" ref="E79:E84" si="21">$C$54</f>
        <v>0</v>
      </c>
      <c r="F79" s="948">
        <f t="shared" ref="F79:F84" si="22">F6</f>
        <v>0.95</v>
      </c>
      <c r="G79" s="944">
        <f t="shared" si="19"/>
        <v>0</v>
      </c>
      <c r="H79" s="943">
        <f t="shared" si="20"/>
        <v>0</v>
      </c>
      <c r="K79" s="830"/>
    </row>
    <row r="80" spans="1:11" x14ac:dyDescent="0.25">
      <c r="A80" s="1117"/>
      <c r="B80" s="938" t="str">
        <f t="shared" si="18"/>
        <v>Balsamic Vinegar - خل بلسميك</v>
      </c>
      <c r="C80" s="938" t="str">
        <f t="shared" si="18"/>
        <v>ml</v>
      </c>
      <c r="D80" s="938">
        <f t="shared" si="18"/>
        <v>10</v>
      </c>
      <c r="E80" s="1126">
        <f t="shared" si="21"/>
        <v>0</v>
      </c>
      <c r="F80" s="948">
        <f t="shared" si="22"/>
        <v>0.95</v>
      </c>
      <c r="G80" s="944">
        <f t="shared" si="19"/>
        <v>0</v>
      </c>
      <c r="H80" s="943">
        <f t="shared" si="20"/>
        <v>0</v>
      </c>
      <c r="K80" s="830"/>
    </row>
    <row r="81" spans="1:8" x14ac:dyDescent="0.25">
      <c r="A81" s="1117"/>
      <c r="B81" s="938" t="str">
        <f t="shared" si="18"/>
        <v>Coconut Milk - حليب جوز الهند</v>
      </c>
      <c r="C81" s="938" t="str">
        <f t="shared" si="18"/>
        <v>ml</v>
      </c>
      <c r="D81" s="938">
        <f t="shared" si="18"/>
        <v>1200</v>
      </c>
      <c r="E81" s="1126">
        <f t="shared" si="21"/>
        <v>0</v>
      </c>
      <c r="F81" s="948">
        <f t="shared" si="22"/>
        <v>0.95</v>
      </c>
      <c r="G81" s="944">
        <f t="shared" si="19"/>
        <v>0</v>
      </c>
      <c r="H81" s="943">
        <f t="shared" si="20"/>
        <v>0</v>
      </c>
    </row>
    <row r="82" spans="1:8" x14ac:dyDescent="0.25">
      <c r="A82" s="1117"/>
      <c r="B82" s="938" t="str">
        <f t="shared" si="18"/>
        <v>White Pepper - فلفل أبيض</v>
      </c>
      <c r="C82" s="938" t="str">
        <f t="shared" si="18"/>
        <v>gm</v>
      </c>
      <c r="D82" s="938">
        <f t="shared" si="18"/>
        <v>3</v>
      </c>
      <c r="E82" s="1126">
        <f t="shared" si="21"/>
        <v>0</v>
      </c>
      <c r="F82" s="948">
        <f t="shared" si="22"/>
        <v>0.95</v>
      </c>
      <c r="G82" s="944">
        <f t="shared" si="19"/>
        <v>0</v>
      </c>
      <c r="H82" s="943">
        <f t="shared" si="20"/>
        <v>0</v>
      </c>
    </row>
    <row r="83" spans="1:8" x14ac:dyDescent="0.25">
      <c r="A83" s="1117"/>
      <c r="B83" s="938" t="str">
        <f t="shared" si="18"/>
        <v>Salt - ملح</v>
      </c>
      <c r="C83" s="938" t="str">
        <f t="shared" si="18"/>
        <v>gm</v>
      </c>
      <c r="D83" s="938">
        <f t="shared" si="18"/>
        <v>11</v>
      </c>
      <c r="E83" s="1126">
        <f t="shared" si="21"/>
        <v>0</v>
      </c>
      <c r="F83" s="948">
        <f t="shared" si="22"/>
        <v>0.95</v>
      </c>
      <c r="G83" s="944">
        <f t="shared" si="19"/>
        <v>0</v>
      </c>
      <c r="H83" s="943">
        <f t="shared" si="20"/>
        <v>0</v>
      </c>
    </row>
    <row r="84" spans="1:8" x14ac:dyDescent="0.25">
      <c r="A84" s="1117"/>
      <c r="B84" s="938" t="str">
        <f t="shared" si="18"/>
        <v>Corn Starch - نشا ذرة</v>
      </c>
      <c r="C84" s="938" t="str">
        <f t="shared" si="18"/>
        <v>gm</v>
      </c>
      <c r="D84" s="938">
        <f t="shared" si="18"/>
        <v>80</v>
      </c>
      <c r="E84" s="1126">
        <f t="shared" si="21"/>
        <v>0</v>
      </c>
      <c r="F84" s="948">
        <f t="shared" si="22"/>
        <v>1</v>
      </c>
      <c r="G84" s="944">
        <f t="shared" si="19"/>
        <v>0</v>
      </c>
      <c r="H84" s="943">
        <f t="shared" si="20"/>
        <v>0</v>
      </c>
    </row>
    <row r="85" spans="1:8" ht="18" x14ac:dyDescent="0.25">
      <c r="A85" s="1070"/>
      <c r="B85" s="1041" t="s">
        <v>287</v>
      </c>
      <c r="C85" s="1042" t="s">
        <v>273</v>
      </c>
      <c r="D85" s="1043"/>
      <c r="E85" s="1044" t="s">
        <v>288</v>
      </c>
      <c r="F85" s="1043"/>
      <c r="G85" s="1045" t="s">
        <v>264</v>
      </c>
      <c r="H85" s="1046" t="s">
        <v>661</v>
      </c>
    </row>
    <row r="86" spans="1:8" ht="20.25" x14ac:dyDescent="0.3">
      <c r="A86" s="1070"/>
      <c r="B86" s="1047">
        <f>$J$54</f>
        <v>0</v>
      </c>
      <c r="C86" s="1048">
        <f>E86+G86</f>
        <v>0</v>
      </c>
      <c r="D86" s="1049"/>
      <c r="E86" s="1047">
        <f>$D$54*$S$44</f>
        <v>0</v>
      </c>
      <c r="F86" s="1050"/>
      <c r="G86" s="1048">
        <f>$D$54*$T$44</f>
        <v>0</v>
      </c>
      <c r="H86" s="1047">
        <f>B86+E86</f>
        <v>0</v>
      </c>
    </row>
  </sheetData>
  <mergeCells count="10">
    <mergeCell ref="B75:H75"/>
    <mergeCell ref="B76:H76"/>
    <mergeCell ref="AK2:AM2"/>
    <mergeCell ref="B63:H63"/>
    <mergeCell ref="AE2:AG3"/>
    <mergeCell ref="R26:U26"/>
    <mergeCell ref="B62:H62"/>
    <mergeCell ref="R25:U25"/>
    <mergeCell ref="F2:F3"/>
    <mergeCell ref="B35:F35"/>
  </mergeCells>
  <printOptions horizontalCentered="1"/>
  <pageMargins left="0.4" right="0.4" top="1" bottom="0.5" header="0.3" footer="0.511811023622047"/>
  <pageSetup paperSize="9" scale="41"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50"/>
    <pageSetUpPr fitToPage="1"/>
  </sheetPr>
  <dimension ref="A1:AG90"/>
  <sheetViews>
    <sheetView topLeftCell="A40" zoomScale="55" zoomScaleNormal="55" workbookViewId="0">
      <selection activeCell="A64" sqref="A64:A88"/>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4.375" style="14" customWidth="1"/>
    <col min="15" max="15" width="18.625" style="14" customWidth="1"/>
    <col min="16" max="16" width="8.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31.5" style="14" customWidth="1"/>
    <col min="25" max="25" width="8.625" style="14" customWidth="1"/>
    <col min="26" max="28" width="12.625" style="14" customWidth="1"/>
    <col min="29" max="29" width="18.625" style="14" customWidth="1"/>
    <col min="30" max="30" width="12.625" style="14" customWidth="1"/>
    <col min="31" max="31" width="8.625" style="14" customWidth="1"/>
    <col min="32" max="16384" width="12.5" style="14"/>
  </cols>
  <sheetData>
    <row r="1" spans="1:33" s="168" customFormat="1" ht="25.5" x14ac:dyDescent="0.2">
      <c r="A1" s="865"/>
      <c r="B1" s="913" t="s">
        <v>231</v>
      </c>
      <c r="C1" s="914">
        <v>1000</v>
      </c>
      <c r="D1" s="915" t="s">
        <v>232</v>
      </c>
      <c r="E1" s="941">
        <f>T32</f>
        <v>3754.6153846153884</v>
      </c>
      <c r="F1" s="913" t="s">
        <v>233</v>
      </c>
      <c r="G1" s="1040">
        <f>E1/C1</f>
        <v>3.7546153846153882</v>
      </c>
      <c r="H1" s="913" t="s">
        <v>234</v>
      </c>
      <c r="I1" s="1040">
        <f>(G1/K1)</f>
        <v>3.7546153846153882</v>
      </c>
      <c r="J1" s="919" t="s">
        <v>235</v>
      </c>
      <c r="K1" s="944">
        <v>1</v>
      </c>
      <c r="L1" s="73"/>
      <c r="M1" s="148"/>
      <c r="N1" s="1064"/>
      <c r="O1" s="923" t="s">
        <v>236</v>
      </c>
      <c r="P1" s="914" t="s">
        <v>289</v>
      </c>
      <c r="Q1" s="924" t="s">
        <v>238</v>
      </c>
      <c r="R1" s="914">
        <v>0.51</v>
      </c>
      <c r="S1" s="73"/>
      <c r="T1" s="73"/>
      <c r="W1" s="1129"/>
      <c r="Y1" s="923" t="s">
        <v>444</v>
      </c>
      <c r="Z1" s="925">
        <v>16270</v>
      </c>
      <c r="AA1" s="923" t="s">
        <v>544</v>
      </c>
      <c r="AB1" s="925">
        <v>0</v>
      </c>
      <c r="AC1" s="923" t="s">
        <v>537</v>
      </c>
      <c r="AD1" s="925">
        <v>112</v>
      </c>
      <c r="AF1" s="170"/>
      <c r="AG1" s="73"/>
    </row>
    <row r="2" spans="1:33" ht="15.75" x14ac:dyDescent="0.25">
      <c r="A2" s="863"/>
      <c r="B2" s="1784" t="s">
        <v>294</v>
      </c>
      <c r="C2" s="1797"/>
      <c r="D2" s="1798"/>
      <c r="E2" s="1798"/>
      <c r="F2" s="1798"/>
      <c r="G2" s="1797"/>
      <c r="H2" s="1798"/>
      <c r="I2" s="1797"/>
      <c r="J2" s="1797"/>
      <c r="K2" s="1784"/>
      <c r="L2" s="78"/>
      <c r="M2" s="79"/>
      <c r="N2" s="79"/>
      <c r="O2" s="80"/>
      <c r="P2" s="80"/>
      <c r="Q2" s="80"/>
      <c r="R2" s="80"/>
      <c r="S2" s="80"/>
      <c r="T2" s="80"/>
      <c r="U2" s="80"/>
      <c r="W2" s="890"/>
      <c r="AE2" s="1795"/>
      <c r="AF2" s="1799"/>
      <c r="AG2" s="1799"/>
    </row>
    <row r="3" spans="1:33" ht="15.75" x14ac:dyDescent="0.25">
      <c r="A3" s="863"/>
      <c r="B3" s="1785"/>
      <c r="C3" s="1796"/>
      <c r="D3" s="1785"/>
      <c r="E3" s="1785"/>
      <c r="F3" s="1785"/>
      <c r="G3" s="1796"/>
      <c r="H3" s="1785"/>
      <c r="I3" s="1796"/>
      <c r="J3" s="1796"/>
      <c r="K3" s="1785"/>
      <c r="L3" s="78"/>
      <c r="M3" s="79"/>
      <c r="N3" s="79"/>
      <c r="O3" s="80"/>
      <c r="P3" s="80"/>
      <c r="Q3" s="80"/>
      <c r="R3" s="80"/>
      <c r="S3" s="80"/>
      <c r="T3" s="80"/>
      <c r="U3" s="80"/>
      <c r="W3" s="890"/>
      <c r="AE3" s="1799"/>
      <c r="AF3" s="1799"/>
      <c r="AG3" s="1799"/>
    </row>
    <row r="4" spans="1:33" ht="38.25" x14ac:dyDescent="0.2">
      <c r="A4" s="933" t="s">
        <v>864</v>
      </c>
      <c r="B4" s="923" t="s">
        <v>241</v>
      </c>
      <c r="C4" s="934" t="s">
        <v>242</v>
      </c>
      <c r="D4" s="923" t="s">
        <v>231</v>
      </c>
      <c r="E4" s="935" t="s">
        <v>234</v>
      </c>
      <c r="F4" s="935" t="s">
        <v>243</v>
      </c>
      <c r="G4" s="923" t="s">
        <v>244</v>
      </c>
      <c r="H4" s="936" t="s">
        <v>245</v>
      </c>
      <c r="I4" s="923" t="s">
        <v>246</v>
      </c>
      <c r="J4" s="923" t="s">
        <v>247</v>
      </c>
      <c r="K4" s="923" t="s">
        <v>248</v>
      </c>
      <c r="L4" s="923" t="s">
        <v>249</v>
      </c>
      <c r="M4" s="80"/>
      <c r="N4" s="80"/>
      <c r="O4" s="80"/>
      <c r="P4" s="80"/>
      <c r="Q4" s="80"/>
      <c r="R4" s="80"/>
      <c r="S4" s="80"/>
      <c r="T4" s="890"/>
      <c r="W4" s="890"/>
      <c r="AA4" s="169"/>
      <c r="AB4" s="171"/>
      <c r="AE4" s="169"/>
    </row>
    <row r="5" spans="1:33" ht="28.5" x14ac:dyDescent="0.2">
      <c r="A5" s="937" t="s">
        <v>873</v>
      </c>
      <c r="B5" s="1130" t="s">
        <v>223</v>
      </c>
      <c r="C5" s="947" t="s">
        <v>14</v>
      </c>
      <c r="D5" s="944">
        <f>I51/10</f>
        <v>6536.0784313725489</v>
      </c>
      <c r="E5" s="944">
        <f>H52</f>
        <v>3.7545402938095074</v>
      </c>
      <c r="F5" s="948">
        <v>1</v>
      </c>
      <c r="G5" s="944">
        <f t="shared" ref="G5:G27" si="0">D5*E5</f>
        <v>24539.969834087475</v>
      </c>
      <c r="H5" s="943">
        <f t="shared" ref="H5:H27" si="1">G5*F5</f>
        <v>24539.969834087475</v>
      </c>
      <c r="I5" s="914">
        <f>VLOOKUP(B5,All_Ingredients!$A$1:$F$161,6,FALSE())</f>
        <v>0.55000000000000004</v>
      </c>
      <c r="J5" s="940">
        <f>VLOOKUP(B5,All_Ingredients!$A$1:$J$161,10,FALSE())</f>
        <v>14.361111111111111</v>
      </c>
      <c r="K5" s="945">
        <f t="shared" ref="K5" si="2">(H5/I5)/1000</f>
        <v>44.618126971068129</v>
      </c>
      <c r="L5" s="945">
        <f t="shared" ref="L5" si="3">K5*J5</f>
        <v>640.76587900117283</v>
      </c>
      <c r="M5" s="80"/>
      <c r="N5" s="80"/>
      <c r="O5" s="80"/>
      <c r="P5" s="80"/>
      <c r="Q5" s="80"/>
      <c r="R5" s="80"/>
      <c r="S5" s="80"/>
      <c r="T5" s="890"/>
      <c r="W5" s="890"/>
      <c r="AA5" s="73"/>
      <c r="AB5" s="89"/>
      <c r="AE5" s="91"/>
    </row>
    <row r="6" spans="1:33" x14ac:dyDescent="0.25">
      <c r="A6" s="949" t="s">
        <v>866</v>
      </c>
      <c r="B6" s="1131" t="s">
        <v>12</v>
      </c>
      <c r="C6" s="947" t="s">
        <v>14</v>
      </c>
      <c r="D6" s="914">
        <v>150</v>
      </c>
      <c r="E6" s="944">
        <f t="shared" ref="E6:E28" si="4">$I$1</f>
        <v>3.7546153846153882</v>
      </c>
      <c r="F6" s="948">
        <v>0.95</v>
      </c>
      <c r="G6" s="944">
        <f t="shared" si="0"/>
        <v>563.19230769230819</v>
      </c>
      <c r="H6" s="943">
        <f t="shared" si="1"/>
        <v>535.03269230769274</v>
      </c>
      <c r="I6" s="914">
        <f>VLOOKUP(B6,All_Ingredients!$A$1:$F$161,6,FALSE())</f>
        <v>0.9</v>
      </c>
      <c r="J6" s="940">
        <f>VLOOKUP(B6,All_Ingredients!$A$1:$J$161,10,FALSE())</f>
        <v>3</v>
      </c>
      <c r="K6" s="945">
        <f t="shared" ref="K6:K27" si="5">(H6/I6)/1000</f>
        <v>0.59448076923076976</v>
      </c>
      <c r="L6" s="945">
        <f t="shared" ref="L6:L27" si="6">K6*J6</f>
        <v>1.7834423076923094</v>
      </c>
      <c r="R6" s="890"/>
      <c r="T6" s="890"/>
      <c r="W6" s="890"/>
    </row>
    <row r="7" spans="1:33" x14ac:dyDescent="0.25">
      <c r="A7" s="949" t="s">
        <v>880</v>
      </c>
      <c r="B7" s="1131" t="s">
        <v>32</v>
      </c>
      <c r="C7" s="947" t="s">
        <v>14</v>
      </c>
      <c r="D7" s="914">
        <v>300</v>
      </c>
      <c r="E7" s="944">
        <f t="shared" si="4"/>
        <v>3.7546153846153882</v>
      </c>
      <c r="F7" s="948">
        <v>0.95</v>
      </c>
      <c r="G7" s="944">
        <f t="shared" si="0"/>
        <v>1126.3846153846164</v>
      </c>
      <c r="H7" s="943">
        <f t="shared" si="1"/>
        <v>1070.0653846153855</v>
      </c>
      <c r="I7" s="914">
        <f>VLOOKUP(B7,All_Ingredients!$A$1:$F$161,6,FALSE())</f>
        <v>0.69</v>
      </c>
      <c r="J7" s="940">
        <f>VLOOKUP(B7,All_Ingredients!$A$1:$J$161,10,FALSE())</f>
        <v>4</v>
      </c>
      <c r="K7" s="945">
        <f t="shared" si="5"/>
        <v>1.5508193979933123</v>
      </c>
      <c r="L7" s="945">
        <f t="shared" si="6"/>
        <v>6.203277591973249</v>
      </c>
      <c r="R7" s="890"/>
      <c r="T7" s="890"/>
      <c r="W7" s="890"/>
    </row>
    <row r="8" spans="1:33" x14ac:dyDescent="0.25">
      <c r="A8" s="949" t="s">
        <v>867</v>
      </c>
      <c r="B8" s="1131" t="s">
        <v>54</v>
      </c>
      <c r="C8" s="947" t="s">
        <v>14</v>
      </c>
      <c r="D8" s="914">
        <v>50</v>
      </c>
      <c r="E8" s="944">
        <f t="shared" si="4"/>
        <v>3.7546153846153882</v>
      </c>
      <c r="F8" s="948">
        <v>1</v>
      </c>
      <c r="G8" s="944">
        <f t="shared" si="0"/>
        <v>187.73076923076943</v>
      </c>
      <c r="H8" s="943">
        <f t="shared" si="1"/>
        <v>187.73076923076943</v>
      </c>
      <c r="I8" s="914">
        <f>VLOOKUP(B8,All_Ingredients!$A$1:$F$161,6,FALSE())</f>
        <v>0.87</v>
      </c>
      <c r="J8" s="940">
        <f>VLOOKUP(B8,All_Ingredients!$A$1:$J$161,10,FALSE())</f>
        <v>7</v>
      </c>
      <c r="K8" s="945">
        <f t="shared" si="5"/>
        <v>0.21578249336870051</v>
      </c>
      <c r="L8" s="945">
        <f t="shared" si="6"/>
        <v>1.5104774535809036</v>
      </c>
      <c r="R8" s="890"/>
      <c r="T8" s="890"/>
      <c r="W8" s="890"/>
    </row>
    <row r="9" spans="1:33" x14ac:dyDescent="0.25">
      <c r="A9" s="949" t="s">
        <v>868</v>
      </c>
      <c r="B9" s="1131" t="s">
        <v>706</v>
      </c>
      <c r="C9" s="947" t="s">
        <v>14</v>
      </c>
      <c r="D9" s="914">
        <v>50</v>
      </c>
      <c r="E9" s="944">
        <f t="shared" si="4"/>
        <v>3.7546153846153882</v>
      </c>
      <c r="F9" s="948">
        <v>1</v>
      </c>
      <c r="G9" s="944">
        <f t="shared" si="0"/>
        <v>187.73076923076943</v>
      </c>
      <c r="H9" s="943">
        <f t="shared" si="1"/>
        <v>187.73076923076943</v>
      </c>
      <c r="I9" s="914">
        <f>VLOOKUP(B9,All_Ingredients!$A$1:$F$161,6,FALSE())</f>
        <v>1</v>
      </c>
      <c r="J9" s="940">
        <f>VLOOKUP(B9,All_Ingredients!$A$1:$J$161,10,FALSE())</f>
        <v>10.5</v>
      </c>
      <c r="K9" s="945">
        <f t="shared" si="5"/>
        <v>0.18773076923076942</v>
      </c>
      <c r="L9" s="945">
        <f t="shared" si="6"/>
        <v>1.9711730769230789</v>
      </c>
      <c r="R9" s="890"/>
      <c r="T9" s="890"/>
      <c r="W9" s="890"/>
    </row>
    <row r="10" spans="1:33" x14ac:dyDescent="0.25">
      <c r="A10" s="949"/>
      <c r="B10" s="1131" t="s">
        <v>192</v>
      </c>
      <c r="C10" s="947" t="s">
        <v>160</v>
      </c>
      <c r="D10" s="914">
        <v>50</v>
      </c>
      <c r="E10" s="944">
        <f t="shared" si="4"/>
        <v>3.7546153846153882</v>
      </c>
      <c r="F10" s="948">
        <v>0.75</v>
      </c>
      <c r="G10" s="944">
        <f t="shared" si="0"/>
        <v>187.73076923076943</v>
      </c>
      <c r="H10" s="943">
        <f t="shared" si="1"/>
        <v>140.79807692307708</v>
      </c>
      <c r="I10" s="914">
        <f>VLOOKUP(B10,All_Ingredients!$A$1:$F$161,6,FALSE())</f>
        <v>1</v>
      </c>
      <c r="J10" s="940">
        <f>VLOOKUP(B10,All_Ingredients!$A$1:$J$161,10,FALSE())</f>
        <v>58.685446009389672</v>
      </c>
      <c r="K10" s="945">
        <f t="shared" si="5"/>
        <v>0.14079807692307708</v>
      </c>
      <c r="L10" s="945">
        <f t="shared" si="6"/>
        <v>8.2627979414951334</v>
      </c>
      <c r="R10" s="890"/>
      <c r="T10" s="890"/>
      <c r="W10" s="890"/>
    </row>
    <row r="11" spans="1:33" x14ac:dyDescent="0.25">
      <c r="A11" s="949"/>
      <c r="B11" s="1131" t="s">
        <v>193</v>
      </c>
      <c r="C11" s="947" t="s">
        <v>160</v>
      </c>
      <c r="D11" s="914">
        <v>40</v>
      </c>
      <c r="E11" s="944">
        <f t="shared" si="4"/>
        <v>3.7546153846153882</v>
      </c>
      <c r="F11" s="948">
        <v>0.75</v>
      </c>
      <c r="G11" s="944">
        <f t="shared" si="0"/>
        <v>150.18461538461554</v>
      </c>
      <c r="H11" s="943">
        <f t="shared" si="1"/>
        <v>112.63846153846166</v>
      </c>
      <c r="I11" s="914">
        <f>VLOOKUP(B11,All_Ingredients!$A$1:$F$161,6,FALSE())</f>
        <v>1</v>
      </c>
      <c r="J11" s="940">
        <f>VLOOKUP(B11,All_Ingredients!$A$1:$J$161,10,FALSE())</f>
        <v>37.001287001286997</v>
      </c>
      <c r="K11" s="945">
        <f t="shared" si="5"/>
        <v>0.11263846153846166</v>
      </c>
      <c r="L11" s="945">
        <f t="shared" si="6"/>
        <v>4.1677680427680466</v>
      </c>
      <c r="R11" s="890"/>
      <c r="T11" s="890"/>
      <c r="W11" s="890"/>
    </row>
    <row r="12" spans="1:33" x14ac:dyDescent="0.25">
      <c r="A12" s="949"/>
      <c r="B12" s="1131" t="s">
        <v>196</v>
      </c>
      <c r="C12" s="947" t="s">
        <v>160</v>
      </c>
      <c r="D12" s="914">
        <v>200</v>
      </c>
      <c r="E12" s="944">
        <f t="shared" si="4"/>
        <v>3.7546153846153882</v>
      </c>
      <c r="F12" s="948">
        <v>0.95</v>
      </c>
      <c r="G12" s="944">
        <f t="shared" si="0"/>
        <v>750.9230769230777</v>
      </c>
      <c r="H12" s="943">
        <f t="shared" si="1"/>
        <v>713.37692307692373</v>
      </c>
      <c r="I12" s="914">
        <f>VLOOKUP(B12,All_Ingredients!$A$1:$F$161,6,FALSE())</f>
        <v>1</v>
      </c>
      <c r="J12" s="940">
        <f>VLOOKUP(B12,All_Ingredients!$A$1:$J$161,10,FALSE())</f>
        <v>14.861111111111111</v>
      </c>
      <c r="K12" s="945">
        <f t="shared" si="5"/>
        <v>0.71337692307692369</v>
      </c>
      <c r="L12" s="945">
        <f t="shared" si="6"/>
        <v>10.601573717948726</v>
      </c>
      <c r="R12" s="890"/>
      <c r="T12" s="890"/>
      <c r="W12" s="890"/>
    </row>
    <row r="13" spans="1:33" x14ac:dyDescent="0.25">
      <c r="A13" s="949"/>
      <c r="B13" s="1131" t="s">
        <v>194</v>
      </c>
      <c r="C13" s="947" t="s">
        <v>160</v>
      </c>
      <c r="D13" s="914">
        <v>50</v>
      </c>
      <c r="E13" s="944">
        <f t="shared" si="4"/>
        <v>3.7546153846153882</v>
      </c>
      <c r="F13" s="948">
        <v>0.95</v>
      </c>
      <c r="G13" s="944">
        <f t="shared" si="0"/>
        <v>187.73076923076943</v>
      </c>
      <c r="H13" s="943">
        <f t="shared" si="1"/>
        <v>178.34423076923093</v>
      </c>
      <c r="I13" s="914">
        <f>VLOOKUP(B13,All_Ingredients!$A$1:$F$161,6,FALSE())</f>
        <v>1</v>
      </c>
      <c r="J13" s="940">
        <f>VLOOKUP(B13,All_Ingredients!$A$1:$J$161,10,FALSE())</f>
        <v>22.666666666666668</v>
      </c>
      <c r="K13" s="945">
        <f t="shared" si="5"/>
        <v>0.17834423076923092</v>
      </c>
      <c r="L13" s="945">
        <f t="shared" si="6"/>
        <v>4.0424692307692345</v>
      </c>
      <c r="R13" s="890"/>
      <c r="T13" s="890"/>
      <c r="W13" s="890"/>
    </row>
    <row r="14" spans="1:33" x14ac:dyDescent="0.25">
      <c r="A14" s="949"/>
      <c r="B14" s="1131" t="s">
        <v>203</v>
      </c>
      <c r="C14" s="947" t="s">
        <v>160</v>
      </c>
      <c r="D14" s="914">
        <v>15</v>
      </c>
      <c r="E14" s="944">
        <f t="shared" si="4"/>
        <v>3.7546153846153882</v>
      </c>
      <c r="F14" s="948">
        <v>1</v>
      </c>
      <c r="G14" s="944">
        <f t="shared" si="0"/>
        <v>56.31923076923082</v>
      </c>
      <c r="H14" s="943">
        <f t="shared" si="1"/>
        <v>56.31923076923082</v>
      </c>
      <c r="I14" s="914">
        <f>VLOOKUP(B14,All_Ingredients!$A$1:$F$161,6,FALSE())</f>
        <v>1</v>
      </c>
      <c r="J14" s="940">
        <f>VLOOKUP(B14,All_Ingredients!$A$1:$J$161,10,FALSE())</f>
        <v>0</v>
      </c>
      <c r="K14" s="945">
        <f t="shared" si="5"/>
        <v>5.6319230769230823E-2</v>
      </c>
      <c r="L14" s="945">
        <f t="shared" si="6"/>
        <v>0</v>
      </c>
      <c r="R14" s="890"/>
      <c r="T14" s="890"/>
      <c r="W14" s="890"/>
    </row>
    <row r="15" spans="1:33" ht="25.5" x14ac:dyDescent="0.25">
      <c r="A15" s="949"/>
      <c r="B15" s="1131" t="s">
        <v>99</v>
      </c>
      <c r="C15" s="947" t="s">
        <v>14</v>
      </c>
      <c r="D15" s="914">
        <v>2</v>
      </c>
      <c r="E15" s="944">
        <f t="shared" si="4"/>
        <v>3.7546153846153882</v>
      </c>
      <c r="F15" s="948">
        <v>1</v>
      </c>
      <c r="G15" s="944">
        <f t="shared" si="0"/>
        <v>7.5092307692307765</v>
      </c>
      <c r="H15" s="943">
        <f t="shared" si="1"/>
        <v>7.5092307692307765</v>
      </c>
      <c r="I15" s="914">
        <f>VLOOKUP(B15,All_Ingredients!$A$1:$F$161,6,FALSE())</f>
        <v>1</v>
      </c>
      <c r="J15" s="940">
        <f>VLOOKUP(B15,All_Ingredients!$A$1:$J$161,10,FALSE())</f>
        <v>31</v>
      </c>
      <c r="K15" s="945">
        <f t="shared" si="5"/>
        <v>7.5092307692307767E-3</v>
      </c>
      <c r="L15" s="945">
        <f t="shared" si="6"/>
        <v>0.23278615384615409</v>
      </c>
      <c r="R15" s="890"/>
      <c r="T15" s="890"/>
      <c r="W15" s="890"/>
    </row>
    <row r="16" spans="1:33" x14ac:dyDescent="0.25">
      <c r="A16" s="949"/>
      <c r="B16" s="1131" t="s">
        <v>187</v>
      </c>
      <c r="C16" s="947" t="s">
        <v>14</v>
      </c>
      <c r="D16" s="914">
        <v>25</v>
      </c>
      <c r="E16" s="944">
        <f t="shared" si="4"/>
        <v>3.7546153846153882</v>
      </c>
      <c r="F16" s="948">
        <v>0.75</v>
      </c>
      <c r="G16" s="944">
        <f t="shared" si="0"/>
        <v>93.865384615384713</v>
      </c>
      <c r="H16" s="943">
        <f t="shared" si="1"/>
        <v>70.399038461538538</v>
      </c>
      <c r="I16" s="914">
        <f>VLOOKUP(B16,All_Ingredients!$A$1:$F$161,6,FALSE())</f>
        <v>0.9</v>
      </c>
      <c r="J16" s="940">
        <f>VLOOKUP(B16,All_Ingredients!$A$1:$J$161,10,FALSE())</f>
        <v>2.3199999999999998</v>
      </c>
      <c r="K16" s="945">
        <f t="shared" si="5"/>
        <v>7.8221153846153926E-2</v>
      </c>
      <c r="L16" s="945">
        <f t="shared" si="6"/>
        <v>0.1814730769230771</v>
      </c>
      <c r="R16" s="890"/>
      <c r="T16" s="890"/>
      <c r="W16" s="890"/>
    </row>
    <row r="17" spans="1:31" x14ac:dyDescent="0.25">
      <c r="A17" s="949"/>
      <c r="B17" s="1131" t="s">
        <v>179</v>
      </c>
      <c r="C17" s="947" t="s">
        <v>14</v>
      </c>
      <c r="D17" s="914">
        <v>15</v>
      </c>
      <c r="E17" s="944">
        <f t="shared" si="4"/>
        <v>3.7546153846153882</v>
      </c>
      <c r="F17" s="948">
        <v>1</v>
      </c>
      <c r="G17" s="944">
        <f t="shared" si="0"/>
        <v>56.31923076923082</v>
      </c>
      <c r="H17" s="943">
        <f t="shared" si="1"/>
        <v>56.31923076923082</v>
      </c>
      <c r="I17" s="914">
        <f>VLOOKUP(B17,All_Ingredients!$A$1:$F$161,6,FALSE())</f>
        <v>1</v>
      </c>
      <c r="J17" s="940">
        <f>VLOOKUP(B17,All_Ingredients!$A$1:$J$161,10,FALSE())</f>
        <v>2.7</v>
      </c>
      <c r="K17" s="945">
        <f t="shared" si="5"/>
        <v>5.6319230769230823E-2</v>
      </c>
      <c r="L17" s="945">
        <f t="shared" si="6"/>
        <v>0.15206192307692323</v>
      </c>
      <c r="R17" s="890"/>
      <c r="T17" s="890"/>
      <c r="W17" s="890"/>
    </row>
    <row r="18" spans="1:31" x14ac:dyDescent="0.25">
      <c r="A18" s="949"/>
      <c r="B18" s="1131" t="s">
        <v>93</v>
      </c>
      <c r="C18" s="947" t="s">
        <v>14</v>
      </c>
      <c r="D18" s="914">
        <v>3</v>
      </c>
      <c r="E18" s="944">
        <f t="shared" si="4"/>
        <v>3.7546153846153882</v>
      </c>
      <c r="F18" s="948">
        <v>1</v>
      </c>
      <c r="G18" s="944">
        <f t="shared" si="0"/>
        <v>11.263846153846165</v>
      </c>
      <c r="H18" s="943">
        <f t="shared" si="1"/>
        <v>11.263846153846165</v>
      </c>
      <c r="I18" s="914">
        <f>VLOOKUP(B18,All_Ingredients!$A$1:$F$161,6,FALSE())</f>
        <v>1</v>
      </c>
      <c r="J18" s="940">
        <f>VLOOKUP(B18,All_Ingredients!$A$1:$J$161,10,FALSE())</f>
        <v>0.74</v>
      </c>
      <c r="K18" s="945">
        <f t="shared" si="5"/>
        <v>1.1263846153846166E-2</v>
      </c>
      <c r="L18" s="945">
        <f t="shared" si="6"/>
        <v>8.3352461538461625E-3</v>
      </c>
      <c r="R18" s="890"/>
      <c r="T18" s="890"/>
      <c r="W18" s="890"/>
    </row>
    <row r="19" spans="1:31" x14ac:dyDescent="0.25">
      <c r="A19" s="949"/>
      <c r="B19" s="1131" t="s">
        <v>152</v>
      </c>
      <c r="C19" s="947" t="s">
        <v>14</v>
      </c>
      <c r="D19" s="914">
        <v>30</v>
      </c>
      <c r="E19" s="944">
        <f t="shared" si="4"/>
        <v>3.7546153846153882</v>
      </c>
      <c r="F19" s="948">
        <v>1</v>
      </c>
      <c r="G19" s="944">
        <f t="shared" si="0"/>
        <v>112.63846153846164</v>
      </c>
      <c r="H19" s="943">
        <f t="shared" si="1"/>
        <v>112.63846153846164</v>
      </c>
      <c r="I19" s="914">
        <f>VLOOKUP(B19,All_Ingredients!$A$1:$F$161,6,FALSE())</f>
        <v>1</v>
      </c>
      <c r="J19" s="940">
        <f>VLOOKUP(B19,All_Ingredients!$A$1:$J$161,10,FALSE())</f>
        <v>30</v>
      </c>
      <c r="K19" s="945">
        <f t="shared" si="5"/>
        <v>0.11263846153846165</v>
      </c>
      <c r="L19" s="945">
        <f t="shared" si="6"/>
        <v>3.3791538461538493</v>
      </c>
      <c r="R19" s="890"/>
      <c r="T19" s="890"/>
      <c r="W19" s="890"/>
    </row>
    <row r="20" spans="1:31" x14ac:dyDescent="0.25">
      <c r="A20" s="949"/>
      <c r="B20" s="1131" t="s">
        <v>97</v>
      </c>
      <c r="C20" s="947" t="s">
        <v>14</v>
      </c>
      <c r="D20" s="914">
        <v>2</v>
      </c>
      <c r="E20" s="944">
        <f t="shared" si="4"/>
        <v>3.7546153846153882</v>
      </c>
      <c r="F20" s="948">
        <v>1</v>
      </c>
      <c r="G20" s="944">
        <f t="shared" si="0"/>
        <v>7.5092307692307765</v>
      </c>
      <c r="H20" s="943">
        <f t="shared" si="1"/>
        <v>7.5092307692307765</v>
      </c>
      <c r="I20" s="914">
        <f>VLOOKUP(B20,All_Ingredients!$A$1:$F$161,6,FALSE())</f>
        <v>1</v>
      </c>
      <c r="J20" s="940">
        <f>VLOOKUP(B20,All_Ingredients!$A$1:$J$161,10,FALSE())</f>
        <v>38</v>
      </c>
      <c r="K20" s="945">
        <f t="shared" si="5"/>
        <v>7.5092307692307767E-3</v>
      </c>
      <c r="L20" s="945">
        <f t="shared" si="6"/>
        <v>0.28535076923076952</v>
      </c>
      <c r="R20" s="890"/>
      <c r="T20" s="890"/>
      <c r="W20" s="890"/>
    </row>
    <row r="21" spans="1:31" x14ac:dyDescent="0.25">
      <c r="A21" s="949"/>
      <c r="B21" s="1131" t="s">
        <v>103</v>
      </c>
      <c r="C21" s="947" t="s">
        <v>14</v>
      </c>
      <c r="D21" s="914">
        <v>2</v>
      </c>
      <c r="E21" s="944">
        <f t="shared" si="4"/>
        <v>3.7546153846153882</v>
      </c>
      <c r="F21" s="948">
        <v>1</v>
      </c>
      <c r="G21" s="944">
        <f t="shared" si="0"/>
        <v>7.5092307692307765</v>
      </c>
      <c r="H21" s="943">
        <f t="shared" si="1"/>
        <v>7.5092307692307765</v>
      </c>
      <c r="I21" s="914">
        <f>VLOOKUP(B21,All_Ingredients!$A$1:$F$161,6,FALSE())</f>
        <v>1</v>
      </c>
      <c r="J21" s="940">
        <f>VLOOKUP(B21,All_Ingredients!$A$1:$J$161,10,FALSE())</f>
        <v>19</v>
      </c>
      <c r="K21" s="945">
        <f t="shared" si="5"/>
        <v>7.5092307692307767E-3</v>
      </c>
      <c r="L21" s="945">
        <f t="shared" si="6"/>
        <v>0.14267538461538476</v>
      </c>
      <c r="R21" s="890"/>
      <c r="T21" s="890"/>
      <c r="W21" s="890"/>
    </row>
    <row r="22" spans="1:31" x14ac:dyDescent="0.25">
      <c r="A22" s="949"/>
      <c r="B22" s="1131" t="s">
        <v>124</v>
      </c>
      <c r="C22" s="947" t="s">
        <v>14</v>
      </c>
      <c r="D22" s="914">
        <v>2</v>
      </c>
      <c r="E22" s="944">
        <f t="shared" si="4"/>
        <v>3.7546153846153882</v>
      </c>
      <c r="F22" s="948">
        <v>1</v>
      </c>
      <c r="G22" s="944">
        <f t="shared" si="0"/>
        <v>7.5092307692307765</v>
      </c>
      <c r="H22" s="943">
        <f t="shared" si="1"/>
        <v>7.5092307692307765</v>
      </c>
      <c r="I22" s="914">
        <f>VLOOKUP(B22,All_Ingredients!$A$1:$F$161,6,FALSE())</f>
        <v>1</v>
      </c>
      <c r="J22" s="940">
        <f>VLOOKUP(B22,All_Ingredients!$A$1:$J$161,10,FALSE())</f>
        <v>37</v>
      </c>
      <c r="K22" s="945">
        <f t="shared" si="5"/>
        <v>7.5092307692307767E-3</v>
      </c>
      <c r="L22" s="945">
        <f t="shared" si="6"/>
        <v>0.27784153846153875</v>
      </c>
      <c r="R22" s="890"/>
      <c r="T22" s="890"/>
      <c r="U22"/>
      <c r="W22" s="890"/>
    </row>
    <row r="23" spans="1:31" x14ac:dyDescent="0.25">
      <c r="A23" s="949"/>
      <c r="B23" s="1131" t="s">
        <v>120</v>
      </c>
      <c r="C23" s="947" t="s">
        <v>14</v>
      </c>
      <c r="D23" s="914">
        <v>2</v>
      </c>
      <c r="E23" s="944">
        <f t="shared" si="4"/>
        <v>3.7546153846153882</v>
      </c>
      <c r="F23" s="948">
        <v>1</v>
      </c>
      <c r="G23" s="944">
        <f t="shared" si="0"/>
        <v>7.5092307692307765</v>
      </c>
      <c r="H23" s="943">
        <f t="shared" si="1"/>
        <v>7.5092307692307765</v>
      </c>
      <c r="I23" s="914">
        <f>VLOOKUP(B23,All_Ingredients!$A$1:$F$161,6,FALSE())</f>
        <v>1</v>
      </c>
      <c r="J23" s="940">
        <f>VLOOKUP(B23,All_Ingredients!$A$1:$J$161,10,FALSE())</f>
        <v>15</v>
      </c>
      <c r="K23" s="945">
        <f t="shared" si="5"/>
        <v>7.5092307692307767E-3</v>
      </c>
      <c r="L23" s="945">
        <f t="shared" si="6"/>
        <v>0.11263846153846165</v>
      </c>
      <c r="R23" s="890"/>
      <c r="T23" s="890"/>
      <c r="W23" s="890"/>
    </row>
    <row r="24" spans="1:31" x14ac:dyDescent="0.25">
      <c r="A24" s="949"/>
      <c r="B24" s="1131" t="s">
        <v>126</v>
      </c>
      <c r="C24" s="947" t="s">
        <v>14</v>
      </c>
      <c r="D24" s="914">
        <v>2</v>
      </c>
      <c r="E24" s="944">
        <f t="shared" si="4"/>
        <v>3.7546153846153882</v>
      </c>
      <c r="F24" s="948">
        <v>1</v>
      </c>
      <c r="G24" s="944">
        <f t="shared" si="0"/>
        <v>7.5092307692307765</v>
      </c>
      <c r="H24" s="943">
        <f t="shared" si="1"/>
        <v>7.5092307692307765</v>
      </c>
      <c r="I24" s="914">
        <f>VLOOKUP(B24,All_Ingredients!$A$1:$F$161,6,FALSE())</f>
        <v>1</v>
      </c>
      <c r="J24" s="940">
        <f>VLOOKUP(B24,All_Ingredients!$A$1:$J$161,10,FALSE())</f>
        <v>125</v>
      </c>
      <c r="K24" s="945">
        <f t="shared" si="5"/>
        <v>7.5092307692307767E-3</v>
      </c>
      <c r="L24" s="945">
        <f t="shared" si="6"/>
        <v>0.93865384615384706</v>
      </c>
      <c r="R24" s="890"/>
      <c r="T24" s="890"/>
      <c r="W24" s="890"/>
      <c r="Z24" s="597"/>
    </row>
    <row r="25" spans="1:31" x14ac:dyDescent="0.25">
      <c r="A25" s="949"/>
      <c r="B25" s="1131" t="s">
        <v>129</v>
      </c>
      <c r="C25" s="947" t="s">
        <v>14</v>
      </c>
      <c r="D25" s="914">
        <v>1</v>
      </c>
      <c r="E25" s="944">
        <f t="shared" si="4"/>
        <v>3.7546153846153882</v>
      </c>
      <c r="F25" s="948">
        <v>1</v>
      </c>
      <c r="G25" s="944">
        <f t="shared" si="0"/>
        <v>3.7546153846153882</v>
      </c>
      <c r="H25" s="943">
        <f t="shared" si="1"/>
        <v>3.7546153846153882</v>
      </c>
      <c r="I25" s="914">
        <f>VLOOKUP(B25,All_Ingredients!$A$1:$F$161,6,FALSE())</f>
        <v>1</v>
      </c>
      <c r="J25" s="940">
        <f>VLOOKUP(B25,All_Ingredients!$A$1:$J$161,10,FALSE())</f>
        <v>31.5</v>
      </c>
      <c r="K25" s="945">
        <f t="shared" si="5"/>
        <v>3.7546153846153884E-3</v>
      </c>
      <c r="L25" s="945">
        <f t="shared" si="6"/>
        <v>0.11827038461538474</v>
      </c>
      <c r="R25" s="1779" t="s">
        <v>295</v>
      </c>
      <c r="S25" s="1787"/>
      <c r="T25" s="1788"/>
      <c r="U25" s="1787"/>
      <c r="V25" s="952"/>
      <c r="W25" s="890"/>
      <c r="Z25" s="982" t="s">
        <v>252</v>
      </c>
      <c r="AA25" s="1137">
        <v>1</v>
      </c>
      <c r="AB25" s="982" t="s">
        <v>249</v>
      </c>
      <c r="AC25" s="1138">
        <f>AE30*AA25</f>
        <v>4.211051622588155E-2</v>
      </c>
    </row>
    <row r="26" spans="1:31" x14ac:dyDescent="0.25">
      <c r="A26" s="949"/>
      <c r="B26" s="1131" t="s">
        <v>93</v>
      </c>
      <c r="C26" s="947" t="s">
        <v>14</v>
      </c>
      <c r="D26" s="914">
        <v>5</v>
      </c>
      <c r="E26" s="944">
        <f t="shared" si="4"/>
        <v>3.7546153846153882</v>
      </c>
      <c r="F26" s="948">
        <v>1</v>
      </c>
      <c r="G26" s="944">
        <f t="shared" si="0"/>
        <v>18.773076923076943</v>
      </c>
      <c r="H26" s="943">
        <f t="shared" si="1"/>
        <v>18.773076923076943</v>
      </c>
      <c r="I26" s="914">
        <f>VLOOKUP(B26,All_Ingredients!$A$1:$F$161,6,FALSE())</f>
        <v>1</v>
      </c>
      <c r="J26" s="940">
        <f>VLOOKUP(B26,All_Ingredients!$A$1:$J$161,10,FALSE())</f>
        <v>0.74</v>
      </c>
      <c r="K26" s="945">
        <f t="shared" si="5"/>
        <v>1.8773076923076941E-2</v>
      </c>
      <c r="L26" s="945">
        <f t="shared" si="6"/>
        <v>1.3892076923076936E-2</v>
      </c>
      <c r="R26" s="1786" t="s">
        <v>296</v>
      </c>
      <c r="S26" s="1787"/>
      <c r="T26" s="1788"/>
      <c r="U26" s="1787"/>
      <c r="V26" s="959"/>
      <c r="W26" s="890"/>
    </row>
    <row r="27" spans="1:31" x14ac:dyDescent="0.25">
      <c r="A27" s="949" t="s">
        <v>868</v>
      </c>
      <c r="B27" s="1131" t="s">
        <v>706</v>
      </c>
      <c r="C27" s="947" t="s">
        <v>14</v>
      </c>
      <c r="D27" s="914">
        <v>5</v>
      </c>
      <c r="E27" s="944">
        <f t="shared" si="4"/>
        <v>3.7546153846153882</v>
      </c>
      <c r="F27" s="948">
        <v>1</v>
      </c>
      <c r="G27" s="944">
        <f t="shared" si="0"/>
        <v>18.773076923076943</v>
      </c>
      <c r="H27" s="943">
        <f t="shared" si="1"/>
        <v>18.773076923076943</v>
      </c>
      <c r="I27" s="914">
        <f>VLOOKUP(B27,All_Ingredients!$A$1:$F$161,6,FALSE())</f>
        <v>1</v>
      </c>
      <c r="J27" s="940">
        <f>VLOOKUP(B27,All_Ingredients!$A$1:$J$161,10,FALSE())</f>
        <v>10.5</v>
      </c>
      <c r="K27" s="945">
        <f t="shared" si="5"/>
        <v>1.8773076923076941E-2</v>
      </c>
      <c r="L27" s="945">
        <f t="shared" si="6"/>
        <v>0.19711730769230787</v>
      </c>
      <c r="R27" s="961" t="s">
        <v>254</v>
      </c>
      <c r="S27" s="962" t="s">
        <v>297</v>
      </c>
      <c r="T27" s="961" t="s">
        <v>256</v>
      </c>
      <c r="U27" s="962" t="s">
        <v>257</v>
      </c>
      <c r="V27" s="962" t="s">
        <v>753</v>
      </c>
      <c r="W27" s="890"/>
      <c r="Z27" s="982" t="s">
        <v>258</v>
      </c>
      <c r="AA27" s="982" t="s">
        <v>259</v>
      </c>
      <c r="AB27" s="982" t="s">
        <v>260</v>
      </c>
      <c r="AC27" s="982" t="s">
        <v>261</v>
      </c>
      <c r="AD27" s="984" t="s">
        <v>753</v>
      </c>
      <c r="AE27" s="982" t="s">
        <v>262</v>
      </c>
    </row>
    <row r="28" spans="1:31" x14ac:dyDescent="0.25">
      <c r="A28" s="949"/>
      <c r="B28" s="1068" t="s">
        <v>207</v>
      </c>
      <c r="C28" s="947" t="s">
        <v>160</v>
      </c>
      <c r="D28" s="950">
        <v>300</v>
      </c>
      <c r="E28" s="944">
        <f t="shared" si="4"/>
        <v>3.7546153846153882</v>
      </c>
      <c r="F28" s="948">
        <v>1</v>
      </c>
      <c r="G28" s="944">
        <f t="shared" ref="G28" si="7">D28*E28</f>
        <v>1126.3846153846164</v>
      </c>
      <c r="H28" s="943">
        <f t="shared" ref="H28" si="8">G28*F28</f>
        <v>1126.3846153846164</v>
      </c>
      <c r="I28" s="914">
        <f>VLOOKUP(B28,All_Ingredients!$A$1:$F$161,6,FALSE())</f>
        <v>1</v>
      </c>
      <c r="J28" s="940">
        <f>VLOOKUP(B28,All_Ingredients!$A$1:$J$161,10,FALSE())</f>
        <v>0</v>
      </c>
      <c r="K28" s="945">
        <f t="shared" ref="K28" si="9">(H28/I28)/1000</f>
        <v>1.1263846153846164</v>
      </c>
      <c r="L28" s="945">
        <f t="shared" ref="L28" si="10">K28*J28</f>
        <v>0</v>
      </c>
      <c r="R28" s="961" t="s">
        <v>263</v>
      </c>
      <c r="S28" s="963">
        <f>U28*S40</f>
        <v>12515.384615384612</v>
      </c>
      <c r="T28" s="964">
        <f>U28*U40</f>
        <v>3754.6153846153884</v>
      </c>
      <c r="U28" s="965">
        <f>$Z$1</f>
        <v>16270</v>
      </c>
      <c r="V28" s="966">
        <f>G37</f>
        <v>0</v>
      </c>
      <c r="W28" s="890"/>
      <c r="Z28" s="1086"/>
      <c r="AA28" s="985">
        <f>AA25*$S$40</f>
        <v>0.76923076923076905</v>
      </c>
      <c r="AB28" s="985">
        <f>AA25*U40</f>
        <v>0.230769230769231</v>
      </c>
      <c r="AC28" s="989"/>
      <c r="AD28" s="987"/>
      <c r="AE28" s="1088">
        <f>SUM(AA28:AC28)</f>
        <v>1</v>
      </c>
    </row>
    <row r="29" spans="1:31" x14ac:dyDescent="0.25">
      <c r="B29" s="890"/>
      <c r="D29" s="890"/>
      <c r="E29" s="890"/>
      <c r="F29" s="890"/>
      <c r="H29" s="890"/>
      <c r="K29" s="890"/>
      <c r="R29" s="961" t="s">
        <v>264</v>
      </c>
      <c r="S29" s="968"/>
      <c r="T29" s="1132"/>
      <c r="U29" s="963">
        <f>T29</f>
        <v>0</v>
      </c>
      <c r="V29" s="966"/>
      <c r="W29" s="890"/>
      <c r="Z29" s="1086"/>
      <c r="AA29" s="1139">
        <f>AA28/$AE$28</f>
        <v>0.76923076923076905</v>
      </c>
      <c r="AB29" s="1139">
        <f>AB28/$AE$28</f>
        <v>0.230769230769231</v>
      </c>
      <c r="AC29" s="1089"/>
      <c r="AD29" s="991"/>
      <c r="AE29" s="1089">
        <f>AE28/$AE$28</f>
        <v>1</v>
      </c>
    </row>
    <row r="30" spans="1:31" x14ac:dyDescent="0.25">
      <c r="B30" s="890"/>
      <c r="D30" s="890"/>
      <c r="E30" s="890"/>
      <c r="F30" s="890"/>
      <c r="H30" s="890"/>
      <c r="K30" s="890"/>
      <c r="R30" s="961" t="s">
        <v>265</v>
      </c>
      <c r="S30" s="969">
        <f>U30*S40</f>
        <v>0</v>
      </c>
      <c r="T30" s="964">
        <f>U30*U40</f>
        <v>0</v>
      </c>
      <c r="U30" s="1119">
        <f>$AB$1</f>
        <v>0</v>
      </c>
      <c r="V30" s="972"/>
      <c r="W30" s="890"/>
      <c r="Z30" s="982" t="s">
        <v>266</v>
      </c>
      <c r="AA30" s="1090">
        <f>S35/(S32)</f>
        <v>5.1198257080610016E-2</v>
      </c>
      <c r="AB30" s="1091">
        <f>T35/T32</f>
        <v>1.1818046710120024E-2</v>
      </c>
      <c r="AC30" s="1091"/>
      <c r="AD30" s="994">
        <f>V35/U32</f>
        <v>3.3360124816793537E-5</v>
      </c>
      <c r="AE30" s="1140">
        <f>SUMPRODUCT(AA30:AC30,AA29:AC29)</f>
        <v>4.211051622588155E-2</v>
      </c>
    </row>
    <row r="31" spans="1:31" x14ac:dyDescent="0.25">
      <c r="B31" s="890"/>
      <c r="D31" s="890"/>
      <c r="E31" s="890"/>
      <c r="F31" s="890"/>
      <c r="H31" s="890"/>
      <c r="K31" s="890"/>
      <c r="R31" s="961" t="s">
        <v>267</v>
      </c>
      <c r="S31" s="959"/>
      <c r="T31" s="967"/>
      <c r="U31" s="966"/>
      <c r="V31" s="966"/>
      <c r="W31" s="890"/>
    </row>
    <row r="32" spans="1:31" x14ac:dyDescent="0.25">
      <c r="B32" s="890"/>
      <c r="D32" s="890"/>
      <c r="E32" s="890"/>
      <c r="F32" s="890"/>
      <c r="H32" s="890"/>
      <c r="K32" s="890"/>
      <c r="R32" s="961" t="s">
        <v>257</v>
      </c>
      <c r="S32" s="966">
        <f>SUM(S28:S30)</f>
        <v>12515.384615384612</v>
      </c>
      <c r="T32" s="967">
        <f>SUM(T28:T30)</f>
        <v>3754.6153846153884</v>
      </c>
      <c r="U32" s="966">
        <f>SUM(U28:U30)</f>
        <v>16270</v>
      </c>
      <c r="V32" s="966">
        <f>SUM(V28:V30)</f>
        <v>0</v>
      </c>
      <c r="W32" s="890"/>
    </row>
    <row r="33" spans="2:23" ht="30" x14ac:dyDescent="0.25">
      <c r="B33" s="890"/>
      <c r="D33" s="890"/>
      <c r="E33" s="890"/>
      <c r="F33" s="890"/>
      <c r="H33" s="890"/>
      <c r="K33" s="890"/>
      <c r="R33" s="976" t="s">
        <v>268</v>
      </c>
      <c r="S33" s="959"/>
      <c r="T33" s="960"/>
      <c r="U33" s="959"/>
      <c r="V33" s="959"/>
      <c r="W33" s="890"/>
    </row>
    <row r="34" spans="2:23" x14ac:dyDescent="0.25">
      <c r="B34" s="890"/>
      <c r="D34" s="890"/>
      <c r="E34" s="890"/>
      <c r="F34" s="890"/>
      <c r="H34" s="890"/>
      <c r="K34" s="890"/>
      <c r="R34" s="961" t="s">
        <v>269</v>
      </c>
      <c r="S34" s="959"/>
      <c r="T34" s="967"/>
      <c r="U34" s="959"/>
      <c r="V34" s="959"/>
      <c r="W34" s="890"/>
    </row>
    <row r="35" spans="2:23" ht="15.75" x14ac:dyDescent="0.25">
      <c r="B35" s="1781" t="s">
        <v>619</v>
      </c>
      <c r="C35" s="1782"/>
      <c r="D35" s="1781"/>
      <c r="E35" s="1781"/>
      <c r="F35" s="1781"/>
      <c r="G35" s="1000"/>
      <c r="H35" s="1009"/>
      <c r="I35" s="1010"/>
      <c r="J35" s="1010"/>
      <c r="K35" s="1009"/>
      <c r="L35" s="1010"/>
      <c r="R35" s="977" t="s">
        <v>249</v>
      </c>
      <c r="S35" s="1133">
        <f>$L$5</f>
        <v>640.76587900117283</v>
      </c>
      <c r="T35" s="1134">
        <f>SUM(L6:L25)</f>
        <v>44.37221999391992</v>
      </c>
      <c r="U35" s="1135">
        <f>S35+T35</f>
        <v>685.13809899509272</v>
      </c>
      <c r="V35" s="1136">
        <f>SUM(L37)</f>
        <v>0.54276923076923089</v>
      </c>
      <c r="W35" s="890"/>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row>
    <row r="37" spans="2:23" x14ac:dyDescent="0.25">
      <c r="B37" s="1005" t="s">
        <v>666</v>
      </c>
      <c r="C37" s="1006" t="s">
        <v>14</v>
      </c>
      <c r="D37" s="1007">
        <v>7.0000000000000007E-2</v>
      </c>
      <c r="E37" s="1005">
        <f>$AD$1</f>
        <v>112</v>
      </c>
      <c r="F37" s="1005">
        <f>D37*E37</f>
        <v>7.8400000000000007</v>
      </c>
      <c r="G37" s="437"/>
      <c r="H37" s="1005">
        <f>F37</f>
        <v>7.8400000000000007</v>
      </c>
      <c r="I37" s="1005">
        <f>VLOOKUP(B37,All_Ingredients!$A$1:$F$161,6,FALSE())</f>
        <v>0.65</v>
      </c>
      <c r="J37" s="1005">
        <f>VLOOKUP(B37,All_Ingredients!$A$1:$J$161,10,FALSE())</f>
        <v>45</v>
      </c>
      <c r="K37" s="1005">
        <f>(H37/I37)/1000</f>
        <v>1.2061538461538464E-2</v>
      </c>
      <c r="L37" s="1005">
        <f t="shared" ref="L37" si="11">K37*J37</f>
        <v>0.54276923076923089</v>
      </c>
      <c r="R37" s="890"/>
      <c r="S37" s="173"/>
      <c r="T37" s="890"/>
      <c r="W37" s="890"/>
    </row>
    <row r="38" spans="2:23" x14ac:dyDescent="0.25">
      <c r="B38" s="1005" t="s">
        <v>110</v>
      </c>
      <c r="C38" s="1006" t="s">
        <v>14</v>
      </c>
      <c r="D38" s="1007">
        <v>0.05</v>
      </c>
      <c r="E38" s="1005">
        <f>$AD$1</f>
        <v>112</v>
      </c>
      <c r="F38" s="1005">
        <f>D38*E38</f>
        <v>5.6000000000000005</v>
      </c>
      <c r="G38" s="437"/>
      <c r="H38" s="1005">
        <f>F38</f>
        <v>5.6000000000000005</v>
      </c>
      <c r="I38" s="1005">
        <f>VLOOKUP(B38,All_Ingredients!$A$1:$F$161,6,FALSE())</f>
        <v>1</v>
      </c>
      <c r="J38" s="1005">
        <f>VLOOKUP(B38,All_Ingredients!$A$1:$J$161,10,FALSE())</f>
        <v>64.243759177679877</v>
      </c>
      <c r="K38" s="1005">
        <f>(H38/I38)/1000</f>
        <v>5.6000000000000008E-3</v>
      </c>
      <c r="L38" s="1005">
        <f t="shared" ref="L38" si="12">K38*J38</f>
        <v>0.35976505139500736</v>
      </c>
      <c r="R38" s="890"/>
      <c r="T38" s="890"/>
      <c r="W38" s="890"/>
    </row>
    <row r="39" spans="2:23" x14ac:dyDescent="0.25">
      <c r="B39" s="890"/>
      <c r="D39" s="890"/>
      <c r="E39" s="890"/>
      <c r="F39" s="890"/>
      <c r="H39" s="890"/>
      <c r="K39" s="890"/>
      <c r="R39" s="890"/>
      <c r="T39" s="890"/>
      <c r="W39" s="890"/>
    </row>
    <row r="40" spans="2:23" ht="26.25" x14ac:dyDescent="0.25">
      <c r="B40" s="235"/>
      <c r="C40" s="227"/>
      <c r="D40" s="876"/>
      <c r="E40" s="235"/>
      <c r="F40" s="235"/>
      <c r="G40" s="177"/>
      <c r="H40" s="902"/>
      <c r="K40" s="890"/>
      <c r="R40" s="1011" t="s">
        <v>270</v>
      </c>
      <c r="S40" s="1012">
        <v>0.76923076923076905</v>
      </c>
      <c r="T40" s="1011" t="s">
        <v>271</v>
      </c>
      <c r="U40" s="1013">
        <v>0.230769230769231</v>
      </c>
      <c r="V40" s="1014">
        <f>S40+U40</f>
        <v>1</v>
      </c>
      <c r="W40" s="890"/>
    </row>
    <row r="41" spans="2:23" x14ac:dyDescent="0.25">
      <c r="B41" s="890"/>
      <c r="D41" s="890"/>
      <c r="E41" s="890"/>
      <c r="F41" s="890"/>
      <c r="H41" s="890"/>
      <c r="K41" s="890"/>
      <c r="R41" s="890"/>
      <c r="T41" s="890"/>
      <c r="U41" s="123"/>
      <c r="W41" s="890"/>
    </row>
    <row r="42" spans="2:23" x14ac:dyDescent="0.25">
      <c r="B42" s="890"/>
      <c r="D42" s="890"/>
      <c r="E42" s="890"/>
      <c r="F42" s="890"/>
      <c r="H42" s="890"/>
      <c r="K42" s="890"/>
      <c r="R42" s="890"/>
      <c r="T42" s="890"/>
      <c r="W42" s="890"/>
    </row>
    <row r="43" spans="2:23" ht="26.25" x14ac:dyDescent="0.25">
      <c r="B43" s="890"/>
      <c r="D43" s="890"/>
      <c r="E43" s="890"/>
      <c r="F43" s="890"/>
      <c r="H43" s="890"/>
      <c r="K43" s="890"/>
      <c r="Q43" s="1015" t="s">
        <v>272</v>
      </c>
      <c r="R43" s="1011" t="s">
        <v>273</v>
      </c>
      <c r="S43" s="1015" t="s">
        <v>274</v>
      </c>
      <c r="T43" s="1011" t="s">
        <v>275</v>
      </c>
      <c r="U43" s="1015" t="s">
        <v>276</v>
      </c>
      <c r="V43" s="1015" t="s">
        <v>277</v>
      </c>
      <c r="W43" s="1011" t="s">
        <v>278</v>
      </c>
    </row>
    <row r="44" spans="2:23" x14ac:dyDescent="0.25">
      <c r="B44" s="890"/>
      <c r="D44" s="890"/>
      <c r="E44" s="890"/>
      <c r="F44" s="890"/>
      <c r="H44" s="890"/>
      <c r="K44" s="890"/>
      <c r="Q44" s="1023">
        <v>43334</v>
      </c>
      <c r="R44" s="1017">
        <f>D51</f>
        <v>10000</v>
      </c>
      <c r="S44" s="1024">
        <v>1</v>
      </c>
      <c r="T44" s="1025">
        <v>0</v>
      </c>
      <c r="U44" s="1096">
        <f>R44*S44</f>
        <v>10000</v>
      </c>
      <c r="V44" s="1021">
        <f>R44*T44</f>
        <v>0</v>
      </c>
      <c r="W44" s="1026">
        <f>Q44-U44</f>
        <v>33334</v>
      </c>
    </row>
    <row r="50" spans="1:11" x14ac:dyDescent="0.25">
      <c r="B50" s="961"/>
      <c r="C50" s="962" t="s">
        <v>233</v>
      </c>
      <c r="D50" s="961" t="s">
        <v>279</v>
      </c>
      <c r="E50" s="80"/>
      <c r="F50" s="80"/>
      <c r="G50" s="962" t="s">
        <v>280</v>
      </c>
      <c r="H50" s="961" t="s">
        <v>233</v>
      </c>
      <c r="I50" s="962" t="s">
        <v>281</v>
      </c>
      <c r="J50" s="962" t="s">
        <v>282</v>
      </c>
      <c r="K50" s="890"/>
    </row>
    <row r="51" spans="1:11" x14ac:dyDescent="0.25">
      <c r="B51" s="1027" t="s">
        <v>283</v>
      </c>
      <c r="C51" s="1028">
        <f>10/$K$1</f>
        <v>10</v>
      </c>
      <c r="D51" s="1029">
        <f>$C$1*10</f>
        <v>10000</v>
      </c>
      <c r="E51" s="135"/>
      <c r="F51" s="80"/>
      <c r="G51" s="1033" t="s">
        <v>283</v>
      </c>
      <c r="H51" s="1034">
        <f>I51/$D$5</f>
        <v>10</v>
      </c>
      <c r="I51" s="1028">
        <f>J51/$R$1</f>
        <v>65360.784313725489</v>
      </c>
      <c r="J51" s="1028">
        <f>$W$44</f>
        <v>33334</v>
      </c>
      <c r="K51" s="890"/>
    </row>
    <row r="52" spans="1:11" x14ac:dyDescent="0.25">
      <c r="B52" s="958" t="s">
        <v>262</v>
      </c>
      <c r="C52" s="1099">
        <f>$I$1</f>
        <v>3.7546153846153882</v>
      </c>
      <c r="D52" s="1100">
        <f>$E$1</f>
        <v>3754.6153846153884</v>
      </c>
      <c r="E52" s="135"/>
      <c r="F52" s="80"/>
      <c r="G52" s="962" t="s">
        <v>262</v>
      </c>
      <c r="H52" s="1026">
        <f>I52/$D$5</f>
        <v>3.7545402938095074</v>
      </c>
      <c r="I52" s="1021">
        <f>J52/$R$1</f>
        <v>24539.969834087475</v>
      </c>
      <c r="J52" s="1030">
        <f>$S$32</f>
        <v>12515.384615384612</v>
      </c>
      <c r="K52" s="890"/>
    </row>
    <row r="53" spans="1:11" x14ac:dyDescent="0.25">
      <c r="B53" s="958" t="s">
        <v>284</v>
      </c>
      <c r="C53" s="1101">
        <f>MIN($C$52, $C$51)</f>
        <v>3.7546153846153882</v>
      </c>
      <c r="D53" s="1100">
        <f>(C53*$K$1)*$C$1</f>
        <v>3754.6153846153884</v>
      </c>
      <c r="E53" s="80"/>
      <c r="F53" s="80"/>
      <c r="G53" s="962" t="s">
        <v>284</v>
      </c>
      <c r="H53" s="1035">
        <f>MIN(H52,H51)</f>
        <v>3.7545402938095074</v>
      </c>
      <c r="I53" s="1021">
        <f>J53/$R$1</f>
        <v>24539.969834087475</v>
      </c>
      <c r="J53" s="1021">
        <f>MIN(J52,J51)</f>
        <v>12515.384615384612</v>
      </c>
      <c r="K53" s="890"/>
    </row>
    <row r="54" spans="1:11" x14ac:dyDescent="0.25">
      <c r="B54" s="958" t="s">
        <v>285</v>
      </c>
      <c r="C54" s="1101">
        <f>MIN(MAX($C$53-C52-C53,0),C51)</f>
        <v>0</v>
      </c>
      <c r="D54" s="1100">
        <f>(C54*$K$1)*$C$1</f>
        <v>0</v>
      </c>
      <c r="E54" s="80"/>
      <c r="F54" s="80"/>
      <c r="G54" s="962" t="s">
        <v>285</v>
      </c>
      <c r="H54" s="1035">
        <f>MIN(MAX(H52-H53),H51)</f>
        <v>0</v>
      </c>
      <c r="I54" s="1021">
        <f>J54/$R$1</f>
        <v>0</v>
      </c>
      <c r="J54" s="1021">
        <f>MIN(MAX(J52-J53),J51)</f>
        <v>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ht="18" x14ac:dyDescent="0.25">
      <c r="A62" s="1036"/>
      <c r="B62" s="1776" t="str">
        <f>"بيف شيلي دراي الدفعة 1  / " &amp; COUNTIF($C$53:$C$55, "&gt;0")</f>
        <v>بيف شيلي دراي الدفعة 1  / 1</v>
      </c>
      <c r="C62" s="1776"/>
      <c r="D62" s="1776"/>
      <c r="E62" s="1776"/>
      <c r="F62" s="1776"/>
      <c r="G62" s="1776"/>
      <c r="H62" s="1776"/>
      <c r="K62" s="890"/>
    </row>
    <row r="63" spans="1:11" ht="18" x14ac:dyDescent="0.25">
      <c r="A63" s="1036"/>
      <c r="B63" s="1776" t="str">
        <f>"Beef Chili Dry 1 / " &amp; COUNTIF($C$53:$C$55, "&gt;0")</f>
        <v>Beef Chili Dry 1 / 1</v>
      </c>
      <c r="C63" s="1776"/>
      <c r="D63" s="1776"/>
      <c r="E63" s="1776"/>
      <c r="F63" s="1776"/>
      <c r="G63" s="1776"/>
      <c r="H63" s="1776"/>
      <c r="K63" s="890"/>
    </row>
    <row r="64" spans="1:11" ht="38.25" x14ac:dyDescent="0.2">
      <c r="A64" s="933" t="s">
        <v>864</v>
      </c>
      <c r="B64" s="923" t="s">
        <v>241</v>
      </c>
      <c r="C64" s="934" t="s">
        <v>242</v>
      </c>
      <c r="D64" s="923" t="s">
        <v>231</v>
      </c>
      <c r="E64" s="935" t="s">
        <v>234</v>
      </c>
      <c r="F64" s="935" t="s">
        <v>243</v>
      </c>
      <c r="G64" s="923" t="s">
        <v>244</v>
      </c>
      <c r="H64" s="936" t="s">
        <v>245</v>
      </c>
      <c r="K64" s="890"/>
    </row>
    <row r="65" spans="1:11" x14ac:dyDescent="0.2">
      <c r="A65" s="937" t="s">
        <v>873</v>
      </c>
      <c r="B65" s="938" t="str">
        <f t="shared" ref="B65:D88" si="13">B5</f>
        <v>Indian Meat Alana  - لحم هندى ألانا</v>
      </c>
      <c r="C65" s="938" t="str">
        <f t="shared" si="13"/>
        <v>gm</v>
      </c>
      <c r="D65" s="1127">
        <f t="shared" si="13"/>
        <v>6536.0784313725489</v>
      </c>
      <c r="E65" s="918">
        <f>H53</f>
        <v>3.7545402938095074</v>
      </c>
      <c r="F65" s="948">
        <f t="shared" ref="F65:F88" si="14">F5</f>
        <v>1</v>
      </c>
      <c r="G65" s="941">
        <f t="shared" ref="G65:G87" si="15">D65*E65</f>
        <v>24539.969834087475</v>
      </c>
      <c r="H65" s="943">
        <f t="shared" ref="H65:H87" si="16">G65*F65</f>
        <v>24539.969834087475</v>
      </c>
      <c r="K65" s="890"/>
    </row>
    <row r="66" spans="1:11" x14ac:dyDescent="0.25">
      <c r="A66" s="949" t="s">
        <v>866</v>
      </c>
      <c r="B66" s="938" t="str">
        <f t="shared" si="13"/>
        <v>Onion - بصل</v>
      </c>
      <c r="C66" s="938" t="str">
        <f t="shared" si="13"/>
        <v>gm</v>
      </c>
      <c r="D66" s="938">
        <f t="shared" si="13"/>
        <v>150</v>
      </c>
      <c r="E66" s="918">
        <f t="shared" ref="E66:E88" si="17">$C$53</f>
        <v>3.7546153846153882</v>
      </c>
      <c r="F66" s="948">
        <f t="shared" si="14"/>
        <v>0.95</v>
      </c>
      <c r="G66" s="941">
        <f t="shared" si="15"/>
        <v>563.19230769230819</v>
      </c>
      <c r="H66" s="943">
        <f t="shared" si="16"/>
        <v>535.03269230769274</v>
      </c>
      <c r="K66" s="890"/>
    </row>
    <row r="67" spans="1:11" x14ac:dyDescent="0.25">
      <c r="A67" s="949" t="s">
        <v>880</v>
      </c>
      <c r="B67" s="938" t="str">
        <f t="shared" si="13"/>
        <v>Green Bell Pepper - فلفل أخضر رومى</v>
      </c>
      <c r="C67" s="938" t="str">
        <f t="shared" si="13"/>
        <v>gm</v>
      </c>
      <c r="D67" s="938">
        <f t="shared" si="13"/>
        <v>300</v>
      </c>
      <c r="E67" s="918">
        <f t="shared" si="17"/>
        <v>3.7546153846153882</v>
      </c>
      <c r="F67" s="948">
        <f t="shared" si="14"/>
        <v>0.95</v>
      </c>
      <c r="G67" s="941">
        <f t="shared" si="15"/>
        <v>1126.3846153846164</v>
      </c>
      <c r="H67" s="943">
        <f t="shared" si="16"/>
        <v>1070.0653846153855</v>
      </c>
      <c r="K67" s="890"/>
    </row>
    <row r="68" spans="1:11" x14ac:dyDescent="0.25">
      <c r="A68" s="949" t="s">
        <v>867</v>
      </c>
      <c r="B68" s="938" t="str">
        <f t="shared" si="13"/>
        <v>Ginger - زنجبيل</v>
      </c>
      <c r="C68" s="938" t="str">
        <f t="shared" si="13"/>
        <v>gm</v>
      </c>
      <c r="D68" s="938">
        <f t="shared" si="13"/>
        <v>50</v>
      </c>
      <c r="E68" s="918">
        <f t="shared" si="17"/>
        <v>3.7546153846153882</v>
      </c>
      <c r="F68" s="948">
        <f t="shared" si="14"/>
        <v>1</v>
      </c>
      <c r="G68" s="941">
        <f t="shared" si="15"/>
        <v>187.73076923076943</v>
      </c>
      <c r="H68" s="943">
        <f t="shared" si="16"/>
        <v>187.73076923076943</v>
      </c>
      <c r="K68" s="890"/>
    </row>
    <row r="69" spans="1:11" x14ac:dyDescent="0.25">
      <c r="A69" s="949" t="s">
        <v>868</v>
      </c>
      <c r="B69" s="938" t="str">
        <f t="shared" si="13"/>
        <v>Garlic - ثوم مقشر</v>
      </c>
      <c r="C69" s="938" t="str">
        <f t="shared" si="13"/>
        <v>gm</v>
      </c>
      <c r="D69" s="938">
        <f t="shared" si="13"/>
        <v>50</v>
      </c>
      <c r="E69" s="918">
        <f t="shared" si="17"/>
        <v>3.7546153846153882</v>
      </c>
      <c r="F69" s="948">
        <f t="shared" si="14"/>
        <v>1</v>
      </c>
      <c r="G69" s="941">
        <f t="shared" si="15"/>
        <v>187.73076923076943</v>
      </c>
      <c r="H69" s="943">
        <f t="shared" si="16"/>
        <v>187.73076923076943</v>
      </c>
      <c r="K69" s="890"/>
    </row>
    <row r="70" spans="1:11" x14ac:dyDescent="0.25">
      <c r="A70" s="949"/>
      <c r="B70" s="938" t="str">
        <f t="shared" si="13"/>
        <v>Sriracha Sauce - صوص سريراتشا</v>
      </c>
      <c r="C70" s="938" t="str">
        <f t="shared" si="13"/>
        <v>ml</v>
      </c>
      <c r="D70" s="938">
        <f t="shared" si="13"/>
        <v>50</v>
      </c>
      <c r="E70" s="918">
        <f t="shared" si="17"/>
        <v>3.7546153846153882</v>
      </c>
      <c r="F70" s="948">
        <f t="shared" si="14"/>
        <v>0.75</v>
      </c>
      <c r="G70" s="941">
        <f t="shared" si="15"/>
        <v>187.73076923076943</v>
      </c>
      <c r="H70" s="943">
        <f t="shared" si="16"/>
        <v>140.79807692307708</v>
      </c>
      <c r="K70" s="890"/>
    </row>
    <row r="71" spans="1:11" x14ac:dyDescent="0.25">
      <c r="A71" s="949"/>
      <c r="B71" s="938" t="str">
        <f t="shared" si="13"/>
        <v>Light Soy Sauce - صويا صوص خفيف</v>
      </c>
      <c r="C71" s="938" t="str">
        <f t="shared" si="13"/>
        <v>ml</v>
      </c>
      <c r="D71" s="938">
        <f t="shared" si="13"/>
        <v>40</v>
      </c>
      <c r="E71" s="918">
        <f t="shared" si="17"/>
        <v>3.7546153846153882</v>
      </c>
      <c r="F71" s="948">
        <f t="shared" si="14"/>
        <v>0.75</v>
      </c>
      <c r="G71" s="941">
        <f t="shared" si="15"/>
        <v>150.18461538461554</v>
      </c>
      <c r="H71" s="943">
        <f t="shared" si="16"/>
        <v>112.63846153846166</v>
      </c>
      <c r="K71" s="890"/>
    </row>
    <row r="72" spans="1:11" x14ac:dyDescent="0.25">
      <c r="A72" s="949"/>
      <c r="B72" s="938" t="str">
        <f t="shared" si="13"/>
        <v>Oyster Sauce - صوص محار</v>
      </c>
      <c r="C72" s="938" t="str">
        <f t="shared" si="13"/>
        <v>ml</v>
      </c>
      <c r="D72" s="938">
        <f t="shared" si="13"/>
        <v>200</v>
      </c>
      <c r="E72" s="918">
        <f t="shared" si="17"/>
        <v>3.7546153846153882</v>
      </c>
      <c r="F72" s="948">
        <f t="shared" si="14"/>
        <v>0.95</v>
      </c>
      <c r="G72" s="941">
        <f t="shared" si="15"/>
        <v>750.9230769230777</v>
      </c>
      <c r="H72" s="943">
        <f t="shared" si="16"/>
        <v>713.37692307692373</v>
      </c>
      <c r="K72" s="890"/>
    </row>
    <row r="73" spans="1:11" x14ac:dyDescent="0.25">
      <c r="A73" s="949"/>
      <c r="B73" s="938" t="str">
        <f t="shared" si="13"/>
        <v>Sweet Soy Sauce - صويا صوص حلو</v>
      </c>
      <c r="C73" s="938" t="str">
        <f t="shared" si="13"/>
        <v>ml</v>
      </c>
      <c r="D73" s="938">
        <f t="shared" si="13"/>
        <v>50</v>
      </c>
      <c r="E73" s="918">
        <f t="shared" si="17"/>
        <v>3.7546153846153882</v>
      </c>
      <c r="F73" s="948">
        <f t="shared" si="14"/>
        <v>0.95</v>
      </c>
      <c r="G73" s="941">
        <f t="shared" si="15"/>
        <v>187.73076923076943</v>
      </c>
      <c r="H73" s="943">
        <f t="shared" si="16"/>
        <v>178.34423076923093</v>
      </c>
      <c r="K73" s="890"/>
    </row>
    <row r="74" spans="1:11" x14ac:dyDescent="0.25">
      <c r="A74" s="949"/>
      <c r="B74" s="938" t="str">
        <f t="shared" si="13"/>
        <v>Water - ماء</v>
      </c>
      <c r="C74" s="938" t="str">
        <f t="shared" si="13"/>
        <v>ml</v>
      </c>
      <c r="D74" s="938">
        <f t="shared" si="13"/>
        <v>15</v>
      </c>
      <c r="E74" s="918">
        <f t="shared" si="17"/>
        <v>3.7546153846153882</v>
      </c>
      <c r="F74" s="948">
        <f t="shared" si="14"/>
        <v>1</v>
      </c>
      <c r="G74" s="941">
        <f t="shared" si="15"/>
        <v>56.31923076923082</v>
      </c>
      <c r="H74" s="943">
        <f t="shared" si="16"/>
        <v>56.31923076923082</v>
      </c>
      <c r="K74" s="890"/>
    </row>
    <row r="75" spans="1:11" ht="25.5" x14ac:dyDescent="0.25">
      <c r="A75" s="949"/>
      <c r="B75" s="938" t="str">
        <f t="shared" si="13"/>
        <v>Black Pepper Powder - فلفل أسود مطحون</v>
      </c>
      <c r="C75" s="938" t="str">
        <f t="shared" si="13"/>
        <v>gm</v>
      </c>
      <c r="D75" s="938">
        <f t="shared" si="13"/>
        <v>2</v>
      </c>
      <c r="E75" s="918">
        <f t="shared" si="17"/>
        <v>3.7546153846153882</v>
      </c>
      <c r="F75" s="948">
        <f t="shared" si="14"/>
        <v>1</v>
      </c>
      <c r="G75" s="941">
        <f t="shared" si="15"/>
        <v>7.5092307692307765</v>
      </c>
      <c r="H75" s="943">
        <f t="shared" si="16"/>
        <v>7.5092307692307765</v>
      </c>
      <c r="K75" s="890"/>
    </row>
    <row r="76" spans="1:11" x14ac:dyDescent="0.25">
      <c r="A76" s="949"/>
      <c r="B76" s="938" t="str">
        <f t="shared" si="13"/>
        <v>Corn Starch - نشا ذرة</v>
      </c>
      <c r="C76" s="938" t="str">
        <f t="shared" si="13"/>
        <v>gm</v>
      </c>
      <c r="D76" s="938">
        <f t="shared" si="13"/>
        <v>25</v>
      </c>
      <c r="E76" s="918">
        <f t="shared" si="17"/>
        <v>3.7546153846153882</v>
      </c>
      <c r="F76" s="948">
        <f t="shared" si="14"/>
        <v>0.75</v>
      </c>
      <c r="G76" s="941">
        <f t="shared" si="15"/>
        <v>93.865384615384713</v>
      </c>
      <c r="H76" s="943">
        <f t="shared" si="16"/>
        <v>70.399038461538538</v>
      </c>
      <c r="K76" s="890"/>
    </row>
    <row r="77" spans="1:11" x14ac:dyDescent="0.25">
      <c r="A77" s="949"/>
      <c r="B77" s="938" t="str">
        <f t="shared" si="13"/>
        <v>Sugar - سكر</v>
      </c>
      <c r="C77" s="938" t="str">
        <f t="shared" si="13"/>
        <v>gm</v>
      </c>
      <c r="D77" s="938">
        <f t="shared" si="13"/>
        <v>15</v>
      </c>
      <c r="E77" s="918">
        <f t="shared" si="17"/>
        <v>3.7546153846153882</v>
      </c>
      <c r="F77" s="948">
        <f t="shared" si="14"/>
        <v>1</v>
      </c>
      <c r="G77" s="941">
        <f t="shared" si="15"/>
        <v>56.31923076923082</v>
      </c>
      <c r="H77" s="943">
        <f t="shared" si="16"/>
        <v>56.31923076923082</v>
      </c>
      <c r="K77" s="890"/>
    </row>
    <row r="78" spans="1:11" x14ac:dyDescent="0.25">
      <c r="A78" s="949"/>
      <c r="B78" s="938" t="str">
        <f t="shared" si="13"/>
        <v>Salt - ملح</v>
      </c>
      <c r="C78" s="938" t="str">
        <f t="shared" si="13"/>
        <v>gm</v>
      </c>
      <c r="D78" s="938">
        <f t="shared" si="13"/>
        <v>3</v>
      </c>
      <c r="E78" s="918">
        <f t="shared" si="17"/>
        <v>3.7546153846153882</v>
      </c>
      <c r="F78" s="948">
        <f t="shared" si="14"/>
        <v>1</v>
      </c>
      <c r="G78" s="941">
        <f t="shared" si="15"/>
        <v>11.263846153846165</v>
      </c>
      <c r="H78" s="943">
        <f t="shared" si="16"/>
        <v>11.263846153846165</v>
      </c>
      <c r="K78" s="890"/>
    </row>
    <row r="79" spans="1:11" x14ac:dyDescent="0.25">
      <c r="A79" s="949"/>
      <c r="B79" s="938" t="str">
        <f t="shared" si="13"/>
        <v>Butter - زبدة</v>
      </c>
      <c r="C79" s="938" t="str">
        <f t="shared" si="13"/>
        <v>gm</v>
      </c>
      <c r="D79" s="938">
        <f t="shared" si="13"/>
        <v>30</v>
      </c>
      <c r="E79" s="918">
        <f t="shared" si="17"/>
        <v>3.7546153846153882</v>
      </c>
      <c r="F79" s="948">
        <f t="shared" si="14"/>
        <v>1</v>
      </c>
      <c r="G79" s="941">
        <f t="shared" si="15"/>
        <v>112.63846153846164</v>
      </c>
      <c r="H79" s="943">
        <f t="shared" si="16"/>
        <v>112.63846153846164</v>
      </c>
      <c r="K79" s="890"/>
    </row>
    <row r="80" spans="1:11" x14ac:dyDescent="0.25">
      <c r="A80" s="949"/>
      <c r="B80" s="938" t="str">
        <f t="shared" si="13"/>
        <v>Black Pepper Whole - فلفل أسود حب</v>
      </c>
      <c r="C80" s="938" t="str">
        <f t="shared" si="13"/>
        <v>gm</v>
      </c>
      <c r="D80" s="938">
        <f t="shared" si="13"/>
        <v>2</v>
      </c>
      <c r="E80" s="918">
        <f t="shared" si="17"/>
        <v>3.7546153846153882</v>
      </c>
      <c r="F80" s="948">
        <f t="shared" si="14"/>
        <v>1</v>
      </c>
      <c r="G80" s="941">
        <f t="shared" si="15"/>
        <v>7.5092307692307765</v>
      </c>
      <c r="H80" s="943">
        <f t="shared" si="16"/>
        <v>7.5092307692307765</v>
      </c>
      <c r="K80" s="890"/>
    </row>
    <row r="81" spans="1:11" x14ac:dyDescent="0.25">
      <c r="A81" s="949"/>
      <c r="B81" s="938" t="str">
        <f t="shared" si="13"/>
        <v>Cumin Whole - كمون حب</v>
      </c>
      <c r="C81" s="938" t="str">
        <f t="shared" si="13"/>
        <v>gm</v>
      </c>
      <c r="D81" s="938">
        <f t="shared" si="13"/>
        <v>2</v>
      </c>
      <c r="E81" s="918">
        <f t="shared" si="17"/>
        <v>3.7546153846153882</v>
      </c>
      <c r="F81" s="948">
        <f t="shared" si="14"/>
        <v>1</v>
      </c>
      <c r="G81" s="941">
        <f t="shared" si="15"/>
        <v>7.5092307692307765</v>
      </c>
      <c r="H81" s="943">
        <f t="shared" si="16"/>
        <v>7.5092307692307765</v>
      </c>
      <c r="K81" s="890"/>
    </row>
    <row r="82" spans="1:11" x14ac:dyDescent="0.25">
      <c r="A82" s="949"/>
      <c r="B82" s="938" t="str">
        <f t="shared" si="13"/>
        <v>Cloves Whole - قرنفل حب</v>
      </c>
      <c r="C82" s="938" t="str">
        <f t="shared" si="13"/>
        <v>gm</v>
      </c>
      <c r="D82" s="938">
        <f t="shared" si="13"/>
        <v>2</v>
      </c>
      <c r="E82" s="918">
        <f t="shared" si="17"/>
        <v>3.7546153846153882</v>
      </c>
      <c r="F82" s="948">
        <f t="shared" si="14"/>
        <v>1</v>
      </c>
      <c r="G82" s="941">
        <f t="shared" si="15"/>
        <v>7.5092307692307765</v>
      </c>
      <c r="H82" s="943">
        <f t="shared" si="16"/>
        <v>7.5092307692307765</v>
      </c>
      <c r="K82" s="890"/>
    </row>
    <row r="83" spans="1:11" x14ac:dyDescent="0.25">
      <c r="A83" s="949"/>
      <c r="B83" s="938" t="str">
        <f t="shared" si="13"/>
        <v>Cinnamon Whole - قرفة أعواد</v>
      </c>
      <c r="C83" s="938" t="str">
        <f t="shared" si="13"/>
        <v>gm</v>
      </c>
      <c r="D83" s="938">
        <f t="shared" si="13"/>
        <v>2</v>
      </c>
      <c r="E83" s="918">
        <f t="shared" si="17"/>
        <v>3.7546153846153882</v>
      </c>
      <c r="F83" s="948">
        <f t="shared" si="14"/>
        <v>1</v>
      </c>
      <c r="G83" s="941">
        <f t="shared" si="15"/>
        <v>7.5092307692307765</v>
      </c>
      <c r="H83" s="943">
        <f t="shared" si="16"/>
        <v>7.5092307692307765</v>
      </c>
      <c r="K83" s="890"/>
    </row>
    <row r="84" spans="1:11" x14ac:dyDescent="0.25">
      <c r="A84" s="949"/>
      <c r="B84" s="938" t="str">
        <f t="shared" si="13"/>
        <v>Cardamom Whole - هيل حب</v>
      </c>
      <c r="C84" s="938" t="str">
        <f t="shared" si="13"/>
        <v>gm</v>
      </c>
      <c r="D84" s="938">
        <f t="shared" si="13"/>
        <v>2</v>
      </c>
      <c r="E84" s="918">
        <f t="shared" si="17"/>
        <v>3.7546153846153882</v>
      </c>
      <c r="F84" s="948">
        <f t="shared" si="14"/>
        <v>1</v>
      </c>
      <c r="G84" s="941">
        <f t="shared" si="15"/>
        <v>7.5092307692307765</v>
      </c>
      <c r="H84" s="943">
        <f t="shared" si="16"/>
        <v>7.5092307692307765</v>
      </c>
      <c r="K84" s="890"/>
    </row>
    <row r="85" spans="1:11" x14ac:dyDescent="0.25">
      <c r="A85" s="949"/>
      <c r="B85" s="938" t="str">
        <f t="shared" si="13"/>
        <v>Star Anise - ينسون نجمي</v>
      </c>
      <c r="C85" s="938" t="str">
        <f t="shared" si="13"/>
        <v>gm</v>
      </c>
      <c r="D85" s="938">
        <f t="shared" si="13"/>
        <v>1</v>
      </c>
      <c r="E85" s="918">
        <f t="shared" si="17"/>
        <v>3.7546153846153882</v>
      </c>
      <c r="F85" s="948">
        <f t="shared" si="14"/>
        <v>1</v>
      </c>
      <c r="G85" s="941">
        <f t="shared" si="15"/>
        <v>3.7546153846153882</v>
      </c>
      <c r="H85" s="943">
        <f t="shared" si="16"/>
        <v>3.7546153846153882</v>
      </c>
      <c r="K85" s="890"/>
    </row>
    <row r="86" spans="1:11" x14ac:dyDescent="0.25">
      <c r="A86" s="949"/>
      <c r="B86" s="938" t="str">
        <f t="shared" si="13"/>
        <v>Salt - ملح</v>
      </c>
      <c r="C86" s="938" t="str">
        <f t="shared" si="13"/>
        <v>gm</v>
      </c>
      <c r="D86" s="938">
        <f t="shared" si="13"/>
        <v>5</v>
      </c>
      <c r="E86" s="918">
        <f t="shared" si="17"/>
        <v>3.7546153846153882</v>
      </c>
      <c r="F86" s="948">
        <f t="shared" si="14"/>
        <v>1</v>
      </c>
      <c r="G86" s="941">
        <f t="shared" si="15"/>
        <v>18.773076923076943</v>
      </c>
      <c r="H86" s="943">
        <f t="shared" si="16"/>
        <v>18.773076923076943</v>
      </c>
      <c r="K86" s="890"/>
    </row>
    <row r="87" spans="1:11" x14ac:dyDescent="0.25">
      <c r="A87" s="949" t="s">
        <v>868</v>
      </c>
      <c r="B87" s="938" t="str">
        <f t="shared" si="13"/>
        <v>Garlic - ثوم مقشر</v>
      </c>
      <c r="C87" s="938" t="str">
        <f t="shared" si="13"/>
        <v>gm</v>
      </c>
      <c r="D87" s="938">
        <f t="shared" si="13"/>
        <v>5</v>
      </c>
      <c r="E87" s="918">
        <f t="shared" si="17"/>
        <v>3.7546153846153882</v>
      </c>
      <c r="F87" s="948">
        <f t="shared" si="14"/>
        <v>1</v>
      </c>
      <c r="G87" s="941">
        <f t="shared" si="15"/>
        <v>18.773076923076943</v>
      </c>
      <c r="H87" s="943">
        <f t="shared" si="16"/>
        <v>18.773076923076943</v>
      </c>
      <c r="K87" s="890"/>
    </row>
    <row r="88" spans="1:11" x14ac:dyDescent="0.25">
      <c r="A88" s="949"/>
      <c r="B88" s="938" t="str">
        <f t="shared" si="13"/>
        <v>Beef Stock - مرق لحم بقري</v>
      </c>
      <c r="C88" s="938" t="str">
        <f t="shared" si="13"/>
        <v>ml</v>
      </c>
      <c r="D88" s="938">
        <f t="shared" si="13"/>
        <v>300</v>
      </c>
      <c r="E88" s="918">
        <f t="shared" si="17"/>
        <v>3.7546153846153882</v>
      </c>
      <c r="F88" s="948">
        <f t="shared" si="14"/>
        <v>1</v>
      </c>
      <c r="G88" s="941">
        <f t="shared" ref="G88" si="18">D88*E88</f>
        <v>1126.3846153846164</v>
      </c>
      <c r="H88" s="943">
        <f t="shared" ref="H88" si="19">G88*F88</f>
        <v>1126.3846153846164</v>
      </c>
      <c r="K88" s="890"/>
    </row>
    <row r="89" spans="1:11" ht="20.25" x14ac:dyDescent="0.3">
      <c r="A89" s="1070"/>
      <c r="B89" s="1041" t="s">
        <v>287</v>
      </c>
      <c r="C89" s="1042" t="s">
        <v>273</v>
      </c>
      <c r="D89" s="1043"/>
      <c r="E89" s="1044" t="s">
        <v>288</v>
      </c>
      <c r="F89" s="1043"/>
      <c r="G89" s="1045" t="s">
        <v>264</v>
      </c>
      <c r="H89" s="1046" t="s">
        <v>661</v>
      </c>
      <c r="I89" s="142"/>
      <c r="J89" s="141"/>
      <c r="K89" s="890"/>
    </row>
    <row r="90" spans="1:11" ht="20.25" x14ac:dyDescent="0.3">
      <c r="A90" s="1070"/>
      <c r="B90" s="1047">
        <f>$J$53</f>
        <v>12515.384615384612</v>
      </c>
      <c r="C90" s="1048">
        <f>E90+G90</f>
        <v>3754.6153846153884</v>
      </c>
      <c r="D90" s="1049"/>
      <c r="E90" s="1047">
        <f>$D$53*$S$44</f>
        <v>3754.6153846153884</v>
      </c>
      <c r="F90" s="1050"/>
      <c r="G90" s="1048">
        <f>$D$53*$T$44</f>
        <v>0</v>
      </c>
      <c r="H90" s="1047">
        <f>B90+E90</f>
        <v>16270</v>
      </c>
      <c r="K90" s="890"/>
    </row>
  </sheetData>
  <mergeCells count="8">
    <mergeCell ref="B62:H62"/>
    <mergeCell ref="B63:H63"/>
    <mergeCell ref="B2:J3"/>
    <mergeCell ref="AE2:AG3"/>
    <mergeCell ref="R26:U26"/>
    <mergeCell ref="R25:U25"/>
    <mergeCell ref="K2:K3"/>
    <mergeCell ref="B35:F35"/>
  </mergeCells>
  <printOptions horizontalCentered="1"/>
  <pageMargins left="0.5" right="0.5" top="1" bottom="0.5" header="0.3" footer="0.511811023622047"/>
  <pageSetup paperSize="9" scale="28"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B050"/>
    <pageSetUpPr fitToPage="1"/>
  </sheetPr>
  <dimension ref="A1:AE148"/>
  <sheetViews>
    <sheetView topLeftCell="A112" zoomScale="40" zoomScaleNormal="40" workbookViewId="0">
      <selection activeCell="A131" sqref="A131:A138"/>
    </sheetView>
  </sheetViews>
  <sheetFormatPr defaultColWidth="12.5" defaultRowHeight="15" x14ac:dyDescent="0.25"/>
  <cols>
    <col min="1" max="1" width="18.625" style="1" customWidth="1"/>
    <col min="2" max="2" width="25.875" customWidth="1"/>
    <col min="3" max="3" width="18.625" customWidth="1"/>
    <col min="4" max="6" width="25.875" customWidth="1"/>
    <col min="7" max="7" width="18.625" customWidth="1"/>
    <col min="8" max="8" width="25.875" customWidth="1"/>
    <col min="9" max="10" width="18.625" customWidth="1"/>
    <col min="11" max="11" width="25.875" customWidth="1"/>
    <col min="12" max="12" width="12.625" customWidth="1"/>
    <col min="13" max="14" width="4.5" customWidth="1"/>
    <col min="15" max="15" width="18.625" customWidth="1"/>
    <col min="16" max="16" width="8.625" customWidth="1"/>
    <col min="17" max="17" width="18.625" customWidth="1"/>
    <col min="18" max="18" width="25.875" customWidth="1"/>
    <col min="19" max="19" width="12.625" customWidth="1"/>
    <col min="20" max="20" width="25.875" customWidth="1"/>
    <col min="21" max="22" width="12.625" customWidth="1"/>
    <col min="23" max="23" width="25.875" customWidth="1"/>
    <col min="25" max="25" width="8.625" customWidth="1"/>
    <col min="26" max="28" width="12.625" customWidth="1"/>
    <col min="29" max="29" width="18.625" customWidth="1"/>
    <col min="30" max="31" width="12.625" customWidth="1"/>
  </cols>
  <sheetData>
    <row r="1" spans="1:30" ht="25.5" x14ac:dyDescent="0.25">
      <c r="B1" s="913" t="s">
        <v>231</v>
      </c>
      <c r="C1" s="914">
        <v>1000</v>
      </c>
      <c r="D1" s="915" t="s">
        <v>232</v>
      </c>
      <c r="E1" s="941">
        <f>T32</f>
        <v>20449.000000000004</v>
      </c>
      <c r="F1" s="913" t="s">
        <v>233</v>
      </c>
      <c r="G1" s="944">
        <f>E1/C1</f>
        <v>20.449000000000005</v>
      </c>
      <c r="H1" s="913" t="s">
        <v>234</v>
      </c>
      <c r="I1" s="1142">
        <f>(G1/K1)</f>
        <v>21.525263157894742</v>
      </c>
      <c r="J1" s="919" t="s">
        <v>235</v>
      </c>
      <c r="K1" s="1143">
        <f>9.5/10</f>
        <v>0.95</v>
      </c>
      <c r="L1" s="80"/>
      <c r="M1" s="70"/>
      <c r="N1" s="922"/>
      <c r="O1" s="923" t="s">
        <v>236</v>
      </c>
      <c r="P1" s="914" t="s">
        <v>289</v>
      </c>
      <c r="Q1" s="924" t="s">
        <v>238</v>
      </c>
      <c r="R1" s="914">
        <v>0.51</v>
      </c>
      <c r="T1" s="830"/>
      <c r="W1" s="830"/>
      <c r="Y1" s="923" t="s">
        <v>444</v>
      </c>
      <c r="Z1" s="925">
        <v>21970</v>
      </c>
      <c r="AA1" s="923" t="s">
        <v>544</v>
      </c>
      <c r="AB1" s="925">
        <v>1000</v>
      </c>
      <c r="AC1" s="923" t="s">
        <v>537</v>
      </c>
      <c r="AD1" s="925">
        <v>163</v>
      </c>
    </row>
    <row r="2" spans="1:30" ht="15.75" x14ac:dyDescent="0.25">
      <c r="A2" s="860"/>
      <c r="B2" s="1784" t="s">
        <v>303</v>
      </c>
      <c r="C2" s="1787"/>
      <c r="D2" s="1788"/>
      <c r="E2" s="1788"/>
      <c r="F2" s="1788"/>
      <c r="G2" s="1787"/>
      <c r="H2" s="1788"/>
      <c r="I2" s="1787"/>
      <c r="J2" s="1787"/>
      <c r="K2" s="1788"/>
      <c r="L2" s="78"/>
      <c r="Q2" s="80"/>
      <c r="R2" s="80"/>
      <c r="T2" s="830"/>
      <c r="W2" s="830"/>
    </row>
    <row r="3" spans="1:30" ht="15.75" x14ac:dyDescent="0.25">
      <c r="A3" s="860"/>
      <c r="B3" s="1785"/>
      <c r="C3" s="1796"/>
      <c r="D3" s="1785"/>
      <c r="E3" s="1785"/>
      <c r="F3" s="1785"/>
      <c r="G3" s="1796"/>
      <c r="H3" s="1785"/>
      <c r="I3" s="1796"/>
      <c r="J3" s="1796"/>
      <c r="K3" s="1785"/>
      <c r="L3" s="78"/>
      <c r="Q3" s="80"/>
      <c r="R3" s="80"/>
      <c r="T3" s="830"/>
      <c r="W3" s="830"/>
    </row>
    <row r="4" spans="1:30" ht="38.25" x14ac:dyDescent="0.2">
      <c r="A4" s="933" t="s">
        <v>864</v>
      </c>
      <c r="B4" s="923" t="s">
        <v>241</v>
      </c>
      <c r="C4" s="934" t="s">
        <v>242</v>
      </c>
      <c r="D4" s="923" t="s">
        <v>231</v>
      </c>
      <c r="E4" s="935" t="s">
        <v>234</v>
      </c>
      <c r="F4" s="935" t="s">
        <v>243</v>
      </c>
      <c r="G4" s="923" t="s">
        <v>244</v>
      </c>
      <c r="H4" s="936" t="s">
        <v>245</v>
      </c>
      <c r="I4" s="923" t="s">
        <v>246</v>
      </c>
      <c r="J4" s="923" t="s">
        <v>247</v>
      </c>
      <c r="K4" s="923" t="s">
        <v>248</v>
      </c>
      <c r="L4" s="923" t="s">
        <v>249</v>
      </c>
      <c r="R4" s="830"/>
      <c r="T4" s="830"/>
      <c r="W4" s="830"/>
      <c r="AA4" s="169"/>
      <c r="AB4" s="171"/>
    </row>
    <row r="5" spans="1:30" ht="28.5" x14ac:dyDescent="0.2">
      <c r="A5" s="937" t="s">
        <v>872</v>
      </c>
      <c r="B5" s="1068" t="s">
        <v>223</v>
      </c>
      <c r="C5" s="947" t="s">
        <v>14</v>
      </c>
      <c r="D5" s="944">
        <f>I51/10</f>
        <v>1620.7843137254902</v>
      </c>
      <c r="E5" s="944">
        <f>H52</f>
        <v>20.445197193322038</v>
      </c>
      <c r="F5" s="948">
        <v>1</v>
      </c>
      <c r="G5" s="940">
        <f t="shared" ref="G5:G19" si="0">D5*E5</f>
        <v>33137.254901960776</v>
      </c>
      <c r="H5" s="943">
        <f t="shared" ref="H5:H19" si="1">G5*F5</f>
        <v>33137.254901960776</v>
      </c>
      <c r="I5" s="914">
        <f>VLOOKUP(B5,All_Ingredients!$A$1:$F$161,6,FALSE())</f>
        <v>0.55000000000000004</v>
      </c>
      <c r="J5" s="940">
        <f>VLOOKUP(B5,All_Ingredients!$A$1:$J$161,10,FALSE())</f>
        <v>14.361111111111111</v>
      </c>
      <c r="K5" s="945">
        <f t="shared" ref="K5" si="2">(H5/I5)/1000</f>
        <v>60.249554367201405</v>
      </c>
      <c r="L5" s="945">
        <f t="shared" ref="L5" si="3">K5*J5</f>
        <v>865.25054466230904</v>
      </c>
      <c r="R5" s="830"/>
      <c r="T5" s="830"/>
      <c r="W5" s="830"/>
      <c r="AA5" s="73"/>
      <c r="AB5" s="89"/>
    </row>
    <row r="6" spans="1:30" x14ac:dyDescent="0.25">
      <c r="A6" s="1117" t="s">
        <v>881</v>
      </c>
      <c r="B6" s="1068" t="s">
        <v>12</v>
      </c>
      <c r="C6" s="947" t="s">
        <v>14</v>
      </c>
      <c r="D6" s="914">
        <v>150</v>
      </c>
      <c r="E6" s="944">
        <f t="shared" ref="E6:E19" si="4">$I$1</f>
        <v>21.525263157894742</v>
      </c>
      <c r="F6" s="948">
        <v>1</v>
      </c>
      <c r="G6" s="940">
        <f t="shared" si="0"/>
        <v>3228.7894736842113</v>
      </c>
      <c r="H6" s="943">
        <f t="shared" si="1"/>
        <v>3228.7894736842113</v>
      </c>
      <c r="I6" s="914">
        <f>VLOOKUP(B6,All_Ingredients!$A$1:$F$161,6,FALSE())</f>
        <v>0.9</v>
      </c>
      <c r="J6" s="940">
        <f>VLOOKUP(B6,All_Ingredients!$A$1:$J$161,10,FALSE())</f>
        <v>3</v>
      </c>
      <c r="K6" s="945">
        <f t="shared" ref="K6:K19" si="5">(H6/I6)/1000</f>
        <v>3.5875438596491236</v>
      </c>
      <c r="L6" s="945">
        <f t="shared" ref="L6:L19" si="6">K6*J6</f>
        <v>10.762631578947371</v>
      </c>
      <c r="R6" s="830"/>
      <c r="T6" s="830"/>
      <c r="W6" s="830"/>
    </row>
    <row r="7" spans="1:30" x14ac:dyDescent="0.25">
      <c r="A7" s="1117" t="s">
        <v>870</v>
      </c>
      <c r="B7" s="1068" t="s">
        <v>17</v>
      </c>
      <c r="C7" s="947" t="s">
        <v>14</v>
      </c>
      <c r="D7" s="914">
        <v>400</v>
      </c>
      <c r="E7" s="944">
        <f t="shared" si="4"/>
        <v>21.525263157894742</v>
      </c>
      <c r="F7" s="948">
        <v>1</v>
      </c>
      <c r="G7" s="940">
        <f t="shared" si="0"/>
        <v>8610.1052631578968</v>
      </c>
      <c r="H7" s="943">
        <f t="shared" si="1"/>
        <v>8610.1052631578968</v>
      </c>
      <c r="I7" s="914">
        <f>VLOOKUP(B7,All_Ingredients!$A$1:$F$161,6,FALSE())</f>
        <v>0.98</v>
      </c>
      <c r="J7" s="940">
        <f>VLOOKUP(B7,All_Ingredients!$A$1:$J$161,10,FALSE())</f>
        <v>3.5</v>
      </c>
      <c r="K7" s="945">
        <f t="shared" si="5"/>
        <v>8.7858216970998946</v>
      </c>
      <c r="L7" s="945">
        <f t="shared" si="6"/>
        <v>30.750375939849633</v>
      </c>
      <c r="R7" s="830"/>
      <c r="T7" s="830"/>
      <c r="W7" s="830"/>
    </row>
    <row r="8" spans="1:30" x14ac:dyDescent="0.25">
      <c r="A8" s="1117" t="s">
        <v>868</v>
      </c>
      <c r="B8" s="1068" t="s">
        <v>706</v>
      </c>
      <c r="C8" s="947" t="s">
        <v>14</v>
      </c>
      <c r="D8" s="914">
        <v>35</v>
      </c>
      <c r="E8" s="944">
        <f t="shared" si="4"/>
        <v>21.525263157894742</v>
      </c>
      <c r="F8" s="948">
        <v>1</v>
      </c>
      <c r="G8" s="940">
        <f t="shared" si="0"/>
        <v>753.384210526316</v>
      </c>
      <c r="H8" s="943">
        <f t="shared" si="1"/>
        <v>753.384210526316</v>
      </c>
      <c r="I8" s="914">
        <f>VLOOKUP(B8,All_Ingredients!$A$1:$F$161,6,FALSE())</f>
        <v>1</v>
      </c>
      <c r="J8" s="940">
        <f>VLOOKUP(B8,All_Ingredients!$A$1:$J$161,10,FALSE())</f>
        <v>10.5</v>
      </c>
      <c r="K8" s="945">
        <f t="shared" si="5"/>
        <v>0.75338421052631599</v>
      </c>
      <c r="L8" s="945">
        <f t="shared" si="6"/>
        <v>7.9105342105263183</v>
      </c>
      <c r="R8" s="830"/>
      <c r="T8" s="830"/>
      <c r="W8" s="830"/>
    </row>
    <row r="9" spans="1:30" ht="28.5" x14ac:dyDescent="0.25">
      <c r="A9" s="1117"/>
      <c r="B9" s="1068" t="s">
        <v>99</v>
      </c>
      <c r="C9" s="947" t="s">
        <v>14</v>
      </c>
      <c r="D9" s="914">
        <v>3</v>
      </c>
      <c r="E9" s="944">
        <f t="shared" si="4"/>
        <v>21.525263157894742</v>
      </c>
      <c r="F9" s="948">
        <v>1</v>
      </c>
      <c r="G9" s="940">
        <f t="shared" si="0"/>
        <v>64.575789473684225</v>
      </c>
      <c r="H9" s="943">
        <f t="shared" si="1"/>
        <v>64.575789473684225</v>
      </c>
      <c r="I9" s="914">
        <f>VLOOKUP(B9,All_Ingredients!$A$1:$F$161,6,FALSE())</f>
        <v>1</v>
      </c>
      <c r="J9" s="940">
        <f>VLOOKUP(B9,All_Ingredients!$A$1:$J$161,10,FALSE())</f>
        <v>31</v>
      </c>
      <c r="K9" s="945">
        <f t="shared" si="5"/>
        <v>6.4575789473684225E-2</v>
      </c>
      <c r="L9" s="945">
        <f t="shared" si="6"/>
        <v>2.001849473684211</v>
      </c>
      <c r="R9" s="830"/>
      <c r="T9" s="830"/>
      <c r="W9" s="830"/>
    </row>
    <row r="10" spans="1:30" x14ac:dyDescent="0.25">
      <c r="A10" s="1117"/>
      <c r="B10" s="1068" t="s">
        <v>105</v>
      </c>
      <c r="C10" s="947" t="s">
        <v>14</v>
      </c>
      <c r="D10" s="914">
        <v>5</v>
      </c>
      <c r="E10" s="944">
        <f t="shared" si="4"/>
        <v>21.525263157894742</v>
      </c>
      <c r="F10" s="948">
        <v>0.75</v>
      </c>
      <c r="G10" s="940">
        <f t="shared" si="0"/>
        <v>107.62631578947371</v>
      </c>
      <c r="H10" s="943">
        <f t="shared" si="1"/>
        <v>80.719736842105277</v>
      </c>
      <c r="I10" s="914">
        <f>VLOOKUP(B10,All_Ingredients!$A$1:$F$161,6,FALSE())</f>
        <v>1</v>
      </c>
      <c r="J10" s="940">
        <f>VLOOKUP(B10,All_Ingredients!$A$1:$J$161,10,FALSE())</f>
        <v>15</v>
      </c>
      <c r="K10" s="945">
        <f t="shared" si="5"/>
        <v>8.0719736842105275E-2</v>
      </c>
      <c r="L10" s="945">
        <f t="shared" si="6"/>
        <v>1.2107960526315791</v>
      </c>
      <c r="R10" s="830"/>
      <c r="T10" s="830"/>
      <c r="W10" s="830"/>
    </row>
    <row r="11" spans="1:30" ht="28.5" x14ac:dyDescent="0.25">
      <c r="A11" s="1117"/>
      <c r="B11" s="1068" t="s">
        <v>107</v>
      </c>
      <c r="C11" s="947" t="s">
        <v>14</v>
      </c>
      <c r="D11" s="914">
        <v>5</v>
      </c>
      <c r="E11" s="944">
        <f t="shared" si="4"/>
        <v>21.525263157894742</v>
      </c>
      <c r="F11" s="948">
        <v>0.75</v>
      </c>
      <c r="G11" s="940">
        <f t="shared" si="0"/>
        <v>107.62631578947371</v>
      </c>
      <c r="H11" s="943">
        <f t="shared" si="1"/>
        <v>80.719736842105277</v>
      </c>
      <c r="I11" s="914">
        <f>VLOOKUP(B11,All_Ingredients!$A$1:$F$161,6,FALSE())</f>
        <v>1</v>
      </c>
      <c r="J11" s="940">
        <f>VLOOKUP(B11,All_Ingredients!$A$1:$J$161,10,FALSE())</f>
        <v>8</v>
      </c>
      <c r="K11" s="945">
        <f t="shared" si="5"/>
        <v>8.0719736842105275E-2</v>
      </c>
      <c r="L11" s="945">
        <f t="shared" si="6"/>
        <v>0.6457578947368422</v>
      </c>
      <c r="R11" s="830"/>
      <c r="T11" s="830"/>
      <c r="W11" s="830"/>
    </row>
    <row r="12" spans="1:30" ht="28.5" x14ac:dyDescent="0.25">
      <c r="A12" s="1117"/>
      <c r="B12" s="1068" t="s">
        <v>122</v>
      </c>
      <c r="C12" s="947" t="s">
        <v>14</v>
      </c>
      <c r="D12" s="914">
        <v>2</v>
      </c>
      <c r="E12" s="944">
        <f t="shared" si="4"/>
        <v>21.525263157894742</v>
      </c>
      <c r="F12" s="948">
        <v>0.75</v>
      </c>
      <c r="G12" s="940">
        <f t="shared" si="0"/>
        <v>43.050526315789483</v>
      </c>
      <c r="H12" s="943">
        <f t="shared" si="1"/>
        <v>32.287894736842112</v>
      </c>
      <c r="I12" s="914">
        <f>VLOOKUP(B12,All_Ingredients!$A$1:$F$161,6,FALSE())</f>
        <v>1</v>
      </c>
      <c r="J12" s="940">
        <f>VLOOKUP(B12,All_Ingredients!$A$1:$J$161,10,FALSE())</f>
        <v>14</v>
      </c>
      <c r="K12" s="945">
        <f t="shared" si="5"/>
        <v>3.2287894736842113E-2</v>
      </c>
      <c r="L12" s="945">
        <f t="shared" si="6"/>
        <v>0.45203052631578955</v>
      </c>
      <c r="R12" s="830"/>
      <c r="T12" s="830"/>
      <c r="W12" s="830"/>
    </row>
    <row r="13" spans="1:30" x14ac:dyDescent="0.25">
      <c r="A13" s="1117"/>
      <c r="B13" s="1068" t="s">
        <v>93</v>
      </c>
      <c r="C13" s="947" t="s">
        <v>14</v>
      </c>
      <c r="D13" s="914">
        <v>11</v>
      </c>
      <c r="E13" s="944">
        <f t="shared" si="4"/>
        <v>21.525263157894742</v>
      </c>
      <c r="F13" s="948">
        <v>0.75</v>
      </c>
      <c r="G13" s="940">
        <f t="shared" si="0"/>
        <v>236.77789473684214</v>
      </c>
      <c r="H13" s="943">
        <f t="shared" si="1"/>
        <v>177.58342105263159</v>
      </c>
      <c r="I13" s="914">
        <f>VLOOKUP(B13,All_Ingredients!$A$1:$F$161,6,FALSE())</f>
        <v>1</v>
      </c>
      <c r="J13" s="940">
        <f>VLOOKUP(B13,All_Ingredients!$A$1:$J$161,10,FALSE())</f>
        <v>0.74</v>
      </c>
      <c r="K13" s="945">
        <f t="shared" si="5"/>
        <v>0.17758342105263158</v>
      </c>
      <c r="L13" s="945">
        <f t="shared" si="6"/>
        <v>0.13141173157894737</v>
      </c>
      <c r="R13" s="830"/>
      <c r="T13" s="830"/>
      <c r="W13" s="830"/>
    </row>
    <row r="14" spans="1:30" x14ac:dyDescent="0.25">
      <c r="A14" s="1117"/>
      <c r="B14" s="1068" t="s">
        <v>678</v>
      </c>
      <c r="C14" s="947" t="s">
        <v>14</v>
      </c>
      <c r="D14" s="914">
        <v>250</v>
      </c>
      <c r="E14" s="944">
        <f t="shared" si="4"/>
        <v>21.525263157894742</v>
      </c>
      <c r="F14" s="948">
        <v>1</v>
      </c>
      <c r="G14" s="940">
        <f t="shared" si="0"/>
        <v>5381.3157894736851</v>
      </c>
      <c r="H14" s="943">
        <f t="shared" si="1"/>
        <v>5381.3157894736851</v>
      </c>
      <c r="I14" s="914">
        <f>VLOOKUP(B14,All_Ingredients!$A$1:$F$161,6,FALSE())</f>
        <v>1</v>
      </c>
      <c r="J14" s="940">
        <f>VLOOKUP(B14,All_Ingredients!$A$1:$J$161,10,FALSE())</f>
        <v>8.1520833333333336</v>
      </c>
      <c r="K14" s="945">
        <f t="shared" si="5"/>
        <v>5.3813157894736854</v>
      </c>
      <c r="L14" s="945">
        <f t="shared" si="6"/>
        <v>43.868934758771942</v>
      </c>
      <c r="R14" s="830"/>
      <c r="T14" s="830"/>
      <c r="W14" s="830"/>
    </row>
    <row r="15" spans="1:30" x14ac:dyDescent="0.25">
      <c r="A15" s="1117"/>
      <c r="B15" s="1068" t="s">
        <v>680</v>
      </c>
      <c r="C15" s="947" t="s">
        <v>14</v>
      </c>
      <c r="D15" s="914">
        <v>400</v>
      </c>
      <c r="E15" s="944">
        <f t="shared" si="4"/>
        <v>21.525263157894742</v>
      </c>
      <c r="F15" s="948">
        <v>1</v>
      </c>
      <c r="G15" s="940">
        <f t="shared" si="0"/>
        <v>8610.1052631578968</v>
      </c>
      <c r="H15" s="943">
        <f t="shared" si="1"/>
        <v>8610.1052631578968</v>
      </c>
      <c r="I15" s="914">
        <f>VLOOKUP(B15,All_Ingredients!$A$1:$F$161,6,FALSE())</f>
        <v>1</v>
      </c>
      <c r="J15" s="940">
        <f>VLOOKUP(B15,All_Ingredients!$A$1:$J$161,10,FALSE())</f>
        <v>16.25</v>
      </c>
      <c r="K15" s="945">
        <f t="shared" si="5"/>
        <v>8.6101052631578963</v>
      </c>
      <c r="L15" s="945">
        <f t="shared" si="6"/>
        <v>139.91421052631583</v>
      </c>
      <c r="R15" s="830"/>
      <c r="T15" s="830"/>
      <c r="W15" s="830"/>
    </row>
    <row r="16" spans="1:30" x14ac:dyDescent="0.25">
      <c r="A16" s="1117"/>
      <c r="B16" s="1068" t="s">
        <v>207</v>
      </c>
      <c r="C16" s="947" t="s">
        <v>160</v>
      </c>
      <c r="D16" s="914">
        <v>500</v>
      </c>
      <c r="E16" s="944">
        <f t="shared" si="4"/>
        <v>21.525263157894742</v>
      </c>
      <c r="F16" s="948">
        <v>1</v>
      </c>
      <c r="G16" s="940">
        <f t="shared" si="0"/>
        <v>10762.63157894737</v>
      </c>
      <c r="H16" s="943">
        <f t="shared" si="1"/>
        <v>10762.63157894737</v>
      </c>
      <c r="I16" s="914">
        <f>VLOOKUP(B16,All_Ingredients!$A$1:$F$161,6,FALSE())</f>
        <v>1</v>
      </c>
      <c r="J16" s="940">
        <f>VLOOKUP(B16,All_Ingredients!$A$1:$J$161,10,FALSE())</f>
        <v>0</v>
      </c>
      <c r="K16" s="945">
        <f t="shared" si="5"/>
        <v>10.762631578947371</v>
      </c>
      <c r="L16" s="945">
        <f t="shared" si="6"/>
        <v>0</v>
      </c>
      <c r="R16" s="830"/>
      <c r="T16" s="830"/>
      <c r="W16" s="830"/>
    </row>
    <row r="17" spans="1:31" x14ac:dyDescent="0.25">
      <c r="A17" s="1117"/>
      <c r="B17" s="1068" t="s">
        <v>152</v>
      </c>
      <c r="C17" s="947" t="s">
        <v>14</v>
      </c>
      <c r="D17" s="914">
        <v>15</v>
      </c>
      <c r="E17" s="944">
        <f t="shared" si="4"/>
        <v>21.525263157894742</v>
      </c>
      <c r="F17" s="948">
        <v>1</v>
      </c>
      <c r="G17" s="940">
        <f t="shared" si="0"/>
        <v>322.87894736842111</v>
      </c>
      <c r="H17" s="943">
        <f t="shared" si="1"/>
        <v>322.87894736842111</v>
      </c>
      <c r="I17" s="914">
        <f>VLOOKUP(B17,All_Ingredients!$A$1:$F$161,6,FALSE())</f>
        <v>1</v>
      </c>
      <c r="J17" s="940">
        <f>VLOOKUP(B17,All_Ingredients!$A$1:$J$161,10,FALSE())</f>
        <v>30</v>
      </c>
      <c r="K17" s="945">
        <f t="shared" si="5"/>
        <v>0.3228789473684211</v>
      </c>
      <c r="L17" s="945">
        <f t="shared" si="6"/>
        <v>9.6863684210526326</v>
      </c>
      <c r="R17" s="830"/>
      <c r="T17" s="830"/>
      <c r="W17" s="830"/>
    </row>
    <row r="18" spans="1:31" x14ac:dyDescent="0.25">
      <c r="A18" s="1117"/>
      <c r="B18" s="1068" t="s">
        <v>139</v>
      </c>
      <c r="C18" s="947" t="s">
        <v>14</v>
      </c>
      <c r="D18" s="914">
        <v>10</v>
      </c>
      <c r="E18" s="944">
        <f t="shared" si="4"/>
        <v>21.525263157894742</v>
      </c>
      <c r="F18" s="948">
        <v>0.75</v>
      </c>
      <c r="G18" s="940">
        <f t="shared" si="0"/>
        <v>215.25263157894742</v>
      </c>
      <c r="H18" s="943">
        <f t="shared" si="1"/>
        <v>161.43947368421055</v>
      </c>
      <c r="I18" s="914">
        <f>VLOOKUP(B18,All_Ingredients!$A$1:$F$161,6,FALSE())</f>
        <v>1</v>
      </c>
      <c r="J18" s="940">
        <f>VLOOKUP(B18,All_Ingredients!$A$1:$J$161,10,FALSE())</f>
        <v>15.277777777777779</v>
      </c>
      <c r="K18" s="945">
        <f t="shared" si="5"/>
        <v>0.16143947368421055</v>
      </c>
      <c r="L18" s="945">
        <f t="shared" si="6"/>
        <v>2.4664364035087725</v>
      </c>
      <c r="R18" s="830"/>
      <c r="T18" s="830"/>
      <c r="W18" s="830"/>
    </row>
    <row r="19" spans="1:31" x14ac:dyDescent="0.25">
      <c r="A19" s="1117"/>
      <c r="B19" s="1068" t="s">
        <v>93</v>
      </c>
      <c r="C19" s="947" t="s">
        <v>14</v>
      </c>
      <c r="D19" s="914">
        <v>5</v>
      </c>
      <c r="E19" s="944">
        <f t="shared" si="4"/>
        <v>21.525263157894742</v>
      </c>
      <c r="F19" s="948">
        <v>1</v>
      </c>
      <c r="G19" s="940">
        <f t="shared" si="0"/>
        <v>107.62631578947371</v>
      </c>
      <c r="H19" s="943">
        <f t="shared" si="1"/>
        <v>107.62631578947371</v>
      </c>
      <c r="I19" s="914">
        <f>VLOOKUP(B19,All_Ingredients!$A$1:$F$161,6,FALSE())</f>
        <v>1</v>
      </c>
      <c r="J19" s="940">
        <f>VLOOKUP(B19,All_Ingredients!$A$1:$J$161,10,FALSE())</f>
        <v>0.74</v>
      </c>
      <c r="K19" s="945">
        <f t="shared" si="5"/>
        <v>0.10762631578947371</v>
      </c>
      <c r="L19" s="945">
        <f t="shared" si="6"/>
        <v>7.9643473684210542E-2</v>
      </c>
      <c r="R19" s="830"/>
      <c r="T19" s="830"/>
      <c r="W19" s="830"/>
    </row>
    <row r="20" spans="1:31" x14ac:dyDescent="0.25">
      <c r="B20" s="80"/>
      <c r="D20" s="830"/>
      <c r="E20" s="80"/>
      <c r="F20" s="80"/>
      <c r="H20" s="830"/>
      <c r="K20" s="830"/>
      <c r="L20" s="144"/>
      <c r="R20" s="830"/>
      <c r="T20" s="830"/>
      <c r="W20" s="830"/>
    </row>
    <row r="21" spans="1:31" x14ac:dyDescent="0.25">
      <c r="B21" s="80"/>
      <c r="D21" s="830"/>
      <c r="E21" s="80"/>
      <c r="F21" s="80"/>
      <c r="H21" s="830"/>
      <c r="K21" s="830"/>
      <c r="L21" s="144"/>
      <c r="R21" s="830"/>
      <c r="T21" s="830"/>
      <c r="W21" s="830"/>
    </row>
    <row r="22" spans="1:31" x14ac:dyDescent="0.25">
      <c r="B22" s="830"/>
      <c r="D22" s="830"/>
      <c r="E22" s="830"/>
      <c r="F22" s="830"/>
      <c r="H22" s="830"/>
      <c r="K22" s="830"/>
      <c r="L22" s="144"/>
      <c r="R22" s="830"/>
      <c r="T22" s="830"/>
      <c r="W22" s="830"/>
    </row>
    <row r="23" spans="1:31" x14ac:dyDescent="0.25">
      <c r="B23" s="830"/>
      <c r="D23" s="830"/>
      <c r="E23" s="830"/>
      <c r="F23" s="830"/>
      <c r="H23" s="830"/>
      <c r="K23" s="830"/>
      <c r="L23" s="144"/>
      <c r="R23" s="830"/>
      <c r="T23" s="830"/>
      <c r="W23" s="830"/>
    </row>
    <row r="24" spans="1:31" x14ac:dyDescent="0.25">
      <c r="B24" s="830"/>
      <c r="D24" s="830"/>
      <c r="E24" s="830"/>
      <c r="F24" s="830"/>
      <c r="H24" s="830"/>
      <c r="K24" s="830"/>
      <c r="L24" s="144"/>
      <c r="R24" s="1141"/>
      <c r="T24" s="830"/>
      <c r="W24" s="830"/>
      <c r="Z24" s="630"/>
    </row>
    <row r="25" spans="1:31" x14ac:dyDescent="0.25">
      <c r="B25" s="830"/>
      <c r="D25" s="830"/>
      <c r="E25" s="830"/>
      <c r="F25" s="830"/>
      <c r="H25" s="830"/>
      <c r="K25" s="830"/>
      <c r="L25" s="144"/>
      <c r="R25" s="1779" t="s">
        <v>621</v>
      </c>
      <c r="S25" s="1787"/>
      <c r="T25" s="1788"/>
      <c r="U25" s="1787"/>
      <c r="V25" s="959"/>
      <c r="W25" s="830"/>
      <c r="Z25" s="982" t="s">
        <v>252</v>
      </c>
      <c r="AA25" s="989">
        <v>1</v>
      </c>
      <c r="AB25" s="982" t="s">
        <v>249</v>
      </c>
      <c r="AC25" s="1145">
        <f>(AA25*(17/10))*AE30</f>
        <v>5.0792965349605645E-2</v>
      </c>
      <c r="AD25" s="14"/>
    </row>
    <row r="26" spans="1:31" x14ac:dyDescent="0.25">
      <c r="B26" s="830"/>
      <c r="D26" s="830"/>
      <c r="E26" s="830"/>
      <c r="F26" s="830"/>
      <c r="H26" s="830"/>
      <c r="K26" s="830"/>
      <c r="L26" s="144"/>
      <c r="R26" s="1786" t="s">
        <v>304</v>
      </c>
      <c r="S26" s="1787"/>
      <c r="T26" s="1788"/>
      <c r="U26" s="1787"/>
      <c r="V26" s="959"/>
      <c r="W26" s="830"/>
      <c r="Z26" s="14"/>
      <c r="AA26" s="14"/>
      <c r="AB26" s="14"/>
      <c r="AC26" s="14"/>
      <c r="AD26" s="14"/>
    </row>
    <row r="27" spans="1:31" x14ac:dyDescent="0.25">
      <c r="B27" s="830"/>
      <c r="D27" s="830"/>
      <c r="E27" s="830"/>
      <c r="F27" s="830"/>
      <c r="H27" s="830"/>
      <c r="K27" s="830"/>
      <c r="R27" s="961" t="s">
        <v>254</v>
      </c>
      <c r="S27" s="962" t="s">
        <v>305</v>
      </c>
      <c r="T27" s="961" t="s">
        <v>256</v>
      </c>
      <c r="U27" s="962" t="s">
        <v>257</v>
      </c>
      <c r="V27" s="962" t="s">
        <v>753</v>
      </c>
      <c r="W27" s="830"/>
      <c r="Z27" s="982" t="s">
        <v>258</v>
      </c>
      <c r="AA27" s="982" t="s">
        <v>259</v>
      </c>
      <c r="AB27" s="982" t="s">
        <v>260</v>
      </c>
      <c r="AC27" s="982" t="s">
        <v>261</v>
      </c>
      <c r="AD27" s="984" t="s">
        <v>753</v>
      </c>
      <c r="AE27" s="982" t="s">
        <v>262</v>
      </c>
    </row>
    <row r="28" spans="1:31" x14ac:dyDescent="0.25">
      <c r="B28" s="80"/>
      <c r="D28" s="830"/>
      <c r="E28" s="80"/>
      <c r="F28" s="80"/>
      <c r="H28" s="830"/>
      <c r="K28" s="830"/>
      <c r="R28" s="961" t="s">
        <v>263</v>
      </c>
      <c r="S28" s="963">
        <f>U28*S40</f>
        <v>16899.999999999996</v>
      </c>
      <c r="T28" s="964">
        <f>U28*U40</f>
        <v>5070.0000000000055</v>
      </c>
      <c r="U28" s="965">
        <f>$Z$1</f>
        <v>21970</v>
      </c>
      <c r="V28" s="966">
        <f>H37</f>
        <v>11.410000000000002</v>
      </c>
      <c r="W28" s="830"/>
      <c r="Z28" s="1086"/>
      <c r="AA28" s="985">
        <f>AA25*$S$40</f>
        <v>0.76923076923076905</v>
      </c>
      <c r="AB28" s="985">
        <f>AA25-AA28</f>
        <v>0.23076923076923095</v>
      </c>
      <c r="AC28" s="989">
        <f>AA25*0.7</f>
        <v>0.7</v>
      </c>
      <c r="AD28" s="987"/>
      <c r="AE28" s="1088">
        <f>SUM(AA28:AC28)</f>
        <v>1.7</v>
      </c>
    </row>
    <row r="29" spans="1:31" x14ac:dyDescent="0.25">
      <c r="B29" s="80"/>
      <c r="D29" s="830"/>
      <c r="E29" s="80"/>
      <c r="F29" s="80"/>
      <c r="H29" s="830"/>
      <c r="K29" s="830"/>
      <c r="R29" s="961" t="s">
        <v>264</v>
      </c>
      <c r="S29" s="968"/>
      <c r="T29" s="967">
        <f>U28*0.7</f>
        <v>15378.999999999998</v>
      </c>
      <c r="U29" s="963">
        <f>T29</f>
        <v>15378.999999999998</v>
      </c>
      <c r="V29" s="966"/>
      <c r="W29" s="830"/>
      <c r="Z29" s="1086"/>
      <c r="AA29" s="1089">
        <f>AA28/$AE$28</f>
        <v>0.45248868778280532</v>
      </c>
      <c r="AB29" s="1089">
        <f>AB28/$AE$28</f>
        <v>0.13574660633484173</v>
      </c>
      <c r="AC29" s="1089">
        <f>AC28/$AE$28</f>
        <v>0.41176470588235292</v>
      </c>
      <c r="AD29" s="991"/>
      <c r="AE29" s="1089">
        <f>AE28/$AE$28</f>
        <v>1</v>
      </c>
    </row>
    <row r="30" spans="1:31" x14ac:dyDescent="0.25">
      <c r="B30" s="830"/>
      <c r="D30" s="830"/>
      <c r="E30" s="830"/>
      <c r="F30" s="830"/>
      <c r="H30" s="830"/>
      <c r="K30" s="830"/>
      <c r="R30" s="961" t="s">
        <v>265</v>
      </c>
      <c r="S30" s="969">
        <f>U30*S40</f>
        <v>0</v>
      </c>
      <c r="T30" s="1144">
        <f>U30*U40</f>
        <v>0</v>
      </c>
      <c r="U30" s="1119"/>
      <c r="V30" s="972"/>
      <c r="W30" s="830"/>
      <c r="Z30" s="982" t="s">
        <v>266</v>
      </c>
      <c r="AA30" s="1090">
        <f>S35/(S32)</f>
        <v>5.1198257080610016E-2</v>
      </c>
      <c r="AB30" s="1091">
        <f>T35/T32</f>
        <v>1.22197164160401E-2</v>
      </c>
      <c r="AC30" s="1091">
        <f>T35/T32</f>
        <v>1.22197164160401E-2</v>
      </c>
      <c r="AD30" s="995">
        <f>V35/U32</f>
        <v>2.1149778492679243E-5</v>
      </c>
      <c r="AE30" s="1092">
        <f>SUMPRODUCT(AA30:AC30,AA29:AC29)+(AD30)</f>
        <v>2.9878214911532735E-2</v>
      </c>
    </row>
    <row r="31" spans="1:31" ht="18" x14ac:dyDescent="0.25">
      <c r="B31" s="830"/>
      <c r="D31" s="830"/>
      <c r="E31" s="830"/>
      <c r="F31" s="830"/>
      <c r="H31" s="830"/>
      <c r="K31" s="186"/>
      <c r="R31" s="961" t="s">
        <v>267</v>
      </c>
      <c r="S31" s="959"/>
      <c r="T31" s="967"/>
      <c r="U31" s="966"/>
      <c r="V31" s="966"/>
      <c r="W31" s="830"/>
    </row>
    <row r="32" spans="1:31" ht="18" x14ac:dyDescent="0.25">
      <c r="B32" s="830"/>
      <c r="D32" s="830"/>
      <c r="E32" s="830"/>
      <c r="F32" s="830"/>
      <c r="H32" s="830"/>
      <c r="K32" s="176"/>
      <c r="R32" s="961" t="s">
        <v>257</v>
      </c>
      <c r="S32" s="966">
        <f>SUM(S28:S30)</f>
        <v>16899.999999999996</v>
      </c>
      <c r="T32" s="967">
        <f>SUM(T28:T30)</f>
        <v>20449.000000000004</v>
      </c>
      <c r="U32" s="966">
        <f>SUM(U28:U30)</f>
        <v>37349</v>
      </c>
      <c r="V32" s="966">
        <f>SUM(V28:V30)</f>
        <v>11.410000000000002</v>
      </c>
      <c r="W32" s="830"/>
    </row>
    <row r="33" spans="2:23" ht="30" x14ac:dyDescent="0.25">
      <c r="B33" s="80"/>
      <c r="D33" s="830"/>
      <c r="E33" s="80"/>
      <c r="F33" s="80"/>
      <c r="H33" s="830"/>
      <c r="K33" s="830"/>
      <c r="R33" s="976" t="s">
        <v>268</v>
      </c>
      <c r="S33" s="959"/>
      <c r="T33" s="960"/>
      <c r="U33" s="959"/>
      <c r="V33" s="959"/>
      <c r="W33" s="830"/>
    </row>
    <row r="34" spans="2:23" x14ac:dyDescent="0.25">
      <c r="B34" s="830"/>
      <c r="D34" s="830"/>
      <c r="E34" s="830"/>
      <c r="F34" s="830"/>
      <c r="H34" s="830"/>
      <c r="K34" s="830"/>
      <c r="R34" s="961" t="s">
        <v>269</v>
      </c>
      <c r="S34" s="959"/>
      <c r="T34" s="967"/>
      <c r="U34" s="959"/>
      <c r="V34" s="959"/>
      <c r="W34" s="830"/>
    </row>
    <row r="35" spans="2:23" ht="15.75" x14ac:dyDescent="0.25">
      <c r="B35" s="1781" t="s">
        <v>620</v>
      </c>
      <c r="C35" s="1782"/>
      <c r="D35" s="1781"/>
      <c r="E35" s="1781"/>
      <c r="F35" s="1781"/>
      <c r="G35" s="1000"/>
      <c r="H35" s="1009"/>
      <c r="I35" s="1010"/>
      <c r="J35" s="1010"/>
      <c r="K35" s="1009"/>
      <c r="L35" s="1010"/>
      <c r="R35" s="977" t="s">
        <v>249</v>
      </c>
      <c r="S35" s="978">
        <f>$L$5</f>
        <v>865.25054466230904</v>
      </c>
      <c r="T35" s="979">
        <f>SUM(L6:L19)</f>
        <v>249.88098099160405</v>
      </c>
      <c r="U35" s="1136">
        <f>S35+T35+V35</f>
        <v>1115.9214487308361</v>
      </c>
      <c r="V35" s="1136">
        <f>SUM(L37)</f>
        <v>0.78992307692307706</v>
      </c>
      <c r="W35" s="830"/>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30"/>
      <c r="T36" s="830"/>
      <c r="W36" s="830"/>
    </row>
    <row r="37" spans="2:23" x14ac:dyDescent="0.25">
      <c r="B37" s="1005" t="s">
        <v>666</v>
      </c>
      <c r="C37" s="1006" t="s">
        <v>14</v>
      </c>
      <c r="D37" s="1007">
        <v>7.0000000000000007E-2</v>
      </c>
      <c r="E37" s="1005">
        <f>$AD$1</f>
        <v>163</v>
      </c>
      <c r="F37" s="1005">
        <f>D37*E37</f>
        <v>11.410000000000002</v>
      </c>
      <c r="H37" s="1005">
        <f>F37</f>
        <v>11.410000000000002</v>
      </c>
      <c r="I37" s="1005">
        <f>VLOOKUP(B37,All_Ingredients!$A$1:$F$161,6,FALSE())</f>
        <v>0.65</v>
      </c>
      <c r="J37" s="1005">
        <f>VLOOKUP(B37,All_Ingredients!$A$1:$J$161,10,FALSE())</f>
        <v>45</v>
      </c>
      <c r="K37" s="1005">
        <f>(H37/I37)/1000</f>
        <v>1.7553846153846156E-2</v>
      </c>
      <c r="L37" s="1005">
        <f t="shared" ref="L37" si="7">K37*J37</f>
        <v>0.78992307692307706</v>
      </c>
      <c r="R37" s="830"/>
      <c r="T37" s="830"/>
      <c r="W37" s="830"/>
    </row>
    <row r="38" spans="2:23" x14ac:dyDescent="0.25">
      <c r="B38" s="830"/>
      <c r="D38" s="830"/>
      <c r="E38" s="830"/>
      <c r="F38" s="830"/>
      <c r="H38" s="830"/>
      <c r="K38" s="830"/>
      <c r="R38" s="830"/>
      <c r="T38" s="830"/>
      <c r="W38" s="830"/>
    </row>
    <row r="39" spans="2:23" x14ac:dyDescent="0.25">
      <c r="B39" s="830"/>
      <c r="D39" s="830"/>
      <c r="E39" s="830"/>
      <c r="F39" s="830"/>
      <c r="H39" s="830"/>
      <c r="K39" s="830"/>
      <c r="R39" s="830"/>
      <c r="T39" s="830"/>
      <c r="W39" s="830"/>
    </row>
    <row r="40" spans="2:23" ht="26.25" x14ac:dyDescent="0.25">
      <c r="B40" s="830"/>
      <c r="D40" s="830"/>
      <c r="E40" s="830"/>
      <c r="F40" s="830"/>
      <c r="H40" s="830"/>
      <c r="K40" s="830"/>
      <c r="Q40" s="14"/>
      <c r="R40" s="1011" t="s">
        <v>270</v>
      </c>
      <c r="S40" s="1012">
        <v>0.76923076923076905</v>
      </c>
      <c r="T40" s="1011" t="s">
        <v>271</v>
      </c>
      <c r="U40" s="1013">
        <v>0.230769230769231</v>
      </c>
      <c r="V40" s="1014">
        <f>S40+U40</f>
        <v>1</v>
      </c>
      <c r="W40" s="890"/>
    </row>
    <row r="41" spans="2:23" x14ac:dyDescent="0.25">
      <c r="B41" s="830"/>
      <c r="D41" s="830"/>
      <c r="E41" s="830"/>
      <c r="F41" s="830"/>
      <c r="H41" s="830"/>
      <c r="K41" s="830"/>
      <c r="Q41" s="14"/>
      <c r="R41" s="890"/>
      <c r="S41" s="14"/>
      <c r="T41" s="890"/>
      <c r="U41" s="123"/>
      <c r="V41" s="14"/>
      <c r="W41" s="890"/>
    </row>
    <row r="42" spans="2:23" x14ac:dyDescent="0.25">
      <c r="B42" s="830"/>
      <c r="D42" s="830"/>
      <c r="E42" s="830"/>
      <c r="F42" s="830"/>
      <c r="H42" s="830"/>
      <c r="K42" s="830"/>
      <c r="Q42" s="14"/>
      <c r="R42" s="890"/>
      <c r="S42" s="14"/>
      <c r="T42" s="890"/>
      <c r="U42" s="14"/>
      <c r="V42" s="14"/>
      <c r="W42" s="890"/>
    </row>
    <row r="43" spans="2:23" ht="26.25" x14ac:dyDescent="0.25">
      <c r="B43" s="830"/>
      <c r="D43" s="830"/>
      <c r="E43" s="830"/>
      <c r="F43" s="830"/>
      <c r="H43" s="830"/>
      <c r="K43" s="830"/>
      <c r="Q43" s="1015" t="s">
        <v>272</v>
      </c>
      <c r="R43" s="1011" t="s">
        <v>273</v>
      </c>
      <c r="S43" s="1015" t="s">
        <v>274</v>
      </c>
      <c r="T43" s="1011" t="s">
        <v>275</v>
      </c>
      <c r="U43" s="1015" t="s">
        <v>276</v>
      </c>
      <c r="V43" s="1015" t="s">
        <v>277</v>
      </c>
      <c r="W43" s="1011" t="s">
        <v>278</v>
      </c>
    </row>
    <row r="44" spans="2:23" x14ac:dyDescent="0.25">
      <c r="B44" s="830"/>
      <c r="D44" s="830"/>
      <c r="E44" s="830"/>
      <c r="F44" s="830"/>
      <c r="H44" s="830"/>
      <c r="K44" s="830"/>
      <c r="Q44" s="1023">
        <v>10745</v>
      </c>
      <c r="R44" s="1017">
        <f>D51</f>
        <v>10000</v>
      </c>
      <c r="S44" s="1024">
        <v>0.24790000000000001</v>
      </c>
      <c r="T44" s="1025">
        <v>0.75209999999999999</v>
      </c>
      <c r="U44" s="1096">
        <f>R44*S44</f>
        <v>2479</v>
      </c>
      <c r="V44" s="1021">
        <f>R44*T44</f>
        <v>7521</v>
      </c>
      <c r="W44" s="1026">
        <f>Q44-U44</f>
        <v>8266</v>
      </c>
    </row>
    <row r="50" spans="1:11" x14ac:dyDescent="0.25">
      <c r="B50" s="961"/>
      <c r="C50" s="962" t="s">
        <v>233</v>
      </c>
      <c r="D50" s="961" t="s">
        <v>279</v>
      </c>
      <c r="E50" s="135"/>
      <c r="F50" s="80"/>
      <c r="G50" s="962" t="s">
        <v>280</v>
      </c>
      <c r="H50" s="961" t="s">
        <v>233</v>
      </c>
      <c r="I50" s="962" t="s">
        <v>281</v>
      </c>
      <c r="J50" s="962" t="s">
        <v>282</v>
      </c>
      <c r="K50" s="830"/>
    </row>
    <row r="51" spans="1:11" x14ac:dyDescent="0.25">
      <c r="B51" s="1027" t="s">
        <v>283</v>
      </c>
      <c r="C51" s="1028">
        <f>10/$K$1</f>
        <v>10.526315789473685</v>
      </c>
      <c r="D51" s="1029">
        <f>$C$1*10</f>
        <v>10000</v>
      </c>
      <c r="E51" s="80"/>
      <c r="F51" s="80"/>
      <c r="G51" s="1033" t="s">
        <v>283</v>
      </c>
      <c r="H51" s="1122">
        <f>I51/$D$5</f>
        <v>10</v>
      </c>
      <c r="I51" s="1028">
        <f t="shared" ref="I51:I56" si="8">J51/$R$1</f>
        <v>16207.843137254902</v>
      </c>
      <c r="J51" s="1028">
        <f>$W$44</f>
        <v>8266</v>
      </c>
      <c r="K51" s="830"/>
    </row>
    <row r="52" spans="1:11" x14ac:dyDescent="0.25">
      <c r="B52" s="958" t="s">
        <v>262</v>
      </c>
      <c r="C52" s="1099">
        <f>$I$1</f>
        <v>21.525263157894742</v>
      </c>
      <c r="D52" s="1100">
        <f>$E$1</f>
        <v>20449.000000000004</v>
      </c>
      <c r="E52" s="80"/>
      <c r="F52" s="80"/>
      <c r="G52" s="962" t="s">
        <v>262</v>
      </c>
      <c r="H52" s="1052">
        <f>I52/$D$5</f>
        <v>20.445197193322038</v>
      </c>
      <c r="I52" s="1021">
        <f t="shared" si="8"/>
        <v>33137.254901960776</v>
      </c>
      <c r="J52" s="1030">
        <f>$S$32</f>
        <v>16899.999999999996</v>
      </c>
      <c r="K52" s="830"/>
    </row>
    <row r="53" spans="1:11" x14ac:dyDescent="0.25">
      <c r="B53" s="958" t="s">
        <v>284</v>
      </c>
      <c r="C53" s="1101">
        <f>MIN(C52, C51)</f>
        <v>10.526315789473685</v>
      </c>
      <c r="D53" s="1100">
        <f>(C53*$K$1)*$C$1</f>
        <v>10000</v>
      </c>
      <c r="E53" s="80"/>
      <c r="F53" s="80"/>
      <c r="G53" s="962" t="s">
        <v>284</v>
      </c>
      <c r="H53" s="1035">
        <f>MIN(H52,H51)</f>
        <v>10</v>
      </c>
      <c r="I53" s="1021">
        <f t="shared" si="8"/>
        <v>16207.843137254902</v>
      </c>
      <c r="J53" s="1021">
        <f>MIN(J52,J51)</f>
        <v>8266</v>
      </c>
      <c r="K53" s="830"/>
    </row>
    <row r="54" spans="1:11" x14ac:dyDescent="0.25">
      <c r="B54" s="958" t="s">
        <v>285</v>
      </c>
      <c r="C54" s="1101">
        <f>MIN(MAX(C52-C53,0),C51)</f>
        <v>10.526315789473685</v>
      </c>
      <c r="D54" s="1100">
        <f>(C54*$K$1)*$C$1</f>
        <v>10000</v>
      </c>
      <c r="E54" s="80"/>
      <c r="F54" s="80"/>
      <c r="G54" s="962" t="s">
        <v>285</v>
      </c>
      <c r="H54" s="1035">
        <f>MIN(MAX(H52-H53),H51)</f>
        <v>10</v>
      </c>
      <c r="I54" s="1021">
        <f t="shared" si="8"/>
        <v>16207.843137254902</v>
      </c>
      <c r="J54" s="1021">
        <f>MIN(MAX(J52-J53),J51)</f>
        <v>8266</v>
      </c>
      <c r="K54" s="830"/>
    </row>
    <row r="55" spans="1:11" x14ac:dyDescent="0.25">
      <c r="B55" s="958" t="s">
        <v>286</v>
      </c>
      <c r="C55" s="1101">
        <f>MIN(MAX(C52-C53-C54,0),C51)</f>
        <v>0.47263157894737162</v>
      </c>
      <c r="D55" s="1100">
        <f>(C55*$K$1)*$C$1</f>
        <v>449.00000000000301</v>
      </c>
      <c r="E55" s="80"/>
      <c r="F55" s="80"/>
      <c r="G55" s="962" t="s">
        <v>286</v>
      </c>
      <c r="H55" s="1035">
        <f>MIN(MAX(H52-H53-H54),H51)</f>
        <v>0.44519719332203778</v>
      </c>
      <c r="I55" s="1021">
        <f t="shared" si="8"/>
        <v>721.56862745097328</v>
      </c>
      <c r="J55" s="1021">
        <f>MIN(MAX(J52-J53-J54),J51)</f>
        <v>367.99999999999636</v>
      </c>
      <c r="K55" s="830"/>
    </row>
    <row r="56" spans="1:11" x14ac:dyDescent="0.25">
      <c r="B56" s="958" t="s">
        <v>293</v>
      </c>
      <c r="C56" s="1101">
        <f>MIN(MAX(C52-C53-C54-C55,0),C51)</f>
        <v>0</v>
      </c>
      <c r="D56" s="1100">
        <f>(C56*$K$1)*$C$1</f>
        <v>0</v>
      </c>
      <c r="E56" s="830"/>
      <c r="F56" s="830"/>
      <c r="G56" s="962" t="s">
        <v>293</v>
      </c>
      <c r="H56" s="1035">
        <f>MIN(MAX(H52-H53-H54-H55),H51)</f>
        <v>0</v>
      </c>
      <c r="I56" s="1021">
        <f t="shared" si="8"/>
        <v>0</v>
      </c>
      <c r="J56" s="1021">
        <f>MIN(MAX(J52-J53-J54-J55),J51)</f>
        <v>0</v>
      </c>
      <c r="K56" s="830"/>
    </row>
    <row r="57" spans="1:11" x14ac:dyDescent="0.25">
      <c r="B57" s="830"/>
      <c r="D57" s="830"/>
      <c r="E57" s="830"/>
      <c r="F57" s="830"/>
      <c r="H57" s="830"/>
      <c r="K57" s="830"/>
    </row>
    <row r="58" spans="1:11" x14ac:dyDescent="0.25">
      <c r="B58" s="830"/>
      <c r="D58" s="830"/>
      <c r="E58" s="830"/>
      <c r="F58" s="830"/>
      <c r="H58" s="830"/>
      <c r="K58" s="830"/>
    </row>
    <row r="59" spans="1:11" x14ac:dyDescent="0.25">
      <c r="B59" s="830"/>
      <c r="D59" s="830"/>
      <c r="E59" s="830"/>
      <c r="F59" s="830"/>
      <c r="H59" s="830"/>
      <c r="K59" s="830"/>
    </row>
    <row r="60" spans="1:11" x14ac:dyDescent="0.25">
      <c r="B60" s="830"/>
      <c r="D60" s="830"/>
      <c r="E60" s="830"/>
      <c r="F60" s="830"/>
      <c r="H60" s="830"/>
      <c r="K60" s="830"/>
    </row>
    <row r="61" spans="1:11" x14ac:dyDescent="0.25">
      <c r="B61" s="830"/>
      <c r="D61" s="830"/>
      <c r="E61" s="830"/>
      <c r="F61" s="830"/>
      <c r="H61" s="830"/>
      <c r="K61" s="830"/>
    </row>
    <row r="62" spans="1:11" x14ac:dyDescent="0.25">
      <c r="A62" s="1124"/>
      <c r="B62" s="1776" t="str">
        <f>"بامية لحم 1 / " &amp; COUNTIF($C$53:$C$56, "&gt;0")</f>
        <v>بامية لحم 1 / 3</v>
      </c>
      <c r="C62" s="1777"/>
      <c r="D62" s="1778"/>
      <c r="E62" s="1778"/>
      <c r="F62" s="1778"/>
      <c r="G62" s="1777"/>
      <c r="H62" s="1778"/>
      <c r="K62" s="830"/>
    </row>
    <row r="63" spans="1:11" x14ac:dyDescent="0.25">
      <c r="A63" s="1124"/>
      <c r="B63" s="1776" t="str">
        <f>"Meat with Bamiya 1 / " &amp; COUNTIF($C$53:$C$56, "&gt;0")</f>
        <v>Meat with Bamiya 1 / 3</v>
      </c>
      <c r="C63" s="1777"/>
      <c r="D63" s="1778"/>
      <c r="E63" s="1778"/>
      <c r="F63" s="1778"/>
      <c r="G63" s="1777"/>
      <c r="H63" s="1778"/>
      <c r="K63" s="830"/>
    </row>
    <row r="64" spans="1:11" ht="38.25" x14ac:dyDescent="0.2">
      <c r="A64" s="933" t="s">
        <v>864</v>
      </c>
      <c r="B64" s="923" t="s">
        <v>241</v>
      </c>
      <c r="C64" s="934" t="s">
        <v>242</v>
      </c>
      <c r="D64" s="923" t="s">
        <v>231</v>
      </c>
      <c r="E64" s="935" t="s">
        <v>234</v>
      </c>
      <c r="F64" s="935" t="s">
        <v>243</v>
      </c>
      <c r="G64" s="923" t="s">
        <v>244</v>
      </c>
      <c r="H64" s="936" t="s">
        <v>245</v>
      </c>
      <c r="K64" s="830"/>
    </row>
    <row r="65" spans="1:11" ht="28.5" x14ac:dyDescent="0.2">
      <c r="A65" s="937" t="s">
        <v>872</v>
      </c>
      <c r="B65" s="951" t="str">
        <f t="shared" ref="B65:C79" si="9">B5</f>
        <v>Indian Meat Alana  - لحم هندى ألانا</v>
      </c>
      <c r="C65" s="947" t="str">
        <f t="shared" si="9"/>
        <v>gm</v>
      </c>
      <c r="D65" s="1146">
        <f>H53</f>
        <v>10</v>
      </c>
      <c r="E65" s="940">
        <f>H53</f>
        <v>10</v>
      </c>
      <c r="F65" s="948">
        <f t="shared" ref="F65:F79" si="10">F5</f>
        <v>1</v>
      </c>
      <c r="G65" s="940">
        <f t="shared" ref="G65:G79" si="11">D65*E65</f>
        <v>100</v>
      </c>
      <c r="H65" s="943">
        <f t="shared" ref="H65:H79" si="12">G65*F65</f>
        <v>100</v>
      </c>
      <c r="K65" s="830"/>
    </row>
    <row r="66" spans="1:11" x14ac:dyDescent="0.25">
      <c r="A66" s="1117" t="s">
        <v>881</v>
      </c>
      <c r="B66" s="951" t="str">
        <f t="shared" si="9"/>
        <v>Onion - بصل</v>
      </c>
      <c r="C66" s="947" t="str">
        <f t="shared" si="9"/>
        <v>gm</v>
      </c>
      <c r="D66" s="951">
        <f t="shared" ref="D66:D79" si="13">D6</f>
        <v>150</v>
      </c>
      <c r="E66" s="940">
        <f t="shared" ref="E66:E79" si="14">$C$53</f>
        <v>10.526315789473685</v>
      </c>
      <c r="F66" s="948">
        <f t="shared" si="10"/>
        <v>1</v>
      </c>
      <c r="G66" s="940">
        <f t="shared" si="11"/>
        <v>1578.9473684210527</v>
      </c>
      <c r="H66" s="943">
        <f t="shared" si="12"/>
        <v>1578.9473684210527</v>
      </c>
      <c r="K66" s="830"/>
    </row>
    <row r="67" spans="1:11" x14ac:dyDescent="0.25">
      <c r="A67" s="1117" t="s">
        <v>870</v>
      </c>
      <c r="B67" s="951" t="str">
        <f t="shared" si="9"/>
        <v>Tomato - طماطم</v>
      </c>
      <c r="C67" s="947" t="str">
        <f t="shared" si="9"/>
        <v>gm</v>
      </c>
      <c r="D67" s="951">
        <f t="shared" si="13"/>
        <v>400</v>
      </c>
      <c r="E67" s="940">
        <f t="shared" si="14"/>
        <v>10.526315789473685</v>
      </c>
      <c r="F67" s="948">
        <f t="shared" si="10"/>
        <v>1</v>
      </c>
      <c r="G67" s="940">
        <f t="shared" si="11"/>
        <v>4210.5263157894742</v>
      </c>
      <c r="H67" s="943">
        <f t="shared" si="12"/>
        <v>4210.5263157894742</v>
      </c>
      <c r="K67" s="830"/>
    </row>
    <row r="68" spans="1:11" x14ac:dyDescent="0.25">
      <c r="A68" s="1117" t="s">
        <v>868</v>
      </c>
      <c r="B68" s="951" t="str">
        <f t="shared" si="9"/>
        <v>Garlic - ثوم مقشر</v>
      </c>
      <c r="C68" s="947" t="str">
        <f t="shared" si="9"/>
        <v>gm</v>
      </c>
      <c r="D68" s="951">
        <f t="shared" si="13"/>
        <v>35</v>
      </c>
      <c r="E68" s="940">
        <f t="shared" si="14"/>
        <v>10.526315789473685</v>
      </c>
      <c r="F68" s="948">
        <f t="shared" si="10"/>
        <v>1</v>
      </c>
      <c r="G68" s="940">
        <f t="shared" si="11"/>
        <v>368.42105263157896</v>
      </c>
      <c r="H68" s="943">
        <f t="shared" si="12"/>
        <v>368.42105263157896</v>
      </c>
      <c r="K68" s="830"/>
    </row>
    <row r="69" spans="1:11" ht="28.5" x14ac:dyDescent="0.25">
      <c r="A69" s="1117"/>
      <c r="B69" s="951" t="str">
        <f t="shared" si="9"/>
        <v>Black Pepper Powder - فلفل أسود مطحون</v>
      </c>
      <c r="C69" s="947" t="str">
        <f t="shared" si="9"/>
        <v>gm</v>
      </c>
      <c r="D69" s="951">
        <f t="shared" si="13"/>
        <v>3</v>
      </c>
      <c r="E69" s="940">
        <f t="shared" si="14"/>
        <v>10.526315789473685</v>
      </c>
      <c r="F69" s="948">
        <f t="shared" si="10"/>
        <v>1</v>
      </c>
      <c r="G69" s="940">
        <f t="shared" si="11"/>
        <v>31.578947368421055</v>
      </c>
      <c r="H69" s="943">
        <f t="shared" si="12"/>
        <v>31.578947368421055</v>
      </c>
      <c r="K69" s="830"/>
    </row>
    <row r="70" spans="1:11" x14ac:dyDescent="0.25">
      <c r="A70" s="1117"/>
      <c r="B70" s="951" t="str">
        <f t="shared" si="9"/>
        <v>Cumin Powder - كمون مطحون</v>
      </c>
      <c r="C70" s="947" t="str">
        <f t="shared" si="9"/>
        <v>gm</v>
      </c>
      <c r="D70" s="951">
        <f t="shared" si="13"/>
        <v>5</v>
      </c>
      <c r="E70" s="940">
        <f t="shared" si="14"/>
        <v>10.526315789473685</v>
      </c>
      <c r="F70" s="948">
        <f t="shared" si="10"/>
        <v>0.75</v>
      </c>
      <c r="G70" s="940">
        <f t="shared" si="11"/>
        <v>52.631578947368425</v>
      </c>
      <c r="H70" s="943">
        <f t="shared" si="12"/>
        <v>39.473684210526315</v>
      </c>
      <c r="K70" s="830"/>
    </row>
    <row r="71" spans="1:11" ht="28.5" x14ac:dyDescent="0.25">
      <c r="A71" s="1117"/>
      <c r="B71" s="951" t="str">
        <f t="shared" si="9"/>
        <v>Coriander Powder - كزبرة مطحونة</v>
      </c>
      <c r="C71" s="947" t="str">
        <f t="shared" si="9"/>
        <v>gm</v>
      </c>
      <c r="D71" s="951">
        <f t="shared" si="13"/>
        <v>5</v>
      </c>
      <c r="E71" s="940">
        <f t="shared" si="14"/>
        <v>10.526315789473685</v>
      </c>
      <c r="F71" s="948">
        <f t="shared" si="10"/>
        <v>0.75</v>
      </c>
      <c r="G71" s="940">
        <f t="shared" si="11"/>
        <v>52.631578947368425</v>
      </c>
      <c r="H71" s="943">
        <f t="shared" si="12"/>
        <v>39.473684210526315</v>
      </c>
      <c r="K71" s="830"/>
    </row>
    <row r="72" spans="1:11" ht="28.5" x14ac:dyDescent="0.25">
      <c r="A72" s="1117"/>
      <c r="B72" s="951" t="str">
        <f t="shared" si="9"/>
        <v>Cinnamon Powder - قرفة مطحونة</v>
      </c>
      <c r="C72" s="947" t="str">
        <f t="shared" si="9"/>
        <v>gm</v>
      </c>
      <c r="D72" s="951">
        <f t="shared" si="13"/>
        <v>2</v>
      </c>
      <c r="E72" s="940">
        <f t="shared" si="14"/>
        <v>10.526315789473685</v>
      </c>
      <c r="F72" s="948">
        <f t="shared" si="10"/>
        <v>0.75</v>
      </c>
      <c r="G72" s="940">
        <f t="shared" si="11"/>
        <v>21.05263157894737</v>
      </c>
      <c r="H72" s="943">
        <f t="shared" si="12"/>
        <v>15.789473684210527</v>
      </c>
      <c r="K72" s="830"/>
    </row>
    <row r="73" spans="1:11" x14ac:dyDescent="0.25">
      <c r="A73" s="1117"/>
      <c r="B73" s="951" t="str">
        <f t="shared" si="9"/>
        <v>Salt - ملح</v>
      </c>
      <c r="C73" s="947" t="str">
        <f t="shared" si="9"/>
        <v>gm</v>
      </c>
      <c r="D73" s="951">
        <f t="shared" si="13"/>
        <v>11</v>
      </c>
      <c r="E73" s="940">
        <f t="shared" si="14"/>
        <v>10.526315789473685</v>
      </c>
      <c r="F73" s="948">
        <f t="shared" si="10"/>
        <v>0.75</v>
      </c>
      <c r="G73" s="940">
        <f t="shared" si="11"/>
        <v>115.78947368421053</v>
      </c>
      <c r="H73" s="943">
        <f t="shared" si="12"/>
        <v>86.842105263157904</v>
      </c>
      <c r="K73" s="830"/>
    </row>
    <row r="74" spans="1:11" x14ac:dyDescent="0.25">
      <c r="A74" s="1117"/>
      <c r="B74" s="951" t="str">
        <f t="shared" si="9"/>
        <v>Tomato Paste - صلصة طماطم</v>
      </c>
      <c r="C74" s="947" t="str">
        <f t="shared" si="9"/>
        <v>gm</v>
      </c>
      <c r="D74" s="951">
        <f t="shared" si="13"/>
        <v>250</v>
      </c>
      <c r="E74" s="940">
        <f t="shared" si="14"/>
        <v>10.526315789473685</v>
      </c>
      <c r="F74" s="948">
        <f t="shared" si="10"/>
        <v>1</v>
      </c>
      <c r="G74" s="940">
        <f t="shared" si="11"/>
        <v>2631.5789473684213</v>
      </c>
      <c r="H74" s="943">
        <f t="shared" si="12"/>
        <v>2631.5789473684213</v>
      </c>
      <c r="K74" s="830"/>
    </row>
    <row r="75" spans="1:11" x14ac:dyDescent="0.25">
      <c r="A75" s="1117"/>
      <c r="B75" s="951" t="str">
        <f t="shared" si="9"/>
        <v>Frozen Okra - بامية مجمدة</v>
      </c>
      <c r="C75" s="947" t="str">
        <f t="shared" si="9"/>
        <v>gm</v>
      </c>
      <c r="D75" s="951">
        <f t="shared" si="13"/>
        <v>400</v>
      </c>
      <c r="E75" s="940">
        <f t="shared" si="14"/>
        <v>10.526315789473685</v>
      </c>
      <c r="F75" s="948">
        <f t="shared" si="10"/>
        <v>1</v>
      </c>
      <c r="G75" s="940">
        <f t="shared" si="11"/>
        <v>4210.5263157894742</v>
      </c>
      <c r="H75" s="943">
        <f t="shared" si="12"/>
        <v>4210.5263157894742</v>
      </c>
      <c r="K75" s="830"/>
    </row>
    <row r="76" spans="1:11" x14ac:dyDescent="0.25">
      <c r="A76" s="1117"/>
      <c r="B76" s="951" t="str">
        <f t="shared" si="9"/>
        <v>Beef Stock - مرق لحم بقري</v>
      </c>
      <c r="C76" s="947" t="str">
        <f t="shared" si="9"/>
        <v>ml</v>
      </c>
      <c r="D76" s="951">
        <f t="shared" si="13"/>
        <v>500</v>
      </c>
      <c r="E76" s="940">
        <f t="shared" si="14"/>
        <v>10.526315789473685</v>
      </c>
      <c r="F76" s="948">
        <f t="shared" si="10"/>
        <v>1</v>
      </c>
      <c r="G76" s="940">
        <f t="shared" si="11"/>
        <v>5263.1578947368425</v>
      </c>
      <c r="H76" s="943">
        <f t="shared" si="12"/>
        <v>5263.1578947368425</v>
      </c>
      <c r="K76" s="830"/>
    </row>
    <row r="77" spans="1:11" x14ac:dyDescent="0.25">
      <c r="A77" s="1117"/>
      <c r="B77" s="951" t="str">
        <f t="shared" si="9"/>
        <v>Butter - زبدة</v>
      </c>
      <c r="C77" s="947" t="str">
        <f t="shared" si="9"/>
        <v>gm</v>
      </c>
      <c r="D77" s="951">
        <f t="shared" si="13"/>
        <v>15</v>
      </c>
      <c r="E77" s="940">
        <f t="shared" si="14"/>
        <v>10.526315789473685</v>
      </c>
      <c r="F77" s="948">
        <f t="shared" si="10"/>
        <v>1</v>
      </c>
      <c r="G77" s="940">
        <f t="shared" si="11"/>
        <v>157.89473684210526</v>
      </c>
      <c r="H77" s="943">
        <f t="shared" si="12"/>
        <v>157.89473684210526</v>
      </c>
      <c r="K77" s="830"/>
    </row>
    <row r="78" spans="1:11" x14ac:dyDescent="0.25">
      <c r="A78" s="1117"/>
      <c r="B78" s="951" t="str">
        <f t="shared" si="9"/>
        <v>Maggi Cubes - مكعبات ماجي</v>
      </c>
      <c r="C78" s="947" t="str">
        <f t="shared" si="9"/>
        <v>gm</v>
      </c>
      <c r="D78" s="951">
        <f t="shared" si="13"/>
        <v>10</v>
      </c>
      <c r="E78" s="940">
        <f t="shared" si="14"/>
        <v>10.526315789473685</v>
      </c>
      <c r="F78" s="948">
        <f t="shared" si="10"/>
        <v>0.75</v>
      </c>
      <c r="G78" s="940">
        <f t="shared" si="11"/>
        <v>105.26315789473685</v>
      </c>
      <c r="H78" s="943">
        <f t="shared" si="12"/>
        <v>78.94736842105263</v>
      </c>
      <c r="K78" s="830"/>
    </row>
    <row r="79" spans="1:11" ht="20.25" x14ac:dyDescent="0.3">
      <c r="A79" s="1117"/>
      <c r="B79" s="951" t="str">
        <f t="shared" si="9"/>
        <v>Salt - ملح</v>
      </c>
      <c r="C79" s="947" t="str">
        <f t="shared" si="9"/>
        <v>gm</v>
      </c>
      <c r="D79" s="951">
        <f t="shared" si="13"/>
        <v>5</v>
      </c>
      <c r="E79" s="940">
        <f t="shared" si="14"/>
        <v>10.526315789473685</v>
      </c>
      <c r="F79" s="948">
        <f t="shared" si="10"/>
        <v>1</v>
      </c>
      <c r="G79" s="940">
        <f t="shared" si="11"/>
        <v>52.631578947368425</v>
      </c>
      <c r="H79" s="943">
        <f t="shared" si="12"/>
        <v>52.631578947368425</v>
      </c>
      <c r="I79" s="142"/>
      <c r="J79" s="141"/>
      <c r="K79" s="830"/>
    </row>
    <row r="80" spans="1:11" ht="18" x14ac:dyDescent="0.25">
      <c r="A80" s="1070"/>
      <c r="B80" s="1041" t="s">
        <v>287</v>
      </c>
      <c r="C80" s="1042" t="s">
        <v>273</v>
      </c>
      <c r="D80" s="1043"/>
      <c r="E80" s="1044" t="s">
        <v>288</v>
      </c>
      <c r="F80" s="1043"/>
      <c r="G80" s="1045" t="s">
        <v>264</v>
      </c>
      <c r="H80" s="1046" t="s">
        <v>661</v>
      </c>
      <c r="I80" s="14"/>
      <c r="J80" s="14"/>
      <c r="K80" s="830"/>
    </row>
    <row r="81" spans="1:11" ht="20.25" x14ac:dyDescent="0.3">
      <c r="A81" s="1070"/>
      <c r="B81" s="1047">
        <f>$J$53</f>
        <v>8266</v>
      </c>
      <c r="C81" s="1048">
        <f>E81+G81</f>
        <v>10000</v>
      </c>
      <c r="D81" s="1049"/>
      <c r="E81" s="1047">
        <f>$D$53*$S$44</f>
        <v>2479</v>
      </c>
      <c r="F81" s="1050"/>
      <c r="G81" s="1048">
        <f>$D$53*$T$44</f>
        <v>7521</v>
      </c>
      <c r="H81" s="1047">
        <f>B81+E81</f>
        <v>10745</v>
      </c>
      <c r="K81" s="830"/>
    </row>
    <row r="82" spans="1:11" x14ac:dyDescent="0.25">
      <c r="B82" s="80"/>
      <c r="D82" s="830"/>
      <c r="E82" s="80"/>
      <c r="F82" s="80"/>
      <c r="H82" s="830"/>
      <c r="K82" s="830"/>
    </row>
    <row r="83" spans="1:11" x14ac:dyDescent="0.25">
      <c r="B83" s="80"/>
      <c r="D83" s="830"/>
      <c r="E83" s="80"/>
      <c r="F83" s="80"/>
      <c r="H83" s="830"/>
      <c r="K83" s="830"/>
    </row>
    <row r="84" spans="1:11" x14ac:dyDescent="0.25">
      <c r="B84" s="80"/>
      <c r="D84" s="830"/>
      <c r="E84" s="80"/>
      <c r="F84" s="80"/>
      <c r="H84" s="830"/>
      <c r="K84" s="830"/>
    </row>
    <row r="85" spans="1:11" x14ac:dyDescent="0.25">
      <c r="A85" s="1124"/>
      <c r="B85" s="1776" t="str">
        <f>"بامية لحم 2 / " &amp; COUNTIF($C$53:$C$56, "&gt;0")</f>
        <v>بامية لحم 2 / 3</v>
      </c>
      <c r="C85" s="1777"/>
      <c r="D85" s="1778"/>
      <c r="E85" s="1778"/>
      <c r="F85" s="1778"/>
      <c r="G85" s="1777"/>
      <c r="H85" s="1778"/>
      <c r="K85" s="830"/>
    </row>
    <row r="86" spans="1:11" ht="18" x14ac:dyDescent="0.25">
      <c r="A86" s="1124"/>
      <c r="B86" s="1776" t="str">
        <f>"Meat with Bamiya 2 / " &amp; COUNTIF($C$53:$C$56, "&gt;0")</f>
        <v>Meat with Bamiya 2 / 3</v>
      </c>
      <c r="C86" s="1776"/>
      <c r="D86" s="1776"/>
      <c r="E86" s="1776"/>
      <c r="F86" s="1776"/>
      <c r="G86" s="1776"/>
      <c r="H86" s="1776"/>
      <c r="K86" s="830"/>
    </row>
    <row r="87" spans="1:11" ht="38.25" x14ac:dyDescent="0.2">
      <c r="A87" s="933" t="s">
        <v>864</v>
      </c>
      <c r="B87" s="923" t="s">
        <v>241</v>
      </c>
      <c r="C87" s="934" t="s">
        <v>242</v>
      </c>
      <c r="D87" s="923" t="s">
        <v>231</v>
      </c>
      <c r="E87" s="935" t="s">
        <v>234</v>
      </c>
      <c r="F87" s="935" t="s">
        <v>243</v>
      </c>
      <c r="G87" s="923" t="s">
        <v>244</v>
      </c>
      <c r="H87" s="936" t="s">
        <v>245</v>
      </c>
      <c r="K87" s="830"/>
    </row>
    <row r="88" spans="1:11" ht="28.5" x14ac:dyDescent="0.2">
      <c r="A88" s="937" t="s">
        <v>872</v>
      </c>
      <c r="B88" s="951" t="str">
        <f t="shared" ref="B88:C102" si="15">B5</f>
        <v>Indian Meat Alana  - لحم هندى ألانا</v>
      </c>
      <c r="C88" s="947" t="str">
        <f t="shared" si="15"/>
        <v>gm</v>
      </c>
      <c r="D88" s="1147">
        <f>H54</f>
        <v>10</v>
      </c>
      <c r="E88" s="1040">
        <f>H54</f>
        <v>10</v>
      </c>
      <c r="F88" s="948">
        <f t="shared" ref="F88:F102" si="16">F5</f>
        <v>1</v>
      </c>
      <c r="G88" s="940">
        <f t="shared" ref="G88:G102" si="17">D88*E88</f>
        <v>100</v>
      </c>
      <c r="H88" s="943">
        <f t="shared" ref="H88:H102" si="18">G88*F88</f>
        <v>100</v>
      </c>
      <c r="K88" s="830"/>
    </row>
    <row r="89" spans="1:11" x14ac:dyDescent="0.25">
      <c r="A89" s="1117" t="s">
        <v>881</v>
      </c>
      <c r="B89" s="951" t="str">
        <f t="shared" si="15"/>
        <v>Onion - بصل</v>
      </c>
      <c r="C89" s="947" t="str">
        <f t="shared" si="15"/>
        <v>gm</v>
      </c>
      <c r="D89" s="951">
        <f t="shared" ref="D89:D102" si="19">D6</f>
        <v>150</v>
      </c>
      <c r="E89" s="1040">
        <f t="shared" ref="E89:E102" si="20">$C$54</f>
        <v>10.526315789473685</v>
      </c>
      <c r="F89" s="948">
        <f t="shared" si="16"/>
        <v>1</v>
      </c>
      <c r="G89" s="940">
        <f t="shared" si="17"/>
        <v>1578.9473684210527</v>
      </c>
      <c r="H89" s="943">
        <f t="shared" si="18"/>
        <v>1578.9473684210527</v>
      </c>
      <c r="K89" s="830"/>
    </row>
    <row r="90" spans="1:11" x14ac:dyDescent="0.25">
      <c r="A90" s="1117" t="s">
        <v>870</v>
      </c>
      <c r="B90" s="951" t="str">
        <f t="shared" si="15"/>
        <v>Tomato - طماطم</v>
      </c>
      <c r="C90" s="947" t="str">
        <f t="shared" si="15"/>
        <v>gm</v>
      </c>
      <c r="D90" s="951">
        <f t="shared" si="19"/>
        <v>400</v>
      </c>
      <c r="E90" s="1040">
        <f t="shared" si="20"/>
        <v>10.526315789473685</v>
      </c>
      <c r="F90" s="948">
        <f t="shared" si="16"/>
        <v>1</v>
      </c>
      <c r="G90" s="940">
        <f t="shared" si="17"/>
        <v>4210.5263157894742</v>
      </c>
      <c r="H90" s="943">
        <f t="shared" si="18"/>
        <v>4210.5263157894742</v>
      </c>
      <c r="K90" s="830"/>
    </row>
    <row r="91" spans="1:11" x14ac:dyDescent="0.25">
      <c r="A91" s="1117" t="s">
        <v>868</v>
      </c>
      <c r="B91" s="951" t="str">
        <f t="shared" si="15"/>
        <v>Garlic - ثوم مقشر</v>
      </c>
      <c r="C91" s="947" t="str">
        <f t="shared" si="15"/>
        <v>gm</v>
      </c>
      <c r="D91" s="951">
        <f t="shared" si="19"/>
        <v>35</v>
      </c>
      <c r="E91" s="1040">
        <f t="shared" si="20"/>
        <v>10.526315789473685</v>
      </c>
      <c r="F91" s="948">
        <f t="shared" si="16"/>
        <v>1</v>
      </c>
      <c r="G91" s="940">
        <f t="shared" si="17"/>
        <v>368.42105263157896</v>
      </c>
      <c r="H91" s="943">
        <f t="shared" si="18"/>
        <v>368.42105263157896</v>
      </c>
      <c r="K91" s="830"/>
    </row>
    <row r="92" spans="1:11" ht="28.5" x14ac:dyDescent="0.25">
      <c r="A92" s="1117"/>
      <c r="B92" s="951" t="str">
        <f t="shared" si="15"/>
        <v>Black Pepper Powder - فلفل أسود مطحون</v>
      </c>
      <c r="C92" s="947" t="str">
        <f t="shared" si="15"/>
        <v>gm</v>
      </c>
      <c r="D92" s="951">
        <f t="shared" si="19"/>
        <v>3</v>
      </c>
      <c r="E92" s="1040">
        <f t="shared" si="20"/>
        <v>10.526315789473685</v>
      </c>
      <c r="F92" s="948">
        <f t="shared" si="16"/>
        <v>1</v>
      </c>
      <c r="G92" s="940">
        <f t="shared" si="17"/>
        <v>31.578947368421055</v>
      </c>
      <c r="H92" s="943">
        <f t="shared" si="18"/>
        <v>31.578947368421055</v>
      </c>
      <c r="K92" s="830"/>
    </row>
    <row r="93" spans="1:11" x14ac:dyDescent="0.25">
      <c r="A93" s="1117"/>
      <c r="B93" s="951" t="str">
        <f t="shared" si="15"/>
        <v>Cumin Powder - كمون مطحون</v>
      </c>
      <c r="C93" s="947" t="str">
        <f t="shared" si="15"/>
        <v>gm</v>
      </c>
      <c r="D93" s="951">
        <f t="shared" si="19"/>
        <v>5</v>
      </c>
      <c r="E93" s="1040">
        <f t="shared" si="20"/>
        <v>10.526315789473685</v>
      </c>
      <c r="F93" s="948">
        <f t="shared" si="16"/>
        <v>0.75</v>
      </c>
      <c r="G93" s="940">
        <f t="shared" si="17"/>
        <v>52.631578947368425</v>
      </c>
      <c r="H93" s="943">
        <f t="shared" si="18"/>
        <v>39.473684210526315</v>
      </c>
      <c r="K93" s="830"/>
    </row>
    <row r="94" spans="1:11" ht="28.5" x14ac:dyDescent="0.25">
      <c r="A94" s="1117"/>
      <c r="B94" s="951" t="str">
        <f t="shared" si="15"/>
        <v>Coriander Powder - كزبرة مطحونة</v>
      </c>
      <c r="C94" s="947" t="str">
        <f t="shared" si="15"/>
        <v>gm</v>
      </c>
      <c r="D94" s="951">
        <f t="shared" si="19"/>
        <v>5</v>
      </c>
      <c r="E94" s="1040">
        <f t="shared" si="20"/>
        <v>10.526315789473685</v>
      </c>
      <c r="F94" s="948">
        <f t="shared" si="16"/>
        <v>0.75</v>
      </c>
      <c r="G94" s="940">
        <f t="shared" si="17"/>
        <v>52.631578947368425</v>
      </c>
      <c r="H94" s="943">
        <f t="shared" si="18"/>
        <v>39.473684210526315</v>
      </c>
      <c r="K94" s="830"/>
    </row>
    <row r="95" spans="1:11" ht="28.5" x14ac:dyDescent="0.25">
      <c r="A95" s="1117"/>
      <c r="B95" s="951" t="str">
        <f t="shared" si="15"/>
        <v>Cinnamon Powder - قرفة مطحونة</v>
      </c>
      <c r="C95" s="947" t="str">
        <f t="shared" si="15"/>
        <v>gm</v>
      </c>
      <c r="D95" s="951">
        <f t="shared" si="19"/>
        <v>2</v>
      </c>
      <c r="E95" s="1040">
        <f t="shared" si="20"/>
        <v>10.526315789473685</v>
      </c>
      <c r="F95" s="948">
        <f t="shared" si="16"/>
        <v>0.75</v>
      </c>
      <c r="G95" s="940">
        <f t="shared" si="17"/>
        <v>21.05263157894737</v>
      </c>
      <c r="H95" s="943">
        <f t="shared" si="18"/>
        <v>15.789473684210527</v>
      </c>
      <c r="K95" s="830"/>
    </row>
    <row r="96" spans="1:11" x14ac:dyDescent="0.25">
      <c r="A96" s="1117"/>
      <c r="B96" s="951" t="str">
        <f t="shared" si="15"/>
        <v>Salt - ملح</v>
      </c>
      <c r="C96" s="947" t="str">
        <f t="shared" si="15"/>
        <v>gm</v>
      </c>
      <c r="D96" s="951">
        <f t="shared" si="19"/>
        <v>11</v>
      </c>
      <c r="E96" s="1040">
        <f t="shared" si="20"/>
        <v>10.526315789473685</v>
      </c>
      <c r="F96" s="948">
        <f t="shared" si="16"/>
        <v>0.75</v>
      </c>
      <c r="G96" s="940">
        <f t="shared" si="17"/>
        <v>115.78947368421053</v>
      </c>
      <c r="H96" s="943">
        <f t="shared" si="18"/>
        <v>86.842105263157904</v>
      </c>
      <c r="K96" s="830"/>
    </row>
    <row r="97" spans="1:11" x14ac:dyDescent="0.25">
      <c r="A97" s="1117"/>
      <c r="B97" s="951" t="str">
        <f t="shared" si="15"/>
        <v>Tomato Paste - صلصة طماطم</v>
      </c>
      <c r="C97" s="947" t="str">
        <f t="shared" si="15"/>
        <v>gm</v>
      </c>
      <c r="D97" s="951">
        <f t="shared" si="19"/>
        <v>250</v>
      </c>
      <c r="E97" s="1040">
        <f t="shared" si="20"/>
        <v>10.526315789473685</v>
      </c>
      <c r="F97" s="948">
        <f t="shared" si="16"/>
        <v>1</v>
      </c>
      <c r="G97" s="940">
        <f t="shared" si="17"/>
        <v>2631.5789473684213</v>
      </c>
      <c r="H97" s="943">
        <f t="shared" si="18"/>
        <v>2631.5789473684213</v>
      </c>
      <c r="K97" s="830"/>
    </row>
    <row r="98" spans="1:11" x14ac:dyDescent="0.25">
      <c r="A98" s="1117"/>
      <c r="B98" s="951" t="str">
        <f t="shared" si="15"/>
        <v>Frozen Okra - بامية مجمدة</v>
      </c>
      <c r="C98" s="947" t="str">
        <f t="shared" si="15"/>
        <v>gm</v>
      </c>
      <c r="D98" s="951">
        <f t="shared" si="19"/>
        <v>400</v>
      </c>
      <c r="E98" s="1040">
        <f t="shared" si="20"/>
        <v>10.526315789473685</v>
      </c>
      <c r="F98" s="948">
        <f t="shared" si="16"/>
        <v>1</v>
      </c>
      <c r="G98" s="940">
        <f t="shared" si="17"/>
        <v>4210.5263157894742</v>
      </c>
      <c r="H98" s="943">
        <f t="shared" si="18"/>
        <v>4210.5263157894742</v>
      </c>
      <c r="K98" s="830"/>
    </row>
    <row r="99" spans="1:11" x14ac:dyDescent="0.25">
      <c r="A99" s="1117"/>
      <c r="B99" s="951" t="str">
        <f t="shared" si="15"/>
        <v>Beef Stock - مرق لحم بقري</v>
      </c>
      <c r="C99" s="947" t="str">
        <f t="shared" si="15"/>
        <v>ml</v>
      </c>
      <c r="D99" s="951">
        <f t="shared" si="19"/>
        <v>500</v>
      </c>
      <c r="E99" s="1040">
        <f t="shared" si="20"/>
        <v>10.526315789473685</v>
      </c>
      <c r="F99" s="948">
        <f t="shared" si="16"/>
        <v>1</v>
      </c>
      <c r="G99" s="940">
        <f t="shared" si="17"/>
        <v>5263.1578947368425</v>
      </c>
      <c r="H99" s="943">
        <f t="shared" si="18"/>
        <v>5263.1578947368425</v>
      </c>
      <c r="K99" s="830"/>
    </row>
    <row r="100" spans="1:11" x14ac:dyDescent="0.25">
      <c r="A100" s="1117"/>
      <c r="B100" s="951" t="str">
        <f t="shared" si="15"/>
        <v>Butter - زبدة</v>
      </c>
      <c r="C100" s="947" t="str">
        <f t="shared" si="15"/>
        <v>gm</v>
      </c>
      <c r="D100" s="951">
        <f t="shared" si="19"/>
        <v>15</v>
      </c>
      <c r="E100" s="1040">
        <f t="shared" si="20"/>
        <v>10.526315789473685</v>
      </c>
      <c r="F100" s="948">
        <f t="shared" si="16"/>
        <v>1</v>
      </c>
      <c r="G100" s="940">
        <f t="shared" si="17"/>
        <v>157.89473684210526</v>
      </c>
      <c r="H100" s="943">
        <f t="shared" si="18"/>
        <v>157.89473684210526</v>
      </c>
      <c r="K100" s="830"/>
    </row>
    <row r="101" spans="1:11" x14ac:dyDescent="0.25">
      <c r="A101" s="1117"/>
      <c r="B101" s="951" t="str">
        <f t="shared" si="15"/>
        <v>Maggi Cubes - مكعبات ماجي</v>
      </c>
      <c r="C101" s="947" t="str">
        <f t="shared" si="15"/>
        <v>gm</v>
      </c>
      <c r="D101" s="951">
        <f t="shared" si="19"/>
        <v>10</v>
      </c>
      <c r="E101" s="1040">
        <f t="shared" si="20"/>
        <v>10.526315789473685</v>
      </c>
      <c r="F101" s="948">
        <f t="shared" si="16"/>
        <v>0.75</v>
      </c>
      <c r="G101" s="940">
        <f t="shared" si="17"/>
        <v>105.26315789473685</v>
      </c>
      <c r="H101" s="943">
        <f t="shared" si="18"/>
        <v>78.94736842105263</v>
      </c>
      <c r="K101" s="830"/>
    </row>
    <row r="102" spans="1:11" x14ac:dyDescent="0.25">
      <c r="A102" s="1117"/>
      <c r="B102" s="951" t="str">
        <f t="shared" si="15"/>
        <v>Salt - ملح</v>
      </c>
      <c r="C102" s="947" t="str">
        <f t="shared" si="15"/>
        <v>gm</v>
      </c>
      <c r="D102" s="951">
        <f t="shared" si="19"/>
        <v>5</v>
      </c>
      <c r="E102" s="1040">
        <f t="shared" si="20"/>
        <v>10.526315789473685</v>
      </c>
      <c r="F102" s="948">
        <f t="shared" si="16"/>
        <v>1</v>
      </c>
      <c r="G102" s="940">
        <f t="shared" si="17"/>
        <v>52.631578947368425</v>
      </c>
      <c r="H102" s="943">
        <f t="shared" si="18"/>
        <v>52.631578947368425</v>
      </c>
      <c r="K102" s="830"/>
    </row>
    <row r="103" spans="1:11" ht="18" x14ac:dyDescent="0.25">
      <c r="A103" s="1070"/>
      <c r="B103" s="1041" t="s">
        <v>287</v>
      </c>
      <c r="C103" s="1042" t="s">
        <v>273</v>
      </c>
      <c r="D103" s="1043"/>
      <c r="E103" s="1044" t="s">
        <v>288</v>
      </c>
      <c r="F103" s="1043"/>
      <c r="G103" s="1045" t="s">
        <v>264</v>
      </c>
      <c r="H103" s="1046" t="s">
        <v>661</v>
      </c>
      <c r="K103" s="830"/>
    </row>
    <row r="104" spans="1:11" ht="20.25" x14ac:dyDescent="0.3">
      <c r="A104" s="1070"/>
      <c r="B104" s="1047">
        <f>$J$54</f>
        <v>8266</v>
      </c>
      <c r="C104" s="1048">
        <f>E104+G104</f>
        <v>10000</v>
      </c>
      <c r="D104" s="1049"/>
      <c r="E104" s="1047">
        <f>$D$54*$S$44</f>
        <v>2479</v>
      </c>
      <c r="F104" s="1050"/>
      <c r="G104" s="1048">
        <f>$D$54*$T$44</f>
        <v>7521</v>
      </c>
      <c r="H104" s="1047">
        <f>B104+E104</f>
        <v>10745</v>
      </c>
      <c r="K104" s="830"/>
    </row>
    <row r="105" spans="1:11" x14ac:dyDescent="0.25">
      <c r="B105" s="830"/>
      <c r="D105" s="830"/>
      <c r="E105" s="830"/>
      <c r="F105" s="830"/>
      <c r="H105" s="830"/>
      <c r="K105" s="830"/>
    </row>
    <row r="106" spans="1:11" x14ac:dyDescent="0.25">
      <c r="A106" s="1124"/>
      <c r="B106" s="1776" t="str">
        <f>"بامية لحم 3 / " &amp; COUNTIF($C$53:$C$56, "&gt;0")</f>
        <v>بامية لحم 3 / 3</v>
      </c>
      <c r="C106" s="1777"/>
      <c r="D106" s="1778"/>
      <c r="E106" s="1778"/>
      <c r="F106" s="1778"/>
      <c r="G106" s="1777"/>
      <c r="H106" s="1778"/>
      <c r="K106" s="830"/>
    </row>
    <row r="107" spans="1:11" ht="18" x14ac:dyDescent="0.25">
      <c r="A107" s="1124"/>
      <c r="B107" s="1776" t="str">
        <f>"Meat with Bamiya 3 / " &amp; COUNTIF($C$53:$C$56, "&gt;0")</f>
        <v>Meat with Bamiya 3 / 3</v>
      </c>
      <c r="C107" s="1776"/>
      <c r="D107" s="1776"/>
      <c r="E107" s="1776"/>
      <c r="F107" s="1776"/>
      <c r="G107" s="1776"/>
      <c r="H107" s="1776"/>
      <c r="K107" s="830"/>
    </row>
    <row r="108" spans="1:11" ht="38.25" x14ac:dyDescent="0.2">
      <c r="A108" s="933" t="s">
        <v>864</v>
      </c>
      <c r="B108" s="923" t="s">
        <v>241</v>
      </c>
      <c r="C108" s="934" t="s">
        <v>242</v>
      </c>
      <c r="D108" s="923" t="s">
        <v>231</v>
      </c>
      <c r="E108" s="935" t="s">
        <v>234</v>
      </c>
      <c r="F108" s="935" t="s">
        <v>243</v>
      </c>
      <c r="G108" s="923" t="s">
        <v>244</v>
      </c>
      <c r="H108" s="936" t="s">
        <v>245</v>
      </c>
      <c r="K108" s="830"/>
    </row>
    <row r="109" spans="1:11" ht="28.5" x14ac:dyDescent="0.2">
      <c r="A109" s="937" t="s">
        <v>872</v>
      </c>
      <c r="B109" s="951" t="str">
        <f t="shared" ref="B109:D123" si="21">B5</f>
        <v>Indian Meat Alana  - لحم هندى ألانا</v>
      </c>
      <c r="C109" s="947" t="str">
        <f t="shared" si="21"/>
        <v>gm</v>
      </c>
      <c r="D109" s="951">
        <f t="shared" si="21"/>
        <v>1620.7843137254902</v>
      </c>
      <c r="E109" s="1148">
        <f>H55</f>
        <v>0.44519719332203778</v>
      </c>
      <c r="F109" s="1149">
        <f t="shared" ref="F109:F123" si="22">F5</f>
        <v>1</v>
      </c>
      <c r="G109" s="940">
        <f t="shared" ref="G109:G123" si="23">D109*E109</f>
        <v>721.56862745097339</v>
      </c>
      <c r="H109" s="943">
        <f t="shared" ref="H109:H123" si="24">G109*F109</f>
        <v>721.56862745097339</v>
      </c>
      <c r="K109" s="830"/>
    </row>
    <row r="110" spans="1:11" x14ac:dyDescent="0.25">
      <c r="A110" s="1117" t="s">
        <v>881</v>
      </c>
      <c r="B110" s="951" t="str">
        <f t="shared" si="21"/>
        <v>Onion - بصل</v>
      </c>
      <c r="C110" s="947" t="str">
        <f t="shared" si="21"/>
        <v>gm</v>
      </c>
      <c r="D110" s="951">
        <f t="shared" si="21"/>
        <v>150</v>
      </c>
      <c r="E110" s="1148">
        <f t="shared" ref="E110:E123" si="25">$C$55</f>
        <v>0.47263157894737162</v>
      </c>
      <c r="F110" s="1149">
        <f t="shared" si="22"/>
        <v>1</v>
      </c>
      <c r="G110" s="940">
        <f t="shared" si="23"/>
        <v>70.894736842105743</v>
      </c>
      <c r="H110" s="943">
        <f t="shared" si="24"/>
        <v>70.894736842105743</v>
      </c>
      <c r="K110" s="830"/>
    </row>
    <row r="111" spans="1:11" x14ac:dyDescent="0.25">
      <c r="A111" s="1117" t="s">
        <v>870</v>
      </c>
      <c r="B111" s="951" t="str">
        <f t="shared" si="21"/>
        <v>Tomato - طماطم</v>
      </c>
      <c r="C111" s="947" t="str">
        <f t="shared" si="21"/>
        <v>gm</v>
      </c>
      <c r="D111" s="951">
        <f t="shared" si="21"/>
        <v>400</v>
      </c>
      <c r="E111" s="1148">
        <f t="shared" si="25"/>
        <v>0.47263157894737162</v>
      </c>
      <c r="F111" s="1149">
        <f t="shared" si="22"/>
        <v>1</v>
      </c>
      <c r="G111" s="940">
        <f t="shared" si="23"/>
        <v>189.05263157894865</v>
      </c>
      <c r="H111" s="943">
        <f t="shared" si="24"/>
        <v>189.05263157894865</v>
      </c>
      <c r="K111" s="830"/>
    </row>
    <row r="112" spans="1:11" x14ac:dyDescent="0.25">
      <c r="A112" s="1117" t="s">
        <v>868</v>
      </c>
      <c r="B112" s="951" t="str">
        <f t="shared" si="21"/>
        <v>Garlic - ثوم مقشر</v>
      </c>
      <c r="C112" s="947" t="str">
        <f t="shared" si="21"/>
        <v>gm</v>
      </c>
      <c r="D112" s="951">
        <f t="shared" si="21"/>
        <v>35</v>
      </c>
      <c r="E112" s="1148">
        <f t="shared" si="25"/>
        <v>0.47263157894737162</v>
      </c>
      <c r="F112" s="1149">
        <f t="shared" si="22"/>
        <v>1</v>
      </c>
      <c r="G112" s="940">
        <f t="shared" si="23"/>
        <v>16.542105263158007</v>
      </c>
      <c r="H112" s="943">
        <f t="shared" si="24"/>
        <v>16.542105263158007</v>
      </c>
      <c r="K112" s="830"/>
    </row>
    <row r="113" spans="1:11" ht="28.5" x14ac:dyDescent="0.25">
      <c r="A113" s="1117"/>
      <c r="B113" s="951" t="str">
        <f t="shared" si="21"/>
        <v>Black Pepper Powder - فلفل أسود مطحون</v>
      </c>
      <c r="C113" s="947" t="str">
        <f t="shared" si="21"/>
        <v>gm</v>
      </c>
      <c r="D113" s="951">
        <f t="shared" si="21"/>
        <v>3</v>
      </c>
      <c r="E113" s="1148">
        <f t="shared" si="25"/>
        <v>0.47263157894737162</v>
      </c>
      <c r="F113" s="1149">
        <f t="shared" si="22"/>
        <v>1</v>
      </c>
      <c r="G113" s="940">
        <f t="shared" si="23"/>
        <v>1.4178947368421149</v>
      </c>
      <c r="H113" s="943">
        <f t="shared" si="24"/>
        <v>1.4178947368421149</v>
      </c>
      <c r="K113" s="830"/>
    </row>
    <row r="114" spans="1:11" x14ac:dyDescent="0.25">
      <c r="A114" s="1117"/>
      <c r="B114" s="951" t="str">
        <f t="shared" si="21"/>
        <v>Cumin Powder - كمون مطحون</v>
      </c>
      <c r="C114" s="947" t="str">
        <f t="shared" si="21"/>
        <v>gm</v>
      </c>
      <c r="D114" s="951">
        <f t="shared" si="21"/>
        <v>5</v>
      </c>
      <c r="E114" s="1148">
        <f t="shared" si="25"/>
        <v>0.47263157894737162</v>
      </c>
      <c r="F114" s="1149">
        <f t="shared" si="22"/>
        <v>0.75</v>
      </c>
      <c r="G114" s="940">
        <f t="shared" si="23"/>
        <v>2.3631578947368581</v>
      </c>
      <c r="H114" s="943">
        <f t="shared" si="24"/>
        <v>1.7723684210526436</v>
      </c>
      <c r="K114" s="830"/>
    </row>
    <row r="115" spans="1:11" ht="28.5" x14ac:dyDescent="0.25">
      <c r="A115" s="1117"/>
      <c r="B115" s="951" t="str">
        <f t="shared" si="21"/>
        <v>Coriander Powder - كزبرة مطحونة</v>
      </c>
      <c r="C115" s="947" t="str">
        <f t="shared" si="21"/>
        <v>gm</v>
      </c>
      <c r="D115" s="951">
        <f t="shared" si="21"/>
        <v>5</v>
      </c>
      <c r="E115" s="1148">
        <f t="shared" si="25"/>
        <v>0.47263157894737162</v>
      </c>
      <c r="F115" s="1149">
        <f t="shared" si="22"/>
        <v>0.75</v>
      </c>
      <c r="G115" s="940">
        <f t="shared" si="23"/>
        <v>2.3631578947368581</v>
      </c>
      <c r="H115" s="943">
        <f t="shared" si="24"/>
        <v>1.7723684210526436</v>
      </c>
      <c r="K115" s="830"/>
    </row>
    <row r="116" spans="1:11" ht="28.5" x14ac:dyDescent="0.25">
      <c r="A116" s="1117"/>
      <c r="B116" s="951" t="str">
        <f t="shared" si="21"/>
        <v>Cinnamon Powder - قرفة مطحونة</v>
      </c>
      <c r="C116" s="947" t="str">
        <f t="shared" si="21"/>
        <v>gm</v>
      </c>
      <c r="D116" s="951">
        <f t="shared" si="21"/>
        <v>2</v>
      </c>
      <c r="E116" s="1148">
        <f t="shared" si="25"/>
        <v>0.47263157894737162</v>
      </c>
      <c r="F116" s="1149">
        <f t="shared" si="22"/>
        <v>0.75</v>
      </c>
      <c r="G116" s="940">
        <f t="shared" si="23"/>
        <v>0.94526315789474324</v>
      </c>
      <c r="H116" s="943">
        <f t="shared" si="24"/>
        <v>0.70894736842105743</v>
      </c>
      <c r="K116" s="830"/>
    </row>
    <row r="117" spans="1:11" x14ac:dyDescent="0.25">
      <c r="A117" s="1117"/>
      <c r="B117" s="951" t="str">
        <f t="shared" si="21"/>
        <v>Salt - ملح</v>
      </c>
      <c r="C117" s="947" t="str">
        <f t="shared" si="21"/>
        <v>gm</v>
      </c>
      <c r="D117" s="951">
        <f t="shared" si="21"/>
        <v>11</v>
      </c>
      <c r="E117" s="1148">
        <f t="shared" si="25"/>
        <v>0.47263157894737162</v>
      </c>
      <c r="F117" s="1149">
        <f t="shared" si="22"/>
        <v>0.75</v>
      </c>
      <c r="G117" s="940">
        <f t="shared" si="23"/>
        <v>5.1989473684210878</v>
      </c>
      <c r="H117" s="943">
        <f t="shared" si="24"/>
        <v>3.8992105263158159</v>
      </c>
      <c r="K117" s="830"/>
    </row>
    <row r="118" spans="1:11" x14ac:dyDescent="0.25">
      <c r="A118" s="1117"/>
      <c r="B118" s="951" t="str">
        <f t="shared" si="21"/>
        <v>Tomato Paste - صلصة طماطم</v>
      </c>
      <c r="C118" s="947" t="str">
        <f t="shared" si="21"/>
        <v>gm</v>
      </c>
      <c r="D118" s="951">
        <f t="shared" si="21"/>
        <v>250</v>
      </c>
      <c r="E118" s="1148">
        <f t="shared" si="25"/>
        <v>0.47263157894737162</v>
      </c>
      <c r="F118" s="1149">
        <f t="shared" si="22"/>
        <v>1</v>
      </c>
      <c r="G118" s="940">
        <f t="shared" si="23"/>
        <v>118.15789473684291</v>
      </c>
      <c r="H118" s="943">
        <f t="shared" si="24"/>
        <v>118.15789473684291</v>
      </c>
      <c r="K118" s="830"/>
    </row>
    <row r="119" spans="1:11" x14ac:dyDescent="0.25">
      <c r="A119" s="1117"/>
      <c r="B119" s="951" t="str">
        <f t="shared" si="21"/>
        <v>Frozen Okra - بامية مجمدة</v>
      </c>
      <c r="C119" s="947" t="str">
        <f t="shared" si="21"/>
        <v>gm</v>
      </c>
      <c r="D119" s="951">
        <f t="shared" si="21"/>
        <v>400</v>
      </c>
      <c r="E119" s="1148">
        <f t="shared" si="25"/>
        <v>0.47263157894737162</v>
      </c>
      <c r="F119" s="1149">
        <f t="shared" si="22"/>
        <v>1</v>
      </c>
      <c r="G119" s="940">
        <f t="shared" si="23"/>
        <v>189.05263157894865</v>
      </c>
      <c r="H119" s="943">
        <f t="shared" si="24"/>
        <v>189.05263157894865</v>
      </c>
      <c r="K119" s="830"/>
    </row>
    <row r="120" spans="1:11" x14ac:dyDescent="0.25">
      <c r="A120" s="1117"/>
      <c r="B120" s="951" t="str">
        <f t="shared" si="21"/>
        <v>Beef Stock - مرق لحم بقري</v>
      </c>
      <c r="C120" s="947" t="str">
        <f t="shared" si="21"/>
        <v>ml</v>
      </c>
      <c r="D120" s="951">
        <f t="shared" si="21"/>
        <v>500</v>
      </c>
      <c r="E120" s="1148">
        <f t="shared" si="25"/>
        <v>0.47263157894737162</v>
      </c>
      <c r="F120" s="1149">
        <f t="shared" si="22"/>
        <v>1</v>
      </c>
      <c r="G120" s="940">
        <f t="shared" si="23"/>
        <v>236.31578947368581</v>
      </c>
      <c r="H120" s="943">
        <f t="shared" si="24"/>
        <v>236.31578947368581</v>
      </c>
      <c r="K120" s="830"/>
    </row>
    <row r="121" spans="1:11" x14ac:dyDescent="0.25">
      <c r="A121" s="1117"/>
      <c r="B121" s="951" t="str">
        <f t="shared" si="21"/>
        <v>Butter - زبدة</v>
      </c>
      <c r="C121" s="947" t="str">
        <f t="shared" si="21"/>
        <v>gm</v>
      </c>
      <c r="D121" s="951">
        <f t="shared" si="21"/>
        <v>15</v>
      </c>
      <c r="E121" s="1148">
        <f t="shared" si="25"/>
        <v>0.47263157894737162</v>
      </c>
      <c r="F121" s="1149">
        <f t="shared" si="22"/>
        <v>1</v>
      </c>
      <c r="G121" s="940">
        <f t="shared" si="23"/>
        <v>7.0894736842105743</v>
      </c>
      <c r="H121" s="943">
        <f t="shared" si="24"/>
        <v>7.0894736842105743</v>
      </c>
      <c r="K121" s="830"/>
    </row>
    <row r="122" spans="1:11" x14ac:dyDescent="0.25">
      <c r="A122" s="1117"/>
      <c r="B122" s="951" t="str">
        <f t="shared" si="21"/>
        <v>Maggi Cubes - مكعبات ماجي</v>
      </c>
      <c r="C122" s="947" t="str">
        <f t="shared" si="21"/>
        <v>gm</v>
      </c>
      <c r="D122" s="951">
        <f t="shared" si="21"/>
        <v>10</v>
      </c>
      <c r="E122" s="1148">
        <f t="shared" si="25"/>
        <v>0.47263157894737162</v>
      </c>
      <c r="F122" s="1149">
        <f t="shared" si="22"/>
        <v>0.75</v>
      </c>
      <c r="G122" s="940">
        <f t="shared" si="23"/>
        <v>4.7263157894737162</v>
      </c>
      <c r="H122" s="943">
        <f t="shared" si="24"/>
        <v>3.5447368421052872</v>
      </c>
      <c r="K122" s="830"/>
    </row>
    <row r="123" spans="1:11" x14ac:dyDescent="0.25">
      <c r="A123" s="1117"/>
      <c r="B123" s="951" t="str">
        <f t="shared" si="21"/>
        <v>Salt - ملح</v>
      </c>
      <c r="C123" s="947" t="str">
        <f t="shared" si="21"/>
        <v>gm</v>
      </c>
      <c r="D123" s="951">
        <f t="shared" si="21"/>
        <v>5</v>
      </c>
      <c r="E123" s="1148">
        <f t="shared" si="25"/>
        <v>0.47263157894737162</v>
      </c>
      <c r="F123" s="1149">
        <f t="shared" si="22"/>
        <v>1</v>
      </c>
      <c r="G123" s="940">
        <f t="shared" si="23"/>
        <v>2.3631578947368581</v>
      </c>
      <c r="H123" s="943">
        <f t="shared" si="24"/>
        <v>2.3631578947368581</v>
      </c>
      <c r="K123" s="830"/>
    </row>
    <row r="124" spans="1:11" ht="18" x14ac:dyDescent="0.25">
      <c r="A124" s="949"/>
      <c r="B124" s="1041" t="s">
        <v>287</v>
      </c>
      <c r="C124" s="1042" t="s">
        <v>273</v>
      </c>
      <c r="D124" s="1043"/>
      <c r="E124" s="1044" t="s">
        <v>288</v>
      </c>
      <c r="F124" s="1043"/>
      <c r="G124" s="1045" t="s">
        <v>264</v>
      </c>
      <c r="H124" s="1046" t="s">
        <v>661</v>
      </c>
      <c r="K124" s="830"/>
    </row>
    <row r="125" spans="1:11" ht="20.25" x14ac:dyDescent="0.3">
      <c r="A125" s="949"/>
      <c r="B125" s="1047">
        <f>$J$55</f>
        <v>367.99999999999636</v>
      </c>
      <c r="C125" s="1048">
        <f>E125+G125</f>
        <v>449.00000000000301</v>
      </c>
      <c r="D125" s="1054"/>
      <c r="E125" s="1047">
        <f>$D$55*$S$44</f>
        <v>111.30710000000074</v>
      </c>
      <c r="F125" s="1054"/>
      <c r="G125" s="1048">
        <f>$D$55*$T$44</f>
        <v>337.69290000000228</v>
      </c>
      <c r="H125" s="1047">
        <f>B125+E125</f>
        <v>479.30709999999709</v>
      </c>
      <c r="K125" s="830"/>
    </row>
    <row r="129" spans="1:8" x14ac:dyDescent="0.25">
      <c r="A129" s="1124"/>
      <c r="B129" s="1776" t="str">
        <f>"بامية لحم 4 / " &amp; COUNTIF($C$53:$C$56, "&gt;0")</f>
        <v>بامية لحم 4 / 3</v>
      </c>
      <c r="C129" s="1777"/>
      <c r="D129" s="1778"/>
      <c r="E129" s="1778"/>
      <c r="F129" s="1778"/>
      <c r="G129" s="1777"/>
      <c r="H129" s="1778"/>
    </row>
    <row r="130" spans="1:8" ht="18" x14ac:dyDescent="0.25">
      <c r="A130" s="1124"/>
      <c r="B130" s="1776" t="str">
        <f>"Meat with Bamiya 4 / " &amp; COUNTIF($C$53:$C$56, "&gt;0")</f>
        <v>Meat with Bamiya 4 / 3</v>
      </c>
      <c r="C130" s="1776"/>
      <c r="D130" s="1776"/>
      <c r="E130" s="1776"/>
      <c r="F130" s="1776"/>
      <c r="G130" s="1776"/>
      <c r="H130" s="1776"/>
    </row>
    <row r="131" spans="1:8" ht="38.25" x14ac:dyDescent="0.2">
      <c r="A131" s="933" t="s">
        <v>864</v>
      </c>
      <c r="B131" s="923" t="s">
        <v>241</v>
      </c>
      <c r="C131" s="934" t="s">
        <v>242</v>
      </c>
      <c r="D131" s="923" t="s">
        <v>231</v>
      </c>
      <c r="E131" s="935" t="s">
        <v>234</v>
      </c>
      <c r="F131" s="935" t="s">
        <v>243</v>
      </c>
      <c r="G131" s="923" t="s">
        <v>244</v>
      </c>
      <c r="H131" s="936" t="s">
        <v>245</v>
      </c>
    </row>
    <row r="132" spans="1:8" ht="28.5" x14ac:dyDescent="0.2">
      <c r="A132" s="937" t="s">
        <v>872</v>
      </c>
      <c r="B132" s="951" t="str">
        <f t="shared" ref="B132:D146" si="26">B5</f>
        <v>Indian Meat Alana  - لحم هندى ألانا</v>
      </c>
      <c r="C132" s="947" t="str">
        <f t="shared" si="26"/>
        <v>gm</v>
      </c>
      <c r="D132" s="951">
        <f t="shared" si="26"/>
        <v>1620.7843137254902</v>
      </c>
      <c r="E132" s="1148">
        <f>H56</f>
        <v>0</v>
      </c>
      <c r="F132" s="1149">
        <f>F5</f>
        <v>1</v>
      </c>
      <c r="G132" s="940">
        <f t="shared" ref="G132:G146" si="27">D132*E132</f>
        <v>0</v>
      </c>
      <c r="H132" s="943">
        <f t="shared" ref="H132:H146" si="28">G132*F132</f>
        <v>0</v>
      </c>
    </row>
    <row r="133" spans="1:8" x14ac:dyDescent="0.25">
      <c r="A133" s="1117" t="s">
        <v>881</v>
      </c>
      <c r="B133" s="951" t="str">
        <f t="shared" si="26"/>
        <v>Onion - بصل</v>
      </c>
      <c r="C133" s="947" t="str">
        <f t="shared" si="26"/>
        <v>gm</v>
      </c>
      <c r="D133" s="951">
        <f t="shared" si="26"/>
        <v>150</v>
      </c>
      <c r="E133" s="1148">
        <f>$C$56</f>
        <v>0</v>
      </c>
      <c r="F133" s="1149">
        <f t="shared" ref="F133:F146" si="29">F6</f>
        <v>1</v>
      </c>
      <c r="G133" s="940">
        <f t="shared" si="27"/>
        <v>0</v>
      </c>
      <c r="H133" s="943">
        <f t="shared" si="28"/>
        <v>0</v>
      </c>
    </row>
    <row r="134" spans="1:8" x14ac:dyDescent="0.25">
      <c r="A134" s="1117" t="s">
        <v>870</v>
      </c>
      <c r="B134" s="951" t="str">
        <f t="shared" si="26"/>
        <v>Tomato - طماطم</v>
      </c>
      <c r="C134" s="947" t="str">
        <f t="shared" si="26"/>
        <v>gm</v>
      </c>
      <c r="D134" s="951">
        <f t="shared" si="26"/>
        <v>400</v>
      </c>
      <c r="E134" s="1148">
        <f t="shared" ref="E134:E146" si="30">$C$56</f>
        <v>0</v>
      </c>
      <c r="F134" s="1149">
        <f t="shared" si="29"/>
        <v>1</v>
      </c>
      <c r="G134" s="940">
        <f t="shared" si="27"/>
        <v>0</v>
      </c>
      <c r="H134" s="943">
        <f t="shared" si="28"/>
        <v>0</v>
      </c>
    </row>
    <row r="135" spans="1:8" x14ac:dyDescent="0.25">
      <c r="A135" s="1117" t="s">
        <v>868</v>
      </c>
      <c r="B135" s="951" t="str">
        <f t="shared" si="26"/>
        <v>Garlic - ثوم مقشر</v>
      </c>
      <c r="C135" s="947" t="str">
        <f t="shared" si="26"/>
        <v>gm</v>
      </c>
      <c r="D135" s="951">
        <f t="shared" si="26"/>
        <v>35</v>
      </c>
      <c r="E135" s="1148">
        <f t="shared" si="30"/>
        <v>0</v>
      </c>
      <c r="F135" s="1149">
        <f t="shared" si="29"/>
        <v>1</v>
      </c>
      <c r="G135" s="940">
        <f t="shared" si="27"/>
        <v>0</v>
      </c>
      <c r="H135" s="943">
        <f t="shared" si="28"/>
        <v>0</v>
      </c>
    </row>
    <row r="136" spans="1:8" ht="28.5" x14ac:dyDescent="0.25">
      <c r="A136" s="1117"/>
      <c r="B136" s="951" t="str">
        <f t="shared" si="26"/>
        <v>Black Pepper Powder - فلفل أسود مطحون</v>
      </c>
      <c r="C136" s="947" t="str">
        <f t="shared" si="26"/>
        <v>gm</v>
      </c>
      <c r="D136" s="951">
        <f t="shared" si="26"/>
        <v>3</v>
      </c>
      <c r="E136" s="1148">
        <f t="shared" si="30"/>
        <v>0</v>
      </c>
      <c r="F136" s="1149">
        <f t="shared" si="29"/>
        <v>1</v>
      </c>
      <c r="G136" s="940">
        <f t="shared" si="27"/>
        <v>0</v>
      </c>
      <c r="H136" s="943">
        <f t="shared" si="28"/>
        <v>0</v>
      </c>
    </row>
    <row r="137" spans="1:8" x14ac:dyDescent="0.25">
      <c r="A137" s="1117"/>
      <c r="B137" s="951" t="str">
        <f t="shared" si="26"/>
        <v>Cumin Powder - كمون مطحون</v>
      </c>
      <c r="C137" s="947" t="str">
        <f t="shared" si="26"/>
        <v>gm</v>
      </c>
      <c r="D137" s="951">
        <f t="shared" si="26"/>
        <v>5</v>
      </c>
      <c r="E137" s="1148">
        <f t="shared" si="30"/>
        <v>0</v>
      </c>
      <c r="F137" s="1149">
        <f t="shared" si="29"/>
        <v>0.75</v>
      </c>
      <c r="G137" s="940">
        <f t="shared" si="27"/>
        <v>0</v>
      </c>
      <c r="H137" s="943">
        <f t="shared" si="28"/>
        <v>0</v>
      </c>
    </row>
    <row r="138" spans="1:8" ht="28.5" x14ac:dyDescent="0.25">
      <c r="A138" s="1117"/>
      <c r="B138" s="951" t="str">
        <f t="shared" si="26"/>
        <v>Coriander Powder - كزبرة مطحونة</v>
      </c>
      <c r="C138" s="947" t="str">
        <f t="shared" si="26"/>
        <v>gm</v>
      </c>
      <c r="D138" s="951">
        <f t="shared" si="26"/>
        <v>5</v>
      </c>
      <c r="E138" s="1148">
        <f t="shared" si="30"/>
        <v>0</v>
      </c>
      <c r="F138" s="1149">
        <f t="shared" si="29"/>
        <v>0.75</v>
      </c>
      <c r="G138" s="940">
        <f t="shared" si="27"/>
        <v>0</v>
      </c>
      <c r="H138" s="943">
        <f t="shared" si="28"/>
        <v>0</v>
      </c>
    </row>
    <row r="139" spans="1:8" ht="28.5" x14ac:dyDescent="0.25">
      <c r="A139" s="1117"/>
      <c r="B139" s="951" t="str">
        <f t="shared" si="26"/>
        <v>Cinnamon Powder - قرفة مطحونة</v>
      </c>
      <c r="C139" s="947" t="str">
        <f t="shared" si="26"/>
        <v>gm</v>
      </c>
      <c r="D139" s="951">
        <f t="shared" si="26"/>
        <v>2</v>
      </c>
      <c r="E139" s="1148">
        <f t="shared" si="30"/>
        <v>0</v>
      </c>
      <c r="F139" s="1149">
        <f t="shared" si="29"/>
        <v>0.75</v>
      </c>
      <c r="G139" s="940">
        <f t="shared" si="27"/>
        <v>0</v>
      </c>
      <c r="H139" s="943">
        <f t="shared" si="28"/>
        <v>0</v>
      </c>
    </row>
    <row r="140" spans="1:8" x14ac:dyDescent="0.25">
      <c r="A140" s="1117"/>
      <c r="B140" s="951" t="str">
        <f t="shared" si="26"/>
        <v>Salt - ملح</v>
      </c>
      <c r="C140" s="947" t="str">
        <f t="shared" si="26"/>
        <v>gm</v>
      </c>
      <c r="D140" s="951">
        <f t="shared" si="26"/>
        <v>11</v>
      </c>
      <c r="E140" s="1148">
        <f t="shared" si="30"/>
        <v>0</v>
      </c>
      <c r="F140" s="1149">
        <f t="shared" si="29"/>
        <v>0.75</v>
      </c>
      <c r="G140" s="940">
        <f t="shared" si="27"/>
        <v>0</v>
      </c>
      <c r="H140" s="943">
        <f t="shared" si="28"/>
        <v>0</v>
      </c>
    </row>
    <row r="141" spans="1:8" x14ac:dyDescent="0.25">
      <c r="A141" s="1117"/>
      <c r="B141" s="951" t="str">
        <f t="shared" si="26"/>
        <v>Tomato Paste - صلصة طماطم</v>
      </c>
      <c r="C141" s="947" t="str">
        <f t="shared" si="26"/>
        <v>gm</v>
      </c>
      <c r="D141" s="951">
        <f t="shared" si="26"/>
        <v>250</v>
      </c>
      <c r="E141" s="1148">
        <f t="shared" si="30"/>
        <v>0</v>
      </c>
      <c r="F141" s="1149">
        <f t="shared" si="29"/>
        <v>1</v>
      </c>
      <c r="G141" s="940">
        <f t="shared" si="27"/>
        <v>0</v>
      </c>
      <c r="H141" s="943">
        <f t="shared" si="28"/>
        <v>0</v>
      </c>
    </row>
    <row r="142" spans="1:8" x14ac:dyDescent="0.25">
      <c r="A142" s="1117"/>
      <c r="B142" s="951" t="str">
        <f t="shared" si="26"/>
        <v>Frozen Okra - بامية مجمدة</v>
      </c>
      <c r="C142" s="947" t="str">
        <f t="shared" si="26"/>
        <v>gm</v>
      </c>
      <c r="D142" s="951">
        <f t="shared" si="26"/>
        <v>400</v>
      </c>
      <c r="E142" s="1148">
        <f t="shared" si="30"/>
        <v>0</v>
      </c>
      <c r="F142" s="1149">
        <f t="shared" si="29"/>
        <v>1</v>
      </c>
      <c r="G142" s="940">
        <f t="shared" si="27"/>
        <v>0</v>
      </c>
      <c r="H142" s="943">
        <f t="shared" si="28"/>
        <v>0</v>
      </c>
    </row>
    <row r="143" spans="1:8" x14ac:dyDescent="0.25">
      <c r="A143" s="1117"/>
      <c r="B143" s="951" t="str">
        <f t="shared" si="26"/>
        <v>Beef Stock - مرق لحم بقري</v>
      </c>
      <c r="C143" s="947" t="str">
        <f t="shared" si="26"/>
        <v>ml</v>
      </c>
      <c r="D143" s="951">
        <f t="shared" si="26"/>
        <v>500</v>
      </c>
      <c r="E143" s="1148">
        <f t="shared" si="30"/>
        <v>0</v>
      </c>
      <c r="F143" s="1149">
        <f t="shared" si="29"/>
        <v>1</v>
      </c>
      <c r="G143" s="940">
        <f t="shared" si="27"/>
        <v>0</v>
      </c>
      <c r="H143" s="943">
        <f t="shared" si="28"/>
        <v>0</v>
      </c>
    </row>
    <row r="144" spans="1:8" x14ac:dyDescent="0.25">
      <c r="A144" s="1117"/>
      <c r="B144" s="951" t="str">
        <f t="shared" si="26"/>
        <v>Butter - زبدة</v>
      </c>
      <c r="C144" s="947" t="str">
        <f t="shared" si="26"/>
        <v>gm</v>
      </c>
      <c r="D144" s="951">
        <f t="shared" si="26"/>
        <v>15</v>
      </c>
      <c r="E144" s="1148">
        <f t="shared" si="30"/>
        <v>0</v>
      </c>
      <c r="F144" s="1149">
        <f t="shared" si="29"/>
        <v>1</v>
      </c>
      <c r="G144" s="940">
        <f t="shared" si="27"/>
        <v>0</v>
      </c>
      <c r="H144" s="943">
        <f t="shared" si="28"/>
        <v>0</v>
      </c>
    </row>
    <row r="145" spans="1:8" x14ac:dyDescent="0.25">
      <c r="A145" s="1117"/>
      <c r="B145" s="951" t="str">
        <f t="shared" si="26"/>
        <v>Maggi Cubes - مكعبات ماجي</v>
      </c>
      <c r="C145" s="947" t="str">
        <f t="shared" si="26"/>
        <v>gm</v>
      </c>
      <c r="D145" s="951">
        <f t="shared" si="26"/>
        <v>10</v>
      </c>
      <c r="E145" s="1148">
        <f t="shared" si="30"/>
        <v>0</v>
      </c>
      <c r="F145" s="1149">
        <f t="shared" si="29"/>
        <v>0.75</v>
      </c>
      <c r="G145" s="940">
        <f t="shared" si="27"/>
        <v>0</v>
      </c>
      <c r="H145" s="943">
        <f t="shared" si="28"/>
        <v>0</v>
      </c>
    </row>
    <row r="146" spans="1:8" x14ac:dyDescent="0.25">
      <c r="A146" s="1117"/>
      <c r="B146" s="951" t="str">
        <f t="shared" si="26"/>
        <v>Salt - ملح</v>
      </c>
      <c r="C146" s="947" t="str">
        <f t="shared" si="26"/>
        <v>gm</v>
      </c>
      <c r="D146" s="951">
        <f t="shared" si="26"/>
        <v>5</v>
      </c>
      <c r="E146" s="1148">
        <f t="shared" si="30"/>
        <v>0</v>
      </c>
      <c r="F146" s="1149">
        <f t="shared" si="29"/>
        <v>1</v>
      </c>
      <c r="G146" s="940">
        <f t="shared" si="27"/>
        <v>0</v>
      </c>
      <c r="H146" s="943">
        <f t="shared" si="28"/>
        <v>0</v>
      </c>
    </row>
    <row r="147" spans="1:8" ht="18" x14ac:dyDescent="0.25">
      <c r="A147" s="949"/>
      <c r="B147" s="1041" t="s">
        <v>287</v>
      </c>
      <c r="C147" s="1042" t="s">
        <v>273</v>
      </c>
      <c r="D147" s="1043"/>
      <c r="E147" s="1044" t="s">
        <v>288</v>
      </c>
      <c r="F147" s="1043"/>
      <c r="G147" s="1045" t="s">
        <v>264</v>
      </c>
      <c r="H147" s="1046" t="s">
        <v>661</v>
      </c>
    </row>
    <row r="148" spans="1:8" ht="20.25" x14ac:dyDescent="0.3">
      <c r="A148" s="949"/>
      <c r="B148" s="1047">
        <f>$J$56</f>
        <v>0</v>
      </c>
      <c r="C148" s="1048">
        <f>E148+G148</f>
        <v>0</v>
      </c>
      <c r="D148" s="1054"/>
      <c r="E148" s="1047">
        <f>$D$56*$S$44</f>
        <v>0</v>
      </c>
      <c r="F148" s="1054"/>
      <c r="G148" s="1048">
        <f>$D$56*$T$44</f>
        <v>0</v>
      </c>
      <c r="H148" s="1047">
        <f>B148+E148</f>
        <v>0</v>
      </c>
    </row>
  </sheetData>
  <mergeCells count="12">
    <mergeCell ref="B130:H130"/>
    <mergeCell ref="B2:K3"/>
    <mergeCell ref="B63:H63"/>
    <mergeCell ref="B85:H85"/>
    <mergeCell ref="B35:F35"/>
    <mergeCell ref="B129:H129"/>
    <mergeCell ref="R26:U26"/>
    <mergeCell ref="B62:H62"/>
    <mergeCell ref="R25:U25"/>
    <mergeCell ref="B106:H106"/>
    <mergeCell ref="B107:H107"/>
    <mergeCell ref="B86:H86"/>
  </mergeCells>
  <printOptions horizontalCentered="1"/>
  <pageMargins left="0.5" right="0.5" top="1" bottom="0.5" header="0.3" footer="0.511811023622047"/>
  <pageSetup paperSize="9" scale="28"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50"/>
    <pageSetUpPr fitToPage="1"/>
  </sheetPr>
  <dimension ref="A1:AT135"/>
  <sheetViews>
    <sheetView topLeftCell="A88" zoomScale="40" zoomScaleNormal="40" workbookViewId="0">
      <selection activeCell="A116" sqref="A116:A133"/>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3" width="25.875" style="14" customWidth="1"/>
    <col min="14" max="14" width="12.62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875" style="14" bestFit="1" customWidth="1"/>
    <col min="25" max="25" width="8.625" style="14" customWidth="1"/>
    <col min="26" max="29" width="12.625" style="14" customWidth="1"/>
    <col min="30" max="30" width="18.625" style="14" customWidth="1"/>
    <col min="31" max="31" width="12.625" style="14" customWidth="1"/>
    <col min="32" max="32" width="8.625" style="14" customWidth="1"/>
    <col min="33" max="34" width="4.75" style="14" customWidth="1"/>
    <col min="35" max="35" width="18.6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ht="25.5" x14ac:dyDescent="0.25">
      <c r="B1" s="913" t="s">
        <v>231</v>
      </c>
      <c r="C1" s="914">
        <v>1000</v>
      </c>
      <c r="D1" s="915" t="s">
        <v>232</v>
      </c>
      <c r="E1" s="916">
        <f>T32</f>
        <v>13346.666666666672</v>
      </c>
      <c r="F1" s="913" t="s">
        <v>233</v>
      </c>
      <c r="G1" s="1154">
        <f>E1/C1</f>
        <v>13.346666666666671</v>
      </c>
      <c r="H1" s="913" t="s">
        <v>234</v>
      </c>
      <c r="I1" s="918">
        <f>(G1/K1)</f>
        <v>15.701960784313732</v>
      </c>
      <c r="J1" s="919" t="s">
        <v>235</v>
      </c>
      <c r="K1" s="1155">
        <v>0.85</v>
      </c>
      <c r="L1" s="914" t="s">
        <v>307</v>
      </c>
      <c r="M1" s="1153"/>
      <c r="N1" s="922"/>
      <c r="O1" s="923" t="s">
        <v>236</v>
      </c>
      <c r="P1" s="914" t="s">
        <v>237</v>
      </c>
      <c r="Q1" s="924" t="s">
        <v>238</v>
      </c>
      <c r="R1" s="914">
        <v>0.59</v>
      </c>
      <c r="T1" s="890"/>
      <c r="W1" s="890"/>
      <c r="Y1" s="923" t="s">
        <v>444</v>
      </c>
      <c r="Z1" s="925">
        <v>23660</v>
      </c>
      <c r="AA1" s="923" t="s">
        <v>544</v>
      </c>
      <c r="AB1" s="925">
        <v>500</v>
      </c>
      <c r="AC1" s="923" t="s">
        <v>537</v>
      </c>
      <c r="AD1" s="925">
        <v>174</v>
      </c>
      <c r="AE1" s="168"/>
      <c r="AF1" s="170"/>
      <c r="AG1" s="73"/>
      <c r="AI1" s="61"/>
      <c r="AJ1" s="926" t="s">
        <v>250</v>
      </c>
      <c r="AK1" s="926">
        <v>10000</v>
      </c>
      <c r="AL1" s="927" t="s">
        <v>474</v>
      </c>
      <c r="AM1" s="928">
        <f>$S$32</f>
        <v>18199.999999999996</v>
      </c>
      <c r="AN1" s="926" t="s">
        <v>239</v>
      </c>
      <c r="AO1" s="929">
        <f>(($S$32)/$R$1)/$AK$1</f>
        <v>3.0847457627118637</v>
      </c>
      <c r="AP1" s="76"/>
      <c r="AS1" s="890"/>
    </row>
    <row r="2" spans="1:46" ht="15.75" x14ac:dyDescent="0.25">
      <c r="A2" s="863"/>
      <c r="B2" s="1784" t="s">
        <v>27</v>
      </c>
      <c r="C2" s="1797"/>
      <c r="D2" s="1798"/>
      <c r="E2" s="1798"/>
      <c r="F2" s="1798"/>
      <c r="G2" s="1797"/>
      <c r="H2" s="1798"/>
      <c r="I2" s="1797"/>
      <c r="J2" s="1797"/>
      <c r="K2" s="1784"/>
      <c r="L2" s="1156"/>
      <c r="M2" s="890"/>
      <c r="P2" s="80"/>
      <c r="Q2" s="80"/>
      <c r="R2" s="80"/>
      <c r="T2" s="890"/>
      <c r="W2" s="890"/>
      <c r="AC2" s="79"/>
      <c r="AD2" s="79"/>
      <c r="AE2" s="1795"/>
      <c r="AF2" s="1799"/>
      <c r="AG2" s="1799"/>
      <c r="AI2" s="61"/>
      <c r="AJ2" s="930"/>
      <c r="AK2" s="1783" t="s">
        <v>495</v>
      </c>
      <c r="AL2" s="1783"/>
      <c r="AM2" s="1783"/>
      <c r="AN2" s="931"/>
      <c r="AO2" s="930"/>
      <c r="AP2" s="81"/>
      <c r="AS2" s="890"/>
    </row>
    <row r="3" spans="1:46" ht="15.75" x14ac:dyDescent="0.25">
      <c r="A3" s="863"/>
      <c r="B3" s="1785"/>
      <c r="C3" s="1796"/>
      <c r="D3" s="1785"/>
      <c r="E3" s="1785"/>
      <c r="F3" s="1785"/>
      <c r="G3" s="1796"/>
      <c r="H3" s="1785"/>
      <c r="I3" s="1796"/>
      <c r="J3" s="1796"/>
      <c r="K3" s="1802"/>
      <c r="L3" s="187"/>
      <c r="M3" s="890"/>
      <c r="P3" s="80"/>
      <c r="Q3" s="80"/>
      <c r="R3" s="80"/>
      <c r="T3" s="890"/>
      <c r="W3" s="890"/>
      <c r="AC3" s="79"/>
      <c r="AD3" s="79"/>
      <c r="AE3" s="1799"/>
      <c r="AF3" s="1799"/>
      <c r="AG3" s="1799"/>
      <c r="AI3" s="61"/>
      <c r="AJ3" s="81"/>
      <c r="AK3" s="81"/>
      <c r="AL3" s="82"/>
      <c r="AM3" s="82"/>
      <c r="AN3" s="82"/>
      <c r="AO3" s="81"/>
      <c r="AP3" s="81"/>
      <c r="AS3" s="890"/>
    </row>
    <row r="4" spans="1:46" ht="38.25" x14ac:dyDescent="0.25">
      <c r="A4" s="933" t="s">
        <v>864</v>
      </c>
      <c r="B4" s="923" t="s">
        <v>241</v>
      </c>
      <c r="C4" s="934" t="s">
        <v>242</v>
      </c>
      <c r="D4" s="923" t="s">
        <v>231</v>
      </c>
      <c r="E4" s="935" t="s">
        <v>234</v>
      </c>
      <c r="F4" s="935" t="s">
        <v>243</v>
      </c>
      <c r="G4" s="923" t="s">
        <v>244</v>
      </c>
      <c r="H4" s="936" t="s">
        <v>245</v>
      </c>
      <c r="I4" s="923" t="s">
        <v>246</v>
      </c>
      <c r="J4" s="923" t="s">
        <v>247</v>
      </c>
      <c r="K4" s="923" t="s">
        <v>248</v>
      </c>
      <c r="L4" s="923" t="s">
        <v>249</v>
      </c>
      <c r="M4" s="80"/>
      <c r="N4" s="80"/>
      <c r="O4" s="80"/>
      <c r="P4" s="80"/>
      <c r="R4" s="890"/>
      <c r="T4" s="890"/>
      <c r="W4" s="890"/>
      <c r="AA4" s="169"/>
      <c r="AB4" s="171"/>
      <c r="AC4" s="169"/>
      <c r="AD4" s="169"/>
      <c r="AE4" s="169"/>
      <c r="AI4" s="949"/>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937" t="s">
        <v>873</v>
      </c>
      <c r="B5" s="938" t="s">
        <v>220</v>
      </c>
      <c r="C5" s="939" t="s">
        <v>14</v>
      </c>
      <c r="D5" s="944">
        <f>I51/10</f>
        <v>2311.3713405238827</v>
      </c>
      <c r="E5" s="941">
        <f>H52</f>
        <v>13.34595488240627</v>
      </c>
      <c r="F5" s="942">
        <v>1</v>
      </c>
      <c r="G5" s="940">
        <f t="shared" ref="G5:G23" si="0">D5*E5</f>
        <v>30847.457627118638</v>
      </c>
      <c r="H5" s="943">
        <f t="shared" ref="H5:H23" si="1">G5*F5</f>
        <v>30847.457627118638</v>
      </c>
      <c r="I5" s="914">
        <f>VLOOKUP(B5,All_Ingredients!$A$1:$F$161,6,FALSE())</f>
        <v>0.86</v>
      </c>
      <c r="J5" s="940">
        <f>VLOOKUP(B5,All_Ingredients!$A$1:$J$161,10,FALSE())</f>
        <v>17.100000000000001</v>
      </c>
      <c r="K5" s="945">
        <f t="shared" ref="K5" si="2">(H5/I5)/1000</f>
        <v>35.86913677571934</v>
      </c>
      <c r="L5" s="945">
        <f t="shared" ref="L5" si="3">K5*J5</f>
        <v>613.36223886480082</v>
      </c>
      <c r="M5" s="80"/>
      <c r="N5" s="80"/>
      <c r="O5" s="80"/>
      <c r="P5" s="80"/>
      <c r="R5" s="890"/>
      <c r="T5" s="890"/>
      <c r="W5" s="890"/>
      <c r="AA5" s="73"/>
      <c r="AB5" s="89"/>
      <c r="AC5" s="172"/>
      <c r="AD5" s="90"/>
      <c r="AE5" s="91"/>
      <c r="AI5" s="949"/>
      <c r="AJ5" s="938" t="s">
        <v>220</v>
      </c>
      <c r="AK5" s="951" t="s">
        <v>227</v>
      </c>
      <c r="AL5" s="914">
        <v>10</v>
      </c>
      <c r="AM5" s="1040">
        <f>$AO$1</f>
        <v>3.0847457627118637</v>
      </c>
      <c r="AN5" s="948">
        <v>1</v>
      </c>
      <c r="AO5" s="940">
        <f>AL5*AM5</f>
        <v>30.847457627118636</v>
      </c>
      <c r="AP5" s="943">
        <f>AN5*AO5</f>
        <v>30.847457627118636</v>
      </c>
      <c r="AQ5" s="952"/>
      <c r="AR5" s="953"/>
      <c r="AS5" s="954"/>
      <c r="AT5" s="955"/>
    </row>
    <row r="6" spans="1:46" x14ac:dyDescent="0.25">
      <c r="A6" s="949" t="s">
        <v>881</v>
      </c>
      <c r="B6" s="960" t="s">
        <v>12</v>
      </c>
      <c r="C6" s="947" t="s">
        <v>14</v>
      </c>
      <c r="D6" s="914">
        <v>150</v>
      </c>
      <c r="E6" s="1040">
        <f t="shared" ref="E6:E23" si="4">$I$1</f>
        <v>15.701960784313732</v>
      </c>
      <c r="F6" s="948">
        <v>0.95</v>
      </c>
      <c r="G6" s="940">
        <f t="shared" si="0"/>
        <v>2355.2941176470599</v>
      </c>
      <c r="H6" s="943">
        <f t="shared" si="1"/>
        <v>2237.5294117647068</v>
      </c>
      <c r="I6" s="914">
        <f>VLOOKUP(B6,All_Ingredients!$A$1:$F$161,6,FALSE())</f>
        <v>0.9</v>
      </c>
      <c r="J6" s="940">
        <f>VLOOKUP(B6,All_Ingredients!$A$1:$J$161,10,FALSE())</f>
        <v>3</v>
      </c>
      <c r="K6" s="945">
        <f t="shared" ref="K6:K23" si="5">(H6/I6)/1000</f>
        <v>2.486143790849674</v>
      </c>
      <c r="L6" s="945">
        <f t="shared" ref="L6:L23" si="6">K6*J6</f>
        <v>7.4584313725490219</v>
      </c>
      <c r="M6" s="890"/>
      <c r="R6" s="890"/>
      <c r="T6" s="890"/>
      <c r="W6" s="890"/>
      <c r="AI6" s="949" t="s">
        <v>55</v>
      </c>
      <c r="AJ6" s="960" t="s">
        <v>54</v>
      </c>
      <c r="AK6" s="951" t="s">
        <v>14</v>
      </c>
      <c r="AL6" s="914">
        <v>300</v>
      </c>
      <c r="AM6" s="1040">
        <f t="shared" ref="AM6:AM12" si="7">$AO$1</f>
        <v>3.0847457627118637</v>
      </c>
      <c r="AN6" s="948">
        <v>1</v>
      </c>
      <c r="AO6" s="940">
        <f t="shared" ref="AO6:AO11" si="8">AL6*AM6</f>
        <v>925.42372881355914</v>
      </c>
      <c r="AP6" s="943">
        <f t="shared" ref="AP6:AP11" si="9">AN6*AO6</f>
        <v>925.42372881355914</v>
      </c>
      <c r="AQ6" s="955">
        <f>VLOOKUP(AJ6,Marination_Ordering!$A:$J,6,FALSE)</f>
        <v>0.87</v>
      </c>
      <c r="AR6" s="955">
        <f>VLOOKUP(AJ6,Marination_Ordering!$A:$J,10,FALSE)</f>
        <v>7</v>
      </c>
      <c r="AS6" s="954">
        <f>AP6/AQ6</f>
        <v>1063.705435417884</v>
      </c>
      <c r="AT6" s="955">
        <f>AR6*(AS6/1000)</f>
        <v>7.4459380479251891</v>
      </c>
    </row>
    <row r="7" spans="1:46" ht="29.25" x14ac:dyDescent="0.25">
      <c r="A7" s="949" t="s">
        <v>880</v>
      </c>
      <c r="B7" s="960" t="s">
        <v>32</v>
      </c>
      <c r="C7" s="947" t="s">
        <v>14</v>
      </c>
      <c r="D7" s="914">
        <v>50</v>
      </c>
      <c r="E7" s="1040">
        <f t="shared" si="4"/>
        <v>15.701960784313732</v>
      </c>
      <c r="F7" s="948">
        <v>0.95</v>
      </c>
      <c r="G7" s="940">
        <f t="shared" si="0"/>
        <v>785.09803921568664</v>
      </c>
      <c r="H7" s="943">
        <f t="shared" si="1"/>
        <v>745.84313725490222</v>
      </c>
      <c r="I7" s="914">
        <f>VLOOKUP(B7,All_Ingredients!$A$1:$F$161,6,FALSE())</f>
        <v>0.69</v>
      </c>
      <c r="J7" s="940">
        <f>VLOOKUP(B7,All_Ingredients!$A$1:$J$161,10,FALSE())</f>
        <v>4</v>
      </c>
      <c r="K7" s="945">
        <f t="shared" si="5"/>
        <v>1.0809320829781193</v>
      </c>
      <c r="L7" s="945">
        <f t="shared" si="6"/>
        <v>4.3237283319124771</v>
      </c>
      <c r="M7" s="890"/>
      <c r="R7" s="890"/>
      <c r="T7" s="890"/>
      <c r="W7" s="890"/>
      <c r="AI7" s="949" t="s">
        <v>13</v>
      </c>
      <c r="AJ7" s="960" t="s">
        <v>706</v>
      </c>
      <c r="AK7" s="951" t="s">
        <v>14</v>
      </c>
      <c r="AL7" s="914">
        <v>100</v>
      </c>
      <c r="AM7" s="1040">
        <f t="shared" si="7"/>
        <v>3.0847457627118637</v>
      </c>
      <c r="AN7" s="948">
        <v>1</v>
      </c>
      <c r="AO7" s="940">
        <f t="shared" si="8"/>
        <v>308.47457627118638</v>
      </c>
      <c r="AP7" s="943">
        <f t="shared" si="9"/>
        <v>308.47457627118638</v>
      </c>
      <c r="AQ7" s="955">
        <f>VLOOKUP(AJ7,Marination_Ordering!$A:$J,6,FALSE)</f>
        <v>1</v>
      </c>
      <c r="AR7" s="955">
        <f>VLOOKUP(AJ7,Marination_Ordering!$A:$J,10,FALSE)</f>
        <v>10.5</v>
      </c>
      <c r="AS7" s="954">
        <f t="shared" ref="AS7:AS12" si="10">AP7/AQ7</f>
        <v>308.47457627118638</v>
      </c>
      <c r="AT7" s="955">
        <f t="shared" ref="AT7:AT12" si="11">AR7*(AS7/1000)</f>
        <v>3.2389830508474566</v>
      </c>
    </row>
    <row r="8" spans="1:46" x14ac:dyDescent="0.25">
      <c r="A8" s="949" t="s">
        <v>880</v>
      </c>
      <c r="B8" s="1043" t="s">
        <v>28</v>
      </c>
      <c r="C8" s="947" t="s">
        <v>14</v>
      </c>
      <c r="D8" s="914">
        <v>50</v>
      </c>
      <c r="E8" s="1040">
        <f t="shared" si="4"/>
        <v>15.701960784313732</v>
      </c>
      <c r="F8" s="948">
        <v>0.95</v>
      </c>
      <c r="G8" s="940">
        <f t="shared" si="0"/>
        <v>785.09803921568664</v>
      </c>
      <c r="H8" s="943">
        <f t="shared" si="1"/>
        <v>745.84313725490222</v>
      </c>
      <c r="I8" s="914">
        <f>VLOOKUP(B8,All_Ingredients!$A$1:$F$161,6,FALSE())</f>
        <v>0.73</v>
      </c>
      <c r="J8" s="940">
        <f>VLOOKUP(B8,All_Ingredients!$A$1:$J$161,10,FALSE())</f>
        <v>8.5</v>
      </c>
      <c r="K8" s="945">
        <f t="shared" si="5"/>
        <v>1.0217029277464413</v>
      </c>
      <c r="L8" s="945">
        <f t="shared" si="6"/>
        <v>8.684474885844752</v>
      </c>
      <c r="M8" s="890"/>
      <c r="R8" s="890"/>
      <c r="T8" s="890"/>
      <c r="W8" s="890"/>
      <c r="AI8" s="949" t="s">
        <v>204</v>
      </c>
      <c r="AJ8" s="960" t="s">
        <v>212</v>
      </c>
      <c r="AK8" s="951" t="s">
        <v>160</v>
      </c>
      <c r="AL8" s="914">
        <v>350</v>
      </c>
      <c r="AM8" s="1040">
        <f t="shared" si="7"/>
        <v>3.0847457627118637</v>
      </c>
      <c r="AN8" s="948">
        <v>1</v>
      </c>
      <c r="AO8" s="940">
        <f t="shared" si="8"/>
        <v>1079.6610169491523</v>
      </c>
      <c r="AP8" s="943">
        <f t="shared" si="9"/>
        <v>1079.6610169491523</v>
      </c>
      <c r="AQ8" s="955">
        <f>VLOOKUP(AJ8,Marination_Ordering!$A:$J,6,FALSE)</f>
        <v>1</v>
      </c>
      <c r="AR8" s="955">
        <f>VLOOKUP(AJ8,Marination_Ordering!$A:$J,10,FALSE)</f>
        <v>5</v>
      </c>
      <c r="AS8" s="954">
        <f t="shared" si="10"/>
        <v>1079.6610169491523</v>
      </c>
      <c r="AT8" s="955">
        <f t="shared" si="11"/>
        <v>5.3983050847457612</v>
      </c>
    </row>
    <row r="9" spans="1:46" x14ac:dyDescent="0.25">
      <c r="A9" s="949"/>
      <c r="B9" s="1043" t="s">
        <v>30</v>
      </c>
      <c r="C9" s="947" t="s">
        <v>14</v>
      </c>
      <c r="D9" s="914">
        <v>50</v>
      </c>
      <c r="E9" s="1040">
        <f t="shared" si="4"/>
        <v>15.701960784313732</v>
      </c>
      <c r="F9" s="948">
        <v>0.95</v>
      </c>
      <c r="G9" s="940">
        <f t="shared" si="0"/>
        <v>785.09803921568664</v>
      </c>
      <c r="H9" s="943">
        <f t="shared" si="1"/>
        <v>745.84313725490222</v>
      </c>
      <c r="I9" s="914">
        <f>VLOOKUP(B9,All_Ingredients!$A$1:$F$161,6,FALSE())</f>
        <v>0.71</v>
      </c>
      <c r="J9" s="940">
        <f>VLOOKUP(B9,All_Ingredients!$A$1:$J$161,10,FALSE())</f>
        <v>8.5</v>
      </c>
      <c r="K9" s="945">
        <f t="shared" si="5"/>
        <v>1.0504832919083131</v>
      </c>
      <c r="L9" s="945">
        <f t="shared" si="6"/>
        <v>8.9291079812206622</v>
      </c>
      <c r="M9" s="890"/>
      <c r="R9" s="890"/>
      <c r="T9" s="890"/>
      <c r="W9" s="890"/>
      <c r="AI9" s="949" t="s">
        <v>204</v>
      </c>
      <c r="AJ9" s="960" t="s">
        <v>208</v>
      </c>
      <c r="AK9" s="951" t="s">
        <v>160</v>
      </c>
      <c r="AL9" s="914">
        <v>70</v>
      </c>
      <c r="AM9" s="1040">
        <f t="shared" si="7"/>
        <v>3.0847457627118637</v>
      </c>
      <c r="AN9" s="948">
        <v>1</v>
      </c>
      <c r="AO9" s="940">
        <f t="shared" si="8"/>
        <v>215.93220338983045</v>
      </c>
      <c r="AP9" s="943">
        <f t="shared" si="9"/>
        <v>215.93220338983045</v>
      </c>
      <c r="AQ9" s="955">
        <f>VLOOKUP(AJ9,Marination_Ordering!$A:$J,6,FALSE)</f>
        <v>1</v>
      </c>
      <c r="AR9" s="955">
        <f>VLOOKUP(AJ9,Marination_Ordering!$A:$J,10,FALSE)</f>
        <v>2.1621621621621623</v>
      </c>
      <c r="AS9" s="954">
        <f t="shared" si="10"/>
        <v>215.93220338983045</v>
      </c>
      <c r="AT9" s="955">
        <f t="shared" si="11"/>
        <v>0.46688043976179555</v>
      </c>
    </row>
    <row r="10" spans="1:46" x14ac:dyDescent="0.25">
      <c r="A10" s="949" t="s">
        <v>868</v>
      </c>
      <c r="B10" s="960" t="s">
        <v>706</v>
      </c>
      <c r="C10" s="947" t="s">
        <v>14</v>
      </c>
      <c r="D10" s="914">
        <v>40</v>
      </c>
      <c r="E10" s="1040">
        <f t="shared" si="4"/>
        <v>15.701960784313732</v>
      </c>
      <c r="F10" s="948">
        <v>0.9</v>
      </c>
      <c r="G10" s="940">
        <f t="shared" si="0"/>
        <v>628.07843137254929</v>
      </c>
      <c r="H10" s="943">
        <f t="shared" si="1"/>
        <v>565.27058823529433</v>
      </c>
      <c r="I10" s="914">
        <f>VLOOKUP(B10,All_Ingredients!$A$1:$F$161,6,FALSE())</f>
        <v>1</v>
      </c>
      <c r="J10" s="940">
        <f>VLOOKUP(B10,All_Ingredients!$A$1:$J$161,10,FALSE())</f>
        <v>10.5</v>
      </c>
      <c r="K10" s="945">
        <f t="shared" si="5"/>
        <v>0.5652705882352943</v>
      </c>
      <c r="L10" s="945">
        <f t="shared" si="6"/>
        <v>5.9353411764705903</v>
      </c>
      <c r="M10" s="890"/>
      <c r="R10" s="890"/>
      <c r="T10" s="890"/>
      <c r="W10" s="890"/>
      <c r="AI10" s="949" t="s">
        <v>94</v>
      </c>
      <c r="AJ10" s="960" t="s">
        <v>93</v>
      </c>
      <c r="AK10" s="951" t="s">
        <v>14</v>
      </c>
      <c r="AL10" s="914">
        <v>2</v>
      </c>
      <c r="AM10" s="1040">
        <f t="shared" si="7"/>
        <v>3.0847457627118637</v>
      </c>
      <c r="AN10" s="948">
        <v>1</v>
      </c>
      <c r="AO10" s="940">
        <f t="shared" si="8"/>
        <v>6.1694915254237275</v>
      </c>
      <c r="AP10" s="943">
        <f t="shared" si="9"/>
        <v>6.1694915254237275</v>
      </c>
      <c r="AQ10" s="955">
        <f>VLOOKUP(AJ10,Marination_Ordering!$A:$J,6,FALSE)</f>
        <v>1</v>
      </c>
      <c r="AR10" s="955">
        <f>VLOOKUP(AJ10,Marination_Ordering!$A:$J,10,FALSE)</f>
        <v>0.74</v>
      </c>
      <c r="AS10" s="954">
        <f t="shared" si="10"/>
        <v>6.1694915254237275</v>
      </c>
      <c r="AT10" s="955">
        <f t="shared" si="11"/>
        <v>4.565423728813558E-3</v>
      </c>
    </row>
    <row r="11" spans="1:46" ht="29.25" x14ac:dyDescent="0.25">
      <c r="A11" s="949" t="s">
        <v>867</v>
      </c>
      <c r="B11" s="960" t="s">
        <v>54</v>
      </c>
      <c r="C11" s="947" t="s">
        <v>14</v>
      </c>
      <c r="D11" s="914">
        <v>25</v>
      </c>
      <c r="E11" s="1040">
        <f t="shared" si="4"/>
        <v>15.701960784313732</v>
      </c>
      <c r="F11" s="948">
        <v>0.6</v>
      </c>
      <c r="G11" s="940">
        <f t="shared" si="0"/>
        <v>392.54901960784332</v>
      </c>
      <c r="H11" s="943">
        <f t="shared" si="1"/>
        <v>235.52941176470597</v>
      </c>
      <c r="I11" s="914">
        <f>VLOOKUP(B11,All_Ingredients!$A$1:$F$161,6,FALSE())</f>
        <v>0.87</v>
      </c>
      <c r="J11" s="940">
        <f>VLOOKUP(B11,All_Ingredients!$A$1:$J$161,10,FALSE())</f>
        <v>7</v>
      </c>
      <c r="K11" s="945">
        <f t="shared" si="5"/>
        <v>0.27072346179851264</v>
      </c>
      <c r="L11" s="945">
        <f t="shared" si="6"/>
        <v>1.8950642325895886</v>
      </c>
      <c r="M11" s="890"/>
      <c r="R11" s="890"/>
      <c r="T11" s="890"/>
      <c r="W11" s="890"/>
      <c r="AI11" s="949" t="s">
        <v>94</v>
      </c>
      <c r="AJ11" s="960" t="s">
        <v>99</v>
      </c>
      <c r="AK11" s="951" t="s">
        <v>14</v>
      </c>
      <c r="AL11" s="914">
        <v>3</v>
      </c>
      <c r="AM11" s="1040">
        <f t="shared" si="7"/>
        <v>3.0847457627118637</v>
      </c>
      <c r="AN11" s="948">
        <v>1</v>
      </c>
      <c r="AO11" s="940">
        <f t="shared" si="8"/>
        <v>9.2542372881355917</v>
      </c>
      <c r="AP11" s="943">
        <f t="shared" si="9"/>
        <v>9.2542372881355917</v>
      </c>
      <c r="AQ11" s="955">
        <f>VLOOKUP(AJ11,Marination_Ordering!$A:$J,6,FALSE)</f>
        <v>1</v>
      </c>
      <c r="AR11" s="955">
        <f>VLOOKUP(AJ11,Marination_Ordering!$A:$J,10,FALSE)</f>
        <v>31</v>
      </c>
      <c r="AS11" s="954">
        <f t="shared" si="10"/>
        <v>9.2542372881355917</v>
      </c>
      <c r="AT11" s="955">
        <f t="shared" si="11"/>
        <v>0.28688135593220337</v>
      </c>
    </row>
    <row r="12" spans="1:46" ht="29.25" x14ac:dyDescent="0.25">
      <c r="A12" s="949"/>
      <c r="B12" s="960" t="s">
        <v>193</v>
      </c>
      <c r="C12" s="947" t="s">
        <v>160</v>
      </c>
      <c r="D12" s="914">
        <v>25</v>
      </c>
      <c r="E12" s="1040">
        <f t="shared" si="4"/>
        <v>15.701960784313732</v>
      </c>
      <c r="F12" s="948">
        <v>0.9</v>
      </c>
      <c r="G12" s="940">
        <f t="shared" si="0"/>
        <v>392.54901960784332</v>
      </c>
      <c r="H12" s="943">
        <f t="shared" si="1"/>
        <v>353.29411764705901</v>
      </c>
      <c r="I12" s="914">
        <f>VLOOKUP(B12,All_Ingredients!$A$1:$F$161,6,FALSE())</f>
        <v>1</v>
      </c>
      <c r="J12" s="940">
        <f>VLOOKUP(B12,All_Ingredients!$A$1:$J$161,10,FALSE())</f>
        <v>37.001287001286997</v>
      </c>
      <c r="K12" s="945">
        <f t="shared" si="5"/>
        <v>0.35329411764705904</v>
      </c>
      <c r="L12" s="945">
        <f t="shared" si="6"/>
        <v>13.072337042925284</v>
      </c>
      <c r="M12" s="890"/>
      <c r="R12" s="890"/>
      <c r="T12" s="890"/>
      <c r="W12" s="890"/>
      <c r="AI12" s="949" t="s">
        <v>213</v>
      </c>
      <c r="AJ12" s="960" t="s">
        <v>214</v>
      </c>
      <c r="AK12" s="951" t="s">
        <v>14</v>
      </c>
      <c r="AL12" s="914">
        <v>5</v>
      </c>
      <c r="AM12" s="1040">
        <f t="shared" si="7"/>
        <v>3.0847457627118637</v>
      </c>
      <c r="AN12" s="948">
        <v>1</v>
      </c>
      <c r="AO12" s="940">
        <f>AL12*AM12</f>
        <v>15.423728813559318</v>
      </c>
      <c r="AP12" s="943">
        <f>AN12*AO12</f>
        <v>15.423728813559318</v>
      </c>
      <c r="AQ12" s="955">
        <f>VLOOKUP(AJ12,Marination_Ordering!$A:$J,6,FALSE)</f>
        <v>1</v>
      </c>
      <c r="AR12" s="955">
        <f>VLOOKUP(AJ12,Marination_Ordering!$A:$J,10,FALSE)</f>
        <v>35</v>
      </c>
      <c r="AS12" s="954">
        <f t="shared" si="10"/>
        <v>15.423728813559318</v>
      </c>
      <c r="AT12" s="955">
        <f t="shared" si="11"/>
        <v>0.53983050847457614</v>
      </c>
    </row>
    <row r="13" spans="1:46" ht="29.25" x14ac:dyDescent="0.25">
      <c r="A13" s="949"/>
      <c r="B13" s="960" t="s">
        <v>194</v>
      </c>
      <c r="C13" s="947" t="s">
        <v>160</v>
      </c>
      <c r="D13" s="914">
        <v>17</v>
      </c>
      <c r="E13" s="1040">
        <f t="shared" si="4"/>
        <v>15.701960784313732</v>
      </c>
      <c r="F13" s="948">
        <v>1</v>
      </c>
      <c r="G13" s="940">
        <f t="shared" si="0"/>
        <v>266.93333333333345</v>
      </c>
      <c r="H13" s="943">
        <f t="shared" si="1"/>
        <v>266.93333333333345</v>
      </c>
      <c r="I13" s="914">
        <f>VLOOKUP(B13,All_Ingredients!$A$1:$F$161,6,FALSE())</f>
        <v>1</v>
      </c>
      <c r="J13" s="940">
        <f>VLOOKUP(B13,All_Ingredients!$A$1:$J$161,10,FALSE())</f>
        <v>22.666666666666668</v>
      </c>
      <c r="K13" s="945">
        <f t="shared" si="5"/>
        <v>0.26693333333333347</v>
      </c>
      <c r="L13" s="945">
        <f t="shared" si="6"/>
        <v>6.0504888888888919</v>
      </c>
      <c r="M13" s="890"/>
      <c r="R13" s="890"/>
      <c r="T13" s="890"/>
      <c r="W13" s="890"/>
      <c r="AJ13" s="890"/>
      <c r="AK13" s="890"/>
      <c r="AL13" s="890"/>
      <c r="AM13" s="890"/>
      <c r="AN13" s="890"/>
      <c r="AP13" s="890"/>
      <c r="AR13" s="551"/>
      <c r="AS13" s="1152"/>
      <c r="AT13" s="549"/>
    </row>
    <row r="14" spans="1:46" ht="29.25" x14ac:dyDescent="0.25">
      <c r="A14" s="949"/>
      <c r="B14" s="960" t="s">
        <v>192</v>
      </c>
      <c r="C14" s="947" t="s">
        <v>160</v>
      </c>
      <c r="D14" s="914">
        <v>35</v>
      </c>
      <c r="E14" s="1040">
        <f t="shared" si="4"/>
        <v>15.701960784313732</v>
      </c>
      <c r="F14" s="948">
        <v>0.75</v>
      </c>
      <c r="G14" s="940">
        <f t="shared" si="0"/>
        <v>549.56862745098067</v>
      </c>
      <c r="H14" s="943">
        <f t="shared" si="1"/>
        <v>412.17647058823547</v>
      </c>
      <c r="I14" s="914">
        <f>VLOOKUP(B14,All_Ingredients!$A$1:$F$161,6,FALSE())</f>
        <v>1</v>
      </c>
      <c r="J14" s="940">
        <f>VLOOKUP(B14,All_Ingredients!$A$1:$J$161,10,FALSE())</f>
        <v>58.685446009389672</v>
      </c>
      <c r="K14" s="945">
        <f t="shared" si="5"/>
        <v>0.41217647058823548</v>
      </c>
      <c r="L14" s="945">
        <f t="shared" si="6"/>
        <v>24.188760011046682</v>
      </c>
      <c r="M14" s="890"/>
      <c r="R14" s="890"/>
      <c r="T14" s="890"/>
      <c r="W14" s="890"/>
      <c r="AJ14" s="890"/>
      <c r="AK14" s="890"/>
      <c r="AL14" s="890"/>
      <c r="AM14" s="890"/>
      <c r="AN14" s="890"/>
      <c r="AP14" s="890"/>
      <c r="AS14" s="890"/>
    </row>
    <row r="15" spans="1:46" x14ac:dyDescent="0.25">
      <c r="A15" s="949"/>
      <c r="B15" s="960" t="s">
        <v>208</v>
      </c>
      <c r="C15" s="947" t="s">
        <v>160</v>
      </c>
      <c r="D15" s="914">
        <v>15</v>
      </c>
      <c r="E15" s="1040">
        <f t="shared" si="4"/>
        <v>15.701960784313732</v>
      </c>
      <c r="F15" s="948">
        <v>1</v>
      </c>
      <c r="G15" s="940">
        <f t="shared" si="0"/>
        <v>235.52941176470597</v>
      </c>
      <c r="H15" s="943">
        <f t="shared" si="1"/>
        <v>235.52941176470597</v>
      </c>
      <c r="I15" s="914">
        <f>VLOOKUP(B15,All_Ingredients!$A$1:$F$161,6,FALSE())</f>
        <v>1</v>
      </c>
      <c r="J15" s="940">
        <f>VLOOKUP(B15,All_Ingredients!$A$1:$J$161,10,FALSE())</f>
        <v>2.1621621621621623</v>
      </c>
      <c r="K15" s="945">
        <f t="shared" si="5"/>
        <v>0.23552941176470596</v>
      </c>
      <c r="L15" s="945">
        <f t="shared" si="6"/>
        <v>0.50925278219395886</v>
      </c>
      <c r="M15" s="890"/>
      <c r="R15" s="890"/>
      <c r="T15" s="890"/>
      <c r="W15" s="890"/>
      <c r="AJ15" s="890"/>
      <c r="AK15" s="890"/>
      <c r="AL15" s="890"/>
      <c r="AM15" s="890"/>
      <c r="AN15" s="890"/>
      <c r="AP15" s="890"/>
      <c r="AS15" s="890"/>
    </row>
    <row r="16" spans="1:46" x14ac:dyDescent="0.25">
      <c r="A16" s="949"/>
      <c r="B16" s="960" t="s">
        <v>203</v>
      </c>
      <c r="C16" s="947" t="s">
        <v>160</v>
      </c>
      <c r="D16" s="914">
        <v>150</v>
      </c>
      <c r="E16" s="1040">
        <f t="shared" si="4"/>
        <v>15.701960784313732</v>
      </c>
      <c r="F16" s="948">
        <v>1</v>
      </c>
      <c r="G16" s="940">
        <f t="shared" si="0"/>
        <v>2355.2941176470599</v>
      </c>
      <c r="H16" s="943">
        <f t="shared" si="1"/>
        <v>2355.2941176470599</v>
      </c>
      <c r="I16" s="914">
        <f>VLOOKUP(B16,All_Ingredients!$A$1:$F$161,6,FALSE())</f>
        <v>1</v>
      </c>
      <c r="J16" s="940">
        <f>VLOOKUP(B16,All_Ingredients!$A$1:$J$161,10,FALSE())</f>
        <v>0</v>
      </c>
      <c r="K16" s="945">
        <f t="shared" si="5"/>
        <v>2.3552941176470599</v>
      </c>
      <c r="L16" s="945">
        <f t="shared" si="6"/>
        <v>0</v>
      </c>
      <c r="M16" s="890"/>
      <c r="R16" s="890"/>
      <c r="T16" s="890"/>
      <c r="W16" s="890"/>
      <c r="AJ16" s="890"/>
      <c r="AK16" s="890"/>
      <c r="AL16" s="890"/>
      <c r="AM16" s="890"/>
      <c r="AN16" s="890"/>
      <c r="AP16" s="890"/>
      <c r="AS16" s="890"/>
    </row>
    <row r="17" spans="1:32" x14ac:dyDescent="0.25">
      <c r="A17" s="949"/>
      <c r="B17" s="960" t="s">
        <v>198</v>
      </c>
      <c r="C17" s="1157" t="s">
        <v>160</v>
      </c>
      <c r="D17" s="914">
        <v>350</v>
      </c>
      <c r="E17" s="1040">
        <f t="shared" si="4"/>
        <v>15.701960784313732</v>
      </c>
      <c r="F17" s="948">
        <v>1</v>
      </c>
      <c r="G17" s="940">
        <f t="shared" si="0"/>
        <v>5495.686274509806</v>
      </c>
      <c r="H17" s="943">
        <f t="shared" si="1"/>
        <v>5495.686274509806</v>
      </c>
      <c r="I17" s="914">
        <f>VLOOKUP(B17,All_Ingredients!$A$1:$F$161,6,FALSE())</f>
        <v>1</v>
      </c>
      <c r="J17" s="940">
        <f>VLOOKUP(B17,All_Ingredients!$A$1:$J$161,10,FALSE())</f>
        <v>3.25</v>
      </c>
      <c r="K17" s="945">
        <f t="shared" si="5"/>
        <v>5.4956862745098061</v>
      </c>
      <c r="L17" s="945">
        <f t="shared" si="6"/>
        <v>17.860980392156868</v>
      </c>
      <c r="M17" s="890"/>
      <c r="R17" s="890"/>
      <c r="T17" s="890"/>
      <c r="W17" s="890"/>
    </row>
    <row r="18" spans="1:32" x14ac:dyDescent="0.25">
      <c r="A18" s="949"/>
      <c r="B18" s="960" t="s">
        <v>214</v>
      </c>
      <c r="C18" s="947" t="s">
        <v>14</v>
      </c>
      <c r="D18" s="914">
        <v>2</v>
      </c>
      <c r="E18" s="1040">
        <f t="shared" si="4"/>
        <v>15.701960784313732</v>
      </c>
      <c r="F18" s="948">
        <v>0.75</v>
      </c>
      <c r="G18" s="940">
        <f t="shared" si="0"/>
        <v>31.403921568627464</v>
      </c>
      <c r="H18" s="943">
        <f t="shared" si="1"/>
        <v>23.552941176470597</v>
      </c>
      <c r="I18" s="914">
        <f>VLOOKUP(B18,All_Ingredients!$A$1:$F$161,6,FALSE())</f>
        <v>1</v>
      </c>
      <c r="J18" s="940">
        <f>VLOOKUP(B18,All_Ingredients!$A$1:$J$161,10,FALSE())</f>
        <v>35</v>
      </c>
      <c r="K18" s="945">
        <f t="shared" si="5"/>
        <v>2.3552941176470596E-2</v>
      </c>
      <c r="L18" s="945">
        <f t="shared" si="6"/>
        <v>0.82435294117647084</v>
      </c>
      <c r="M18" s="890"/>
      <c r="R18" s="890"/>
      <c r="T18" s="890"/>
      <c r="W18" s="890"/>
    </row>
    <row r="19" spans="1:32" x14ac:dyDescent="0.25">
      <c r="A19" s="949"/>
      <c r="B19" s="960" t="s">
        <v>187</v>
      </c>
      <c r="C19" s="947" t="s">
        <v>14</v>
      </c>
      <c r="D19" s="914">
        <v>30</v>
      </c>
      <c r="E19" s="1040">
        <f t="shared" si="4"/>
        <v>15.701960784313732</v>
      </c>
      <c r="F19" s="948">
        <v>1</v>
      </c>
      <c r="G19" s="940">
        <f t="shared" si="0"/>
        <v>471.05882352941194</v>
      </c>
      <c r="H19" s="943">
        <f t="shared" si="1"/>
        <v>471.05882352941194</v>
      </c>
      <c r="I19" s="914">
        <f>VLOOKUP(B19,All_Ingredients!$A$1:$F$161,6,FALSE())</f>
        <v>0.9</v>
      </c>
      <c r="J19" s="940">
        <f>VLOOKUP(B19,All_Ingredients!$A$1:$J$161,10,FALSE())</f>
        <v>2.3199999999999998</v>
      </c>
      <c r="K19" s="945">
        <f t="shared" si="5"/>
        <v>0.5233986928104577</v>
      </c>
      <c r="L19" s="945">
        <f t="shared" si="6"/>
        <v>1.2142849673202618</v>
      </c>
      <c r="M19" s="890"/>
      <c r="R19" s="890"/>
      <c r="T19" s="890"/>
      <c r="W19" s="890"/>
    </row>
    <row r="20" spans="1:32" x14ac:dyDescent="0.25">
      <c r="A20" s="949"/>
      <c r="B20" s="960" t="s">
        <v>93</v>
      </c>
      <c r="C20" s="947" t="s">
        <v>14</v>
      </c>
      <c r="D20" s="914">
        <v>3</v>
      </c>
      <c r="E20" s="1040">
        <f t="shared" si="4"/>
        <v>15.701960784313732</v>
      </c>
      <c r="F20" s="948">
        <v>0.75</v>
      </c>
      <c r="G20" s="940">
        <f t="shared" si="0"/>
        <v>47.105882352941194</v>
      </c>
      <c r="H20" s="943">
        <f t="shared" si="1"/>
        <v>35.329411764705895</v>
      </c>
      <c r="I20" s="914">
        <f>VLOOKUP(B20,All_Ingredients!$A$1:$F$161,6,FALSE())</f>
        <v>1</v>
      </c>
      <c r="J20" s="940">
        <f>VLOOKUP(B20,All_Ingredients!$A$1:$J$161,10,FALSE())</f>
        <v>0.74</v>
      </c>
      <c r="K20" s="945">
        <f t="shared" si="5"/>
        <v>3.5329411764705894E-2</v>
      </c>
      <c r="L20" s="945">
        <f t="shared" si="6"/>
        <v>2.6143764705882363E-2</v>
      </c>
      <c r="M20" s="890"/>
      <c r="R20" s="890"/>
      <c r="T20" s="890"/>
      <c r="W20" s="890"/>
    </row>
    <row r="21" spans="1:32" ht="29.25" x14ac:dyDescent="0.25">
      <c r="A21" s="949"/>
      <c r="B21" s="960" t="s">
        <v>99</v>
      </c>
      <c r="C21" s="947" t="s">
        <v>14</v>
      </c>
      <c r="D21" s="914">
        <v>3</v>
      </c>
      <c r="E21" s="1040">
        <f t="shared" si="4"/>
        <v>15.701960784313732</v>
      </c>
      <c r="F21" s="948">
        <v>0.75</v>
      </c>
      <c r="G21" s="940">
        <f t="shared" si="0"/>
        <v>47.105882352941194</v>
      </c>
      <c r="H21" s="943">
        <f t="shared" si="1"/>
        <v>35.329411764705895</v>
      </c>
      <c r="I21" s="914">
        <f>VLOOKUP(B21,All_Ingredients!$A$1:$F$161,6,FALSE())</f>
        <v>1</v>
      </c>
      <c r="J21" s="940">
        <f>VLOOKUP(B21,All_Ingredients!$A$1:$J$161,10,FALSE())</f>
        <v>31</v>
      </c>
      <c r="K21" s="945">
        <f t="shared" si="5"/>
        <v>3.5329411764705894E-2</v>
      </c>
      <c r="L21" s="945">
        <f t="shared" si="6"/>
        <v>1.0952117647058828</v>
      </c>
      <c r="M21" s="890"/>
      <c r="R21" s="890"/>
      <c r="T21" s="890"/>
      <c r="W21" s="890"/>
    </row>
    <row r="22" spans="1:32" x14ac:dyDescent="0.25">
      <c r="A22" s="949"/>
      <c r="B22" s="960" t="s">
        <v>152</v>
      </c>
      <c r="C22" s="947" t="s">
        <v>14</v>
      </c>
      <c r="D22" s="914">
        <v>20</v>
      </c>
      <c r="E22" s="1040">
        <f t="shared" si="4"/>
        <v>15.701960784313732</v>
      </c>
      <c r="F22" s="948">
        <v>1</v>
      </c>
      <c r="G22" s="940">
        <f t="shared" si="0"/>
        <v>314.03921568627464</v>
      </c>
      <c r="H22" s="943">
        <f t="shared" si="1"/>
        <v>314.03921568627464</v>
      </c>
      <c r="I22" s="914">
        <f>VLOOKUP(B22,All_Ingredients!$A$1:$F$161,6,FALSE())</f>
        <v>1</v>
      </c>
      <c r="J22" s="940">
        <f>VLOOKUP(B22,All_Ingredients!$A$1:$J$161,10,FALSE())</f>
        <v>30</v>
      </c>
      <c r="K22" s="945">
        <f t="shared" si="5"/>
        <v>0.31403921568627463</v>
      </c>
      <c r="L22" s="945">
        <f t="shared" si="6"/>
        <v>9.4211764705882395</v>
      </c>
      <c r="M22" s="890"/>
      <c r="R22" s="890"/>
      <c r="T22" s="890"/>
      <c r="W22" s="890"/>
    </row>
    <row r="23" spans="1:32" ht="26.25" x14ac:dyDescent="0.25">
      <c r="A23" s="949"/>
      <c r="B23" s="1043" t="s">
        <v>183</v>
      </c>
      <c r="C23" s="947" t="s">
        <v>14</v>
      </c>
      <c r="D23" s="914">
        <v>50</v>
      </c>
      <c r="E23" s="1040">
        <f t="shared" si="4"/>
        <v>15.701960784313732</v>
      </c>
      <c r="F23" s="948">
        <v>1</v>
      </c>
      <c r="G23" s="940">
        <f t="shared" si="0"/>
        <v>785.09803921568664</v>
      </c>
      <c r="H23" s="943">
        <f t="shared" si="1"/>
        <v>785.09803921568664</v>
      </c>
      <c r="I23" s="914">
        <f>VLOOKUP(B23,All_Ingredients!$A$1:$F$161,6,FALSE())</f>
        <v>1</v>
      </c>
      <c r="J23" s="940">
        <f>VLOOKUP(B23,All_Ingredients!$A$1:$J$161,10,FALSE())</f>
        <v>17</v>
      </c>
      <c r="K23" s="945">
        <f t="shared" si="5"/>
        <v>0.78509803921568666</v>
      </c>
      <c r="L23" s="945">
        <f t="shared" si="6"/>
        <v>13.346666666666673</v>
      </c>
      <c r="M23" s="890"/>
      <c r="P23"/>
      <c r="R23" s="211" t="s">
        <v>308</v>
      </c>
      <c r="T23" s="890"/>
      <c r="W23" s="890"/>
    </row>
    <row r="24" spans="1:32" x14ac:dyDescent="0.25">
      <c r="B24" s="890"/>
      <c r="D24" s="890"/>
      <c r="E24" s="890"/>
      <c r="F24" s="890"/>
      <c r="H24" s="890"/>
      <c r="I24" s="73"/>
      <c r="J24" s="94"/>
      <c r="K24" s="73"/>
      <c r="L24" s="92"/>
      <c r="M24" s="87"/>
      <c r="N24" s="87"/>
      <c r="R24" s="890"/>
      <c r="T24" s="890"/>
      <c r="W24" s="890"/>
      <c r="Z24" s="597"/>
    </row>
    <row r="25" spans="1:32" x14ac:dyDescent="0.25">
      <c r="B25" s="890"/>
      <c r="D25" s="890"/>
      <c r="E25" s="890"/>
      <c r="F25" s="890"/>
      <c r="H25" s="890"/>
      <c r="I25" s="73"/>
      <c r="J25" s="94"/>
      <c r="K25" s="73"/>
      <c r="L25" s="92"/>
      <c r="M25" s="87"/>
      <c r="N25" s="87"/>
      <c r="R25" s="1779" t="s">
        <v>495</v>
      </c>
      <c r="S25" s="1787"/>
      <c r="T25" s="1788"/>
      <c r="U25" s="1787"/>
      <c r="V25" s="956"/>
      <c r="W25" s="1043"/>
      <c r="Z25" s="982" t="s">
        <v>252</v>
      </c>
      <c r="AA25" s="1161">
        <v>1</v>
      </c>
      <c r="AB25" s="982" t="s">
        <v>249</v>
      </c>
      <c r="AC25" s="985">
        <f>(AA25*(4/3))*AF30+(AA30*(AB28/R1))</f>
        <v>3.1994427608554928E-2</v>
      </c>
    </row>
    <row r="26" spans="1:32" x14ac:dyDescent="0.25">
      <c r="B26" s="890"/>
      <c r="D26" s="890"/>
      <c r="E26" s="890"/>
      <c r="F26" s="890"/>
      <c r="H26" s="890"/>
      <c r="I26" s="73"/>
      <c r="J26" s="94"/>
      <c r="K26" s="73"/>
      <c r="L26" s="92"/>
      <c r="M26" s="87"/>
      <c r="N26" s="87"/>
      <c r="R26" s="1786" t="s">
        <v>253</v>
      </c>
      <c r="S26" s="1787"/>
      <c r="T26" s="1788"/>
      <c r="U26" s="1787"/>
      <c r="V26" s="956"/>
      <c r="W26" s="1043"/>
    </row>
    <row r="27" spans="1:32" ht="15.75" x14ac:dyDescent="0.25">
      <c r="B27" s="80"/>
      <c r="C27" s="426"/>
      <c r="D27" s="230"/>
      <c r="E27" s="230"/>
      <c r="F27" s="230"/>
      <c r="G27" s="426"/>
      <c r="H27" s="830"/>
      <c r="I27" s="73"/>
      <c r="J27" s="94"/>
      <c r="K27" s="73"/>
      <c r="L27" s="92"/>
      <c r="M27" s="87"/>
      <c r="N27" s="87"/>
      <c r="R27" s="961" t="s">
        <v>254</v>
      </c>
      <c r="S27" s="962" t="s">
        <v>255</v>
      </c>
      <c r="T27" s="961" t="s">
        <v>256</v>
      </c>
      <c r="U27" s="962" t="s">
        <v>257</v>
      </c>
      <c r="V27" s="962" t="s">
        <v>746</v>
      </c>
      <c r="W27" s="961" t="s">
        <v>753</v>
      </c>
      <c r="Z27" s="982" t="s">
        <v>258</v>
      </c>
      <c r="AA27" s="984" t="s">
        <v>311</v>
      </c>
      <c r="AB27" s="982" t="s">
        <v>259</v>
      </c>
      <c r="AC27" s="982" t="s">
        <v>260</v>
      </c>
      <c r="AD27" s="982" t="s">
        <v>261</v>
      </c>
      <c r="AE27" s="984" t="s">
        <v>753</v>
      </c>
      <c r="AF27" s="982" t="s">
        <v>262</v>
      </c>
    </row>
    <row r="28" spans="1:32" x14ac:dyDescent="0.25">
      <c r="B28" s="235"/>
      <c r="C28" s="227"/>
      <c r="D28" s="876"/>
      <c r="E28" s="235"/>
      <c r="F28" s="235"/>
      <c r="G28" s="177"/>
      <c r="H28" s="902"/>
      <c r="I28" s="73"/>
      <c r="J28" s="94"/>
      <c r="K28" s="73"/>
      <c r="L28" s="92"/>
      <c r="M28" s="87"/>
      <c r="N28" s="87"/>
      <c r="R28" s="961" t="s">
        <v>263</v>
      </c>
      <c r="S28" s="963">
        <f>U28*S40</f>
        <v>18199.999999999996</v>
      </c>
      <c r="T28" s="964">
        <f>U28*U40</f>
        <v>5460.0000000000055</v>
      </c>
      <c r="U28" s="965">
        <f>$Z$1</f>
        <v>23660</v>
      </c>
      <c r="V28" s="966">
        <f>SUM(AP5:AP13)</f>
        <v>2591.1864406779659</v>
      </c>
      <c r="W28" s="967">
        <f>SUM(H37:H38)</f>
        <v>186.18</v>
      </c>
      <c r="Z28" s="1086"/>
      <c r="AA28" s="987"/>
      <c r="AB28" s="1087">
        <f>AA25*$S$40</f>
        <v>0.76923076923076905</v>
      </c>
      <c r="AC28" s="985">
        <f>AA25*U40</f>
        <v>0.230769230769231</v>
      </c>
      <c r="AD28" s="1162">
        <f>AA25*(1/3)</f>
        <v>0.33333333333333331</v>
      </c>
      <c r="AE28" s="987"/>
      <c r="AF28" s="1088">
        <f>SUM(AB28:AD28)</f>
        <v>1.3333333333333333</v>
      </c>
    </row>
    <row r="29" spans="1:32" x14ac:dyDescent="0.25">
      <c r="B29" s="235"/>
      <c r="C29" s="227"/>
      <c r="D29" s="876"/>
      <c r="E29" s="235"/>
      <c r="F29" s="235"/>
      <c r="G29" s="177"/>
      <c r="H29" s="902"/>
      <c r="I29" s="73"/>
      <c r="J29" s="94"/>
      <c r="K29" s="73"/>
      <c r="L29" s="92"/>
      <c r="M29" s="87"/>
      <c r="N29" s="87"/>
      <c r="R29" s="961" t="s">
        <v>264</v>
      </c>
      <c r="S29" s="968"/>
      <c r="T29" s="967">
        <f>U28*(1/3)</f>
        <v>7886.6666666666661</v>
      </c>
      <c r="U29" s="963">
        <f>T29</f>
        <v>7886.6666666666661</v>
      </c>
      <c r="V29" s="966"/>
      <c r="W29" s="967"/>
      <c r="Z29" s="1086"/>
      <c r="AA29" s="991"/>
      <c r="AB29" s="1089">
        <f>AB28/$AF$28</f>
        <v>0.57692307692307687</v>
      </c>
      <c r="AC29" s="1089">
        <f>AC28/$AF$28</f>
        <v>0.17307692307692327</v>
      </c>
      <c r="AD29" s="1163">
        <f>AD28/$AF$28</f>
        <v>0.25</v>
      </c>
      <c r="AE29" s="991"/>
      <c r="AF29" s="1089">
        <f>AF28/$AF$28</f>
        <v>1</v>
      </c>
    </row>
    <row r="30" spans="1:32" x14ac:dyDescent="0.25">
      <c r="B30" s="890"/>
      <c r="D30" s="890"/>
      <c r="E30" s="890"/>
      <c r="F30" s="890"/>
      <c r="H30" s="890"/>
      <c r="I30" s="73"/>
      <c r="J30" s="94"/>
      <c r="K30" s="73"/>
      <c r="L30" s="92"/>
      <c r="M30" s="87"/>
      <c r="N30" s="87"/>
      <c r="R30" s="961" t="s">
        <v>265</v>
      </c>
      <c r="S30" s="1158">
        <f>U30*S40</f>
        <v>0</v>
      </c>
      <c r="T30" s="964">
        <f>(U30*U40)+(U30*0.3)</f>
        <v>0</v>
      </c>
      <c r="U30" s="965"/>
      <c r="V30" s="972"/>
      <c r="W30" s="973"/>
      <c r="Z30" s="982" t="s">
        <v>266</v>
      </c>
      <c r="AA30" s="994">
        <f>V35/(S32/R1)</f>
        <v>5.6346244547996263E-4</v>
      </c>
      <c r="AB30" s="1090">
        <f>S35/(S32)</f>
        <v>3.3701221915648401E-2</v>
      </c>
      <c r="AC30" s="1091">
        <f>T35/T32</f>
        <v>9.3533319435286314E-3</v>
      </c>
      <c r="AD30" s="1091">
        <f>T35/T32</f>
        <v>9.3533319435286314E-3</v>
      </c>
      <c r="AE30" s="995">
        <f>W35/U32</f>
        <v>4.4655455491254312E-5</v>
      </c>
      <c r="AF30" s="1164">
        <f>SUMPRODUCT(AB30:AD30,AB29:AD29)+AE30</f>
        <v>2.3444846998319755E-2</v>
      </c>
    </row>
    <row r="31" spans="1:32" x14ac:dyDescent="0.25">
      <c r="B31" s="890"/>
      <c r="D31" s="890"/>
      <c r="E31" s="890"/>
      <c r="F31" s="890"/>
      <c r="H31" s="890"/>
      <c r="I31" s="73"/>
      <c r="J31" s="94"/>
      <c r="K31" s="73"/>
      <c r="L31" s="92"/>
      <c r="M31" s="87"/>
      <c r="N31" s="87"/>
      <c r="R31" s="961" t="s">
        <v>267</v>
      </c>
      <c r="S31" s="959"/>
      <c r="T31" s="967"/>
      <c r="U31" s="966"/>
      <c r="V31" s="966"/>
      <c r="W31" s="967"/>
    </row>
    <row r="32" spans="1:32" x14ac:dyDescent="0.25">
      <c r="B32" s="890"/>
      <c r="D32" s="890"/>
      <c r="E32" s="890"/>
      <c r="F32" s="890"/>
      <c r="H32" s="890"/>
      <c r="I32" s="73"/>
      <c r="J32" s="94"/>
      <c r="K32" s="73"/>
      <c r="L32" s="92"/>
      <c r="M32" s="87"/>
      <c r="N32" s="87"/>
      <c r="R32" s="961" t="s">
        <v>257</v>
      </c>
      <c r="S32" s="966">
        <f>SUM(S28:S30)</f>
        <v>18199.999999999996</v>
      </c>
      <c r="T32" s="967">
        <f>SUM(T28:T30)</f>
        <v>13346.666666666672</v>
      </c>
      <c r="U32" s="1159">
        <f>SUM(U28:U30)</f>
        <v>31546.666666666664</v>
      </c>
      <c r="V32" s="966"/>
      <c r="W32" s="967">
        <f>SUM(W28:W30)</f>
        <v>186.18</v>
      </c>
      <c r="AB32" s="14">
        <f>AB28*AB30</f>
        <v>2.5924016858191071E-2</v>
      </c>
      <c r="AC32" s="14">
        <f>AC28*AC30</f>
        <v>2.1584612177373789E-3</v>
      </c>
      <c r="AD32" s="14">
        <f>AD28*AD30</f>
        <v>3.1177773145095438E-3</v>
      </c>
    </row>
    <row r="33" spans="2:23" ht="30" x14ac:dyDescent="0.25">
      <c r="B33" s="890"/>
      <c r="D33" s="890"/>
      <c r="E33" s="890"/>
      <c r="F33" s="890"/>
      <c r="H33" s="890"/>
      <c r="I33" s="73"/>
      <c r="J33" s="94"/>
      <c r="K33" s="73"/>
      <c r="L33" s="92"/>
      <c r="M33" s="87"/>
      <c r="N33" s="87"/>
      <c r="R33" s="976" t="s">
        <v>268</v>
      </c>
      <c r="S33" s="959"/>
      <c r="T33" s="960"/>
      <c r="U33" s="959"/>
      <c r="V33" s="959"/>
      <c r="W33" s="960"/>
    </row>
    <row r="34" spans="2:23" x14ac:dyDescent="0.25">
      <c r="B34" s="890"/>
      <c r="D34" s="890"/>
      <c r="E34" s="890"/>
      <c r="F34" s="890"/>
      <c r="H34" s="890"/>
      <c r="I34" s="73"/>
      <c r="J34" s="94"/>
      <c r="K34" s="73"/>
      <c r="L34" s="92"/>
      <c r="M34" s="87"/>
      <c r="N34" s="87"/>
      <c r="R34" s="961" t="s">
        <v>269</v>
      </c>
      <c r="S34" s="959"/>
      <c r="T34" s="967"/>
      <c r="U34" s="959"/>
      <c r="V34" s="959"/>
      <c r="W34" s="960"/>
    </row>
    <row r="35" spans="2:23" ht="15.75" x14ac:dyDescent="0.25">
      <c r="B35" s="1781" t="s">
        <v>614</v>
      </c>
      <c r="C35" s="1782"/>
      <c r="D35" s="1781"/>
      <c r="E35" s="1781"/>
      <c r="F35" s="1781"/>
      <c r="G35" s="1000"/>
      <c r="H35" s="1009"/>
      <c r="I35" s="1010"/>
      <c r="J35" s="1010"/>
      <c r="K35" s="1009"/>
      <c r="L35" s="1009"/>
      <c r="M35" s="87"/>
      <c r="N35" s="87"/>
      <c r="R35" s="977" t="s">
        <v>249</v>
      </c>
      <c r="S35" s="1133">
        <f>$L$5</f>
        <v>613.36223886480082</v>
      </c>
      <c r="T35" s="1134">
        <f>SUM(L6:L23)</f>
        <v>124.83580367296219</v>
      </c>
      <c r="U35" s="1160">
        <f>S35+T35+V35+W35</f>
        <v>756.98815721840958</v>
      </c>
      <c r="V35" s="978">
        <f>SUM(AT6:AT12)</f>
        <v>17.381383911415792</v>
      </c>
      <c r="W35" s="1120">
        <f>SUM(L37:L38)</f>
        <v>1.4087307692307693</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M36" s="87"/>
      <c r="N36" s="87"/>
      <c r="R36" s="890"/>
      <c r="T36" s="890"/>
      <c r="W36" s="890"/>
    </row>
    <row r="37" spans="2:23" x14ac:dyDescent="0.25">
      <c r="B37" s="1005" t="s">
        <v>666</v>
      </c>
      <c r="C37" s="1006" t="s">
        <v>14</v>
      </c>
      <c r="D37" s="1007">
        <v>7.0000000000000007E-2</v>
      </c>
      <c r="E37" s="1005">
        <f>$AD$1</f>
        <v>174</v>
      </c>
      <c r="F37" s="1005">
        <f>D37*E37</f>
        <v>12.180000000000001</v>
      </c>
      <c r="G37"/>
      <c r="H37" s="1005">
        <f>F37</f>
        <v>12.180000000000001</v>
      </c>
      <c r="I37" s="1005">
        <f>VLOOKUP(B37,All_Ingredients!$A$1:$F$161,6,FALSE())</f>
        <v>0.65</v>
      </c>
      <c r="J37" s="1005">
        <f>VLOOKUP(B37,All_Ingredients!$A$1:$J$161,10,FALSE())</f>
        <v>45</v>
      </c>
      <c r="K37" s="1005">
        <f>(H37/I37)/1000</f>
        <v>1.8738461538461541E-2</v>
      </c>
      <c r="L37" s="1005">
        <f t="shared" ref="L37" si="12">K37*J37</f>
        <v>0.84323076923076934</v>
      </c>
      <c r="M37" s="87"/>
      <c r="N37" s="87"/>
      <c r="R37" s="890"/>
      <c r="T37" s="890"/>
      <c r="W37" s="890"/>
    </row>
    <row r="38" spans="2:23" x14ac:dyDescent="0.25">
      <c r="B38" s="1005" t="s">
        <v>19</v>
      </c>
      <c r="C38" s="1006" t="s">
        <v>14</v>
      </c>
      <c r="D38" s="1007">
        <v>1</v>
      </c>
      <c r="E38" s="1005">
        <f>$AD$1</f>
        <v>174</v>
      </c>
      <c r="F38" s="1005">
        <f>D38*E38</f>
        <v>174</v>
      </c>
      <c r="H38" s="1005">
        <f>F38</f>
        <v>174</v>
      </c>
      <c r="I38" s="1005">
        <f>VLOOKUP(B38,All_Ingredients!$A$1:$F$161,6,FALSE())</f>
        <v>0.8</v>
      </c>
      <c r="J38" s="1005">
        <f>VLOOKUP(B38,All_Ingredients!$A$1:$J$161,10,FALSE())</f>
        <v>2.6</v>
      </c>
      <c r="K38" s="1005">
        <f>(H38/I38)/1000</f>
        <v>0.2175</v>
      </c>
      <c r="L38" s="1005">
        <f t="shared" ref="L38" si="13">K38*J38</f>
        <v>0.5655</v>
      </c>
      <c r="M38" s="87"/>
      <c r="N38" s="87"/>
      <c r="R38" s="890"/>
      <c r="T38" s="890"/>
      <c r="W38" s="890"/>
    </row>
    <row r="39" spans="2:23" x14ac:dyDescent="0.25">
      <c r="B39" s="830"/>
      <c r="C39" s="89"/>
      <c r="D39" s="73"/>
      <c r="E39" s="302"/>
      <c r="F39" s="900"/>
      <c r="G39" s="92"/>
      <c r="H39" s="901"/>
      <c r="I39" s="73"/>
      <c r="J39" s="94"/>
      <c r="K39" s="73"/>
      <c r="L39" s="92"/>
      <c r="M39" s="87"/>
      <c r="N39" s="87"/>
      <c r="R39" s="890"/>
      <c r="T39" s="890"/>
      <c r="W39" s="890"/>
    </row>
    <row r="40" spans="2:23" ht="26.25" x14ac:dyDescent="0.25">
      <c r="B40" s="830"/>
      <c r="C40" s="89"/>
      <c r="D40" s="73"/>
      <c r="E40" s="302"/>
      <c r="F40" s="900"/>
      <c r="G40" s="92"/>
      <c r="H40" s="901"/>
      <c r="I40" s="73"/>
      <c r="J40" s="94"/>
      <c r="K40" s="73"/>
      <c r="L40" s="92"/>
      <c r="M40" s="87"/>
      <c r="N40" s="87"/>
      <c r="R40" s="1011" t="s">
        <v>270</v>
      </c>
      <c r="S40" s="1012">
        <v>0.76923076923076905</v>
      </c>
      <c r="T40" s="1011" t="s">
        <v>271</v>
      </c>
      <c r="U40" s="1013">
        <v>0.230769230769231</v>
      </c>
      <c r="V40" s="1014">
        <f>S40+U40</f>
        <v>1</v>
      </c>
      <c r="W40" s="890"/>
    </row>
    <row r="41" spans="2:23" x14ac:dyDescent="0.25">
      <c r="B41" s="830"/>
      <c r="C41" s="89"/>
      <c r="D41" s="73"/>
      <c r="E41" s="302"/>
      <c r="F41" s="900"/>
      <c r="G41" s="92"/>
      <c r="H41" s="901"/>
      <c r="I41" s="73"/>
      <c r="J41" s="94"/>
      <c r="K41" s="73"/>
      <c r="L41" s="92"/>
      <c r="M41" s="87"/>
      <c r="N41" s="87"/>
      <c r="R41" s="890"/>
      <c r="T41" s="890"/>
      <c r="U41" s="123"/>
      <c r="W41" s="890"/>
    </row>
    <row r="42" spans="2:23" x14ac:dyDescent="0.25">
      <c r="B42" s="830"/>
      <c r="C42" s="89"/>
      <c r="D42" s="73"/>
      <c r="E42" s="302"/>
      <c r="F42" s="900"/>
      <c r="G42" s="92"/>
      <c r="H42" s="901"/>
      <c r="I42" s="73"/>
      <c r="J42" s="94"/>
      <c r="K42" s="73"/>
      <c r="L42" s="92"/>
      <c r="M42" s="87"/>
      <c r="N42" s="87"/>
      <c r="R42" s="890"/>
      <c r="T42" s="890"/>
      <c r="W42" s="890"/>
    </row>
    <row r="43" spans="2:23" ht="26.25" x14ac:dyDescent="0.25">
      <c r="B43" s="830"/>
      <c r="C43" s="89"/>
      <c r="D43" s="73"/>
      <c r="E43" s="302"/>
      <c r="F43" s="900"/>
      <c r="G43" s="92"/>
      <c r="H43" s="901"/>
      <c r="I43" s="73"/>
      <c r="J43" s="94"/>
      <c r="K43" s="73"/>
      <c r="L43" s="92"/>
      <c r="M43" s="87"/>
      <c r="N43" s="87"/>
      <c r="Q43" s="1015" t="s">
        <v>272</v>
      </c>
      <c r="R43" s="1011" t="s">
        <v>273</v>
      </c>
      <c r="S43" s="1015" t="s">
        <v>274</v>
      </c>
      <c r="T43" s="1011" t="s">
        <v>275</v>
      </c>
      <c r="U43" s="1015" t="s">
        <v>276</v>
      </c>
      <c r="V43" s="1015" t="s">
        <v>277</v>
      </c>
      <c r="W43" s="1011" t="s">
        <v>278</v>
      </c>
    </row>
    <row r="44" spans="2:23" x14ac:dyDescent="0.25">
      <c r="B44" s="830"/>
      <c r="C44" s="89"/>
      <c r="D44" s="73"/>
      <c r="E44" s="302"/>
      <c r="F44" s="900"/>
      <c r="G44" s="92"/>
      <c r="H44" s="901"/>
      <c r="I44" s="73"/>
      <c r="J44" s="94"/>
      <c r="K44" s="73"/>
      <c r="L44" s="92"/>
      <c r="M44" s="87"/>
      <c r="N44" s="87"/>
      <c r="Q44" s="1016">
        <v>17728</v>
      </c>
      <c r="R44" s="1017">
        <f>D51</f>
        <v>10000</v>
      </c>
      <c r="S44" s="1018">
        <v>0.40909090909090912</v>
      </c>
      <c r="T44" s="1019">
        <v>0.59090909090909094</v>
      </c>
      <c r="U44" s="1096">
        <f>R44*S44</f>
        <v>4090.909090909091</v>
      </c>
      <c r="V44" s="1021">
        <f>R44*T44</f>
        <v>5909.090909090909</v>
      </c>
      <c r="W44" s="1026">
        <f>Q44-U44</f>
        <v>13637.090909090908</v>
      </c>
    </row>
    <row r="50" spans="1:13" x14ac:dyDescent="0.25">
      <c r="B50" s="961"/>
      <c r="C50" s="962" t="s">
        <v>233</v>
      </c>
      <c r="D50" s="961" t="s">
        <v>279</v>
      </c>
      <c r="E50" s="135"/>
      <c r="F50" s="898"/>
      <c r="G50" s="962" t="s">
        <v>280</v>
      </c>
      <c r="H50" s="961" t="s">
        <v>233</v>
      </c>
      <c r="I50" s="962" t="s">
        <v>281</v>
      </c>
      <c r="J50" s="962" t="s">
        <v>282</v>
      </c>
      <c r="K50" s="890"/>
      <c r="L50" s="1150"/>
      <c r="M50" s="890"/>
    </row>
    <row r="51" spans="1:13" x14ac:dyDescent="0.25">
      <c r="B51" s="1027" t="s">
        <v>283</v>
      </c>
      <c r="C51" s="1028">
        <f>10/K1</f>
        <v>11.764705882352942</v>
      </c>
      <c r="D51" s="1029">
        <f>C1*10</f>
        <v>10000</v>
      </c>
      <c r="E51" s="135"/>
      <c r="F51" s="80"/>
      <c r="G51" s="1033" t="s">
        <v>283</v>
      </c>
      <c r="H51" s="1034">
        <f>I51/$D$5</f>
        <v>10</v>
      </c>
      <c r="I51" s="1028">
        <f>J51/R1</f>
        <v>23113.713405238828</v>
      </c>
      <c r="J51" s="1028">
        <f>$W$44</f>
        <v>13637.090909090908</v>
      </c>
      <c r="K51" s="890"/>
      <c r="L51" s="1150"/>
      <c r="M51" s="890"/>
    </row>
    <row r="52" spans="1:13" x14ac:dyDescent="0.25">
      <c r="B52" s="961" t="s">
        <v>262</v>
      </c>
      <c r="C52" s="1030">
        <f>I1</f>
        <v>15.701960784313732</v>
      </c>
      <c r="D52" s="1031">
        <f>E1</f>
        <v>13346.666666666672</v>
      </c>
      <c r="E52" s="80"/>
      <c r="F52" s="80"/>
      <c r="G52" s="962" t="s">
        <v>262</v>
      </c>
      <c r="H52" s="1026">
        <f>I52/D5</f>
        <v>13.34595488240627</v>
      </c>
      <c r="I52" s="1165">
        <f>J52/$R$1</f>
        <v>30847.457627118638</v>
      </c>
      <c r="J52" s="1030">
        <f>$S$32</f>
        <v>18199.999999999996</v>
      </c>
      <c r="K52" s="890"/>
      <c r="L52" s="1150"/>
      <c r="M52" s="890"/>
    </row>
    <row r="53" spans="1:13" x14ac:dyDescent="0.25">
      <c r="B53" s="958" t="s">
        <v>284</v>
      </c>
      <c r="C53" s="1101">
        <f>MIN(C52, C51)</f>
        <v>11.764705882352942</v>
      </c>
      <c r="D53" s="1100">
        <f>(C53*$K$1)*$C$1</f>
        <v>10000</v>
      </c>
      <c r="E53" s="80"/>
      <c r="F53" s="80"/>
      <c r="G53" s="962" t="s">
        <v>284</v>
      </c>
      <c r="H53" s="1035">
        <f>MIN(H52,H51)</f>
        <v>10</v>
      </c>
      <c r="I53" s="1021">
        <f>J53/$R$1</f>
        <v>23113.713405238828</v>
      </c>
      <c r="J53" s="1021">
        <f>MIN(J52,J51)</f>
        <v>13637.090909090908</v>
      </c>
      <c r="K53" s="890"/>
      <c r="L53" s="1150"/>
      <c r="M53" s="890"/>
    </row>
    <row r="54" spans="1:13" x14ac:dyDescent="0.25">
      <c r="B54" s="958" t="s">
        <v>285</v>
      </c>
      <c r="C54" s="1101">
        <f>MIN(MAX(C52-C53,0),C51)</f>
        <v>3.9372549019607899</v>
      </c>
      <c r="D54" s="1100">
        <f>(C54*$K$1)*$C$1</f>
        <v>3346.6666666666711</v>
      </c>
      <c r="E54" s="890"/>
      <c r="F54" s="80"/>
      <c r="G54" s="962" t="s">
        <v>285</v>
      </c>
      <c r="H54" s="1035">
        <f>MIN(MAX(H52-H53),H51)</f>
        <v>3.3459548824062697</v>
      </c>
      <c r="I54" s="1021">
        <f>J54/$R$1</f>
        <v>7733.7442218798114</v>
      </c>
      <c r="J54" s="1021">
        <f>MIN(MAX(J52-J53),J51)</f>
        <v>4562.9090909090883</v>
      </c>
      <c r="K54" s="890"/>
      <c r="L54" s="1150"/>
      <c r="M54" s="890"/>
    </row>
    <row r="55" spans="1:13" x14ac:dyDescent="0.25">
      <c r="B55" s="958" t="s">
        <v>286</v>
      </c>
      <c r="C55" s="1101">
        <f>MIN(MAX(C52-C53-C54,0),C51)</f>
        <v>0</v>
      </c>
      <c r="D55" s="1100">
        <f>(C55*$K$1)*$C$1</f>
        <v>0</v>
      </c>
      <c r="E55" s="80"/>
      <c r="F55" s="80"/>
      <c r="G55" s="962" t="s">
        <v>286</v>
      </c>
      <c r="H55" s="1035">
        <f>MIN(MAX(H52-H53-H54),H51)</f>
        <v>0</v>
      </c>
      <c r="I55" s="1021">
        <f>J55/$R$1</f>
        <v>0</v>
      </c>
      <c r="J55" s="1021">
        <f>MIN(MAX(J52-J53-J54),J51)</f>
        <v>0</v>
      </c>
      <c r="K55" s="890"/>
      <c r="L55" s="890"/>
      <c r="M55" s="890"/>
    </row>
    <row r="56" spans="1:13" x14ac:dyDescent="0.25">
      <c r="B56" s="80"/>
      <c r="D56" s="890"/>
      <c r="E56" s="80"/>
      <c r="F56" s="80"/>
      <c r="H56" s="890"/>
      <c r="K56" s="890"/>
      <c r="L56" s="890"/>
      <c r="M56" s="1151"/>
    </row>
    <row r="57" spans="1:13" x14ac:dyDescent="0.25">
      <c r="B57" s="80"/>
      <c r="D57" s="890"/>
      <c r="E57" s="80"/>
      <c r="F57" s="80"/>
      <c r="H57" s="890"/>
      <c r="K57" s="890"/>
      <c r="L57" s="890"/>
      <c r="M57" s="1151"/>
    </row>
    <row r="58" spans="1:13" x14ac:dyDescent="0.25">
      <c r="B58" s="80"/>
      <c r="D58" s="890"/>
      <c r="E58" s="80"/>
      <c r="F58" s="80"/>
      <c r="H58" s="890"/>
      <c r="K58" s="890"/>
      <c r="L58" s="890"/>
      <c r="M58" s="890"/>
    </row>
    <row r="59" spans="1:13" x14ac:dyDescent="0.25">
      <c r="B59" s="80"/>
      <c r="D59" s="890"/>
      <c r="E59" s="80"/>
      <c r="F59" s="80"/>
      <c r="H59" s="890"/>
      <c r="K59" s="890"/>
      <c r="L59" s="890"/>
      <c r="M59" s="890"/>
    </row>
    <row r="60" spans="1:13" x14ac:dyDescent="0.25">
      <c r="B60" s="80"/>
      <c r="D60" s="890"/>
      <c r="E60" s="80"/>
      <c r="F60" s="80"/>
      <c r="H60" s="890"/>
      <c r="K60" s="890"/>
      <c r="L60" s="890"/>
      <c r="M60" s="890"/>
    </row>
    <row r="61" spans="1:13" x14ac:dyDescent="0.25">
      <c r="B61" s="80"/>
      <c r="D61" s="890"/>
      <c r="E61" s="80"/>
      <c r="F61" s="80"/>
      <c r="H61" s="890"/>
      <c r="K61" s="890"/>
      <c r="L61" s="890"/>
      <c r="M61" s="890"/>
    </row>
    <row r="62" spans="1:13" x14ac:dyDescent="0.25">
      <c r="A62" s="1036"/>
      <c r="B62" s="1776" t="str">
        <f>"دجاج صيني دفعة 1 / " &amp; COUNTIF($C$53:$C$55, "&gt;0")</f>
        <v>دجاج صيني دفعة 1 / 2</v>
      </c>
      <c r="C62" s="1800"/>
      <c r="D62" s="1801"/>
      <c r="E62" s="1801"/>
      <c r="F62" s="1801"/>
      <c r="G62" s="1800"/>
      <c r="H62" s="1801"/>
      <c r="K62" s="890"/>
      <c r="L62" s="890"/>
      <c r="M62" s="890"/>
    </row>
    <row r="63" spans="1:13" x14ac:dyDescent="0.25">
      <c r="A63" s="1036"/>
      <c r="B63" s="1776" t="str">
        <f>"Chinese Chicken 1 / " &amp; COUNTIF($C$53:$C$55, "&gt;0")</f>
        <v>Chinese Chicken 1 / 2</v>
      </c>
      <c r="C63" s="1777"/>
      <c r="D63" s="1778"/>
      <c r="E63" s="1778"/>
      <c r="F63" s="1778"/>
      <c r="G63" s="1777"/>
      <c r="H63" s="1778"/>
      <c r="K63" s="890"/>
      <c r="L63" s="890"/>
      <c r="M63" s="890"/>
    </row>
    <row r="64" spans="1:13" ht="38.25" x14ac:dyDescent="0.2">
      <c r="A64" s="933" t="s">
        <v>864</v>
      </c>
      <c r="B64" s="923" t="s">
        <v>241</v>
      </c>
      <c r="C64" s="934" t="s">
        <v>242</v>
      </c>
      <c r="D64" s="923" t="s">
        <v>231</v>
      </c>
      <c r="E64" s="935" t="s">
        <v>234</v>
      </c>
      <c r="F64" s="935" t="s">
        <v>243</v>
      </c>
      <c r="G64" s="923" t="s">
        <v>244</v>
      </c>
      <c r="H64" s="936" t="s">
        <v>245</v>
      </c>
      <c r="K64" s="890"/>
      <c r="L64" s="890"/>
      <c r="M64" s="890"/>
    </row>
    <row r="65" spans="1:13" x14ac:dyDescent="0.2">
      <c r="A65" s="937" t="s">
        <v>873</v>
      </c>
      <c r="B65" s="960" t="str">
        <f t="shared" ref="B65:D83" si="14">B5</f>
        <v>Chicken - دجاج</v>
      </c>
      <c r="C65" s="947" t="str">
        <f t="shared" si="14"/>
        <v>gm</v>
      </c>
      <c r="D65" s="940">
        <f t="shared" si="14"/>
        <v>2311.3713405238827</v>
      </c>
      <c r="E65" s="1116">
        <f>H53</f>
        <v>10</v>
      </c>
      <c r="F65" s="1166">
        <f t="shared" ref="F65:F83" si="15">F5</f>
        <v>1</v>
      </c>
      <c r="G65" s="940">
        <f t="shared" ref="G65:G83" si="16">D65*E65</f>
        <v>23113.713405238828</v>
      </c>
      <c r="H65" s="1039">
        <f t="shared" ref="H65:H83" si="17">G65*F65</f>
        <v>23113.713405238828</v>
      </c>
      <c r="K65" s="890"/>
      <c r="L65" s="890"/>
      <c r="M65" s="890"/>
    </row>
    <row r="66" spans="1:13" x14ac:dyDescent="0.25">
      <c r="A66" s="949" t="s">
        <v>881</v>
      </c>
      <c r="B66" s="960" t="str">
        <f t="shared" si="14"/>
        <v>Onion - بصل</v>
      </c>
      <c r="C66" s="947" t="str">
        <f t="shared" si="14"/>
        <v>gm</v>
      </c>
      <c r="D66" s="940">
        <f t="shared" si="14"/>
        <v>150</v>
      </c>
      <c r="E66" s="1116">
        <f t="shared" ref="E66:E83" si="18">$C$53</f>
        <v>11.764705882352942</v>
      </c>
      <c r="F66" s="1166">
        <f t="shared" si="15"/>
        <v>0.95</v>
      </c>
      <c r="G66" s="940">
        <f t="shared" si="16"/>
        <v>1764.7058823529412</v>
      </c>
      <c r="H66" s="1039">
        <f t="shared" si="17"/>
        <v>1676.4705882352941</v>
      </c>
      <c r="K66" s="890"/>
      <c r="L66" s="890"/>
      <c r="M66" s="890"/>
    </row>
    <row r="67" spans="1:13" ht="29.25" x14ac:dyDescent="0.25">
      <c r="A67" s="949" t="s">
        <v>880</v>
      </c>
      <c r="B67" s="960" t="str">
        <f t="shared" si="14"/>
        <v>Green Bell Pepper - فلفل أخضر رومى</v>
      </c>
      <c r="C67" s="947" t="str">
        <f t="shared" si="14"/>
        <v>gm</v>
      </c>
      <c r="D67" s="940">
        <f t="shared" si="14"/>
        <v>50</v>
      </c>
      <c r="E67" s="1116">
        <f t="shared" si="18"/>
        <v>11.764705882352942</v>
      </c>
      <c r="F67" s="1166">
        <f t="shared" si="15"/>
        <v>0.95</v>
      </c>
      <c r="G67" s="940">
        <f t="shared" si="16"/>
        <v>588.23529411764707</v>
      </c>
      <c r="H67" s="1039">
        <f t="shared" si="17"/>
        <v>558.82352941176464</v>
      </c>
      <c r="K67" s="890"/>
      <c r="L67" s="890"/>
      <c r="M67" s="890"/>
    </row>
    <row r="68" spans="1:13" x14ac:dyDescent="0.25">
      <c r="A68" s="949" t="s">
        <v>880</v>
      </c>
      <c r="B68" s="960" t="str">
        <f t="shared" si="14"/>
        <v xml:space="preserve">Red Bell Pepper - فلفل أحمر </v>
      </c>
      <c r="C68" s="947" t="str">
        <f t="shared" si="14"/>
        <v>gm</v>
      </c>
      <c r="D68" s="940">
        <f t="shared" si="14"/>
        <v>50</v>
      </c>
      <c r="E68" s="1116">
        <f t="shared" si="18"/>
        <v>11.764705882352942</v>
      </c>
      <c r="F68" s="1166">
        <f t="shared" si="15"/>
        <v>0.95</v>
      </c>
      <c r="G68" s="940">
        <f t="shared" si="16"/>
        <v>588.23529411764707</v>
      </c>
      <c r="H68" s="1039">
        <f t="shared" si="17"/>
        <v>558.82352941176464</v>
      </c>
      <c r="K68" s="890"/>
      <c r="L68" s="890"/>
      <c r="M68" s="890"/>
    </row>
    <row r="69" spans="1:13" x14ac:dyDescent="0.25">
      <c r="A69" s="949"/>
      <c r="B69" s="960" t="str">
        <f t="shared" si="14"/>
        <v xml:space="preserve">Yellow Bell Pepper - فلفل أصفر </v>
      </c>
      <c r="C69" s="947" t="str">
        <f t="shared" si="14"/>
        <v>gm</v>
      </c>
      <c r="D69" s="940">
        <f t="shared" si="14"/>
        <v>50</v>
      </c>
      <c r="E69" s="1116">
        <f t="shared" si="18"/>
        <v>11.764705882352942</v>
      </c>
      <c r="F69" s="1166">
        <f t="shared" si="15"/>
        <v>0.95</v>
      </c>
      <c r="G69" s="940">
        <f t="shared" si="16"/>
        <v>588.23529411764707</v>
      </c>
      <c r="H69" s="1039">
        <f t="shared" si="17"/>
        <v>558.82352941176464</v>
      </c>
      <c r="K69" s="890"/>
      <c r="L69" s="890"/>
      <c r="M69" s="890"/>
    </row>
    <row r="70" spans="1:13" x14ac:dyDescent="0.25">
      <c r="A70" s="949" t="s">
        <v>868</v>
      </c>
      <c r="B70" s="960" t="str">
        <f t="shared" si="14"/>
        <v>Garlic - ثوم مقشر</v>
      </c>
      <c r="C70" s="947" t="str">
        <f t="shared" si="14"/>
        <v>gm</v>
      </c>
      <c r="D70" s="940">
        <f t="shared" si="14"/>
        <v>40</v>
      </c>
      <c r="E70" s="1116">
        <f t="shared" si="18"/>
        <v>11.764705882352942</v>
      </c>
      <c r="F70" s="1166">
        <f t="shared" si="15"/>
        <v>0.9</v>
      </c>
      <c r="G70" s="940">
        <f t="shared" si="16"/>
        <v>470.58823529411768</v>
      </c>
      <c r="H70" s="1039">
        <f t="shared" si="17"/>
        <v>423.52941176470591</v>
      </c>
      <c r="K70" s="890"/>
      <c r="L70" s="890"/>
      <c r="M70" s="890"/>
    </row>
    <row r="71" spans="1:13" x14ac:dyDescent="0.25">
      <c r="A71" s="949" t="s">
        <v>867</v>
      </c>
      <c r="B71" s="960" t="str">
        <f t="shared" si="14"/>
        <v>Ginger - زنجبيل</v>
      </c>
      <c r="C71" s="947" t="str">
        <f t="shared" si="14"/>
        <v>gm</v>
      </c>
      <c r="D71" s="940">
        <f t="shared" si="14"/>
        <v>25</v>
      </c>
      <c r="E71" s="1116">
        <f t="shared" si="18"/>
        <v>11.764705882352942</v>
      </c>
      <c r="F71" s="1166">
        <f t="shared" si="15"/>
        <v>0.6</v>
      </c>
      <c r="G71" s="940">
        <f t="shared" si="16"/>
        <v>294.11764705882354</v>
      </c>
      <c r="H71" s="1039">
        <f t="shared" si="17"/>
        <v>176.47058823529412</v>
      </c>
      <c r="K71" s="890"/>
      <c r="L71" s="890"/>
      <c r="M71" s="890"/>
    </row>
    <row r="72" spans="1:13" ht="29.25" x14ac:dyDescent="0.25">
      <c r="A72" s="949"/>
      <c r="B72" s="960" t="str">
        <f t="shared" si="14"/>
        <v>Light Soy Sauce - صويا صوص خفيف</v>
      </c>
      <c r="C72" s="947" t="str">
        <f t="shared" si="14"/>
        <v>ml</v>
      </c>
      <c r="D72" s="940">
        <f t="shared" si="14"/>
        <v>25</v>
      </c>
      <c r="E72" s="1116">
        <f t="shared" si="18"/>
        <v>11.764705882352942</v>
      </c>
      <c r="F72" s="1166">
        <f t="shared" si="15"/>
        <v>0.9</v>
      </c>
      <c r="G72" s="940">
        <f t="shared" si="16"/>
        <v>294.11764705882354</v>
      </c>
      <c r="H72" s="1039">
        <f t="shared" si="17"/>
        <v>264.70588235294122</v>
      </c>
      <c r="K72" s="890"/>
      <c r="L72" s="890"/>
      <c r="M72" s="890"/>
    </row>
    <row r="73" spans="1:13" ht="29.25" x14ac:dyDescent="0.25">
      <c r="A73" s="949"/>
      <c r="B73" s="960" t="str">
        <f t="shared" si="14"/>
        <v>Sweet Soy Sauce - صويا صوص حلو</v>
      </c>
      <c r="C73" s="947" t="str">
        <f t="shared" si="14"/>
        <v>ml</v>
      </c>
      <c r="D73" s="940">
        <f t="shared" si="14"/>
        <v>17</v>
      </c>
      <c r="E73" s="1116">
        <f t="shared" si="18"/>
        <v>11.764705882352942</v>
      </c>
      <c r="F73" s="1166">
        <f t="shared" si="15"/>
        <v>1</v>
      </c>
      <c r="G73" s="940">
        <f t="shared" si="16"/>
        <v>200</v>
      </c>
      <c r="H73" s="1039">
        <f t="shared" si="17"/>
        <v>200</v>
      </c>
      <c r="K73" s="890"/>
      <c r="L73" s="890"/>
      <c r="M73" s="890"/>
    </row>
    <row r="74" spans="1:13" ht="29.25" x14ac:dyDescent="0.25">
      <c r="A74" s="949"/>
      <c r="B74" s="960" t="str">
        <f t="shared" si="14"/>
        <v>Sriracha Sauce - صوص سريراتشا</v>
      </c>
      <c r="C74" s="947" t="str">
        <f t="shared" si="14"/>
        <v>ml</v>
      </c>
      <c r="D74" s="940">
        <f t="shared" si="14"/>
        <v>35</v>
      </c>
      <c r="E74" s="1116">
        <f t="shared" si="18"/>
        <v>11.764705882352942</v>
      </c>
      <c r="F74" s="1166">
        <f t="shared" si="15"/>
        <v>0.75</v>
      </c>
      <c r="G74" s="940">
        <f t="shared" si="16"/>
        <v>411.76470588235298</v>
      </c>
      <c r="H74" s="1039">
        <f t="shared" si="17"/>
        <v>308.82352941176475</v>
      </c>
      <c r="K74" s="890"/>
      <c r="L74" s="890"/>
      <c r="M74" s="890"/>
    </row>
    <row r="75" spans="1:13" x14ac:dyDescent="0.25">
      <c r="A75" s="949"/>
      <c r="B75" s="960" t="str">
        <f t="shared" si="14"/>
        <v>Vinegar - خل</v>
      </c>
      <c r="C75" s="947" t="str">
        <f t="shared" si="14"/>
        <v>ml</v>
      </c>
      <c r="D75" s="940">
        <f t="shared" si="14"/>
        <v>15</v>
      </c>
      <c r="E75" s="1116">
        <f t="shared" si="18"/>
        <v>11.764705882352942</v>
      </c>
      <c r="F75" s="1166">
        <f t="shared" si="15"/>
        <v>1</v>
      </c>
      <c r="G75" s="940">
        <f t="shared" si="16"/>
        <v>176.47058823529414</v>
      </c>
      <c r="H75" s="1039">
        <f t="shared" si="17"/>
        <v>176.47058823529414</v>
      </c>
      <c r="K75" s="890"/>
      <c r="L75" s="890"/>
      <c r="M75" s="890"/>
    </row>
    <row r="76" spans="1:13" x14ac:dyDescent="0.25">
      <c r="A76" s="949"/>
      <c r="B76" s="960" t="str">
        <f t="shared" si="14"/>
        <v>Water - ماء</v>
      </c>
      <c r="C76" s="947" t="str">
        <f t="shared" si="14"/>
        <v>ml</v>
      </c>
      <c r="D76" s="940">
        <f t="shared" si="14"/>
        <v>150</v>
      </c>
      <c r="E76" s="1116">
        <f t="shared" si="18"/>
        <v>11.764705882352942</v>
      </c>
      <c r="F76" s="1166">
        <f t="shared" si="15"/>
        <v>1</v>
      </c>
      <c r="G76" s="940">
        <f t="shared" si="16"/>
        <v>1764.7058823529412</v>
      </c>
      <c r="H76" s="1039">
        <f t="shared" si="17"/>
        <v>1764.7058823529412</v>
      </c>
      <c r="K76" s="890"/>
      <c r="L76" s="890"/>
      <c r="M76" s="890"/>
    </row>
    <row r="77" spans="1:13" x14ac:dyDescent="0.25">
      <c r="A77" s="949"/>
      <c r="B77" s="960" t="str">
        <f t="shared" si="14"/>
        <v>Tomato Ketchup - كاتشب طماطم</v>
      </c>
      <c r="C77" s="947" t="str">
        <f t="shared" si="14"/>
        <v>ml</v>
      </c>
      <c r="D77" s="940">
        <f t="shared" si="14"/>
        <v>350</v>
      </c>
      <c r="E77" s="1116">
        <f t="shared" si="18"/>
        <v>11.764705882352942</v>
      </c>
      <c r="F77" s="1166">
        <f t="shared" si="15"/>
        <v>1</v>
      </c>
      <c r="G77" s="940">
        <f t="shared" si="16"/>
        <v>4117.6470588235297</v>
      </c>
      <c r="H77" s="1039">
        <f t="shared" si="17"/>
        <v>4117.6470588235297</v>
      </c>
      <c r="K77" s="890"/>
      <c r="L77" s="890"/>
      <c r="M77" s="890"/>
    </row>
    <row r="78" spans="1:13" x14ac:dyDescent="0.25">
      <c r="A78" s="949"/>
      <c r="B78" s="960" t="str">
        <f t="shared" si="14"/>
        <v>Orange Color - لون برتقالي</v>
      </c>
      <c r="C78" s="947" t="str">
        <f t="shared" si="14"/>
        <v>gm</v>
      </c>
      <c r="D78" s="940">
        <f t="shared" si="14"/>
        <v>2</v>
      </c>
      <c r="E78" s="1116">
        <f t="shared" si="18"/>
        <v>11.764705882352942</v>
      </c>
      <c r="F78" s="1166">
        <f t="shared" si="15"/>
        <v>0.75</v>
      </c>
      <c r="G78" s="940">
        <f t="shared" si="16"/>
        <v>23.529411764705884</v>
      </c>
      <c r="H78" s="1039">
        <f t="shared" si="17"/>
        <v>17.647058823529413</v>
      </c>
      <c r="K78" s="890"/>
      <c r="L78" s="890"/>
      <c r="M78" s="890"/>
    </row>
    <row r="79" spans="1:13" x14ac:dyDescent="0.25">
      <c r="A79" s="949"/>
      <c r="B79" s="960" t="str">
        <f t="shared" si="14"/>
        <v>Corn Starch - نشا ذرة</v>
      </c>
      <c r="C79" s="947" t="str">
        <f t="shared" si="14"/>
        <v>gm</v>
      </c>
      <c r="D79" s="940">
        <f t="shared" si="14"/>
        <v>30</v>
      </c>
      <c r="E79" s="1116">
        <f t="shared" si="18"/>
        <v>11.764705882352942</v>
      </c>
      <c r="F79" s="1166">
        <f t="shared" si="15"/>
        <v>1</v>
      </c>
      <c r="G79" s="940">
        <f t="shared" si="16"/>
        <v>352.94117647058829</v>
      </c>
      <c r="H79" s="1039">
        <f t="shared" si="17"/>
        <v>352.94117647058829</v>
      </c>
      <c r="K79" s="890"/>
      <c r="L79" s="890"/>
      <c r="M79" s="890"/>
    </row>
    <row r="80" spans="1:13" x14ac:dyDescent="0.25">
      <c r="A80" s="949"/>
      <c r="B80" s="960" t="str">
        <f t="shared" si="14"/>
        <v>Salt - ملح</v>
      </c>
      <c r="C80" s="947" t="str">
        <f t="shared" si="14"/>
        <v>gm</v>
      </c>
      <c r="D80" s="940">
        <f t="shared" si="14"/>
        <v>3</v>
      </c>
      <c r="E80" s="1116">
        <f t="shared" si="18"/>
        <v>11.764705882352942</v>
      </c>
      <c r="F80" s="1166">
        <f t="shared" si="15"/>
        <v>0.75</v>
      </c>
      <c r="G80" s="940">
        <f t="shared" si="16"/>
        <v>35.294117647058826</v>
      </c>
      <c r="H80" s="1039">
        <f t="shared" si="17"/>
        <v>26.47058823529412</v>
      </c>
      <c r="K80" s="890"/>
      <c r="L80" s="890"/>
      <c r="M80" s="890"/>
    </row>
    <row r="81" spans="1:13" ht="29.25" x14ac:dyDescent="0.25">
      <c r="A81" s="949"/>
      <c r="B81" s="960" t="str">
        <f t="shared" si="14"/>
        <v>Black Pepper Powder - فلفل أسود مطحون</v>
      </c>
      <c r="C81" s="947" t="str">
        <f t="shared" si="14"/>
        <v>gm</v>
      </c>
      <c r="D81" s="940">
        <f t="shared" si="14"/>
        <v>3</v>
      </c>
      <c r="E81" s="1116">
        <f t="shared" si="18"/>
        <v>11.764705882352942</v>
      </c>
      <c r="F81" s="1166">
        <f t="shared" si="15"/>
        <v>0.75</v>
      </c>
      <c r="G81" s="940">
        <f t="shared" si="16"/>
        <v>35.294117647058826</v>
      </c>
      <c r="H81" s="1039">
        <f t="shared" si="17"/>
        <v>26.47058823529412</v>
      </c>
      <c r="K81" s="890"/>
      <c r="L81" s="890"/>
      <c r="M81" s="890"/>
    </row>
    <row r="82" spans="1:13" x14ac:dyDescent="0.25">
      <c r="A82" s="949"/>
      <c r="B82" s="960" t="str">
        <f t="shared" si="14"/>
        <v>Butter - زبدة</v>
      </c>
      <c r="C82" s="947" t="str">
        <f t="shared" si="14"/>
        <v>gm</v>
      </c>
      <c r="D82" s="940">
        <f t="shared" si="14"/>
        <v>20</v>
      </c>
      <c r="E82" s="1116">
        <f t="shared" si="18"/>
        <v>11.764705882352942</v>
      </c>
      <c r="F82" s="1166">
        <f t="shared" si="15"/>
        <v>1</v>
      </c>
      <c r="G82" s="940">
        <f t="shared" si="16"/>
        <v>235.29411764705884</v>
      </c>
      <c r="H82" s="1039">
        <f t="shared" si="17"/>
        <v>235.29411764705884</v>
      </c>
      <c r="K82" s="890"/>
      <c r="L82" s="890"/>
      <c r="M82" s="890"/>
    </row>
    <row r="83" spans="1:13" x14ac:dyDescent="0.25">
      <c r="A83" s="949"/>
      <c r="B83" s="960" t="str">
        <f t="shared" si="14"/>
        <v>Honey - عسل</v>
      </c>
      <c r="C83" s="947" t="str">
        <f t="shared" si="14"/>
        <v>gm</v>
      </c>
      <c r="D83" s="940">
        <f t="shared" si="14"/>
        <v>50</v>
      </c>
      <c r="E83" s="1116">
        <f t="shared" si="18"/>
        <v>11.764705882352942</v>
      </c>
      <c r="F83" s="1166">
        <f t="shared" si="15"/>
        <v>1</v>
      </c>
      <c r="G83" s="940">
        <f t="shared" si="16"/>
        <v>588.23529411764707</v>
      </c>
      <c r="H83" s="1039">
        <f t="shared" si="17"/>
        <v>588.23529411764707</v>
      </c>
      <c r="K83" s="890"/>
      <c r="L83" s="890"/>
      <c r="M83" s="890"/>
    </row>
    <row r="84" spans="1:13" ht="18" x14ac:dyDescent="0.25">
      <c r="A84" s="1070"/>
      <c r="B84" s="1041" t="s">
        <v>287</v>
      </c>
      <c r="C84" s="1042" t="s">
        <v>273</v>
      </c>
      <c r="D84" s="1043"/>
      <c r="E84" s="1044" t="s">
        <v>288</v>
      </c>
      <c r="F84" s="1043"/>
      <c r="G84" s="1045" t="s">
        <v>264</v>
      </c>
      <c r="H84" s="1046" t="s">
        <v>661</v>
      </c>
      <c r="K84" s="890"/>
      <c r="L84" s="890"/>
      <c r="M84" s="890"/>
    </row>
    <row r="85" spans="1:13" ht="20.25" x14ac:dyDescent="0.3">
      <c r="A85" s="1070"/>
      <c r="B85" s="1047">
        <f>$J$53</f>
        <v>13637.090909090908</v>
      </c>
      <c r="C85" s="1048">
        <f>E85+G85</f>
        <v>10000</v>
      </c>
      <c r="D85" s="1049"/>
      <c r="E85" s="1047">
        <f>$D$53*$S$44</f>
        <v>4090.909090909091</v>
      </c>
      <c r="F85" s="1050"/>
      <c r="G85" s="1048">
        <f>$D$53*$T$44</f>
        <v>5909.090909090909</v>
      </c>
      <c r="H85" s="1047">
        <f>B85+E85</f>
        <v>17728</v>
      </c>
      <c r="K85" s="890"/>
      <c r="L85" s="890"/>
      <c r="M85" s="890"/>
    </row>
    <row r="86" spans="1:13" x14ac:dyDescent="0.25">
      <c r="B86" s="80"/>
      <c r="D86" s="890"/>
      <c r="E86" s="80"/>
      <c r="F86" s="80"/>
      <c r="H86" s="890"/>
      <c r="K86" s="890"/>
      <c r="L86" s="890"/>
      <c r="M86" s="890"/>
    </row>
    <row r="87" spans="1:13" x14ac:dyDescent="0.25">
      <c r="A87" s="1036"/>
      <c r="B87" s="1776" t="str">
        <f>"دجاج صيني دفعة 2 / " &amp; COUNTIF($C$53:$C$55, "&gt;0")</f>
        <v>دجاج صيني دفعة 2 / 2</v>
      </c>
      <c r="C87" s="1800"/>
      <c r="D87" s="1801"/>
      <c r="E87" s="1801"/>
      <c r="F87" s="1801"/>
      <c r="G87" s="1800"/>
      <c r="H87" s="1801"/>
      <c r="K87" s="890"/>
      <c r="L87" s="890"/>
      <c r="M87" s="890"/>
    </row>
    <row r="88" spans="1:13" x14ac:dyDescent="0.25">
      <c r="A88" s="1036"/>
      <c r="B88" s="1776" t="str">
        <f>"Chinese Chicken 2 / " &amp; COUNTIF($C$53:$C$55, "&gt;0")</f>
        <v>Chinese Chicken 2 / 2</v>
      </c>
      <c r="C88" s="1777"/>
      <c r="D88" s="1778"/>
      <c r="E88" s="1778"/>
      <c r="F88" s="1778"/>
      <c r="G88" s="1777"/>
      <c r="H88" s="1778"/>
      <c r="K88" s="890"/>
      <c r="L88" s="890"/>
      <c r="M88" s="890"/>
    </row>
    <row r="89" spans="1:13" ht="38.25" x14ac:dyDescent="0.2">
      <c r="A89" s="933" t="s">
        <v>864</v>
      </c>
      <c r="B89" s="923" t="s">
        <v>241</v>
      </c>
      <c r="C89" s="934" t="s">
        <v>242</v>
      </c>
      <c r="D89" s="923" t="s">
        <v>231</v>
      </c>
      <c r="E89" s="935" t="s">
        <v>234</v>
      </c>
      <c r="F89" s="935" t="s">
        <v>243</v>
      </c>
      <c r="G89" s="923" t="s">
        <v>244</v>
      </c>
      <c r="H89" s="936" t="s">
        <v>245</v>
      </c>
      <c r="K89" s="890"/>
      <c r="L89" s="890"/>
      <c r="M89" s="890"/>
    </row>
    <row r="90" spans="1:13" x14ac:dyDescent="0.2">
      <c r="A90" s="937" t="s">
        <v>873</v>
      </c>
      <c r="B90" s="960" t="str">
        <f t="shared" ref="B90:D108" si="19">B5</f>
        <v>Chicken - دجاج</v>
      </c>
      <c r="C90" s="947" t="str">
        <f t="shared" si="19"/>
        <v>gm</v>
      </c>
      <c r="D90" s="940">
        <f t="shared" si="19"/>
        <v>2311.3713405238827</v>
      </c>
      <c r="E90" s="944">
        <f>H54</f>
        <v>3.3459548824062697</v>
      </c>
      <c r="F90" s="1166">
        <f t="shared" ref="F90:F108" si="20">F5</f>
        <v>1</v>
      </c>
      <c r="G90" s="940">
        <f t="shared" ref="G90:G108" si="21">D90*E90</f>
        <v>7733.7442218798096</v>
      </c>
      <c r="H90" s="1039">
        <f t="shared" ref="H90:H108" si="22">G90*F90</f>
        <v>7733.7442218798096</v>
      </c>
      <c r="K90" s="890"/>
      <c r="L90" s="890"/>
      <c r="M90" s="890"/>
    </row>
    <row r="91" spans="1:13" x14ac:dyDescent="0.25">
      <c r="A91" s="949" t="s">
        <v>881</v>
      </c>
      <c r="B91" s="960" t="str">
        <f t="shared" si="19"/>
        <v>Onion - بصل</v>
      </c>
      <c r="C91" s="947" t="str">
        <f t="shared" si="19"/>
        <v>gm</v>
      </c>
      <c r="D91" s="914">
        <f t="shared" si="19"/>
        <v>150</v>
      </c>
      <c r="E91" s="944">
        <f t="shared" ref="E91:E108" si="23">$C$54</f>
        <v>3.9372549019607899</v>
      </c>
      <c r="F91" s="1166">
        <f t="shared" si="20"/>
        <v>0.95</v>
      </c>
      <c r="G91" s="940">
        <f t="shared" si="21"/>
        <v>590.58823529411848</v>
      </c>
      <c r="H91" s="1039">
        <f t="shared" si="22"/>
        <v>561.05882352941251</v>
      </c>
      <c r="K91" s="890"/>
      <c r="L91" s="890"/>
      <c r="M91" s="890"/>
    </row>
    <row r="92" spans="1:13" ht="29.25" x14ac:dyDescent="0.25">
      <c r="A92" s="949" t="s">
        <v>880</v>
      </c>
      <c r="B92" s="960" t="str">
        <f t="shared" si="19"/>
        <v>Green Bell Pepper - فلفل أخضر رومى</v>
      </c>
      <c r="C92" s="947" t="str">
        <f t="shared" si="19"/>
        <v>gm</v>
      </c>
      <c r="D92" s="914">
        <f t="shared" si="19"/>
        <v>50</v>
      </c>
      <c r="E92" s="944">
        <f t="shared" si="23"/>
        <v>3.9372549019607899</v>
      </c>
      <c r="F92" s="1166">
        <f t="shared" si="20"/>
        <v>0.95</v>
      </c>
      <c r="G92" s="940">
        <f t="shared" si="21"/>
        <v>196.86274509803948</v>
      </c>
      <c r="H92" s="1039">
        <f t="shared" si="22"/>
        <v>187.01960784313749</v>
      </c>
      <c r="K92" s="890"/>
      <c r="L92" s="890"/>
      <c r="M92" s="890"/>
    </row>
    <row r="93" spans="1:13" x14ac:dyDescent="0.25">
      <c r="A93" s="949" t="s">
        <v>880</v>
      </c>
      <c r="B93" s="960" t="str">
        <f t="shared" si="19"/>
        <v xml:space="preserve">Red Bell Pepper - فلفل أحمر </v>
      </c>
      <c r="C93" s="947" t="str">
        <f t="shared" si="19"/>
        <v>gm</v>
      </c>
      <c r="D93" s="914">
        <f t="shared" si="19"/>
        <v>50</v>
      </c>
      <c r="E93" s="944">
        <f t="shared" si="23"/>
        <v>3.9372549019607899</v>
      </c>
      <c r="F93" s="1166">
        <f t="shared" si="20"/>
        <v>0.95</v>
      </c>
      <c r="G93" s="940">
        <f t="shared" si="21"/>
        <v>196.86274509803948</v>
      </c>
      <c r="H93" s="1039">
        <f t="shared" si="22"/>
        <v>187.01960784313749</v>
      </c>
      <c r="K93" s="890"/>
      <c r="L93" s="890"/>
      <c r="M93" s="890"/>
    </row>
    <row r="94" spans="1:13" x14ac:dyDescent="0.25">
      <c r="A94" s="949"/>
      <c r="B94" s="960" t="str">
        <f t="shared" si="19"/>
        <v xml:space="preserve">Yellow Bell Pepper - فلفل أصفر </v>
      </c>
      <c r="C94" s="947" t="str">
        <f t="shared" si="19"/>
        <v>gm</v>
      </c>
      <c r="D94" s="914">
        <f t="shared" si="19"/>
        <v>50</v>
      </c>
      <c r="E94" s="944">
        <f t="shared" si="23"/>
        <v>3.9372549019607899</v>
      </c>
      <c r="F94" s="1166">
        <f t="shared" si="20"/>
        <v>0.95</v>
      </c>
      <c r="G94" s="940">
        <f t="shared" si="21"/>
        <v>196.86274509803948</v>
      </c>
      <c r="H94" s="1039">
        <f t="shared" si="22"/>
        <v>187.01960784313749</v>
      </c>
      <c r="K94" s="890"/>
      <c r="L94" s="890"/>
      <c r="M94" s="890"/>
    </row>
    <row r="95" spans="1:13" x14ac:dyDescent="0.25">
      <c r="A95" s="949" t="s">
        <v>868</v>
      </c>
      <c r="B95" s="960" t="str">
        <f t="shared" si="19"/>
        <v>Garlic - ثوم مقشر</v>
      </c>
      <c r="C95" s="947" t="str">
        <f t="shared" si="19"/>
        <v>gm</v>
      </c>
      <c r="D95" s="914">
        <f t="shared" si="19"/>
        <v>40</v>
      </c>
      <c r="E95" s="944">
        <f t="shared" si="23"/>
        <v>3.9372549019607899</v>
      </c>
      <c r="F95" s="1166">
        <f t="shared" si="20"/>
        <v>0.9</v>
      </c>
      <c r="G95" s="940">
        <f t="shared" si="21"/>
        <v>157.49019607843161</v>
      </c>
      <c r="H95" s="1039">
        <f t="shared" si="22"/>
        <v>141.74117647058844</v>
      </c>
      <c r="K95" s="890"/>
      <c r="L95" s="890"/>
      <c r="M95" s="890"/>
    </row>
    <row r="96" spans="1:13" x14ac:dyDescent="0.25">
      <c r="A96" s="949" t="s">
        <v>867</v>
      </c>
      <c r="B96" s="960" t="str">
        <f t="shared" si="19"/>
        <v>Ginger - زنجبيل</v>
      </c>
      <c r="C96" s="947" t="str">
        <f t="shared" si="19"/>
        <v>gm</v>
      </c>
      <c r="D96" s="914">
        <f t="shared" si="19"/>
        <v>25</v>
      </c>
      <c r="E96" s="944">
        <f t="shared" si="23"/>
        <v>3.9372549019607899</v>
      </c>
      <c r="F96" s="1166">
        <f t="shared" si="20"/>
        <v>0.6</v>
      </c>
      <c r="G96" s="940">
        <f t="shared" si="21"/>
        <v>98.431372549019741</v>
      </c>
      <c r="H96" s="1039">
        <f t="shared" si="22"/>
        <v>59.058823529411839</v>
      </c>
      <c r="K96" s="890"/>
      <c r="L96" s="890"/>
      <c r="M96" s="890"/>
    </row>
    <row r="97" spans="1:13" ht="29.25" x14ac:dyDescent="0.25">
      <c r="A97" s="949"/>
      <c r="B97" s="960" t="str">
        <f t="shared" si="19"/>
        <v>Light Soy Sauce - صويا صوص خفيف</v>
      </c>
      <c r="C97" s="947" t="str">
        <f t="shared" si="19"/>
        <v>ml</v>
      </c>
      <c r="D97" s="914">
        <f t="shared" si="19"/>
        <v>25</v>
      </c>
      <c r="E97" s="944">
        <f t="shared" si="23"/>
        <v>3.9372549019607899</v>
      </c>
      <c r="F97" s="1166">
        <f t="shared" si="20"/>
        <v>0.9</v>
      </c>
      <c r="G97" s="940">
        <f t="shared" si="21"/>
        <v>98.431372549019741</v>
      </c>
      <c r="H97" s="1039">
        <f t="shared" si="22"/>
        <v>88.588235294117766</v>
      </c>
      <c r="K97" s="890"/>
      <c r="L97" s="890"/>
      <c r="M97" s="890"/>
    </row>
    <row r="98" spans="1:13" ht="29.25" x14ac:dyDescent="0.25">
      <c r="A98" s="949"/>
      <c r="B98" s="960" t="str">
        <f t="shared" si="19"/>
        <v>Sweet Soy Sauce - صويا صوص حلو</v>
      </c>
      <c r="C98" s="947" t="str">
        <f t="shared" si="19"/>
        <v>ml</v>
      </c>
      <c r="D98" s="914">
        <f t="shared" si="19"/>
        <v>17</v>
      </c>
      <c r="E98" s="944">
        <f t="shared" si="23"/>
        <v>3.9372549019607899</v>
      </c>
      <c r="F98" s="1166">
        <f t="shared" si="20"/>
        <v>1</v>
      </c>
      <c r="G98" s="940">
        <f t="shared" si="21"/>
        <v>66.933333333333422</v>
      </c>
      <c r="H98" s="1039">
        <f t="shared" si="22"/>
        <v>66.933333333333422</v>
      </c>
      <c r="K98" s="890"/>
      <c r="L98" s="890"/>
      <c r="M98" s="890"/>
    </row>
    <row r="99" spans="1:13" ht="29.25" x14ac:dyDescent="0.25">
      <c r="A99" s="949"/>
      <c r="B99" s="960" t="str">
        <f t="shared" si="19"/>
        <v>Sriracha Sauce - صوص سريراتشا</v>
      </c>
      <c r="C99" s="947" t="str">
        <f t="shared" si="19"/>
        <v>ml</v>
      </c>
      <c r="D99" s="914">
        <f t="shared" si="19"/>
        <v>35</v>
      </c>
      <c r="E99" s="944">
        <f t="shared" si="23"/>
        <v>3.9372549019607899</v>
      </c>
      <c r="F99" s="1166">
        <f t="shared" si="20"/>
        <v>0.75</v>
      </c>
      <c r="G99" s="940">
        <f t="shared" si="21"/>
        <v>137.80392156862766</v>
      </c>
      <c r="H99" s="1039">
        <f t="shared" si="22"/>
        <v>103.35294117647075</v>
      </c>
      <c r="K99" s="890"/>
      <c r="L99" s="890"/>
      <c r="M99" s="890"/>
    </row>
    <row r="100" spans="1:13" x14ac:dyDescent="0.25">
      <c r="A100" s="949"/>
      <c r="B100" s="960" t="str">
        <f t="shared" si="19"/>
        <v>Vinegar - خل</v>
      </c>
      <c r="C100" s="947" t="str">
        <f t="shared" si="19"/>
        <v>ml</v>
      </c>
      <c r="D100" s="914">
        <f t="shared" si="19"/>
        <v>15</v>
      </c>
      <c r="E100" s="944">
        <f t="shared" si="23"/>
        <v>3.9372549019607899</v>
      </c>
      <c r="F100" s="1166">
        <f t="shared" si="20"/>
        <v>1</v>
      </c>
      <c r="G100" s="940">
        <f t="shared" si="21"/>
        <v>59.058823529411846</v>
      </c>
      <c r="H100" s="1039">
        <f t="shared" si="22"/>
        <v>59.058823529411846</v>
      </c>
      <c r="K100" s="890"/>
      <c r="L100" s="890"/>
      <c r="M100" s="890"/>
    </row>
    <row r="101" spans="1:13" x14ac:dyDescent="0.25">
      <c r="A101" s="949"/>
      <c r="B101" s="960" t="str">
        <f t="shared" si="19"/>
        <v>Water - ماء</v>
      </c>
      <c r="C101" s="947" t="str">
        <f t="shared" si="19"/>
        <v>ml</v>
      </c>
      <c r="D101" s="914">
        <f t="shared" si="19"/>
        <v>150</v>
      </c>
      <c r="E101" s="944">
        <f t="shared" si="23"/>
        <v>3.9372549019607899</v>
      </c>
      <c r="F101" s="1166">
        <f t="shared" si="20"/>
        <v>1</v>
      </c>
      <c r="G101" s="940">
        <f t="shared" si="21"/>
        <v>590.58823529411848</v>
      </c>
      <c r="H101" s="1039">
        <f t="shared" si="22"/>
        <v>590.58823529411848</v>
      </c>
      <c r="K101" s="890"/>
      <c r="L101" s="890"/>
      <c r="M101" s="890"/>
    </row>
    <row r="102" spans="1:13" x14ac:dyDescent="0.25">
      <c r="A102" s="949"/>
      <c r="B102" s="960" t="str">
        <f t="shared" si="19"/>
        <v>Tomato Ketchup - كاتشب طماطم</v>
      </c>
      <c r="C102" s="947" t="str">
        <f t="shared" si="19"/>
        <v>ml</v>
      </c>
      <c r="D102" s="914">
        <f t="shared" si="19"/>
        <v>350</v>
      </c>
      <c r="E102" s="944">
        <f t="shared" si="23"/>
        <v>3.9372549019607899</v>
      </c>
      <c r="F102" s="1166">
        <f t="shared" si="20"/>
        <v>1</v>
      </c>
      <c r="G102" s="940">
        <f t="shared" si="21"/>
        <v>1378.0392156862765</v>
      </c>
      <c r="H102" s="1039">
        <f t="shared" si="22"/>
        <v>1378.0392156862765</v>
      </c>
      <c r="K102" s="890"/>
      <c r="L102" s="890"/>
      <c r="M102" s="890"/>
    </row>
    <row r="103" spans="1:13" x14ac:dyDescent="0.25">
      <c r="A103" s="949"/>
      <c r="B103" s="960" t="str">
        <f t="shared" si="19"/>
        <v>Orange Color - لون برتقالي</v>
      </c>
      <c r="C103" s="947" t="str">
        <f t="shared" si="19"/>
        <v>gm</v>
      </c>
      <c r="D103" s="914">
        <f t="shared" si="19"/>
        <v>2</v>
      </c>
      <c r="E103" s="944">
        <f t="shared" si="23"/>
        <v>3.9372549019607899</v>
      </c>
      <c r="F103" s="1166">
        <f t="shared" si="20"/>
        <v>0.75</v>
      </c>
      <c r="G103" s="940">
        <f t="shared" si="21"/>
        <v>7.8745098039215797</v>
      </c>
      <c r="H103" s="1039">
        <f t="shared" si="22"/>
        <v>5.9058823529411848</v>
      </c>
      <c r="K103" s="890"/>
      <c r="L103" s="890"/>
      <c r="M103" s="890"/>
    </row>
    <row r="104" spans="1:13" x14ac:dyDescent="0.25">
      <c r="A104" s="949"/>
      <c r="B104" s="960" t="str">
        <f t="shared" si="19"/>
        <v>Corn Starch - نشا ذرة</v>
      </c>
      <c r="C104" s="947" t="str">
        <f t="shared" si="19"/>
        <v>gm</v>
      </c>
      <c r="D104" s="914">
        <f t="shared" si="19"/>
        <v>30</v>
      </c>
      <c r="E104" s="944">
        <f t="shared" si="23"/>
        <v>3.9372549019607899</v>
      </c>
      <c r="F104" s="1166">
        <f t="shared" si="20"/>
        <v>1</v>
      </c>
      <c r="G104" s="940">
        <f t="shared" si="21"/>
        <v>118.11764705882369</v>
      </c>
      <c r="H104" s="1039">
        <f t="shared" si="22"/>
        <v>118.11764705882369</v>
      </c>
      <c r="K104" s="890"/>
      <c r="L104" s="890"/>
      <c r="M104" s="890"/>
    </row>
    <row r="105" spans="1:13" x14ac:dyDescent="0.25">
      <c r="A105" s="949"/>
      <c r="B105" s="960" t="str">
        <f t="shared" si="19"/>
        <v>Salt - ملح</v>
      </c>
      <c r="C105" s="947" t="str">
        <f t="shared" si="19"/>
        <v>gm</v>
      </c>
      <c r="D105" s="914">
        <f t="shared" si="19"/>
        <v>3</v>
      </c>
      <c r="E105" s="944">
        <f t="shared" si="23"/>
        <v>3.9372549019607899</v>
      </c>
      <c r="F105" s="1166">
        <f t="shared" si="20"/>
        <v>0.75</v>
      </c>
      <c r="G105" s="940">
        <f t="shared" si="21"/>
        <v>11.81176470588237</v>
      </c>
      <c r="H105" s="1039">
        <f t="shared" si="22"/>
        <v>8.8588235294117776</v>
      </c>
      <c r="K105" s="890"/>
      <c r="L105" s="890"/>
      <c r="M105" s="890"/>
    </row>
    <row r="106" spans="1:13" ht="29.25" x14ac:dyDescent="0.25">
      <c r="A106" s="949"/>
      <c r="B106" s="960" t="str">
        <f t="shared" si="19"/>
        <v>Black Pepper Powder - فلفل أسود مطحون</v>
      </c>
      <c r="C106" s="947" t="str">
        <f t="shared" si="19"/>
        <v>gm</v>
      </c>
      <c r="D106" s="914">
        <f t="shared" si="19"/>
        <v>3</v>
      </c>
      <c r="E106" s="944">
        <f t="shared" si="23"/>
        <v>3.9372549019607899</v>
      </c>
      <c r="F106" s="1166">
        <f t="shared" si="20"/>
        <v>0.75</v>
      </c>
      <c r="G106" s="940">
        <f t="shared" si="21"/>
        <v>11.81176470588237</v>
      </c>
      <c r="H106" s="1039">
        <f t="shared" si="22"/>
        <v>8.8588235294117776</v>
      </c>
      <c r="K106" s="890"/>
      <c r="L106" s="890"/>
      <c r="M106" s="890"/>
    </row>
    <row r="107" spans="1:13" x14ac:dyDescent="0.25">
      <c r="A107" s="949"/>
      <c r="B107" s="960" t="str">
        <f t="shared" si="19"/>
        <v>Butter - زبدة</v>
      </c>
      <c r="C107" s="947" t="str">
        <f t="shared" si="19"/>
        <v>gm</v>
      </c>
      <c r="D107" s="914">
        <f t="shared" si="19"/>
        <v>20</v>
      </c>
      <c r="E107" s="944">
        <f t="shared" si="23"/>
        <v>3.9372549019607899</v>
      </c>
      <c r="F107" s="1166">
        <f t="shared" si="20"/>
        <v>1</v>
      </c>
      <c r="G107" s="940">
        <f t="shared" si="21"/>
        <v>78.745098039215804</v>
      </c>
      <c r="H107" s="1039">
        <f t="shared" si="22"/>
        <v>78.745098039215804</v>
      </c>
      <c r="K107" s="890"/>
      <c r="L107" s="890"/>
      <c r="M107" s="890"/>
    </row>
    <row r="108" spans="1:13" x14ac:dyDescent="0.25">
      <c r="A108" s="949"/>
      <c r="B108" s="960" t="str">
        <f t="shared" si="19"/>
        <v>Honey - عسل</v>
      </c>
      <c r="C108" s="947" t="str">
        <f t="shared" si="19"/>
        <v>gm</v>
      </c>
      <c r="D108" s="914">
        <f t="shared" si="19"/>
        <v>50</v>
      </c>
      <c r="E108" s="944">
        <f t="shared" si="23"/>
        <v>3.9372549019607899</v>
      </c>
      <c r="F108" s="1166">
        <f t="shared" si="20"/>
        <v>1</v>
      </c>
      <c r="G108" s="940">
        <f t="shared" si="21"/>
        <v>196.86274509803948</v>
      </c>
      <c r="H108" s="1039">
        <f t="shared" si="22"/>
        <v>196.86274509803948</v>
      </c>
      <c r="K108" s="890"/>
      <c r="L108" s="890"/>
      <c r="M108" s="890"/>
    </row>
    <row r="109" spans="1:13" ht="18" x14ac:dyDescent="0.25">
      <c r="A109" s="1070"/>
      <c r="B109" s="1041" t="s">
        <v>287</v>
      </c>
      <c r="C109" s="1042" t="s">
        <v>273</v>
      </c>
      <c r="D109" s="1043"/>
      <c r="E109" s="1044" t="s">
        <v>288</v>
      </c>
      <c r="F109" s="1043"/>
      <c r="G109" s="1045" t="s">
        <v>264</v>
      </c>
      <c r="H109" s="1046" t="s">
        <v>661</v>
      </c>
      <c r="K109" s="890"/>
      <c r="L109" s="890"/>
      <c r="M109" s="890"/>
    </row>
    <row r="110" spans="1:13" ht="20.25" x14ac:dyDescent="0.3">
      <c r="A110" s="1070"/>
      <c r="B110" s="1047">
        <f>$J$54</f>
        <v>4562.9090909090883</v>
      </c>
      <c r="C110" s="1048">
        <f>E110+G110</f>
        <v>3346.6666666666715</v>
      </c>
      <c r="D110" s="1049"/>
      <c r="E110" s="1047">
        <f>$D$54*$S$44</f>
        <v>1369.0909090909111</v>
      </c>
      <c r="F110" s="1050"/>
      <c r="G110" s="1048">
        <f>$D$54*$T$44</f>
        <v>1977.5757575757602</v>
      </c>
      <c r="H110" s="1047">
        <f>B110+E110</f>
        <v>5931.9999999999991</v>
      </c>
      <c r="K110" s="890"/>
      <c r="L110" s="890"/>
      <c r="M110" s="890"/>
    </row>
    <row r="111" spans="1:13" x14ac:dyDescent="0.25">
      <c r="B111" s="890"/>
      <c r="D111" s="890"/>
      <c r="E111" s="890"/>
      <c r="F111" s="890"/>
      <c r="H111" s="890"/>
      <c r="K111" s="890"/>
      <c r="L111" s="890"/>
      <c r="M111" s="890"/>
    </row>
    <row r="112" spans="1:13" x14ac:dyDescent="0.25">
      <c r="A112" s="1036"/>
      <c r="B112" s="1776" t="str">
        <f>"دجاج صيني دفعة 3 / " &amp; COUNTIF($C$53:$C$55, "&gt;0")</f>
        <v>دجاج صيني دفعة 3 / 2</v>
      </c>
      <c r="C112" s="1800"/>
      <c r="D112" s="1801"/>
      <c r="E112" s="1801"/>
      <c r="F112" s="1801"/>
      <c r="G112" s="1800"/>
      <c r="H112" s="1801"/>
      <c r="K112" s="890"/>
      <c r="L112" s="890"/>
      <c r="M112" s="890"/>
    </row>
    <row r="113" spans="1:8" x14ac:dyDescent="0.25">
      <c r="A113" s="1036"/>
      <c r="B113" s="1776" t="str">
        <f>"Chinese Chicken 3 / " &amp; COUNTIF($C$53:$C$55, "&gt;0")</f>
        <v>Chinese Chicken 3 / 2</v>
      </c>
      <c r="C113" s="1777"/>
      <c r="D113" s="1778"/>
      <c r="E113" s="1778"/>
      <c r="F113" s="1778"/>
      <c r="G113" s="1777"/>
      <c r="H113" s="1778"/>
    </row>
    <row r="114" spans="1:8" ht="38.25" x14ac:dyDescent="0.2">
      <c r="A114" s="933" t="s">
        <v>864</v>
      </c>
      <c r="B114" s="923" t="s">
        <v>241</v>
      </c>
      <c r="C114" s="934" t="s">
        <v>242</v>
      </c>
      <c r="D114" s="923" t="s">
        <v>231</v>
      </c>
      <c r="E114" s="935" t="s">
        <v>234</v>
      </c>
      <c r="F114" s="935" t="s">
        <v>243</v>
      </c>
      <c r="G114" s="923" t="s">
        <v>244</v>
      </c>
      <c r="H114" s="936" t="s">
        <v>245</v>
      </c>
    </row>
    <row r="115" spans="1:8" x14ac:dyDescent="0.2">
      <c r="A115" s="937" t="s">
        <v>873</v>
      </c>
      <c r="B115" s="960" t="str">
        <f>B5</f>
        <v>Chicken - دجاج</v>
      </c>
      <c r="C115" s="959" t="str">
        <f t="shared" ref="C115:D115" si="24">C5</f>
        <v>gm</v>
      </c>
      <c r="D115" s="960">
        <f t="shared" si="24"/>
        <v>2311.3713405238827</v>
      </c>
      <c r="E115" s="1167">
        <f>H55</f>
        <v>0</v>
      </c>
      <c r="F115" s="1166">
        <f>F5</f>
        <v>1</v>
      </c>
      <c r="G115" s="940">
        <f t="shared" ref="G115:G133" si="25">D115*E115</f>
        <v>0</v>
      </c>
      <c r="H115" s="1039">
        <f t="shared" ref="H115:H133" si="26">G115*F115</f>
        <v>0</v>
      </c>
    </row>
    <row r="116" spans="1:8" x14ac:dyDescent="0.25">
      <c r="A116" s="949" t="s">
        <v>881</v>
      </c>
      <c r="B116" s="960" t="str">
        <f t="shared" ref="B116:D116" si="27">B6</f>
        <v>Onion - بصل</v>
      </c>
      <c r="C116" s="959" t="str">
        <f t="shared" si="27"/>
        <v>gm</v>
      </c>
      <c r="D116" s="960">
        <f t="shared" si="27"/>
        <v>150</v>
      </c>
      <c r="E116" s="1167">
        <f>$C$55</f>
        <v>0</v>
      </c>
      <c r="F116" s="1166">
        <f t="shared" ref="F116:F133" si="28">F6</f>
        <v>0.95</v>
      </c>
      <c r="G116" s="940">
        <f t="shared" si="25"/>
        <v>0</v>
      </c>
      <c r="H116" s="1039">
        <f t="shared" si="26"/>
        <v>0</v>
      </c>
    </row>
    <row r="117" spans="1:8" ht="29.25" x14ac:dyDescent="0.25">
      <c r="A117" s="949" t="s">
        <v>880</v>
      </c>
      <c r="B117" s="960" t="str">
        <f t="shared" ref="B117:D117" si="29">B7</f>
        <v>Green Bell Pepper - فلفل أخضر رومى</v>
      </c>
      <c r="C117" s="959" t="str">
        <f t="shared" si="29"/>
        <v>gm</v>
      </c>
      <c r="D117" s="960">
        <f t="shared" si="29"/>
        <v>50</v>
      </c>
      <c r="E117" s="1167">
        <f t="shared" ref="E117:E133" si="30">$C$55</f>
        <v>0</v>
      </c>
      <c r="F117" s="1166">
        <f t="shared" si="28"/>
        <v>0.95</v>
      </c>
      <c r="G117" s="940">
        <f t="shared" si="25"/>
        <v>0</v>
      </c>
      <c r="H117" s="1039">
        <f t="shared" si="26"/>
        <v>0</v>
      </c>
    </row>
    <row r="118" spans="1:8" x14ac:dyDescent="0.25">
      <c r="A118" s="949" t="s">
        <v>880</v>
      </c>
      <c r="B118" s="960" t="str">
        <f t="shared" ref="B118:D118" si="31">B8</f>
        <v xml:space="preserve">Red Bell Pepper - فلفل أحمر </v>
      </c>
      <c r="C118" s="959" t="str">
        <f t="shared" si="31"/>
        <v>gm</v>
      </c>
      <c r="D118" s="960">
        <f t="shared" si="31"/>
        <v>50</v>
      </c>
      <c r="E118" s="1167">
        <f t="shared" si="30"/>
        <v>0</v>
      </c>
      <c r="F118" s="1166">
        <f t="shared" si="28"/>
        <v>0.95</v>
      </c>
      <c r="G118" s="940">
        <f t="shared" si="25"/>
        <v>0</v>
      </c>
      <c r="H118" s="1039">
        <f t="shared" si="26"/>
        <v>0</v>
      </c>
    </row>
    <row r="119" spans="1:8" x14ac:dyDescent="0.25">
      <c r="A119" s="949"/>
      <c r="B119" s="960" t="str">
        <f t="shared" ref="B119:D119" si="32">B9</f>
        <v xml:space="preserve">Yellow Bell Pepper - فلفل أصفر </v>
      </c>
      <c r="C119" s="959" t="str">
        <f t="shared" si="32"/>
        <v>gm</v>
      </c>
      <c r="D119" s="960">
        <f t="shared" si="32"/>
        <v>50</v>
      </c>
      <c r="E119" s="1167">
        <f t="shared" si="30"/>
        <v>0</v>
      </c>
      <c r="F119" s="1166">
        <f t="shared" si="28"/>
        <v>0.95</v>
      </c>
      <c r="G119" s="940">
        <f t="shared" si="25"/>
        <v>0</v>
      </c>
      <c r="H119" s="1039">
        <f t="shared" si="26"/>
        <v>0</v>
      </c>
    </row>
    <row r="120" spans="1:8" x14ac:dyDescent="0.25">
      <c r="A120" s="949" t="s">
        <v>868</v>
      </c>
      <c r="B120" s="960" t="str">
        <f t="shared" ref="B120:D120" si="33">B10</f>
        <v>Garlic - ثوم مقشر</v>
      </c>
      <c r="C120" s="959" t="str">
        <f t="shared" si="33"/>
        <v>gm</v>
      </c>
      <c r="D120" s="960">
        <f t="shared" si="33"/>
        <v>40</v>
      </c>
      <c r="E120" s="1167">
        <f t="shared" si="30"/>
        <v>0</v>
      </c>
      <c r="F120" s="1166">
        <f t="shared" si="28"/>
        <v>0.9</v>
      </c>
      <c r="G120" s="940">
        <f t="shared" si="25"/>
        <v>0</v>
      </c>
      <c r="H120" s="1039">
        <f t="shared" si="26"/>
        <v>0</v>
      </c>
    </row>
    <row r="121" spans="1:8" x14ac:dyDescent="0.25">
      <c r="A121" s="949" t="s">
        <v>867</v>
      </c>
      <c r="B121" s="960" t="str">
        <f t="shared" ref="B121:D121" si="34">B11</f>
        <v>Ginger - زنجبيل</v>
      </c>
      <c r="C121" s="959" t="str">
        <f t="shared" si="34"/>
        <v>gm</v>
      </c>
      <c r="D121" s="960">
        <f t="shared" si="34"/>
        <v>25</v>
      </c>
      <c r="E121" s="1167">
        <f t="shared" si="30"/>
        <v>0</v>
      </c>
      <c r="F121" s="1166">
        <f t="shared" si="28"/>
        <v>0.6</v>
      </c>
      <c r="G121" s="940">
        <f t="shared" si="25"/>
        <v>0</v>
      </c>
      <c r="H121" s="1039">
        <f t="shared" si="26"/>
        <v>0</v>
      </c>
    </row>
    <row r="122" spans="1:8" ht="29.25" x14ac:dyDescent="0.25">
      <c r="A122" s="949"/>
      <c r="B122" s="960" t="str">
        <f t="shared" ref="B122:D122" si="35">B12</f>
        <v>Light Soy Sauce - صويا صوص خفيف</v>
      </c>
      <c r="C122" s="959" t="str">
        <f t="shared" si="35"/>
        <v>ml</v>
      </c>
      <c r="D122" s="960">
        <f t="shared" si="35"/>
        <v>25</v>
      </c>
      <c r="E122" s="1167">
        <f t="shared" si="30"/>
        <v>0</v>
      </c>
      <c r="F122" s="1166">
        <f t="shared" si="28"/>
        <v>0.9</v>
      </c>
      <c r="G122" s="940">
        <f t="shared" si="25"/>
        <v>0</v>
      </c>
      <c r="H122" s="1039">
        <f t="shared" si="26"/>
        <v>0</v>
      </c>
    </row>
    <row r="123" spans="1:8" ht="29.25" x14ac:dyDescent="0.25">
      <c r="A123" s="949"/>
      <c r="B123" s="960" t="str">
        <f t="shared" ref="B123:D123" si="36">B13</f>
        <v>Sweet Soy Sauce - صويا صوص حلو</v>
      </c>
      <c r="C123" s="959" t="str">
        <f t="shared" si="36"/>
        <v>ml</v>
      </c>
      <c r="D123" s="960">
        <f t="shared" si="36"/>
        <v>17</v>
      </c>
      <c r="E123" s="1167">
        <f t="shared" si="30"/>
        <v>0</v>
      </c>
      <c r="F123" s="1166">
        <f t="shared" si="28"/>
        <v>1</v>
      </c>
      <c r="G123" s="940">
        <f t="shared" si="25"/>
        <v>0</v>
      </c>
      <c r="H123" s="1039">
        <f t="shared" si="26"/>
        <v>0</v>
      </c>
    </row>
    <row r="124" spans="1:8" ht="29.25" x14ac:dyDescent="0.25">
      <c r="A124" s="949"/>
      <c r="B124" s="960" t="str">
        <f t="shared" ref="B124:D124" si="37">B14</f>
        <v>Sriracha Sauce - صوص سريراتشا</v>
      </c>
      <c r="C124" s="959" t="str">
        <f t="shared" si="37"/>
        <v>ml</v>
      </c>
      <c r="D124" s="960">
        <f t="shared" si="37"/>
        <v>35</v>
      </c>
      <c r="E124" s="1167">
        <f t="shared" si="30"/>
        <v>0</v>
      </c>
      <c r="F124" s="1166">
        <f t="shared" si="28"/>
        <v>0.75</v>
      </c>
      <c r="G124" s="940">
        <f t="shared" si="25"/>
        <v>0</v>
      </c>
      <c r="H124" s="1039">
        <f t="shared" si="26"/>
        <v>0</v>
      </c>
    </row>
    <row r="125" spans="1:8" x14ac:dyDescent="0.25">
      <c r="A125" s="949"/>
      <c r="B125" s="960" t="str">
        <f t="shared" ref="B125:D125" si="38">B15</f>
        <v>Vinegar - خل</v>
      </c>
      <c r="C125" s="959" t="str">
        <f t="shared" si="38"/>
        <v>ml</v>
      </c>
      <c r="D125" s="960">
        <f t="shared" si="38"/>
        <v>15</v>
      </c>
      <c r="E125" s="1167">
        <f t="shared" si="30"/>
        <v>0</v>
      </c>
      <c r="F125" s="1166">
        <f t="shared" si="28"/>
        <v>1</v>
      </c>
      <c r="G125" s="940">
        <f t="shared" si="25"/>
        <v>0</v>
      </c>
      <c r="H125" s="1039">
        <f t="shared" si="26"/>
        <v>0</v>
      </c>
    </row>
    <row r="126" spans="1:8" x14ac:dyDescent="0.25">
      <c r="A126" s="949"/>
      <c r="B126" s="960" t="str">
        <f t="shared" ref="B126:D126" si="39">B16</f>
        <v>Water - ماء</v>
      </c>
      <c r="C126" s="959" t="str">
        <f t="shared" si="39"/>
        <v>ml</v>
      </c>
      <c r="D126" s="960">
        <f t="shared" si="39"/>
        <v>150</v>
      </c>
      <c r="E126" s="1167">
        <f t="shared" si="30"/>
        <v>0</v>
      </c>
      <c r="F126" s="1166">
        <f t="shared" si="28"/>
        <v>1</v>
      </c>
      <c r="G126" s="940">
        <f t="shared" si="25"/>
        <v>0</v>
      </c>
      <c r="H126" s="1039">
        <f t="shared" si="26"/>
        <v>0</v>
      </c>
    </row>
    <row r="127" spans="1:8" x14ac:dyDescent="0.25">
      <c r="A127" s="949"/>
      <c r="B127" s="960" t="str">
        <f t="shared" ref="B127:D127" si="40">B17</f>
        <v>Tomato Ketchup - كاتشب طماطم</v>
      </c>
      <c r="C127" s="959" t="str">
        <f t="shared" si="40"/>
        <v>ml</v>
      </c>
      <c r="D127" s="960">
        <f t="shared" si="40"/>
        <v>350</v>
      </c>
      <c r="E127" s="1167">
        <f t="shared" si="30"/>
        <v>0</v>
      </c>
      <c r="F127" s="1166">
        <f t="shared" si="28"/>
        <v>1</v>
      </c>
      <c r="G127" s="940">
        <f t="shared" si="25"/>
        <v>0</v>
      </c>
      <c r="H127" s="1039">
        <f t="shared" si="26"/>
        <v>0</v>
      </c>
    </row>
    <row r="128" spans="1:8" x14ac:dyDescent="0.25">
      <c r="A128" s="949"/>
      <c r="B128" s="960" t="str">
        <f t="shared" ref="B128:D128" si="41">B18</f>
        <v>Orange Color - لون برتقالي</v>
      </c>
      <c r="C128" s="959" t="str">
        <f t="shared" si="41"/>
        <v>gm</v>
      </c>
      <c r="D128" s="960">
        <f t="shared" si="41"/>
        <v>2</v>
      </c>
      <c r="E128" s="1167">
        <f t="shared" si="30"/>
        <v>0</v>
      </c>
      <c r="F128" s="1166">
        <f t="shared" si="28"/>
        <v>0.75</v>
      </c>
      <c r="G128" s="940">
        <f t="shared" si="25"/>
        <v>0</v>
      </c>
      <c r="H128" s="1039">
        <f t="shared" si="26"/>
        <v>0</v>
      </c>
    </row>
    <row r="129" spans="1:8" x14ac:dyDescent="0.25">
      <c r="A129" s="949"/>
      <c r="B129" s="960" t="str">
        <f t="shared" ref="B129:D129" si="42">B19</f>
        <v>Corn Starch - نشا ذرة</v>
      </c>
      <c r="C129" s="959" t="str">
        <f t="shared" si="42"/>
        <v>gm</v>
      </c>
      <c r="D129" s="960">
        <f t="shared" si="42"/>
        <v>30</v>
      </c>
      <c r="E129" s="1167">
        <f t="shared" si="30"/>
        <v>0</v>
      </c>
      <c r="F129" s="1166">
        <f t="shared" si="28"/>
        <v>1</v>
      </c>
      <c r="G129" s="940">
        <f t="shared" si="25"/>
        <v>0</v>
      </c>
      <c r="H129" s="1039">
        <f t="shared" si="26"/>
        <v>0</v>
      </c>
    </row>
    <row r="130" spans="1:8" x14ac:dyDescent="0.25">
      <c r="A130" s="949"/>
      <c r="B130" s="960" t="str">
        <f t="shared" ref="B130:D130" si="43">B20</f>
        <v>Salt - ملح</v>
      </c>
      <c r="C130" s="959" t="str">
        <f t="shared" si="43"/>
        <v>gm</v>
      </c>
      <c r="D130" s="960">
        <f t="shared" si="43"/>
        <v>3</v>
      </c>
      <c r="E130" s="1167">
        <f t="shared" si="30"/>
        <v>0</v>
      </c>
      <c r="F130" s="1166">
        <f t="shared" si="28"/>
        <v>0.75</v>
      </c>
      <c r="G130" s="940">
        <f t="shared" si="25"/>
        <v>0</v>
      </c>
      <c r="H130" s="1039">
        <f t="shared" si="26"/>
        <v>0</v>
      </c>
    </row>
    <row r="131" spans="1:8" ht="29.25" x14ac:dyDescent="0.25">
      <c r="A131" s="949"/>
      <c r="B131" s="960" t="str">
        <f t="shared" ref="B131:D131" si="44">B21</f>
        <v>Black Pepper Powder - فلفل أسود مطحون</v>
      </c>
      <c r="C131" s="959" t="str">
        <f t="shared" si="44"/>
        <v>gm</v>
      </c>
      <c r="D131" s="960">
        <f t="shared" si="44"/>
        <v>3</v>
      </c>
      <c r="E131" s="1167">
        <f t="shared" si="30"/>
        <v>0</v>
      </c>
      <c r="F131" s="1166">
        <f t="shared" si="28"/>
        <v>0.75</v>
      </c>
      <c r="G131" s="940">
        <f t="shared" si="25"/>
        <v>0</v>
      </c>
      <c r="H131" s="1039">
        <f t="shared" si="26"/>
        <v>0</v>
      </c>
    </row>
    <row r="132" spans="1:8" x14ac:dyDescent="0.25">
      <c r="A132" s="949"/>
      <c r="B132" s="960" t="str">
        <f t="shared" ref="B132:D132" si="45">B22</f>
        <v>Butter - زبدة</v>
      </c>
      <c r="C132" s="959" t="str">
        <f t="shared" si="45"/>
        <v>gm</v>
      </c>
      <c r="D132" s="960">
        <f t="shared" si="45"/>
        <v>20</v>
      </c>
      <c r="E132" s="1167">
        <f t="shared" si="30"/>
        <v>0</v>
      </c>
      <c r="F132" s="1166">
        <f t="shared" si="28"/>
        <v>1</v>
      </c>
      <c r="G132" s="940">
        <f t="shared" si="25"/>
        <v>0</v>
      </c>
      <c r="H132" s="1039">
        <f t="shared" si="26"/>
        <v>0</v>
      </c>
    </row>
    <row r="133" spans="1:8" x14ac:dyDescent="0.25">
      <c r="A133" s="949"/>
      <c r="B133" s="960" t="str">
        <f t="shared" ref="B133:D133" si="46">B23</f>
        <v>Honey - عسل</v>
      </c>
      <c r="C133" s="959" t="str">
        <f t="shared" si="46"/>
        <v>gm</v>
      </c>
      <c r="D133" s="960">
        <f t="shared" si="46"/>
        <v>50</v>
      </c>
      <c r="E133" s="1167">
        <f t="shared" si="30"/>
        <v>0</v>
      </c>
      <c r="F133" s="1166">
        <f t="shared" si="28"/>
        <v>1</v>
      </c>
      <c r="G133" s="940">
        <f t="shared" si="25"/>
        <v>0</v>
      </c>
      <c r="H133" s="1039">
        <f t="shared" si="26"/>
        <v>0</v>
      </c>
    </row>
    <row r="134" spans="1:8" ht="18" x14ac:dyDescent="0.25">
      <c r="A134" s="1070"/>
      <c r="B134" s="1041" t="s">
        <v>287</v>
      </c>
      <c r="C134" s="1042" t="s">
        <v>273</v>
      </c>
      <c r="D134" s="1043"/>
      <c r="E134" s="1044" t="s">
        <v>288</v>
      </c>
      <c r="F134" s="1043"/>
      <c r="G134" s="1045" t="s">
        <v>264</v>
      </c>
      <c r="H134" s="1046" t="s">
        <v>661</v>
      </c>
    </row>
    <row r="135" spans="1:8" ht="20.25" x14ac:dyDescent="0.3">
      <c r="A135" s="1070"/>
      <c r="B135" s="1047">
        <f>$J$55</f>
        <v>0</v>
      </c>
      <c r="C135" s="1048">
        <f>E135+G135</f>
        <v>0</v>
      </c>
      <c r="D135" s="1049"/>
      <c r="E135" s="1047">
        <f>$D$55*$S$44</f>
        <v>0</v>
      </c>
      <c r="F135" s="1050"/>
      <c r="G135" s="1048">
        <f>$D$55*$T$44</f>
        <v>0</v>
      </c>
      <c r="H135" s="1047">
        <f>B135+E135</f>
        <v>0</v>
      </c>
    </row>
  </sheetData>
  <mergeCells count="13">
    <mergeCell ref="B112:H112"/>
    <mergeCell ref="B113:H113"/>
    <mergeCell ref="AK2:AM2"/>
    <mergeCell ref="B2:J3"/>
    <mergeCell ref="AE2:AG3"/>
    <mergeCell ref="B88:H88"/>
    <mergeCell ref="R26:U26"/>
    <mergeCell ref="B87:H87"/>
    <mergeCell ref="R25:U25"/>
    <mergeCell ref="B62:H62"/>
    <mergeCell ref="K2:K3"/>
    <mergeCell ref="B63:H63"/>
    <mergeCell ref="B35:F35"/>
  </mergeCells>
  <printOptions horizontalCentered="1"/>
  <pageMargins left="0.4" right="0.4" top="1" bottom="0.5" header="0.3" footer="0.511811023622047"/>
  <pageSetup paperSize="9" scale="37"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50"/>
    <pageSetUpPr fitToPage="1"/>
  </sheetPr>
  <dimension ref="A1:AT104"/>
  <sheetViews>
    <sheetView topLeftCell="A33" zoomScale="55" zoomScaleNormal="55" workbookViewId="0">
      <selection activeCell="A116" sqref="A116:A133"/>
    </sheetView>
  </sheetViews>
  <sheetFormatPr defaultColWidth="12.5" defaultRowHeight="15" x14ac:dyDescent="0.25"/>
  <cols>
    <col min="1" max="1" width="18.625" style="61" customWidth="1"/>
    <col min="2" max="2" width="25.875" style="26"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3.7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ustomWidth="1"/>
    <col min="25" max="25" width="8.625" style="14" customWidth="1"/>
    <col min="26" max="29" width="12.625" style="14" customWidth="1"/>
    <col min="30" max="30" width="18.625" style="14" customWidth="1"/>
    <col min="31" max="32" width="12.625" style="14" customWidth="1"/>
    <col min="33" max="35" width="4.25" style="14" customWidth="1"/>
    <col min="36" max="36" width="25.875" style="14" customWidth="1"/>
    <col min="37" max="37" width="8.625" style="14" customWidth="1"/>
    <col min="38"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s="168" customFormat="1" ht="25.5" x14ac:dyDescent="0.2">
      <c r="A1" s="865"/>
      <c r="B1" s="1062" t="s">
        <v>231</v>
      </c>
      <c r="C1" s="914">
        <v>1000</v>
      </c>
      <c r="D1" s="915" t="s">
        <v>232</v>
      </c>
      <c r="E1" s="941">
        <f>U32</f>
        <v>18170</v>
      </c>
      <c r="F1" s="913" t="s">
        <v>233</v>
      </c>
      <c r="G1" s="941">
        <f>E1/C1</f>
        <v>18.170000000000002</v>
      </c>
      <c r="H1" s="913" t="s">
        <v>234</v>
      </c>
      <c r="I1" s="1040">
        <f>(G1/K1)</f>
        <v>18.446700507614214</v>
      </c>
      <c r="J1" s="919" t="s">
        <v>235</v>
      </c>
      <c r="K1" s="914">
        <v>0.98499999999999999</v>
      </c>
      <c r="L1" s="73"/>
      <c r="M1" s="70"/>
      <c r="N1" s="922"/>
      <c r="O1" s="923" t="s">
        <v>236</v>
      </c>
      <c r="P1" s="914" t="s">
        <v>237</v>
      </c>
      <c r="Q1" s="924" t="s">
        <v>238</v>
      </c>
      <c r="R1" s="914">
        <v>0.59</v>
      </c>
      <c r="T1" s="1129"/>
      <c r="W1" s="1129"/>
      <c r="Y1" s="923" t="s">
        <v>444</v>
      </c>
      <c r="Z1" s="925">
        <v>17170</v>
      </c>
      <c r="AA1" s="923" t="s">
        <v>544</v>
      </c>
      <c r="AB1" s="925">
        <v>1000</v>
      </c>
      <c r="AC1" s="923" t="s">
        <v>537</v>
      </c>
      <c r="AD1" s="925">
        <v>117</v>
      </c>
      <c r="AF1" s="170"/>
      <c r="AG1" s="73"/>
      <c r="AJ1" s="926" t="s">
        <v>250</v>
      </c>
      <c r="AK1" s="926">
        <v>10000</v>
      </c>
      <c r="AL1" s="927" t="s">
        <v>474</v>
      </c>
      <c r="AM1" s="928">
        <f>$S$32</f>
        <v>18170</v>
      </c>
      <c r="AN1" s="926" t="s">
        <v>239</v>
      </c>
      <c r="AO1" s="929">
        <f>(($S$32)/$R$1)/$AK$1</f>
        <v>3.0796610169491525</v>
      </c>
      <c r="AP1" s="76"/>
      <c r="AS1" s="1129"/>
    </row>
    <row r="2" spans="1:46" ht="15.75" x14ac:dyDescent="0.25">
      <c r="A2" s="863"/>
      <c r="B2" s="1784" t="s">
        <v>29</v>
      </c>
      <c r="C2" s="1787"/>
      <c r="D2" s="1788"/>
      <c r="E2" s="1788"/>
      <c r="F2" s="1788"/>
      <c r="G2" s="1787"/>
      <c r="H2" s="1788"/>
      <c r="I2" s="921"/>
      <c r="J2" s="921"/>
      <c r="K2" s="921"/>
      <c r="L2" s="78"/>
      <c r="P2" s="80"/>
      <c r="Q2" s="80"/>
      <c r="R2" s="80"/>
      <c r="T2" s="890"/>
      <c r="W2" s="890"/>
      <c r="AC2" s="79"/>
      <c r="AD2" s="79"/>
      <c r="AE2" s="1795"/>
      <c r="AF2" s="1799"/>
      <c r="AG2" s="1799"/>
      <c r="AJ2" s="930"/>
      <c r="AK2" s="930"/>
      <c r="AL2" s="1783" t="s">
        <v>310</v>
      </c>
      <c r="AM2" s="1783"/>
      <c r="AN2" s="931"/>
      <c r="AO2" s="930"/>
      <c r="AP2" s="81"/>
      <c r="AS2" s="890"/>
    </row>
    <row r="3" spans="1:46" ht="15.75" x14ac:dyDescent="0.25">
      <c r="A3" s="863"/>
      <c r="B3" s="1785"/>
      <c r="C3" s="1796"/>
      <c r="D3" s="1785"/>
      <c r="E3" s="1785"/>
      <c r="F3" s="1785"/>
      <c r="G3" s="1796"/>
      <c r="H3" s="1785"/>
      <c r="I3" s="78"/>
      <c r="J3" s="78"/>
      <c r="K3" s="78"/>
      <c r="L3" s="78"/>
      <c r="P3" s="80"/>
      <c r="Q3" s="80"/>
      <c r="R3" s="80"/>
      <c r="T3" s="890"/>
      <c r="W3" s="890"/>
      <c r="AC3" s="79"/>
      <c r="AD3" s="79"/>
      <c r="AE3" s="1799"/>
      <c r="AF3" s="1799"/>
      <c r="AG3" s="1799"/>
      <c r="AJ3" s="81"/>
      <c r="AK3" s="81"/>
      <c r="AL3" s="82"/>
      <c r="AM3" s="82"/>
      <c r="AN3" s="82"/>
      <c r="AO3" s="81"/>
      <c r="AP3" s="81"/>
      <c r="AS3" s="890"/>
    </row>
    <row r="4" spans="1:46" ht="38.25" x14ac:dyDescent="0.2">
      <c r="A4" s="933" t="s">
        <v>864</v>
      </c>
      <c r="B4" s="923" t="s">
        <v>241</v>
      </c>
      <c r="C4" s="934" t="s">
        <v>242</v>
      </c>
      <c r="D4" s="923" t="s">
        <v>231</v>
      </c>
      <c r="E4" s="935" t="s">
        <v>234</v>
      </c>
      <c r="F4" s="935" t="s">
        <v>243</v>
      </c>
      <c r="G4" s="923" t="s">
        <v>244</v>
      </c>
      <c r="H4" s="936" t="s">
        <v>245</v>
      </c>
      <c r="I4" s="923" t="s">
        <v>246</v>
      </c>
      <c r="J4" s="923" t="s">
        <v>247</v>
      </c>
      <c r="K4" s="923" t="s">
        <v>248</v>
      </c>
      <c r="L4" s="923" t="s">
        <v>249</v>
      </c>
      <c r="P4" s="80"/>
      <c r="R4" s="890"/>
      <c r="T4" s="890"/>
      <c r="W4" s="890"/>
      <c r="AA4" s="169"/>
      <c r="AB4" s="171"/>
      <c r="AC4" s="169"/>
      <c r="AD4" s="169"/>
      <c r="AE4" s="169"/>
      <c r="AJ4" s="926" t="s">
        <v>241</v>
      </c>
      <c r="AK4" s="1169" t="s">
        <v>242</v>
      </c>
      <c r="AL4" s="926" t="s">
        <v>250</v>
      </c>
      <c r="AM4" s="926" t="s">
        <v>234</v>
      </c>
      <c r="AN4" s="926" t="s">
        <v>243</v>
      </c>
      <c r="AO4" s="926" t="s">
        <v>244</v>
      </c>
      <c r="AP4" s="926" t="s">
        <v>245</v>
      </c>
      <c r="AQ4" s="923" t="s">
        <v>246</v>
      </c>
      <c r="AR4" s="923" t="s">
        <v>247</v>
      </c>
      <c r="AS4" s="923" t="s">
        <v>248</v>
      </c>
      <c r="AT4" s="923" t="s">
        <v>249</v>
      </c>
    </row>
    <row r="5" spans="1:46" x14ac:dyDescent="0.25">
      <c r="A5" s="949" t="s">
        <v>872</v>
      </c>
      <c r="B5" s="938" t="s">
        <v>220</v>
      </c>
      <c r="C5" s="947" t="s">
        <v>14</v>
      </c>
      <c r="D5" s="944">
        <f>I51/H51</f>
        <v>1694.9152542372881</v>
      </c>
      <c r="E5" s="918">
        <f>H52</f>
        <v>18.170000000000002</v>
      </c>
      <c r="F5" s="948">
        <v>1</v>
      </c>
      <c r="G5" s="944">
        <f>D5*E5</f>
        <v>30796.610169491527</v>
      </c>
      <c r="H5" s="943">
        <f>G5*F5</f>
        <v>30796.610169491527</v>
      </c>
      <c r="I5" s="914">
        <f>VLOOKUP(B5,All_Ingredients!$A$1:$F$161,6,FALSE())</f>
        <v>0.86</v>
      </c>
      <c r="J5" s="940">
        <f>VLOOKUP(B5,All_Ingredients!$A$1:$J$161,10,FALSE())</f>
        <v>17.100000000000001</v>
      </c>
      <c r="K5" s="945">
        <f>(H5/I5)/1000</f>
        <v>35.810011824990148</v>
      </c>
      <c r="L5" s="945">
        <f>K5*J5</f>
        <v>612.35120220733154</v>
      </c>
      <c r="P5" s="80"/>
      <c r="R5" s="890"/>
      <c r="T5" s="890"/>
      <c r="W5" s="890"/>
      <c r="AA5" s="73"/>
      <c r="AB5" s="89"/>
      <c r="AC5" s="172"/>
      <c r="AD5" s="90"/>
      <c r="AE5" s="91"/>
      <c r="AJ5" s="938" t="s">
        <v>220</v>
      </c>
      <c r="AK5" s="947" t="s">
        <v>227</v>
      </c>
      <c r="AL5" s="914">
        <v>10</v>
      </c>
      <c r="AM5" s="1040">
        <f>$AO$1</f>
        <v>3.0796610169491525</v>
      </c>
      <c r="AN5" s="948">
        <v>1</v>
      </c>
      <c r="AO5" s="940">
        <f>AL5*AM5</f>
        <v>30.796610169491526</v>
      </c>
      <c r="AP5" s="943">
        <f>AN5*AO5</f>
        <v>30.796610169491526</v>
      </c>
      <c r="AQ5" s="952"/>
      <c r="AR5" s="953"/>
      <c r="AS5" s="954"/>
      <c r="AT5" s="955"/>
    </row>
    <row r="6" spans="1:46" x14ac:dyDescent="0.25">
      <c r="B6" s="192"/>
      <c r="D6" s="890"/>
      <c r="E6" s="80"/>
      <c r="F6" s="80"/>
      <c r="H6" s="890"/>
      <c r="I6" s="61"/>
      <c r="J6" s="192"/>
      <c r="K6" s="890"/>
      <c r="M6" s="80"/>
      <c r="N6" s="80"/>
      <c r="R6" s="890"/>
      <c r="T6" s="890"/>
      <c r="W6" s="890"/>
      <c r="AJ6" s="938" t="s">
        <v>212</v>
      </c>
      <c r="AK6" s="947" t="s">
        <v>160</v>
      </c>
      <c r="AL6" s="914">
        <v>100</v>
      </c>
      <c r="AM6" s="1040">
        <f t="shared" ref="AM6:AM20" si="0">$AO$1</f>
        <v>3.0796610169491525</v>
      </c>
      <c r="AN6" s="948">
        <v>1</v>
      </c>
      <c r="AO6" s="940">
        <f t="shared" ref="AO6:AO19" si="1">AL6*AM6</f>
        <v>307.96610169491527</v>
      </c>
      <c r="AP6" s="943">
        <f t="shared" ref="AP6:AP20" si="2">AN6*AO6</f>
        <v>307.96610169491527</v>
      </c>
      <c r="AQ6" s="955">
        <f>VLOOKUP(AJ6,Marination_Ordering!$A:$J,6,FALSE)</f>
        <v>1</v>
      </c>
      <c r="AR6" s="955">
        <f>VLOOKUP(AJ6,Marination_Ordering!$A:$J,10,FALSE)</f>
        <v>5</v>
      </c>
      <c r="AS6" s="954">
        <f>AP6/AQ6</f>
        <v>307.96610169491527</v>
      </c>
      <c r="AT6" s="955">
        <f>AR6*(AS6/1000)</f>
        <v>1.5398305084745765</v>
      </c>
    </row>
    <row r="7" spans="1:46" x14ac:dyDescent="0.25">
      <c r="B7" s="192"/>
      <c r="D7" s="890"/>
      <c r="E7" s="80"/>
      <c r="F7" s="1168"/>
      <c r="G7" s="192"/>
      <c r="H7" s="890"/>
      <c r="I7" s="61"/>
      <c r="J7" s="192"/>
      <c r="K7" s="890"/>
      <c r="M7" s="80"/>
      <c r="N7" s="80"/>
      <c r="R7" s="890"/>
      <c r="T7" s="890"/>
      <c r="W7" s="890"/>
      <c r="AJ7" s="938" t="s">
        <v>735</v>
      </c>
      <c r="AK7" s="947" t="s">
        <v>14</v>
      </c>
      <c r="AL7" s="914">
        <v>10</v>
      </c>
      <c r="AM7" s="1040">
        <f t="shared" si="0"/>
        <v>3.0796610169491525</v>
      </c>
      <c r="AN7" s="948">
        <v>1</v>
      </c>
      <c r="AO7" s="940">
        <f t="shared" si="1"/>
        <v>30.796610169491526</v>
      </c>
      <c r="AP7" s="943">
        <f t="shared" si="2"/>
        <v>30.796610169491526</v>
      </c>
      <c r="AQ7" s="955">
        <f>VLOOKUP(AJ7,Marination_Ordering!$A:$J,6,FALSE)</f>
        <v>0.74</v>
      </c>
      <c r="AR7" s="955">
        <f>VLOOKUP(AJ7,Marination_Ordering!$A:$J,10,FALSE)</f>
        <v>100</v>
      </c>
      <c r="AS7" s="954">
        <f t="shared" ref="AS7:AS8" si="3">AP7/AQ7</f>
        <v>41.617040769583141</v>
      </c>
      <c r="AT7" s="955">
        <f t="shared" ref="AT7:AT8" si="4">AR7*(AS7/1000)</f>
        <v>4.1617040769583138</v>
      </c>
    </row>
    <row r="8" spans="1:46" x14ac:dyDescent="0.25">
      <c r="B8" s="192"/>
      <c r="D8" s="890"/>
      <c r="E8" s="80"/>
      <c r="F8" s="1168"/>
      <c r="G8" s="192"/>
      <c r="H8" s="890"/>
      <c r="I8" s="61"/>
      <c r="J8" s="192"/>
      <c r="K8" s="890"/>
      <c r="M8" s="80"/>
      <c r="N8" s="80"/>
      <c r="R8" s="890"/>
      <c r="T8" s="890"/>
      <c r="W8" s="890"/>
      <c r="AJ8" s="938" t="s">
        <v>708</v>
      </c>
      <c r="AK8" s="947" t="s">
        <v>14</v>
      </c>
      <c r="AL8" s="914">
        <v>10</v>
      </c>
      <c r="AM8" s="1040">
        <f t="shared" si="0"/>
        <v>3.0796610169491525</v>
      </c>
      <c r="AN8" s="948">
        <v>1</v>
      </c>
      <c r="AO8" s="940">
        <f t="shared" si="1"/>
        <v>30.796610169491526</v>
      </c>
      <c r="AP8" s="943">
        <f t="shared" si="2"/>
        <v>30.796610169491526</v>
      </c>
      <c r="AQ8" s="955">
        <f>VLOOKUP(AJ8,Marination_Ordering!$A:$J,6,FALSE)</f>
        <v>0.5</v>
      </c>
      <c r="AR8" s="955">
        <f>VLOOKUP(AJ8,Marination_Ordering!$A:$J,10,FALSE)</f>
        <v>90</v>
      </c>
      <c r="AS8" s="954">
        <f t="shared" si="3"/>
        <v>61.593220338983052</v>
      </c>
      <c r="AT8" s="955">
        <f t="shared" si="4"/>
        <v>5.5433898305084748</v>
      </c>
    </row>
    <row r="9" spans="1:46" x14ac:dyDescent="0.25">
      <c r="B9" s="192"/>
      <c r="D9" s="890"/>
      <c r="E9" s="80"/>
      <c r="F9" s="1168"/>
      <c r="G9" s="26"/>
      <c r="H9" s="890"/>
      <c r="I9" s="61"/>
      <c r="J9" s="26"/>
      <c r="K9" s="890"/>
      <c r="R9" s="890"/>
      <c r="T9" s="890"/>
      <c r="W9" s="890"/>
      <c r="AJ9" s="938" t="s">
        <v>950</v>
      </c>
      <c r="AK9" s="947" t="s">
        <v>14</v>
      </c>
      <c r="AL9" s="914">
        <v>5</v>
      </c>
      <c r="AM9" s="1040">
        <f t="shared" si="0"/>
        <v>3.0796610169491525</v>
      </c>
      <c r="AN9" s="948">
        <v>1</v>
      </c>
      <c r="AO9" s="940">
        <f t="shared" si="1"/>
        <v>15.398305084745763</v>
      </c>
      <c r="AP9" s="943">
        <f t="shared" si="2"/>
        <v>15.398305084745763</v>
      </c>
      <c r="AQ9" s="955">
        <f>VLOOKUP(AJ9,Marination_Ordering!$A:$J,6,FALSE)</f>
        <v>0.7</v>
      </c>
      <c r="AR9" s="955">
        <f>VLOOKUP(AJ9,Marination_Ordering!$A:$J,10,FALSE)</f>
        <v>90</v>
      </c>
      <c r="AS9" s="954">
        <f t="shared" ref="AS9:AS20" si="5">AP9/AQ9</f>
        <v>21.997578692493949</v>
      </c>
      <c r="AT9" s="955">
        <f t="shared" ref="AT9:AT20" si="6">AR9*(AS9/1000)</f>
        <v>1.9797820823244554</v>
      </c>
    </row>
    <row r="10" spans="1:46" x14ac:dyDescent="0.25">
      <c r="B10" s="1055"/>
      <c r="D10" s="890"/>
      <c r="E10" s="890"/>
      <c r="F10" s="890"/>
      <c r="H10" s="890"/>
      <c r="I10" s="61"/>
      <c r="J10" s="26"/>
      <c r="K10" s="890"/>
      <c r="R10" s="890"/>
      <c r="T10" s="890"/>
      <c r="W10" s="890"/>
      <c r="AJ10" s="938" t="s">
        <v>110</v>
      </c>
      <c r="AK10" s="947" t="s">
        <v>14</v>
      </c>
      <c r="AL10" s="914">
        <v>10</v>
      </c>
      <c r="AM10" s="1040">
        <f t="shared" si="0"/>
        <v>3.0796610169491525</v>
      </c>
      <c r="AN10" s="948">
        <v>1</v>
      </c>
      <c r="AO10" s="940">
        <f t="shared" si="1"/>
        <v>30.796610169491526</v>
      </c>
      <c r="AP10" s="943">
        <f t="shared" si="2"/>
        <v>30.796610169491526</v>
      </c>
      <c r="AQ10" s="955">
        <f>VLOOKUP(AJ10,Marination_Ordering!$A:$J,6,FALSE)</f>
        <v>1</v>
      </c>
      <c r="AR10" s="955">
        <f>VLOOKUP(AJ10,Marination_Ordering!$A:$J,10,FALSE)</f>
        <v>64.243759177679877</v>
      </c>
      <c r="AS10" s="954">
        <f t="shared" si="5"/>
        <v>30.796610169491526</v>
      </c>
      <c r="AT10" s="955">
        <f t="shared" si="6"/>
        <v>1.9784900072177007</v>
      </c>
    </row>
    <row r="11" spans="1:46" x14ac:dyDescent="0.25">
      <c r="B11" s="1055"/>
      <c r="D11" s="890"/>
      <c r="E11" s="890"/>
      <c r="F11" s="890"/>
      <c r="H11" s="890"/>
      <c r="I11" s="61"/>
      <c r="J11" s="26"/>
      <c r="K11" s="890"/>
      <c r="R11" s="890"/>
      <c r="T11" s="890"/>
      <c r="W11" s="890"/>
      <c r="AJ11" s="938" t="s">
        <v>107</v>
      </c>
      <c r="AK11" s="947" t="s">
        <v>14</v>
      </c>
      <c r="AL11" s="914">
        <v>20</v>
      </c>
      <c r="AM11" s="1040">
        <f t="shared" si="0"/>
        <v>3.0796610169491525</v>
      </c>
      <c r="AN11" s="948">
        <v>1</v>
      </c>
      <c r="AO11" s="940">
        <f t="shared" si="1"/>
        <v>61.593220338983052</v>
      </c>
      <c r="AP11" s="943">
        <f t="shared" si="2"/>
        <v>61.593220338983052</v>
      </c>
      <c r="AQ11" s="955">
        <f>VLOOKUP(AJ11,Marination_Ordering!$A:$J,6,FALSE)</f>
        <v>1</v>
      </c>
      <c r="AR11" s="955">
        <f>VLOOKUP(AJ11,Marination_Ordering!$A:$J,10,FALSE)</f>
        <v>8</v>
      </c>
      <c r="AS11" s="954">
        <f t="shared" si="5"/>
        <v>61.593220338983052</v>
      </c>
      <c r="AT11" s="955">
        <f t="shared" si="6"/>
        <v>0.49274576271186443</v>
      </c>
    </row>
    <row r="12" spans="1:46" x14ac:dyDescent="0.25">
      <c r="B12" s="1055"/>
      <c r="D12" s="890"/>
      <c r="E12" s="890"/>
      <c r="F12" s="890"/>
      <c r="H12" s="890"/>
      <c r="I12" s="61"/>
      <c r="J12" s="26"/>
      <c r="K12" s="890"/>
      <c r="R12" s="890"/>
      <c r="T12" s="890"/>
      <c r="W12" s="890"/>
      <c r="AJ12" s="938" t="s">
        <v>105</v>
      </c>
      <c r="AK12" s="947" t="s">
        <v>14</v>
      </c>
      <c r="AL12" s="914">
        <v>15</v>
      </c>
      <c r="AM12" s="1040">
        <f t="shared" si="0"/>
        <v>3.0796610169491525</v>
      </c>
      <c r="AN12" s="948">
        <v>1</v>
      </c>
      <c r="AO12" s="940">
        <f t="shared" si="1"/>
        <v>46.194915254237287</v>
      </c>
      <c r="AP12" s="943">
        <f t="shared" si="2"/>
        <v>46.194915254237287</v>
      </c>
      <c r="AQ12" s="955">
        <f>VLOOKUP(AJ12,Marination_Ordering!$A:$J,6,FALSE)</f>
        <v>1</v>
      </c>
      <c r="AR12" s="955">
        <f>VLOOKUP(AJ12,Marination_Ordering!$A:$J,10,FALSE)</f>
        <v>15</v>
      </c>
      <c r="AS12" s="954">
        <f t="shared" si="5"/>
        <v>46.194915254237287</v>
      </c>
      <c r="AT12" s="955">
        <f t="shared" si="6"/>
        <v>0.69292372881355935</v>
      </c>
    </row>
    <row r="13" spans="1:46" x14ac:dyDescent="0.25">
      <c r="B13" s="1055"/>
      <c r="D13" s="890"/>
      <c r="E13" s="890"/>
      <c r="F13" s="890"/>
      <c r="H13" s="890"/>
      <c r="K13" s="890"/>
      <c r="R13" s="890"/>
      <c r="T13" s="890"/>
      <c r="W13" s="890"/>
      <c r="AJ13" s="938" t="s">
        <v>93</v>
      </c>
      <c r="AK13" s="947" t="s">
        <v>14</v>
      </c>
      <c r="AL13" s="914">
        <v>11</v>
      </c>
      <c r="AM13" s="1040">
        <f t="shared" si="0"/>
        <v>3.0796610169491525</v>
      </c>
      <c r="AN13" s="948">
        <v>1</v>
      </c>
      <c r="AO13" s="940">
        <f t="shared" si="1"/>
        <v>33.876271186440675</v>
      </c>
      <c r="AP13" s="943">
        <f t="shared" si="2"/>
        <v>33.876271186440675</v>
      </c>
      <c r="AQ13" s="955">
        <f>VLOOKUP(AJ13,Marination_Ordering!$A:$J,6,FALSE)</f>
        <v>1</v>
      </c>
      <c r="AR13" s="955">
        <f>VLOOKUP(AJ13,Marination_Ordering!$A:$J,10,FALSE)</f>
        <v>0.74</v>
      </c>
      <c r="AS13" s="954">
        <f t="shared" si="5"/>
        <v>33.876271186440675</v>
      </c>
      <c r="AT13" s="955">
        <f t="shared" si="6"/>
        <v>2.5068440677966101E-2</v>
      </c>
    </row>
    <row r="14" spans="1:46" ht="25.5" x14ac:dyDescent="0.25">
      <c r="B14" s="192"/>
      <c r="D14" s="890"/>
      <c r="E14" s="80"/>
      <c r="F14" s="1168"/>
      <c r="G14" s="192"/>
      <c r="H14" s="890"/>
      <c r="J14" s="80"/>
      <c r="K14" s="80"/>
      <c r="R14" s="890"/>
      <c r="T14" s="890"/>
      <c r="W14" s="890"/>
      <c r="AJ14" s="938" t="s">
        <v>99</v>
      </c>
      <c r="AK14" s="947" t="s">
        <v>14</v>
      </c>
      <c r="AL14" s="914">
        <v>5</v>
      </c>
      <c r="AM14" s="1040">
        <f t="shared" si="0"/>
        <v>3.0796610169491525</v>
      </c>
      <c r="AN14" s="948">
        <v>1</v>
      </c>
      <c r="AO14" s="940">
        <f t="shared" si="1"/>
        <v>15.398305084745763</v>
      </c>
      <c r="AP14" s="943">
        <f t="shared" si="2"/>
        <v>15.398305084745763</v>
      </c>
      <c r="AQ14" s="955">
        <f>VLOOKUP(AJ14,Marination_Ordering!$A:$J,6,FALSE)</f>
        <v>1</v>
      </c>
      <c r="AR14" s="955">
        <f>VLOOKUP(AJ14,Marination_Ordering!$A:$J,10,FALSE)</f>
        <v>31</v>
      </c>
      <c r="AS14" s="954">
        <f t="shared" si="5"/>
        <v>15.398305084745763</v>
      </c>
      <c r="AT14" s="955">
        <f t="shared" si="6"/>
        <v>0.47734745762711867</v>
      </c>
    </row>
    <row r="15" spans="1:46" x14ac:dyDescent="0.25">
      <c r="B15" s="192"/>
      <c r="D15" s="890"/>
      <c r="E15" s="80"/>
      <c r="F15" s="1168"/>
      <c r="G15" s="192"/>
      <c r="H15" s="890"/>
      <c r="J15" s="80"/>
      <c r="K15" s="80"/>
      <c r="R15" s="890"/>
      <c r="T15" s="890"/>
      <c r="W15" s="890"/>
      <c r="AJ15" s="938" t="s">
        <v>64</v>
      </c>
      <c r="AK15" s="947" t="s">
        <v>14</v>
      </c>
      <c r="AL15" s="914">
        <v>25</v>
      </c>
      <c r="AM15" s="1040">
        <f t="shared" si="0"/>
        <v>3.0796610169491525</v>
      </c>
      <c r="AN15" s="948">
        <v>1</v>
      </c>
      <c r="AO15" s="940">
        <f t="shared" si="1"/>
        <v>76.991525423728817</v>
      </c>
      <c r="AP15" s="943">
        <f t="shared" si="2"/>
        <v>76.991525423728817</v>
      </c>
      <c r="AQ15" s="955">
        <f>VLOOKUP(AJ15,Marination_Ordering!$A:$J,6,FALSE)</f>
        <v>0.65</v>
      </c>
      <c r="AR15" s="955">
        <f>VLOOKUP(AJ15,Marination_Ordering!$A:$J,10,FALSE)</f>
        <v>3.5</v>
      </c>
      <c r="AS15" s="954">
        <f t="shared" si="5"/>
        <v>118.44850065189048</v>
      </c>
      <c r="AT15" s="955">
        <f t="shared" si="6"/>
        <v>0.41456975228161669</v>
      </c>
    </row>
    <row r="16" spans="1:46" x14ac:dyDescent="0.25">
      <c r="B16" s="192"/>
      <c r="D16" s="890"/>
      <c r="E16" s="80"/>
      <c r="F16" s="1168"/>
      <c r="G16" s="192"/>
      <c r="H16" s="890"/>
      <c r="J16" s="80"/>
      <c r="K16" s="80"/>
      <c r="R16" s="890"/>
      <c r="T16" s="890"/>
      <c r="W16" s="890"/>
      <c r="AJ16" s="938" t="s">
        <v>79</v>
      </c>
      <c r="AK16" s="947" t="s">
        <v>14</v>
      </c>
      <c r="AL16" s="914">
        <v>15</v>
      </c>
      <c r="AM16" s="1040">
        <f t="shared" si="0"/>
        <v>3.0796610169491525</v>
      </c>
      <c r="AN16" s="948">
        <v>1</v>
      </c>
      <c r="AO16" s="940">
        <f t="shared" si="1"/>
        <v>46.194915254237287</v>
      </c>
      <c r="AP16" s="943">
        <f t="shared" si="2"/>
        <v>46.194915254237287</v>
      </c>
      <c r="AQ16" s="955">
        <f>VLOOKUP(AJ16,Marination_Ordering!$A:$J,6,FALSE)</f>
        <v>1</v>
      </c>
      <c r="AR16" s="955">
        <f>VLOOKUP(AJ16,Marination_Ordering!$A:$J,10,FALSE)</f>
        <v>7</v>
      </c>
      <c r="AS16" s="954">
        <f t="shared" si="5"/>
        <v>46.194915254237287</v>
      </c>
      <c r="AT16" s="955">
        <f t="shared" si="6"/>
        <v>0.323364406779661</v>
      </c>
    </row>
    <row r="17" spans="18:46" x14ac:dyDescent="0.25">
      <c r="R17" s="890"/>
      <c r="T17" s="890"/>
      <c r="W17" s="890"/>
      <c r="AJ17" s="938" t="s">
        <v>183</v>
      </c>
      <c r="AK17" s="947" t="s">
        <v>14</v>
      </c>
      <c r="AL17" s="914">
        <v>50</v>
      </c>
      <c r="AM17" s="1040">
        <f t="shared" si="0"/>
        <v>3.0796610169491525</v>
      </c>
      <c r="AN17" s="948">
        <v>1</v>
      </c>
      <c r="AO17" s="940">
        <f t="shared" si="1"/>
        <v>153.98305084745763</v>
      </c>
      <c r="AP17" s="943">
        <f t="shared" si="2"/>
        <v>153.98305084745763</v>
      </c>
      <c r="AQ17" s="955">
        <f>VLOOKUP(AJ17,Marination_Ordering!$A:$J,6,FALSE)</f>
        <v>1</v>
      </c>
      <c r="AR17" s="955">
        <f>VLOOKUP(AJ17,Marination_Ordering!$A:$J,10,FALSE)</f>
        <v>17</v>
      </c>
      <c r="AS17" s="954">
        <f t="shared" si="5"/>
        <v>153.98305084745763</v>
      </c>
      <c r="AT17" s="955">
        <f t="shared" si="6"/>
        <v>2.6177118644067798</v>
      </c>
    </row>
    <row r="18" spans="18:46" x14ac:dyDescent="0.25">
      <c r="R18" s="890"/>
      <c r="T18" s="890"/>
      <c r="W18" s="890"/>
      <c r="AJ18" s="938" t="s">
        <v>202</v>
      </c>
      <c r="AK18" s="947" t="s">
        <v>14</v>
      </c>
      <c r="AL18" s="914">
        <v>20</v>
      </c>
      <c r="AM18" s="1040">
        <f t="shared" si="0"/>
        <v>3.0796610169491525</v>
      </c>
      <c r="AN18" s="948">
        <v>1</v>
      </c>
      <c r="AO18" s="940">
        <f t="shared" si="1"/>
        <v>61.593220338983052</v>
      </c>
      <c r="AP18" s="943">
        <f t="shared" si="2"/>
        <v>61.593220338983052</v>
      </c>
      <c r="AQ18" s="955">
        <f>VLOOKUP(AJ18,Marination_Ordering!$A:$J,6,FALSE)</f>
        <v>1</v>
      </c>
      <c r="AR18" s="955">
        <f>VLOOKUP(AJ18,Marination_Ordering!$A:$J,10,FALSE)</f>
        <v>11.243386243386244</v>
      </c>
      <c r="AS18" s="954">
        <f t="shared" si="5"/>
        <v>61.593220338983052</v>
      </c>
      <c r="AT18" s="955">
        <f t="shared" si="6"/>
        <v>0.69251636624517987</v>
      </c>
    </row>
    <row r="19" spans="18:46" x14ac:dyDescent="0.25">
      <c r="R19" s="890"/>
      <c r="T19" s="890"/>
      <c r="W19" s="890"/>
      <c r="AJ19" s="938" t="s">
        <v>709</v>
      </c>
      <c r="AK19" s="947" t="s">
        <v>14</v>
      </c>
      <c r="AL19" s="914">
        <v>5</v>
      </c>
      <c r="AM19" s="1040">
        <f t="shared" si="0"/>
        <v>3.0796610169491525</v>
      </c>
      <c r="AN19" s="948">
        <v>1</v>
      </c>
      <c r="AO19" s="940">
        <f t="shared" si="1"/>
        <v>15.398305084745763</v>
      </c>
      <c r="AP19" s="943">
        <f t="shared" si="2"/>
        <v>15.398305084745763</v>
      </c>
      <c r="AQ19" s="955">
        <f>VLOOKUP(AJ19,Marination_Ordering!$A:$J,6,FALSE)</f>
        <v>0.52</v>
      </c>
      <c r="AR19" s="955">
        <f>VLOOKUP(AJ19,Marination_Ordering!$A:$J,10,FALSE)</f>
        <v>100</v>
      </c>
      <c r="AS19" s="954">
        <f t="shared" si="5"/>
        <v>29.612125162972621</v>
      </c>
      <c r="AT19" s="955">
        <f t="shared" si="6"/>
        <v>2.961212516297262</v>
      </c>
    </row>
    <row r="20" spans="18:46" x14ac:dyDescent="0.25">
      <c r="R20" s="890"/>
      <c r="T20" s="890"/>
      <c r="W20" s="890"/>
      <c r="AJ20" s="938" t="s">
        <v>214</v>
      </c>
      <c r="AK20" s="947" t="s">
        <v>14</v>
      </c>
      <c r="AL20" s="914">
        <v>1</v>
      </c>
      <c r="AM20" s="1040">
        <f t="shared" si="0"/>
        <v>3.0796610169491525</v>
      </c>
      <c r="AN20" s="948">
        <v>1</v>
      </c>
      <c r="AO20" s="940">
        <f>AL20*AM20</f>
        <v>3.0796610169491525</v>
      </c>
      <c r="AP20" s="943">
        <f t="shared" si="2"/>
        <v>3.0796610169491525</v>
      </c>
      <c r="AQ20" s="955">
        <f>VLOOKUP(AJ20,Marination_Ordering!$A:$J,6,FALSE)</f>
        <v>1</v>
      </c>
      <c r="AR20" s="955">
        <f>VLOOKUP(AJ20,Marination_Ordering!$A:$J,10,FALSE)</f>
        <v>35</v>
      </c>
      <c r="AS20" s="954">
        <f t="shared" si="5"/>
        <v>3.0796610169491525</v>
      </c>
      <c r="AT20" s="955">
        <f t="shared" si="6"/>
        <v>0.10778813559322034</v>
      </c>
    </row>
    <row r="21" spans="18:46" x14ac:dyDescent="0.25">
      <c r="R21" s="890"/>
      <c r="T21" s="890"/>
      <c r="W21" s="890"/>
      <c r="AJ21" s="890"/>
      <c r="AL21" s="890"/>
      <c r="AM21" s="890"/>
      <c r="AN21" s="890"/>
      <c r="AP21" s="890"/>
      <c r="AS21" s="890"/>
    </row>
    <row r="22" spans="18:46" x14ac:dyDescent="0.25">
      <c r="R22" s="890"/>
      <c r="S22" s="193"/>
      <c r="T22" s="890"/>
      <c r="W22" s="890"/>
      <c r="AJ22" s="890"/>
      <c r="AL22" s="890"/>
      <c r="AM22" s="890"/>
      <c r="AN22" s="890"/>
      <c r="AP22" s="890"/>
      <c r="AS22" s="890"/>
    </row>
    <row r="23" spans="18:46" x14ac:dyDescent="0.25">
      <c r="R23" s="890"/>
      <c r="T23" s="890"/>
      <c r="W23" s="890"/>
      <c r="AJ23" s="890"/>
      <c r="AL23" s="890"/>
      <c r="AM23" s="890"/>
      <c r="AN23" s="890"/>
      <c r="AP23" s="890"/>
      <c r="AS23" s="890"/>
    </row>
    <row r="24" spans="18:46" x14ac:dyDescent="0.25">
      <c r="R24" s="890"/>
      <c r="T24" s="890"/>
      <c r="W24" s="890"/>
      <c r="Z24" s="597"/>
      <c r="AJ24" s="890"/>
      <c r="AL24" s="890"/>
      <c r="AM24" s="890"/>
      <c r="AN24" s="890"/>
      <c r="AP24" s="890"/>
      <c r="AS24" s="890"/>
    </row>
    <row r="25" spans="18:46" x14ac:dyDescent="0.25">
      <c r="R25" s="1779" t="s">
        <v>310</v>
      </c>
      <c r="S25" s="1787"/>
      <c r="T25" s="1788"/>
      <c r="U25" s="1787"/>
      <c r="V25" s="956"/>
      <c r="W25" s="1043"/>
      <c r="Z25" s="982" t="s">
        <v>252</v>
      </c>
      <c r="AA25" s="989">
        <v>1</v>
      </c>
      <c r="AB25" s="982" t="s">
        <v>249</v>
      </c>
      <c r="AC25" s="985">
        <f>(AA25*AF30)+(AA30*(AB28/R1))</f>
        <v>3.5208290982072059E-2</v>
      </c>
      <c r="AJ25" s="890"/>
      <c r="AL25" s="890"/>
      <c r="AM25" s="890"/>
      <c r="AN25" s="890"/>
      <c r="AP25" s="890"/>
      <c r="AS25" s="890"/>
    </row>
    <row r="26" spans="18:46" x14ac:dyDescent="0.25">
      <c r="R26" s="1779" t="s">
        <v>291</v>
      </c>
      <c r="S26" s="1787"/>
      <c r="T26" s="1788"/>
      <c r="U26" s="1787"/>
      <c r="V26" s="956"/>
      <c r="W26" s="1043"/>
      <c r="AJ26" s="890"/>
      <c r="AL26" s="890"/>
      <c r="AM26" s="890"/>
      <c r="AN26" s="890"/>
      <c r="AP26" s="890"/>
      <c r="AS26" s="890"/>
    </row>
    <row r="27" spans="18:46" x14ac:dyDescent="0.25">
      <c r="R27" s="961" t="s">
        <v>254</v>
      </c>
      <c r="S27" s="962" t="s">
        <v>255</v>
      </c>
      <c r="T27" s="961" t="s">
        <v>311</v>
      </c>
      <c r="U27" s="962" t="s">
        <v>257</v>
      </c>
      <c r="V27" s="962" t="s">
        <v>746</v>
      </c>
      <c r="W27" s="961" t="s">
        <v>753</v>
      </c>
      <c r="Z27" s="982" t="s">
        <v>258</v>
      </c>
      <c r="AA27" s="984" t="s">
        <v>311</v>
      </c>
      <c r="AB27" s="982" t="s">
        <v>259</v>
      </c>
      <c r="AC27" s="982" t="s">
        <v>260</v>
      </c>
      <c r="AD27" s="982" t="s">
        <v>261</v>
      </c>
      <c r="AE27" s="984" t="s">
        <v>753</v>
      </c>
      <c r="AF27" s="982" t="s">
        <v>262</v>
      </c>
      <c r="AJ27" s="890"/>
      <c r="AL27" s="890"/>
      <c r="AM27" s="890"/>
      <c r="AN27" s="890"/>
      <c r="AP27" s="890"/>
      <c r="AS27" s="890"/>
    </row>
    <row r="28" spans="18:46" x14ac:dyDescent="0.25">
      <c r="R28" s="961" t="s">
        <v>263</v>
      </c>
      <c r="S28" s="965">
        <f>$Z$1</f>
        <v>17170</v>
      </c>
      <c r="T28" s="964"/>
      <c r="U28" s="1170">
        <f>S28</f>
        <v>17170</v>
      </c>
      <c r="V28" s="966">
        <f>SUM(AP5:AP13)</f>
        <v>588.21525423728815</v>
      </c>
      <c r="W28" s="967">
        <f>SUM(H37:H38)</f>
        <v>359.19</v>
      </c>
      <c r="Z28" s="1086"/>
      <c r="AA28" s="987"/>
      <c r="AB28" s="1087">
        <f>AA25*$S$40</f>
        <v>1</v>
      </c>
      <c r="AC28" s="985"/>
      <c r="AD28" s="989"/>
      <c r="AE28" s="987"/>
      <c r="AF28" s="1088">
        <f>SUM(AB28:AD28)</f>
        <v>1</v>
      </c>
      <c r="AJ28" s="890"/>
      <c r="AL28" s="890"/>
      <c r="AM28" s="890"/>
      <c r="AN28" s="890"/>
      <c r="AP28" s="890"/>
      <c r="AS28" s="890"/>
    </row>
    <row r="29" spans="18:46" x14ac:dyDescent="0.25">
      <c r="R29" s="961" t="s">
        <v>264</v>
      </c>
      <c r="S29" s="968"/>
      <c r="T29" s="967"/>
      <c r="U29" s="963">
        <f>T29</f>
        <v>0</v>
      </c>
      <c r="V29" s="966"/>
      <c r="W29" s="967"/>
      <c r="Z29" s="1086"/>
      <c r="AA29" s="991"/>
      <c r="AB29" s="1089">
        <f>AB28/$AF$28</f>
        <v>1</v>
      </c>
      <c r="AC29" s="1089">
        <v>0</v>
      </c>
      <c r="AD29" s="1089">
        <v>0</v>
      </c>
      <c r="AE29" s="991"/>
      <c r="AF29" s="1089">
        <f>AF28/$AF$28</f>
        <v>1</v>
      </c>
      <c r="AJ29" s="890"/>
      <c r="AL29" s="890"/>
      <c r="AM29" s="890"/>
      <c r="AN29" s="890"/>
      <c r="AP29" s="890"/>
      <c r="AS29" s="890"/>
    </row>
    <row r="30" spans="18:46" x14ac:dyDescent="0.25">
      <c r="R30" s="961" t="s">
        <v>265</v>
      </c>
      <c r="S30" s="968">
        <f>$AB$1</f>
        <v>1000</v>
      </c>
      <c r="T30" s="964"/>
      <c r="U30" s="968">
        <f>S30</f>
        <v>1000</v>
      </c>
      <c r="V30" s="972"/>
      <c r="W30" s="973"/>
      <c r="Z30" s="982" t="s">
        <v>266</v>
      </c>
      <c r="AA30" s="994">
        <f>V35/(S32/R1)</f>
        <v>7.7958076570068633E-4</v>
      </c>
      <c r="AB30" s="1090">
        <f>S35/(S32)</f>
        <v>3.3701221915648408E-2</v>
      </c>
      <c r="AC30" s="1091"/>
      <c r="AD30" s="1091"/>
      <c r="AE30" s="995">
        <f>W35/U32</f>
        <v>1.8574573472757294E-4</v>
      </c>
      <c r="AF30" s="1092">
        <f>SUMPRODUCT(AB30:AD30,AB29:AD29)+AE30</f>
        <v>3.3886967650375979E-2</v>
      </c>
      <c r="AJ30" s="890"/>
      <c r="AL30" s="890"/>
      <c r="AM30" s="890"/>
      <c r="AN30" s="890"/>
      <c r="AP30" s="890"/>
      <c r="AS30" s="890"/>
    </row>
    <row r="31" spans="18:46" x14ac:dyDescent="0.25">
      <c r="R31" s="961" t="s">
        <v>267</v>
      </c>
      <c r="S31" s="959"/>
      <c r="T31" s="967"/>
      <c r="U31" s="966">
        <f>T31</f>
        <v>0</v>
      </c>
      <c r="V31" s="966"/>
      <c r="W31" s="967"/>
      <c r="AJ31" s="890"/>
      <c r="AL31" s="890"/>
      <c r="AM31" s="890"/>
      <c r="AN31" s="890"/>
      <c r="AP31" s="890"/>
      <c r="AS31" s="890"/>
    </row>
    <row r="32" spans="18:46" x14ac:dyDescent="0.25">
      <c r="R32" s="961" t="s">
        <v>257</v>
      </c>
      <c r="S32" s="966">
        <f>S28+S30</f>
        <v>18170</v>
      </c>
      <c r="T32" s="967"/>
      <c r="U32" s="966">
        <f>S32</f>
        <v>18170</v>
      </c>
      <c r="V32" s="966"/>
      <c r="W32" s="967">
        <f>SUM(W28:W30)</f>
        <v>359.19</v>
      </c>
      <c r="AJ32" s="890"/>
      <c r="AL32" s="890"/>
      <c r="AM32" s="890"/>
      <c r="AN32" s="890"/>
      <c r="AP32" s="890"/>
      <c r="AS32" s="890"/>
    </row>
    <row r="33" spans="2:23" ht="30" x14ac:dyDescent="0.25">
      <c r="B33" s="1055"/>
      <c r="D33" s="890"/>
      <c r="E33" s="890"/>
      <c r="F33" s="890"/>
      <c r="H33" s="890"/>
      <c r="K33" s="890"/>
      <c r="R33" s="976" t="s">
        <v>268</v>
      </c>
      <c r="S33" s="959"/>
      <c r="T33" s="960"/>
      <c r="U33" s="959"/>
      <c r="V33" s="959"/>
      <c r="W33" s="960"/>
    </row>
    <row r="34" spans="2:23" x14ac:dyDescent="0.25">
      <c r="B34" s="1055"/>
      <c r="D34" s="890"/>
      <c r="E34" s="890"/>
      <c r="F34" s="890"/>
      <c r="H34" s="890"/>
      <c r="K34" s="890"/>
      <c r="R34" s="961" t="s">
        <v>269</v>
      </c>
      <c r="S34" s="959"/>
      <c r="T34" s="967"/>
      <c r="U34" s="959"/>
      <c r="V34" s="959"/>
      <c r="W34" s="960"/>
    </row>
    <row r="35" spans="2:23" ht="15.75" x14ac:dyDescent="0.25">
      <c r="B35" s="1781" t="s">
        <v>615</v>
      </c>
      <c r="C35" s="1782"/>
      <c r="D35" s="1781"/>
      <c r="E35" s="1781"/>
      <c r="F35" s="1781"/>
      <c r="G35" s="1000"/>
      <c r="H35" s="1009"/>
      <c r="I35" s="1010"/>
      <c r="J35" s="1010"/>
      <c r="K35" s="1009"/>
      <c r="L35" s="1010"/>
      <c r="R35" s="977" t="s">
        <v>249</v>
      </c>
      <c r="S35" s="978">
        <f>$L$5</f>
        <v>612.35120220733154</v>
      </c>
      <c r="T35" s="979"/>
      <c r="U35" s="978">
        <f>S35+T35+V35+W35</f>
        <v>639.73464714424927</v>
      </c>
      <c r="V35" s="978">
        <f>SUM(AT6:AT20)</f>
        <v>24.008444936917748</v>
      </c>
      <c r="W35" s="1120">
        <f>SUM(L37:L38)</f>
        <v>3.375</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row>
    <row r="37" spans="2:23" x14ac:dyDescent="0.25">
      <c r="B37" s="1005" t="s">
        <v>666</v>
      </c>
      <c r="C37" s="1006" t="s">
        <v>14</v>
      </c>
      <c r="D37" s="1007">
        <v>7.0000000000000007E-2</v>
      </c>
      <c r="E37" s="1005">
        <f>$AD$1</f>
        <v>117</v>
      </c>
      <c r="F37" s="1005">
        <f>D37*E37</f>
        <v>8.1900000000000013</v>
      </c>
      <c r="G37"/>
      <c r="H37" s="1005">
        <f>F37</f>
        <v>8.1900000000000013</v>
      </c>
      <c r="I37" s="1005">
        <f>VLOOKUP(B37,All_Ingredients!$A$1:$F$161,6,FALSE())</f>
        <v>0.65</v>
      </c>
      <c r="J37" s="1005">
        <f>VLOOKUP(B37,All_Ingredients!$A$1:$J$161,10,FALSE())</f>
        <v>45</v>
      </c>
      <c r="K37" s="1005">
        <f>(H37/I37)/1000</f>
        <v>1.2600000000000002E-2</v>
      </c>
      <c r="L37" s="1005">
        <f t="shared" ref="L37" si="7">K37*J37</f>
        <v>0.56700000000000006</v>
      </c>
      <c r="R37" s="890"/>
      <c r="T37" s="890"/>
      <c r="W37" s="890"/>
    </row>
    <row r="38" spans="2:23" x14ac:dyDescent="0.25">
      <c r="B38" s="1005" t="s">
        <v>676</v>
      </c>
      <c r="C38" s="1006" t="s">
        <v>14</v>
      </c>
      <c r="D38" s="1007">
        <v>3</v>
      </c>
      <c r="E38" s="1005">
        <f>$AD$1</f>
        <v>117</v>
      </c>
      <c r="F38" s="1005">
        <f>D38*E38</f>
        <v>351</v>
      </c>
      <c r="G38" s="26"/>
      <c r="H38" s="1005">
        <f>F38</f>
        <v>351</v>
      </c>
      <c r="I38" s="1005">
        <f>VLOOKUP(B38,All_Ingredients!$A$1:$F$161,6,FALSE())</f>
        <v>1</v>
      </c>
      <c r="J38" s="1005">
        <f>VLOOKUP(B38,All_Ingredients!$A$1:$J$161,10,FALSE())</f>
        <v>8</v>
      </c>
      <c r="K38" s="1005">
        <f>(H38/I38)/1000</f>
        <v>0.35099999999999998</v>
      </c>
      <c r="L38" s="1005">
        <f t="shared" ref="L38" si="8">K38*J38</f>
        <v>2.8079999999999998</v>
      </c>
      <c r="R38" s="890"/>
      <c r="T38" s="890"/>
      <c r="W38" s="890"/>
    </row>
    <row r="39" spans="2:23" x14ac:dyDescent="0.25">
      <c r="B39" s="1055"/>
      <c r="D39" s="890"/>
      <c r="E39" s="890"/>
      <c r="F39" s="890"/>
      <c r="H39" s="890"/>
      <c r="K39" s="890"/>
      <c r="R39" s="890"/>
      <c r="T39" s="890"/>
      <c r="W39" s="890"/>
    </row>
    <row r="40" spans="2:23" ht="26.25" x14ac:dyDescent="0.25">
      <c r="B40" s="1055"/>
      <c r="D40" s="890"/>
      <c r="E40" s="890"/>
      <c r="F40" s="890"/>
      <c r="H40" s="890"/>
      <c r="K40" s="890"/>
      <c r="R40" s="1011" t="s">
        <v>270</v>
      </c>
      <c r="S40" s="1093">
        <v>1</v>
      </c>
      <c r="T40" s="1011" t="s">
        <v>271</v>
      </c>
      <c r="U40" s="1093">
        <v>0</v>
      </c>
      <c r="V40" s="1014">
        <f>S40+U40</f>
        <v>1</v>
      </c>
      <c r="W40" s="890"/>
    </row>
    <row r="41" spans="2:23" x14ac:dyDescent="0.25">
      <c r="B41" s="1055"/>
      <c r="D41" s="890"/>
      <c r="E41" s="890"/>
      <c r="F41" s="890"/>
      <c r="H41" s="890"/>
      <c r="K41" s="890"/>
      <c r="R41" s="890"/>
      <c r="T41" s="890"/>
      <c r="U41" s="123"/>
      <c r="W41" s="890"/>
    </row>
    <row r="42" spans="2:23" x14ac:dyDescent="0.25">
      <c r="B42" s="1055"/>
      <c r="D42" s="890"/>
      <c r="E42" s="890"/>
      <c r="F42" s="890"/>
      <c r="H42" s="890"/>
      <c r="K42" s="890"/>
      <c r="R42" s="890"/>
      <c r="T42" s="890"/>
      <c r="W42" s="890"/>
    </row>
    <row r="43" spans="2:23" ht="26.25" x14ac:dyDescent="0.25">
      <c r="B43" s="1055"/>
      <c r="D43" s="890"/>
      <c r="E43" s="890"/>
      <c r="F43" s="890"/>
      <c r="H43" s="890"/>
      <c r="K43" s="890"/>
      <c r="Q43" s="1015" t="s">
        <v>272</v>
      </c>
      <c r="R43" s="1011" t="s">
        <v>273</v>
      </c>
      <c r="S43" s="1015" t="s">
        <v>274</v>
      </c>
      <c r="T43" s="1011" t="s">
        <v>275</v>
      </c>
      <c r="U43" s="1015" t="s">
        <v>276</v>
      </c>
      <c r="V43" s="1015" t="s">
        <v>277</v>
      </c>
      <c r="W43" s="1011" t="s">
        <v>278</v>
      </c>
    </row>
    <row r="44" spans="2:23" x14ac:dyDescent="0.25">
      <c r="B44" s="1055"/>
      <c r="D44" s="890"/>
      <c r="E44" s="890"/>
      <c r="F44" s="890"/>
      <c r="H44" s="890"/>
      <c r="K44" s="890"/>
      <c r="Q44" s="1023">
        <v>10000</v>
      </c>
      <c r="R44" s="1017">
        <f>D51</f>
        <v>10000</v>
      </c>
      <c r="S44" s="1024">
        <v>0</v>
      </c>
      <c r="T44" s="1025">
        <v>0</v>
      </c>
      <c r="U44" s="1096">
        <f>R44*S44</f>
        <v>0</v>
      </c>
      <c r="V44" s="1021">
        <f>R44*T44</f>
        <v>0</v>
      </c>
      <c r="W44" s="1026">
        <f>Q44-U44</f>
        <v>10000</v>
      </c>
    </row>
    <row r="50" spans="1:11" x14ac:dyDescent="0.25">
      <c r="B50" s="1097"/>
      <c r="C50" s="962" t="s">
        <v>233</v>
      </c>
      <c r="D50" s="961" t="s">
        <v>279</v>
      </c>
      <c r="E50" s="135"/>
      <c r="F50" s="80"/>
      <c r="G50" s="962" t="s">
        <v>280</v>
      </c>
      <c r="H50" s="961" t="s">
        <v>233</v>
      </c>
      <c r="I50" s="962" t="s">
        <v>281</v>
      </c>
      <c r="J50" s="962" t="s">
        <v>282</v>
      </c>
      <c r="K50" s="890"/>
    </row>
    <row r="51" spans="1:11" x14ac:dyDescent="0.25">
      <c r="B51" s="1027" t="s">
        <v>283</v>
      </c>
      <c r="C51" s="1028">
        <f>10/$K$1</f>
        <v>10.152284263959391</v>
      </c>
      <c r="D51" s="1029">
        <f>$C$1*10</f>
        <v>10000</v>
      </c>
      <c r="E51" s="135"/>
      <c r="F51" s="80"/>
      <c r="G51" s="1033" t="s">
        <v>283</v>
      </c>
      <c r="H51" s="1122">
        <v>10</v>
      </c>
      <c r="I51" s="1028">
        <f>J51/$R$1</f>
        <v>16949.152542372882</v>
      </c>
      <c r="J51" s="1028">
        <f>$W$44</f>
        <v>10000</v>
      </c>
      <c r="K51" s="890"/>
    </row>
    <row r="52" spans="1:11" x14ac:dyDescent="0.25">
      <c r="B52" s="958" t="s">
        <v>262</v>
      </c>
      <c r="C52" s="1099">
        <f>$I$1</f>
        <v>18.446700507614214</v>
      </c>
      <c r="D52" s="1100">
        <f>$E$1</f>
        <v>18170</v>
      </c>
      <c r="E52" s="80"/>
      <c r="F52" s="80"/>
      <c r="G52" s="962" t="s">
        <v>262</v>
      </c>
      <c r="H52" s="1052">
        <f>I52/$D$5</f>
        <v>18.170000000000002</v>
      </c>
      <c r="I52" s="1021">
        <f>J52/$R$1</f>
        <v>30796.610169491527</v>
      </c>
      <c r="J52" s="1030">
        <f>$S$32</f>
        <v>18170</v>
      </c>
      <c r="K52" s="890"/>
    </row>
    <row r="53" spans="1:11" x14ac:dyDescent="0.25">
      <c r="B53" s="958" t="s">
        <v>284</v>
      </c>
      <c r="C53" s="1101">
        <f>MIN(C52, C51)</f>
        <v>10.152284263959391</v>
      </c>
      <c r="D53" s="1100">
        <f>(C53*$K$1)*$C$1</f>
        <v>10000</v>
      </c>
      <c r="E53" s="80"/>
      <c r="F53" s="80"/>
      <c r="G53" s="962" t="s">
        <v>284</v>
      </c>
      <c r="H53" s="1035">
        <f>MIN(H52,H51)</f>
        <v>10</v>
      </c>
      <c r="I53" s="1021">
        <f>J53/$R$1</f>
        <v>16949.152542372882</v>
      </c>
      <c r="J53" s="1021">
        <f>MIN(J52,J51)</f>
        <v>10000</v>
      </c>
      <c r="K53" s="890"/>
    </row>
    <row r="54" spans="1:11" x14ac:dyDescent="0.25">
      <c r="B54" s="958" t="s">
        <v>285</v>
      </c>
      <c r="C54" s="1101">
        <f>MIN(MAX(C52-C53,0),C51)</f>
        <v>8.2944162436548226</v>
      </c>
      <c r="D54" s="1100">
        <f>(C54*$K$1)*$C$1</f>
        <v>8170</v>
      </c>
      <c r="E54" s="80"/>
      <c r="F54" s="80"/>
      <c r="G54" s="962" t="s">
        <v>285</v>
      </c>
      <c r="H54" s="1035">
        <f>MIN(MAX(H52-H53),H51)</f>
        <v>8.1700000000000017</v>
      </c>
      <c r="I54" s="1021">
        <f>J54/$R$1</f>
        <v>13847.457627118645</v>
      </c>
      <c r="J54" s="1021">
        <f>MIN(MAX(J52-J53),J51)</f>
        <v>8170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1055"/>
      <c r="D56" s="890"/>
      <c r="E56" s="890"/>
      <c r="F56" s="890"/>
      <c r="H56" s="890"/>
      <c r="K56" s="890"/>
    </row>
    <row r="57" spans="1:11" x14ac:dyDescent="0.25">
      <c r="B57" s="1055"/>
      <c r="D57" s="890"/>
      <c r="E57" s="890"/>
      <c r="F57" s="890"/>
      <c r="H57" s="890"/>
      <c r="K57" s="890"/>
    </row>
    <row r="58" spans="1:11" x14ac:dyDescent="0.25">
      <c r="B58" s="1055"/>
      <c r="D58" s="890"/>
      <c r="E58" s="890"/>
      <c r="F58" s="890"/>
      <c r="H58" s="890"/>
      <c r="K58" s="890"/>
    </row>
    <row r="59" spans="1:11" x14ac:dyDescent="0.25">
      <c r="B59" s="1055"/>
      <c r="D59" s="890"/>
      <c r="E59" s="890"/>
      <c r="F59" s="890"/>
      <c r="H59" s="890"/>
      <c r="K59" s="890"/>
    </row>
    <row r="60" spans="1:11" x14ac:dyDescent="0.25">
      <c r="B60" s="1055"/>
      <c r="D60" s="890"/>
      <c r="E60" s="890"/>
      <c r="F60" s="890"/>
      <c r="H60" s="890"/>
      <c r="K60" s="890"/>
    </row>
    <row r="61" spans="1:11" x14ac:dyDescent="0.25">
      <c r="B61" s="1055"/>
      <c r="D61" s="890"/>
      <c r="E61" s="890"/>
      <c r="F61" s="890"/>
      <c r="H61" s="890"/>
      <c r="K61" s="890"/>
    </row>
    <row r="62" spans="1:11" x14ac:dyDescent="0.25">
      <c r="A62" s="867"/>
      <c r="B62" s="1804" t="s">
        <v>310</v>
      </c>
      <c r="C62" s="1804"/>
      <c r="D62" s="1804"/>
      <c r="E62" s="1804"/>
      <c r="F62" s="1804"/>
      <c r="G62" s="1804"/>
      <c r="H62" s="1804"/>
      <c r="K62" s="890"/>
    </row>
    <row r="63" spans="1:11" x14ac:dyDescent="0.25">
      <c r="A63" s="867"/>
      <c r="B63" s="1804"/>
      <c r="C63" s="1804"/>
      <c r="D63" s="1804"/>
      <c r="E63" s="1804"/>
      <c r="F63" s="1804"/>
      <c r="G63" s="1804"/>
      <c r="H63" s="1804"/>
      <c r="K63" s="890"/>
    </row>
    <row r="64" spans="1:11" ht="38.25" x14ac:dyDescent="0.2">
      <c r="A64" s="933" t="s">
        <v>864</v>
      </c>
      <c r="B64" s="923" t="s">
        <v>241</v>
      </c>
      <c r="C64" s="934" t="s">
        <v>242</v>
      </c>
      <c r="D64" s="923" t="s">
        <v>231</v>
      </c>
      <c r="E64" s="935" t="s">
        <v>234</v>
      </c>
      <c r="F64" s="935" t="s">
        <v>243</v>
      </c>
      <c r="G64" s="923" t="s">
        <v>244</v>
      </c>
      <c r="H64" s="936" t="s">
        <v>245</v>
      </c>
      <c r="K64" s="890"/>
    </row>
    <row r="65" spans="1:11" x14ac:dyDescent="0.25">
      <c r="A65" s="949" t="s">
        <v>872</v>
      </c>
      <c r="B65" s="1118" t="str">
        <f>B5</f>
        <v>Chicken - دجاج</v>
      </c>
      <c r="C65" s="947" t="str">
        <f>C5</f>
        <v>gm</v>
      </c>
      <c r="D65" s="940">
        <f>D5</f>
        <v>1694.9152542372881</v>
      </c>
      <c r="E65" s="918">
        <f>H52</f>
        <v>18.170000000000002</v>
      </c>
      <c r="F65" s="948">
        <f>F5</f>
        <v>1</v>
      </c>
      <c r="G65" s="940">
        <f>D65*E65</f>
        <v>30796.610169491527</v>
      </c>
      <c r="H65" s="943">
        <f>G65*F65</f>
        <v>30796.610169491527</v>
      </c>
      <c r="K65" s="890"/>
    </row>
    <row r="66" spans="1:11" ht="15.75" x14ac:dyDescent="0.25">
      <c r="B66" s="1041" t="s">
        <v>287</v>
      </c>
      <c r="C66" s="947"/>
      <c r="D66" s="914"/>
      <c r="E66" s="918"/>
      <c r="F66" s="948"/>
      <c r="G66" s="940"/>
      <c r="H66" s="943"/>
      <c r="K66" s="890"/>
    </row>
    <row r="67" spans="1:11" ht="20.25" x14ac:dyDescent="0.3">
      <c r="A67" s="886"/>
      <c r="B67" s="1047">
        <f>$J$52</f>
        <v>18170</v>
      </c>
      <c r="C67" s="1171"/>
      <c r="D67" s="1172"/>
      <c r="E67" s="1173"/>
      <c r="F67" s="1172"/>
      <c r="G67" s="1171"/>
      <c r="H67" s="1174"/>
      <c r="K67" s="890"/>
    </row>
    <row r="68" spans="1:11" ht="14.25" customHeight="1" x14ac:dyDescent="0.25">
      <c r="B68" s="450"/>
      <c r="C68" s="89"/>
      <c r="D68" s="172"/>
      <c r="E68" s="90"/>
      <c r="F68" s="91"/>
      <c r="G68" s="92"/>
      <c r="H68" s="93"/>
    </row>
    <row r="69" spans="1:11" ht="14.25" customHeight="1" x14ac:dyDescent="0.25">
      <c r="B69" s="450"/>
      <c r="C69" s="89"/>
      <c r="D69" s="172"/>
      <c r="E69" s="90"/>
      <c r="F69" s="91"/>
      <c r="G69" s="92"/>
      <c r="H69" s="93"/>
    </row>
    <row r="70" spans="1:11" ht="14.25" customHeight="1" x14ac:dyDescent="0.25">
      <c r="B70" s="450"/>
      <c r="C70" s="89"/>
      <c r="D70" s="172"/>
      <c r="E70" s="90"/>
      <c r="F70" s="91"/>
      <c r="G70" s="92"/>
      <c r="H70" s="93"/>
    </row>
    <row r="71" spans="1:11" ht="14.25" customHeight="1" x14ac:dyDescent="0.25">
      <c r="B71" s="450"/>
      <c r="C71" s="89"/>
      <c r="D71" s="172"/>
      <c r="E71" s="90"/>
      <c r="F71" s="91"/>
      <c r="G71" s="92"/>
      <c r="H71" s="93"/>
    </row>
    <row r="72" spans="1:11" ht="14.25" customHeight="1" x14ac:dyDescent="0.25">
      <c r="B72" s="450"/>
      <c r="C72" s="89"/>
      <c r="D72" s="172"/>
      <c r="E72" s="90"/>
      <c r="F72" s="91"/>
      <c r="G72" s="92"/>
      <c r="H72" s="93"/>
    </row>
    <row r="73" spans="1:11" ht="14.25" customHeight="1" x14ac:dyDescent="0.25">
      <c r="B73" s="450"/>
      <c r="C73" s="89"/>
      <c r="D73" s="172"/>
      <c r="E73" s="90"/>
      <c r="F73" s="91"/>
      <c r="G73" s="92"/>
      <c r="H73" s="93"/>
    </row>
    <row r="74" spans="1:11" ht="14.25" customHeight="1" x14ac:dyDescent="0.25">
      <c r="B74" s="450"/>
      <c r="C74" s="89"/>
      <c r="D74" s="172"/>
      <c r="E74" s="90"/>
      <c r="F74" s="91"/>
      <c r="G74" s="92"/>
      <c r="H74" s="93"/>
    </row>
    <row r="75" spans="1:11" ht="14.25" customHeight="1" x14ac:dyDescent="0.25">
      <c r="B75" s="450"/>
      <c r="C75" s="89"/>
      <c r="D75" s="172"/>
      <c r="E75" s="90"/>
      <c r="F75" s="91"/>
      <c r="G75" s="92"/>
      <c r="H75" s="93"/>
    </row>
    <row r="76" spans="1:11" ht="20.25" customHeight="1" x14ac:dyDescent="0.3">
      <c r="B76" s="450"/>
      <c r="C76" s="89"/>
      <c r="D76" s="172"/>
      <c r="E76" s="90"/>
      <c r="F76" s="91"/>
      <c r="G76" s="92"/>
      <c r="H76" s="93"/>
      <c r="I76" s="142"/>
      <c r="J76" s="141"/>
    </row>
    <row r="77" spans="1:11" ht="14.25" customHeight="1" x14ac:dyDescent="0.25">
      <c r="B77" s="450"/>
      <c r="C77" s="89"/>
      <c r="D77" s="172"/>
      <c r="E77" s="90"/>
      <c r="F77" s="91"/>
      <c r="G77" s="92"/>
      <c r="H77" s="93"/>
    </row>
    <row r="78" spans="1:11" ht="14.25" customHeight="1" x14ac:dyDescent="0.25">
      <c r="B78" s="450"/>
      <c r="C78" s="89"/>
      <c r="D78" s="172"/>
      <c r="E78" s="90"/>
      <c r="F78" s="91"/>
      <c r="G78" s="92"/>
      <c r="H78" s="93"/>
    </row>
    <row r="79" spans="1:11" ht="14.25" customHeight="1" x14ac:dyDescent="0.25">
      <c r="B79" s="450"/>
      <c r="C79" s="89"/>
      <c r="D79" s="172"/>
      <c r="E79" s="90"/>
      <c r="F79" s="91"/>
      <c r="G79" s="92"/>
      <c r="H79" s="93"/>
    </row>
    <row r="80" spans="1:11" ht="14.25" customHeight="1" x14ac:dyDescent="0.25">
      <c r="B80" s="450"/>
      <c r="C80" s="89"/>
      <c r="D80" s="172"/>
      <c r="E80" s="90"/>
      <c r="F80" s="91"/>
      <c r="G80" s="92"/>
      <c r="H80" s="93"/>
    </row>
    <row r="81" spans="1:8" ht="20.25" customHeight="1" x14ac:dyDescent="0.3">
      <c r="H81" s="141"/>
    </row>
    <row r="82" spans="1:8" ht="14.25" customHeight="1" x14ac:dyDescent="0.25">
      <c r="B82" s="80"/>
      <c r="C82" s="143"/>
      <c r="D82" s="144"/>
      <c r="E82" s="80"/>
      <c r="F82" s="80"/>
    </row>
    <row r="83" spans="1:8" ht="14.25" customHeight="1" x14ac:dyDescent="0.25">
      <c r="B83" s="192"/>
      <c r="E83" s="80"/>
      <c r="F83" s="80"/>
    </row>
    <row r="84" spans="1:8" ht="14.25" customHeight="1" x14ac:dyDescent="0.25">
      <c r="B84" s="192"/>
      <c r="C84" s="80"/>
      <c r="D84" s="80"/>
      <c r="E84" s="80"/>
      <c r="F84" s="80"/>
      <c r="G84" s="80"/>
      <c r="H84" s="80"/>
    </row>
    <row r="85" spans="1:8" ht="14.25" customHeight="1" x14ac:dyDescent="0.25">
      <c r="B85" s="192"/>
      <c r="C85" s="80"/>
      <c r="D85" s="80"/>
      <c r="E85" s="80"/>
      <c r="F85" s="80"/>
      <c r="G85" s="80"/>
      <c r="H85" s="80"/>
    </row>
    <row r="86" spans="1:8" ht="18" customHeight="1" x14ac:dyDescent="0.25">
      <c r="B86" s="1803"/>
      <c r="C86" s="1799"/>
      <c r="D86" s="1799"/>
      <c r="E86" s="1799"/>
      <c r="F86" s="1799"/>
      <c r="G86" s="1799"/>
      <c r="H86" s="1799"/>
    </row>
    <row r="87" spans="1:8" ht="18" customHeight="1" x14ac:dyDescent="0.25">
      <c r="B87" s="1803"/>
      <c r="C87" s="1796"/>
      <c r="D87" s="1796"/>
      <c r="E87" s="1796"/>
      <c r="F87" s="1796"/>
      <c r="G87" s="1796"/>
      <c r="H87" s="1796"/>
    </row>
    <row r="88" spans="1:8" ht="25.5" customHeight="1" x14ac:dyDescent="0.2">
      <c r="A88" s="876"/>
      <c r="B88" s="235"/>
      <c r="C88" s="227"/>
      <c r="D88" s="235"/>
      <c r="E88" s="235"/>
      <c r="F88" s="235"/>
      <c r="G88" s="235"/>
      <c r="H88" s="226"/>
    </row>
    <row r="89" spans="1:8" ht="14.25" customHeight="1" x14ac:dyDescent="0.25">
      <c r="B89" s="450"/>
      <c r="C89" s="73"/>
      <c r="D89" s="92"/>
      <c r="E89" s="90"/>
      <c r="F89" s="91"/>
      <c r="G89" s="92"/>
      <c r="H89" s="93"/>
    </row>
    <row r="90" spans="1:8" ht="14.25" customHeight="1" x14ac:dyDescent="0.25">
      <c r="B90" s="450"/>
      <c r="C90" s="73"/>
      <c r="D90" s="73"/>
      <c r="E90" s="90"/>
      <c r="F90" s="91"/>
      <c r="G90" s="92"/>
      <c r="H90" s="93"/>
    </row>
    <row r="91" spans="1:8" ht="14.25" customHeight="1" x14ac:dyDescent="0.25">
      <c r="B91" s="450"/>
      <c r="C91" s="73"/>
      <c r="D91" s="73"/>
      <c r="E91" s="90"/>
      <c r="F91" s="91"/>
      <c r="G91" s="92"/>
      <c r="H91" s="93"/>
    </row>
    <row r="92" spans="1:8" ht="14.25" customHeight="1" x14ac:dyDescent="0.25">
      <c r="B92" s="450"/>
      <c r="C92" s="73"/>
      <c r="D92" s="73"/>
      <c r="E92" s="90"/>
      <c r="F92" s="91"/>
      <c r="G92" s="92"/>
      <c r="H92" s="93"/>
    </row>
    <row r="93" spans="1:8" ht="14.25" customHeight="1" x14ac:dyDescent="0.25">
      <c r="B93" s="450"/>
      <c r="C93" s="73"/>
      <c r="D93" s="73"/>
      <c r="E93" s="90"/>
      <c r="F93" s="91"/>
      <c r="G93" s="92"/>
      <c r="H93" s="93"/>
    </row>
    <row r="94" spans="1:8" ht="14.25" customHeight="1" x14ac:dyDescent="0.25">
      <c r="B94" s="450"/>
      <c r="C94" s="73"/>
      <c r="D94" s="73"/>
      <c r="E94" s="90"/>
      <c r="F94" s="91"/>
      <c r="G94" s="92"/>
      <c r="H94" s="93"/>
    </row>
    <row r="95" spans="1:8" ht="14.25" customHeight="1" x14ac:dyDescent="0.25">
      <c r="B95" s="450"/>
      <c r="C95" s="73"/>
      <c r="D95" s="73"/>
      <c r="E95" s="90"/>
      <c r="F95" s="91"/>
      <c r="G95" s="92"/>
      <c r="H95" s="93"/>
    </row>
    <row r="96" spans="1:8" ht="14.25" customHeight="1" x14ac:dyDescent="0.25">
      <c r="B96" s="450"/>
      <c r="C96" s="73"/>
      <c r="D96" s="73"/>
      <c r="E96" s="90"/>
      <c r="F96" s="91"/>
      <c r="G96" s="92"/>
      <c r="H96" s="93"/>
    </row>
    <row r="97" spans="2:8" ht="14.25" customHeight="1" x14ac:dyDescent="0.25">
      <c r="B97" s="450"/>
      <c r="C97" s="73"/>
      <c r="D97" s="73"/>
      <c r="E97" s="90"/>
      <c r="F97" s="91"/>
      <c r="G97" s="92"/>
      <c r="H97" s="93"/>
    </row>
    <row r="98" spans="2:8" ht="14.25" customHeight="1" x14ac:dyDescent="0.25">
      <c r="B98" s="450"/>
      <c r="C98" s="73"/>
      <c r="D98" s="73"/>
      <c r="E98" s="90"/>
      <c r="F98" s="91"/>
      <c r="G98" s="92"/>
      <c r="H98" s="93"/>
    </row>
    <row r="99" spans="2:8" ht="14.25" customHeight="1" x14ac:dyDescent="0.25">
      <c r="B99" s="450"/>
      <c r="C99" s="73"/>
      <c r="D99" s="73"/>
      <c r="E99" s="90"/>
      <c r="F99" s="91"/>
      <c r="G99" s="92"/>
      <c r="H99" s="93"/>
    </row>
    <row r="100" spans="2:8" ht="14.25" customHeight="1" x14ac:dyDescent="0.25">
      <c r="B100" s="450"/>
      <c r="C100" s="73"/>
      <c r="D100" s="73"/>
      <c r="E100" s="90"/>
      <c r="F100" s="91"/>
      <c r="G100" s="92"/>
      <c r="H100" s="93"/>
    </row>
    <row r="101" spans="2:8" ht="14.25" customHeight="1" x14ac:dyDescent="0.25">
      <c r="B101" s="450"/>
      <c r="C101" s="73"/>
      <c r="D101" s="73"/>
      <c r="E101" s="90"/>
      <c r="F101" s="91"/>
      <c r="G101" s="92"/>
      <c r="H101" s="93"/>
    </row>
    <row r="102" spans="2:8" ht="14.25" customHeight="1" x14ac:dyDescent="0.25">
      <c r="B102" s="450"/>
      <c r="C102" s="73"/>
      <c r="D102" s="73"/>
      <c r="E102" s="90"/>
      <c r="F102" s="91"/>
      <c r="G102" s="92"/>
      <c r="H102" s="93"/>
    </row>
    <row r="103" spans="2:8" ht="14.25" customHeight="1" x14ac:dyDescent="0.25">
      <c r="B103" s="450"/>
      <c r="C103" s="73"/>
      <c r="D103" s="73"/>
      <c r="E103" s="90"/>
      <c r="F103" s="91"/>
      <c r="G103" s="92"/>
      <c r="H103" s="93"/>
    </row>
    <row r="104" spans="2:8" ht="14.25" customHeight="1" x14ac:dyDescent="0.25">
      <c r="B104" s="450"/>
      <c r="C104" s="73"/>
      <c r="D104" s="73"/>
      <c r="E104" s="90"/>
      <c r="F104" s="91"/>
      <c r="G104" s="92"/>
      <c r="H104" s="93"/>
    </row>
  </sheetData>
  <mergeCells count="9">
    <mergeCell ref="AL2:AM2"/>
    <mergeCell ref="AE2:AG3"/>
    <mergeCell ref="R26:U26"/>
    <mergeCell ref="B87:H87"/>
    <mergeCell ref="R25:U25"/>
    <mergeCell ref="B86:H86"/>
    <mergeCell ref="B2:H3"/>
    <mergeCell ref="B35:F35"/>
    <mergeCell ref="B62:H63"/>
  </mergeCells>
  <printOptions horizontalCentered="1"/>
  <pageMargins left="0.4" right="0.4" top="1" bottom="0.5" header="0.3" footer="0.511811023622047"/>
  <pageSetup paperSize="9" scale="41"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pageSetUpPr fitToPage="1"/>
  </sheetPr>
  <dimension ref="A1:AF88"/>
  <sheetViews>
    <sheetView topLeftCell="A32" zoomScale="55" zoomScaleNormal="55" workbookViewId="0">
      <selection activeCell="F68" sqref="F68"/>
    </sheetView>
  </sheetViews>
  <sheetFormatPr defaultColWidth="12.5" defaultRowHeight="15" x14ac:dyDescent="0.25"/>
  <cols>
    <col min="1" max="1" width="18.625" style="61" customWidth="1"/>
    <col min="2"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3.75" style="14" customWidth="1"/>
    <col min="15"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625" style="14" customWidth="1"/>
    <col min="25" max="25" width="8.625" style="14" customWidth="1"/>
    <col min="26" max="29" width="12.625" style="14" customWidth="1"/>
    <col min="30" max="30" width="18.625" style="14" customWidth="1"/>
    <col min="31" max="31" width="12.625" style="14" customWidth="1"/>
    <col min="32" max="32" width="8.625" style="14" customWidth="1"/>
    <col min="33" max="16384" width="12.5" style="14"/>
  </cols>
  <sheetData>
    <row r="1" spans="1:32" ht="25.5" x14ac:dyDescent="0.25">
      <c r="B1" s="913" t="s">
        <v>330</v>
      </c>
      <c r="C1" s="914">
        <v>1</v>
      </c>
      <c r="D1" s="915" t="s">
        <v>232</v>
      </c>
      <c r="E1" s="941">
        <f>U32</f>
        <v>111</v>
      </c>
      <c r="F1" s="913" t="s">
        <v>233</v>
      </c>
      <c r="G1" s="941">
        <f>E1/C1</f>
        <v>111</v>
      </c>
      <c r="H1" s="913" t="s">
        <v>234</v>
      </c>
      <c r="I1" s="1185"/>
      <c r="J1" s="209" t="s">
        <v>235</v>
      </c>
      <c r="K1" s="210"/>
      <c r="L1" s="80"/>
      <c r="M1" s="80"/>
      <c r="N1" s="80"/>
      <c r="O1" s="923" t="s">
        <v>236</v>
      </c>
      <c r="P1" s="914" t="s">
        <v>331</v>
      </c>
      <c r="Q1" s="924" t="s">
        <v>238</v>
      </c>
      <c r="R1" s="914">
        <v>0.52</v>
      </c>
      <c r="S1" s="924" t="s">
        <v>332</v>
      </c>
      <c r="T1" s="1186">
        <v>100</v>
      </c>
      <c r="U1" s="80"/>
      <c r="V1" s="80"/>
      <c r="W1" s="890"/>
      <c r="Y1" s="923" t="s">
        <v>444</v>
      </c>
      <c r="Z1" s="925">
        <v>106</v>
      </c>
      <c r="AA1" s="923" t="s">
        <v>544</v>
      </c>
      <c r="AB1" s="925">
        <v>5</v>
      </c>
      <c r="AC1" s="923" t="s">
        <v>537</v>
      </c>
      <c r="AD1" s="925">
        <v>106</v>
      </c>
      <c r="AE1" s="923" t="s">
        <v>529</v>
      </c>
      <c r="AF1" s="925">
        <f>Z1+AB1</f>
        <v>111</v>
      </c>
    </row>
    <row r="2" spans="1:32" x14ac:dyDescent="0.25">
      <c r="A2" s="863"/>
      <c r="B2" s="1784" t="s">
        <v>333</v>
      </c>
      <c r="C2" s="1784"/>
      <c r="D2" s="1784"/>
      <c r="E2" s="1784"/>
      <c r="F2" s="1784"/>
      <c r="G2" s="1784"/>
      <c r="H2" s="1784"/>
      <c r="I2" s="327"/>
      <c r="J2" s="327"/>
      <c r="K2" s="1183"/>
      <c r="L2" s="187"/>
      <c r="M2" s="87"/>
      <c r="O2" s="80"/>
      <c r="P2" s="80"/>
      <c r="Q2" s="80"/>
      <c r="R2" s="80"/>
      <c r="S2" s="80"/>
      <c r="T2" s="80"/>
      <c r="U2" s="80"/>
      <c r="W2" s="890"/>
    </row>
    <row r="3" spans="1:32" x14ac:dyDescent="0.25">
      <c r="A3" s="863"/>
      <c r="B3" s="1791"/>
      <c r="C3" s="1791"/>
      <c r="D3" s="1791"/>
      <c r="E3" s="1791"/>
      <c r="F3" s="1791"/>
      <c r="G3" s="1791"/>
      <c r="H3" s="1791"/>
      <c r="I3" s="1187"/>
      <c r="J3" s="1187"/>
      <c r="K3" s="1188"/>
      <c r="L3" s="187"/>
      <c r="M3" s="87"/>
      <c r="O3" s="80"/>
      <c r="P3" s="80"/>
      <c r="Q3" s="80"/>
      <c r="R3" s="80"/>
      <c r="S3" s="80"/>
      <c r="T3" s="80"/>
      <c r="U3" s="80"/>
      <c r="W3" s="890"/>
    </row>
    <row r="4" spans="1:32" ht="25.5" x14ac:dyDescent="0.2">
      <c r="A4" s="933" t="s">
        <v>864</v>
      </c>
      <c r="B4" s="923" t="s">
        <v>241</v>
      </c>
      <c r="C4" s="1104" t="s">
        <v>242</v>
      </c>
      <c r="D4" s="923" t="s">
        <v>473</v>
      </c>
      <c r="E4" s="935" t="s">
        <v>234</v>
      </c>
      <c r="F4" s="935" t="s">
        <v>243</v>
      </c>
      <c r="G4" s="923" t="s">
        <v>244</v>
      </c>
      <c r="H4" s="936" t="s">
        <v>334</v>
      </c>
      <c r="I4" s="923" t="s">
        <v>246</v>
      </c>
      <c r="J4" s="923" t="s">
        <v>247</v>
      </c>
      <c r="K4" s="923" t="s">
        <v>248</v>
      </c>
      <c r="L4" s="923" t="s">
        <v>249</v>
      </c>
      <c r="M4" s="87"/>
      <c r="O4" s="80"/>
      <c r="P4" s="80"/>
      <c r="Q4" s="80"/>
      <c r="R4" s="80"/>
      <c r="S4" s="80"/>
      <c r="T4" s="890"/>
      <c r="W4" s="890"/>
    </row>
    <row r="5" spans="1:32" x14ac:dyDescent="0.25">
      <c r="A5" s="949" t="s">
        <v>872</v>
      </c>
      <c r="B5" s="914" t="s">
        <v>220</v>
      </c>
      <c r="C5" s="951" t="s">
        <v>14</v>
      </c>
      <c r="D5" s="1116">
        <f>T1/R1</f>
        <v>192.30769230769229</v>
      </c>
      <c r="E5" s="940">
        <f>G1</f>
        <v>111</v>
      </c>
      <c r="F5" s="948">
        <v>1</v>
      </c>
      <c r="G5" s="944">
        <f>D5*E5</f>
        <v>21346.153846153844</v>
      </c>
      <c r="H5" s="943">
        <f>G5*F5</f>
        <v>21346.153846153844</v>
      </c>
      <c r="I5" s="914">
        <f>VLOOKUP(B5,All_Ingredients!$A$1:$F$161,6,FALSE())</f>
        <v>0.86</v>
      </c>
      <c r="J5" s="940">
        <f>VLOOKUP(B5,All_Ingredients!$A$1:$J$161,10,FALSE())</f>
        <v>17.100000000000001</v>
      </c>
      <c r="K5" s="945">
        <f>(H5/I5)/1000</f>
        <v>24.821109123434702</v>
      </c>
      <c r="L5" s="945">
        <f>K5*J5</f>
        <v>424.44096601073346</v>
      </c>
      <c r="M5" s="87"/>
      <c r="R5" s="890"/>
      <c r="T5" s="890"/>
      <c r="W5" s="890"/>
    </row>
    <row r="6" spans="1:32" ht="28.5" x14ac:dyDescent="0.25">
      <c r="A6" s="949"/>
      <c r="B6" s="1130" t="s">
        <v>951</v>
      </c>
      <c r="C6" s="1189" t="s">
        <v>14</v>
      </c>
      <c r="D6" s="940">
        <v>10</v>
      </c>
      <c r="E6" s="940">
        <f>$G$1</f>
        <v>111</v>
      </c>
      <c r="F6" s="948">
        <v>1</v>
      </c>
      <c r="G6" s="940">
        <f>D6*E6</f>
        <v>1110</v>
      </c>
      <c r="H6" s="943">
        <f>G6*F6</f>
        <v>1110</v>
      </c>
      <c r="I6" s="914">
        <f>VLOOKUP(B6,All_Ingredients!$A$1:$F$161,6,FALSE())</f>
        <v>0.5</v>
      </c>
      <c r="J6" s="940">
        <f>VLOOKUP(B6,All_Ingredients!$A$1:$J$161,10,FALSE())</f>
        <v>8.5</v>
      </c>
      <c r="K6" s="945">
        <f>(H6/I6)/1000</f>
        <v>2.2200000000000002</v>
      </c>
      <c r="L6" s="945">
        <f>K6*J6</f>
        <v>18.87</v>
      </c>
      <c r="M6" s="87"/>
      <c r="P6" s="87"/>
      <c r="R6" s="890"/>
      <c r="T6" s="890"/>
      <c r="W6" s="890"/>
    </row>
    <row r="7" spans="1:32" ht="28.5" x14ac:dyDescent="0.25">
      <c r="A7" s="949"/>
      <c r="B7" s="1130" t="s">
        <v>800</v>
      </c>
      <c r="C7" s="951" t="s">
        <v>230</v>
      </c>
      <c r="D7" s="940">
        <v>1</v>
      </c>
      <c r="E7" s="940">
        <f>$Z$1+$AB$1</f>
        <v>111</v>
      </c>
      <c r="F7" s="948">
        <v>1</v>
      </c>
      <c r="G7" s="944">
        <f>D7*($Z$1+$AB$1)</f>
        <v>111</v>
      </c>
      <c r="H7" s="943">
        <f>G7*F7</f>
        <v>111</v>
      </c>
      <c r="I7" s="914">
        <f>VLOOKUP(B7,All_Ingredients!$A$1:$F$161,6,FALSE())</f>
        <v>1</v>
      </c>
      <c r="J7" s="940">
        <f>VLOOKUP(B7,All_Ingredients!$A$1:$J$161,10,FALSE())</f>
        <v>0.5</v>
      </c>
      <c r="K7" s="954">
        <f>H7*I7</f>
        <v>111</v>
      </c>
      <c r="L7" s="945">
        <f>K7*J7</f>
        <v>55.5</v>
      </c>
      <c r="M7" s="87"/>
      <c r="O7" s="549"/>
      <c r="P7" s="87"/>
      <c r="R7" s="890"/>
      <c r="T7" s="890"/>
      <c r="W7" s="890"/>
    </row>
    <row r="8" spans="1:32" x14ac:dyDescent="0.25">
      <c r="B8" s="1056"/>
      <c r="C8" s="1177"/>
      <c r="D8" s="1056"/>
      <c r="E8" s="92"/>
      <c r="F8" s="900"/>
      <c r="G8" s="92"/>
      <c r="H8" s="901"/>
      <c r="I8" s="73"/>
      <c r="J8" s="92"/>
      <c r="K8" s="87"/>
      <c r="L8" s="87"/>
      <c r="P8" s="87"/>
      <c r="R8" s="890"/>
      <c r="T8" s="890"/>
      <c r="W8" s="890"/>
    </row>
    <row r="9" spans="1:32" x14ac:dyDescent="0.25">
      <c r="B9" s="926" t="s">
        <v>250</v>
      </c>
      <c r="C9" s="926">
        <v>10000</v>
      </c>
      <c r="D9" s="927" t="s">
        <v>474</v>
      </c>
      <c r="E9" s="928">
        <f>$S$32*100</f>
        <v>11100</v>
      </c>
      <c r="F9" s="926" t="s">
        <v>239</v>
      </c>
      <c r="G9" s="1190">
        <f>(($S$32*$T$1)/$R$1)/$C$9</f>
        <v>2.1346153846153846</v>
      </c>
      <c r="H9" s="76"/>
      <c r="I9" s="73"/>
      <c r="J9" s="92"/>
      <c r="K9" s="87"/>
      <c r="L9" s="87"/>
      <c r="P9" s="87"/>
      <c r="R9" s="890"/>
      <c r="T9" s="890"/>
      <c r="W9" s="890"/>
    </row>
    <row r="10" spans="1:32" ht="15.75" x14ac:dyDescent="0.25">
      <c r="B10" s="1191"/>
      <c r="C10" s="1783" t="s">
        <v>333</v>
      </c>
      <c r="D10" s="1783"/>
      <c r="E10" s="1783"/>
      <c r="F10" s="1783"/>
      <c r="G10" s="930"/>
      <c r="H10" s="81"/>
      <c r="I10" s="73"/>
      <c r="J10" s="92"/>
      <c r="K10" s="87"/>
      <c r="L10" s="87"/>
      <c r="R10" s="890"/>
      <c r="T10" s="890"/>
      <c r="W10" s="890"/>
    </row>
    <row r="11" spans="1:32" ht="15.75" x14ac:dyDescent="0.25">
      <c r="B11" s="81"/>
      <c r="C11" s="81"/>
      <c r="D11" s="82"/>
      <c r="E11" s="82"/>
      <c r="F11" s="82"/>
      <c r="G11" s="81"/>
      <c r="H11" s="81"/>
      <c r="I11" s="73"/>
      <c r="J11" s="92"/>
      <c r="K11" s="87"/>
      <c r="L11" s="87"/>
      <c r="R11" s="890"/>
      <c r="T11" s="890"/>
      <c r="W11" s="890"/>
    </row>
    <row r="12" spans="1:32" ht="38.25" x14ac:dyDescent="0.25">
      <c r="B12" s="926" t="s">
        <v>241</v>
      </c>
      <c r="C12" s="926" t="s">
        <v>242</v>
      </c>
      <c r="D12" s="926" t="s">
        <v>250</v>
      </c>
      <c r="E12" s="926" t="s">
        <v>234</v>
      </c>
      <c r="F12" s="926" t="s">
        <v>243</v>
      </c>
      <c r="G12" s="926" t="s">
        <v>244</v>
      </c>
      <c r="H12" s="926" t="s">
        <v>245</v>
      </c>
      <c r="I12" s="923" t="s">
        <v>246</v>
      </c>
      <c r="J12" s="923" t="s">
        <v>247</v>
      </c>
      <c r="K12" s="923" t="s">
        <v>248</v>
      </c>
      <c r="L12" s="923" t="s">
        <v>249</v>
      </c>
      <c r="M12" s="87"/>
      <c r="R12" s="890"/>
      <c r="T12" s="890"/>
      <c r="W12" s="890"/>
    </row>
    <row r="13" spans="1:32" x14ac:dyDescent="0.25">
      <c r="B13" s="1193"/>
      <c r="C13" s="1194"/>
      <c r="D13" s="1195"/>
      <c r="E13" s="1196"/>
      <c r="F13" s="1197"/>
      <c r="G13" s="1198"/>
      <c r="H13" s="1199"/>
      <c r="I13" s="1195"/>
      <c r="J13" s="1198"/>
      <c r="K13" s="1200"/>
      <c r="L13" s="1200"/>
      <c r="M13" s="87"/>
      <c r="R13" s="890"/>
      <c r="T13" s="890"/>
      <c r="W13" s="890"/>
    </row>
    <row r="14" spans="1:32" x14ac:dyDescent="0.25">
      <c r="B14" s="938" t="s">
        <v>54</v>
      </c>
      <c r="C14" s="1201" t="s">
        <v>14</v>
      </c>
      <c r="D14" s="1075">
        <v>100</v>
      </c>
      <c r="E14" s="1040">
        <f>$G$9</f>
        <v>2.1346153846153846</v>
      </c>
      <c r="F14" s="948">
        <v>1</v>
      </c>
      <c r="G14" s="940">
        <f t="shared" ref="G14:G28" si="0">D14*E14</f>
        <v>213.46153846153845</v>
      </c>
      <c r="H14" s="943">
        <f>F14*G14</f>
        <v>213.46153846153845</v>
      </c>
      <c r="I14" s="914">
        <f>VLOOKUP(B14,All_Ingredients!$A$1:$F$161,6,FALSE())</f>
        <v>0.87</v>
      </c>
      <c r="J14" s="940">
        <f>VLOOKUP(B14,All_Ingredients!$A$1:$J$161,10,FALSE())</f>
        <v>7</v>
      </c>
      <c r="K14" s="945">
        <f t="shared" ref="K14:K28" si="1">(H14/I14)/1000</f>
        <v>0.24535809018567639</v>
      </c>
      <c r="L14" s="945">
        <f t="shared" ref="L14:L28" si="2">K14*J14</f>
        <v>1.7175066312997347</v>
      </c>
      <c r="M14" s="87"/>
      <c r="R14" s="890"/>
      <c r="T14" s="890"/>
      <c r="W14" s="890"/>
    </row>
    <row r="15" spans="1:32" x14ac:dyDescent="0.25">
      <c r="B15" s="938" t="s">
        <v>706</v>
      </c>
      <c r="C15" s="1201" t="s">
        <v>14</v>
      </c>
      <c r="D15" s="1075">
        <v>100</v>
      </c>
      <c r="E15" s="1040">
        <f t="shared" ref="E15:E28" si="3">$G$9</f>
        <v>2.1346153846153846</v>
      </c>
      <c r="F15" s="948">
        <v>1</v>
      </c>
      <c r="G15" s="940">
        <f t="shared" si="0"/>
        <v>213.46153846153845</v>
      </c>
      <c r="H15" s="943">
        <f t="shared" ref="H15:H27" si="4">F15*G15</f>
        <v>213.46153846153845</v>
      </c>
      <c r="I15" s="914">
        <f>VLOOKUP(B15,All_Ingredients!$A$1:$F$161,6,FALSE())</f>
        <v>1</v>
      </c>
      <c r="J15" s="940">
        <f>VLOOKUP(B15,All_Ingredients!$A$1:$J$161,10,FALSE())</f>
        <v>10.5</v>
      </c>
      <c r="K15" s="945">
        <f t="shared" si="1"/>
        <v>0.21346153846153845</v>
      </c>
      <c r="L15" s="945">
        <f t="shared" si="2"/>
        <v>2.2413461538461537</v>
      </c>
      <c r="M15" s="87"/>
      <c r="R15" s="890"/>
      <c r="T15" s="890"/>
      <c r="W15" s="890"/>
    </row>
    <row r="16" spans="1:32" x14ac:dyDescent="0.25">
      <c r="B16" s="938" t="s">
        <v>105</v>
      </c>
      <c r="C16" s="1201" t="s">
        <v>14</v>
      </c>
      <c r="D16" s="1075">
        <v>10</v>
      </c>
      <c r="E16" s="1040">
        <f t="shared" si="3"/>
        <v>2.1346153846153846</v>
      </c>
      <c r="F16" s="948">
        <v>1</v>
      </c>
      <c r="G16" s="940">
        <f t="shared" si="0"/>
        <v>21.346153846153847</v>
      </c>
      <c r="H16" s="943">
        <f t="shared" si="4"/>
        <v>21.346153846153847</v>
      </c>
      <c r="I16" s="914">
        <f>VLOOKUP(B16,All_Ingredients!$A$1:$F$161,6,FALSE())</f>
        <v>1</v>
      </c>
      <c r="J16" s="940">
        <f>VLOOKUP(B16,All_Ingredients!$A$1:$J$161,10,FALSE())</f>
        <v>15</v>
      </c>
      <c r="K16" s="945">
        <f t="shared" si="1"/>
        <v>2.1346153846153848E-2</v>
      </c>
      <c r="L16" s="945">
        <f t="shared" si="2"/>
        <v>0.32019230769230772</v>
      </c>
      <c r="M16" s="87"/>
      <c r="R16" s="890"/>
      <c r="T16" s="890"/>
      <c r="W16" s="890"/>
    </row>
    <row r="17" spans="2:32" x14ac:dyDescent="0.25">
      <c r="B17" s="938" t="s">
        <v>107</v>
      </c>
      <c r="C17" s="1201" t="s">
        <v>14</v>
      </c>
      <c r="D17" s="1075">
        <v>10</v>
      </c>
      <c r="E17" s="1040">
        <f t="shared" si="3"/>
        <v>2.1346153846153846</v>
      </c>
      <c r="F17" s="948">
        <v>1</v>
      </c>
      <c r="G17" s="940">
        <f t="shared" si="0"/>
        <v>21.346153846153847</v>
      </c>
      <c r="H17" s="943">
        <f t="shared" si="4"/>
        <v>21.346153846153847</v>
      </c>
      <c r="I17" s="914">
        <f>VLOOKUP(B17,All_Ingredients!$A$1:$F$161,6,FALSE())</f>
        <v>1</v>
      </c>
      <c r="J17" s="940">
        <f>VLOOKUP(B17,All_Ingredients!$A$1:$J$161,10,FALSE())</f>
        <v>8</v>
      </c>
      <c r="K17" s="945">
        <f t="shared" si="1"/>
        <v>2.1346153846153848E-2</v>
      </c>
      <c r="L17" s="945">
        <f t="shared" si="2"/>
        <v>0.17076923076923078</v>
      </c>
      <c r="M17" s="87"/>
      <c r="R17" s="890"/>
      <c r="T17" s="890"/>
      <c r="W17" s="890"/>
    </row>
    <row r="18" spans="2:32" x14ac:dyDescent="0.25">
      <c r="B18" s="938" t="s">
        <v>93</v>
      </c>
      <c r="C18" s="1201" t="s">
        <v>14</v>
      </c>
      <c r="D18" s="1075">
        <v>15</v>
      </c>
      <c r="E18" s="1040">
        <f t="shared" si="3"/>
        <v>2.1346153846153846</v>
      </c>
      <c r="F18" s="948">
        <v>1</v>
      </c>
      <c r="G18" s="940">
        <f t="shared" si="0"/>
        <v>32.019230769230766</v>
      </c>
      <c r="H18" s="943">
        <f t="shared" si="4"/>
        <v>32.019230769230766</v>
      </c>
      <c r="I18" s="914">
        <f>VLOOKUP(B18,All_Ingredients!$A$1:$F$161,6,FALSE())</f>
        <v>1</v>
      </c>
      <c r="J18" s="940">
        <f>VLOOKUP(B18,All_Ingredients!$A$1:$J$161,10,FALSE())</f>
        <v>0.74</v>
      </c>
      <c r="K18" s="945">
        <f t="shared" si="1"/>
        <v>3.2019230769230765E-2</v>
      </c>
      <c r="L18" s="945">
        <f t="shared" si="2"/>
        <v>2.3694230769230766E-2</v>
      </c>
      <c r="M18" s="87"/>
      <c r="R18" s="890"/>
      <c r="T18" s="890"/>
      <c r="W18" s="890"/>
    </row>
    <row r="19" spans="2:32" x14ac:dyDescent="0.25">
      <c r="B19" s="938" t="s">
        <v>101</v>
      </c>
      <c r="C19" s="1201" t="s">
        <v>14</v>
      </c>
      <c r="D19" s="1075">
        <v>10</v>
      </c>
      <c r="E19" s="1040">
        <f t="shared" si="3"/>
        <v>2.1346153846153846</v>
      </c>
      <c r="F19" s="948">
        <v>1</v>
      </c>
      <c r="G19" s="940">
        <f t="shared" si="0"/>
        <v>21.346153846153847</v>
      </c>
      <c r="H19" s="943">
        <f t="shared" si="4"/>
        <v>21.346153846153847</v>
      </c>
      <c r="I19" s="914">
        <f>VLOOKUP(B19,All_Ingredients!$A$1:$F$161,6,FALSE())</f>
        <v>1</v>
      </c>
      <c r="J19" s="940">
        <f>VLOOKUP(B19,All_Ingredients!$A$1:$J$161,10,FALSE())</f>
        <v>47</v>
      </c>
      <c r="K19" s="945">
        <f t="shared" si="1"/>
        <v>2.1346153846153848E-2</v>
      </c>
      <c r="L19" s="945">
        <f t="shared" si="2"/>
        <v>1.0032692307692308</v>
      </c>
      <c r="M19" s="92"/>
      <c r="N19" s="87"/>
      <c r="O19" s="87"/>
      <c r="R19" s="890"/>
      <c r="T19" s="890"/>
      <c r="W19" s="890"/>
    </row>
    <row r="20" spans="2:32" x14ac:dyDescent="0.25">
      <c r="B20" s="938" t="s">
        <v>172</v>
      </c>
      <c r="C20" s="1201" t="s">
        <v>14</v>
      </c>
      <c r="D20" s="1075">
        <v>100</v>
      </c>
      <c r="E20" s="1040">
        <f t="shared" si="3"/>
        <v>2.1346153846153846</v>
      </c>
      <c r="F20" s="948">
        <v>1</v>
      </c>
      <c r="G20" s="940">
        <f t="shared" si="0"/>
        <v>213.46153846153845</v>
      </c>
      <c r="H20" s="943">
        <f t="shared" si="4"/>
        <v>213.46153846153845</v>
      </c>
      <c r="I20" s="914">
        <f>VLOOKUP(B20,All_Ingredients!$A$1:$F$161,6,FALSE())</f>
        <v>1</v>
      </c>
      <c r="J20" s="940">
        <f>VLOOKUP(B20,All_Ingredients!$A$1:$J$161,10,FALSE())</f>
        <v>17.934782608695652</v>
      </c>
      <c r="K20" s="945">
        <f t="shared" si="1"/>
        <v>0.21346153846153845</v>
      </c>
      <c r="L20" s="945">
        <f t="shared" si="2"/>
        <v>3.8283862876254178</v>
      </c>
      <c r="M20" s="92"/>
      <c r="N20" s="87"/>
      <c r="O20" s="87"/>
      <c r="R20" s="890"/>
      <c r="T20" s="890"/>
      <c r="W20" s="890"/>
    </row>
    <row r="21" spans="2:32" x14ac:dyDescent="0.25">
      <c r="B21" s="938" t="s">
        <v>212</v>
      </c>
      <c r="C21" s="1201" t="s">
        <v>160</v>
      </c>
      <c r="D21" s="1075">
        <v>200</v>
      </c>
      <c r="E21" s="1040">
        <f t="shared" si="3"/>
        <v>2.1346153846153846</v>
      </c>
      <c r="F21" s="948">
        <v>1</v>
      </c>
      <c r="G21" s="940">
        <f t="shared" si="0"/>
        <v>426.92307692307691</v>
      </c>
      <c r="H21" s="943">
        <f t="shared" si="4"/>
        <v>426.92307692307691</v>
      </c>
      <c r="I21" s="914">
        <f>VLOOKUP(B21,All_Ingredients!$A$1:$F$161,6,FALSE())</f>
        <v>1</v>
      </c>
      <c r="J21" s="940">
        <f>VLOOKUP(B21,All_Ingredients!$A$1:$J$161,10,FALSE())</f>
        <v>5</v>
      </c>
      <c r="K21" s="945">
        <f t="shared" si="1"/>
        <v>0.42692307692307691</v>
      </c>
      <c r="L21" s="945">
        <f t="shared" si="2"/>
        <v>2.1346153846153846</v>
      </c>
      <c r="M21" s="92"/>
      <c r="N21" s="87"/>
      <c r="O21" s="87"/>
      <c r="R21" s="890"/>
      <c r="T21" s="890"/>
      <c r="W21" s="890"/>
    </row>
    <row r="22" spans="2:32" x14ac:dyDescent="0.25">
      <c r="B22" s="938" t="s">
        <v>707</v>
      </c>
      <c r="C22" s="1201" t="s">
        <v>14</v>
      </c>
      <c r="D22" s="1075">
        <v>50</v>
      </c>
      <c r="E22" s="1040">
        <f t="shared" si="3"/>
        <v>2.1346153846153846</v>
      </c>
      <c r="F22" s="948">
        <v>1</v>
      </c>
      <c r="G22" s="940">
        <f t="shared" si="0"/>
        <v>106.73076923076923</v>
      </c>
      <c r="H22" s="943">
        <f t="shared" si="4"/>
        <v>106.73076923076923</v>
      </c>
      <c r="I22" s="914">
        <f>VLOOKUP(B22,All_Ingredients!$A$1:$F$161,6,FALSE())</f>
        <v>1</v>
      </c>
      <c r="J22" s="940">
        <f>VLOOKUP(B22,All_Ingredients!$A$1:$J$161,10,FALSE())</f>
        <v>40.74074074074074</v>
      </c>
      <c r="K22" s="945">
        <f t="shared" si="1"/>
        <v>0.10673076923076923</v>
      </c>
      <c r="L22" s="945">
        <f t="shared" si="2"/>
        <v>4.3482905982905979</v>
      </c>
      <c r="M22" s="92"/>
      <c r="N22" s="87"/>
      <c r="O22" s="87"/>
      <c r="R22" s="890"/>
      <c r="T22" s="890"/>
      <c r="W22" s="890"/>
    </row>
    <row r="23" spans="2:32" x14ac:dyDescent="0.25">
      <c r="B23" s="938" t="s">
        <v>166</v>
      </c>
      <c r="C23" s="1201" t="s">
        <v>160</v>
      </c>
      <c r="D23" s="1075">
        <v>1000</v>
      </c>
      <c r="E23" s="1040">
        <f t="shared" si="3"/>
        <v>2.1346153846153846</v>
      </c>
      <c r="F23" s="948">
        <v>1</v>
      </c>
      <c r="G23" s="940">
        <f t="shared" si="0"/>
        <v>2134.6153846153848</v>
      </c>
      <c r="H23" s="943">
        <f t="shared" si="4"/>
        <v>2134.6153846153848</v>
      </c>
      <c r="I23" s="914">
        <f>VLOOKUP(B23,All_Ingredients!$A$1:$F$161,6,FALSE())</f>
        <v>1</v>
      </c>
      <c r="J23" s="940">
        <f>VLOOKUP(B23,All_Ingredients!$A$1:$J$161,10,FALSE())</f>
        <v>12.666666666666666</v>
      </c>
      <c r="K23" s="945">
        <f t="shared" si="1"/>
        <v>2.1346153846153846</v>
      </c>
      <c r="L23" s="945">
        <f t="shared" si="2"/>
        <v>27.038461538461537</v>
      </c>
      <c r="R23" s="890"/>
      <c r="T23" s="890"/>
      <c r="W23" s="890"/>
    </row>
    <row r="24" spans="2:32" x14ac:dyDescent="0.25">
      <c r="B24" s="938" t="s">
        <v>128</v>
      </c>
      <c r="C24" s="1201" t="s">
        <v>14</v>
      </c>
      <c r="D24" s="1075">
        <v>10</v>
      </c>
      <c r="E24" s="1040">
        <f t="shared" si="3"/>
        <v>2.1346153846153846</v>
      </c>
      <c r="F24" s="948">
        <v>1</v>
      </c>
      <c r="G24" s="940">
        <f t="shared" si="0"/>
        <v>21.346153846153847</v>
      </c>
      <c r="H24" s="943">
        <f t="shared" si="4"/>
        <v>21.346153846153847</v>
      </c>
      <c r="I24" s="914">
        <f>VLOOKUP(B24,All_Ingredients!$A$1:$F$161,6,FALSE())</f>
        <v>1</v>
      </c>
      <c r="J24" s="940">
        <f>VLOOKUP(B24,All_Ingredients!$A$1:$J$161,10,FALSE())</f>
        <v>107</v>
      </c>
      <c r="K24" s="945">
        <f t="shared" si="1"/>
        <v>2.1346153846153848E-2</v>
      </c>
      <c r="L24" s="945">
        <f t="shared" si="2"/>
        <v>2.2840384615384619</v>
      </c>
      <c r="R24" s="890"/>
      <c r="T24" s="890"/>
      <c r="W24" s="890"/>
    </row>
    <row r="25" spans="2:32" x14ac:dyDescent="0.25">
      <c r="B25" s="938" t="s">
        <v>163</v>
      </c>
      <c r="C25" s="1201" t="s">
        <v>14</v>
      </c>
      <c r="D25" s="1075">
        <v>200</v>
      </c>
      <c r="E25" s="1040">
        <f t="shared" si="3"/>
        <v>2.1346153846153846</v>
      </c>
      <c r="F25" s="948">
        <v>1</v>
      </c>
      <c r="G25" s="940">
        <f t="shared" si="0"/>
        <v>426.92307692307691</v>
      </c>
      <c r="H25" s="943">
        <f t="shared" si="4"/>
        <v>426.92307692307691</v>
      </c>
      <c r="I25" s="914">
        <f>VLOOKUP(B25,All_Ingredients!$A$1:$F$161,6,FALSE())</f>
        <v>1</v>
      </c>
      <c r="J25" s="940">
        <f>VLOOKUP(B25,All_Ingredients!$A$1:$J$161,10,FALSE())</f>
        <v>6.6959999999999997</v>
      </c>
      <c r="K25" s="945">
        <f t="shared" si="1"/>
        <v>0.42692307692307691</v>
      </c>
      <c r="L25" s="945">
        <f t="shared" si="2"/>
        <v>2.8586769230769229</v>
      </c>
      <c r="R25" s="1792" t="s">
        <v>333</v>
      </c>
      <c r="S25" s="1787"/>
      <c r="T25" s="1788"/>
      <c r="U25" s="1787"/>
      <c r="V25" s="1202"/>
      <c r="W25" s="1203"/>
      <c r="X25" s="1202"/>
      <c r="Z25" s="982" t="s">
        <v>758</v>
      </c>
      <c r="AA25" s="989">
        <v>1</v>
      </c>
      <c r="AB25" s="982" t="s">
        <v>249</v>
      </c>
      <c r="AC25" s="985">
        <f>AF30*AA25</f>
        <v>5.1551943475896058</v>
      </c>
    </row>
    <row r="26" spans="2:32" x14ac:dyDescent="0.25">
      <c r="B26" s="938" t="s">
        <v>60</v>
      </c>
      <c r="C26" s="1201" t="s">
        <v>14</v>
      </c>
      <c r="D26" s="1075">
        <v>10</v>
      </c>
      <c r="E26" s="1040">
        <f t="shared" si="3"/>
        <v>2.1346153846153846</v>
      </c>
      <c r="F26" s="948">
        <v>1</v>
      </c>
      <c r="G26" s="940">
        <f t="shared" si="0"/>
        <v>21.346153846153847</v>
      </c>
      <c r="H26" s="943">
        <f t="shared" si="4"/>
        <v>21.346153846153847</v>
      </c>
      <c r="I26" s="914">
        <f>VLOOKUP(B26,All_Ingredients!$A$1:$F$161,6,FALSE())</f>
        <v>0.94</v>
      </c>
      <c r="J26" s="940">
        <f>VLOOKUP(B26,All_Ingredients!$A$1:$J$161,10,FALSE())</f>
        <v>3.6363636363636367</v>
      </c>
      <c r="K26" s="945">
        <f t="shared" si="1"/>
        <v>2.2708674304418988E-2</v>
      </c>
      <c r="L26" s="945">
        <f t="shared" si="2"/>
        <v>8.2576997470614505E-2</v>
      </c>
      <c r="R26" s="1792" t="s">
        <v>291</v>
      </c>
      <c r="S26" s="1797"/>
      <c r="T26" s="1798"/>
      <c r="U26" s="1797"/>
      <c r="V26" s="1202"/>
      <c r="W26" s="1203"/>
      <c r="X26" s="1202"/>
    </row>
    <row r="27" spans="2:32" x14ac:dyDescent="0.25">
      <c r="B27" s="938" t="s">
        <v>34</v>
      </c>
      <c r="C27" s="1201" t="s">
        <v>14</v>
      </c>
      <c r="D27" s="1075">
        <v>35</v>
      </c>
      <c r="E27" s="1040">
        <f t="shared" si="3"/>
        <v>2.1346153846153846</v>
      </c>
      <c r="F27" s="948">
        <v>1</v>
      </c>
      <c r="G27" s="940">
        <f t="shared" si="0"/>
        <v>74.711538461538467</v>
      </c>
      <c r="H27" s="943">
        <f t="shared" si="4"/>
        <v>74.711538461538467</v>
      </c>
      <c r="I27" s="914">
        <f>VLOOKUP(B27,All_Ingredients!$A$1:$F$161,6,FALSE())</f>
        <v>0.86</v>
      </c>
      <c r="J27" s="940">
        <f>VLOOKUP(B27,All_Ingredients!$A$1:$J$161,10,FALSE())</f>
        <v>14</v>
      </c>
      <c r="K27" s="945">
        <f t="shared" si="1"/>
        <v>8.6873881932021474E-2</v>
      </c>
      <c r="L27" s="945">
        <f t="shared" si="2"/>
        <v>1.2162343470483006</v>
      </c>
      <c r="R27" s="961" t="s">
        <v>254</v>
      </c>
      <c r="S27" s="962" t="s">
        <v>354</v>
      </c>
      <c r="T27" s="961" t="s">
        <v>256</v>
      </c>
      <c r="U27" s="962" t="s">
        <v>257</v>
      </c>
      <c r="V27" s="962" t="s">
        <v>311</v>
      </c>
      <c r="W27" s="961" t="s">
        <v>759</v>
      </c>
      <c r="X27" s="962" t="s">
        <v>754</v>
      </c>
      <c r="Z27" s="982" t="s">
        <v>258</v>
      </c>
      <c r="AA27" s="984" t="s">
        <v>311</v>
      </c>
      <c r="AB27" s="982" t="s">
        <v>259</v>
      </c>
      <c r="AC27" s="982" t="s">
        <v>260</v>
      </c>
      <c r="AD27" s="982" t="s">
        <v>757</v>
      </c>
      <c r="AE27" s="982" t="s">
        <v>754</v>
      </c>
      <c r="AF27" s="982" t="s">
        <v>262</v>
      </c>
    </row>
    <row r="28" spans="2:32" x14ac:dyDescent="0.25">
      <c r="B28" s="938" t="s">
        <v>32</v>
      </c>
      <c r="C28" s="1201" t="s">
        <v>14</v>
      </c>
      <c r="D28" s="1075">
        <v>50</v>
      </c>
      <c r="E28" s="1040">
        <f t="shared" si="3"/>
        <v>2.1346153846153846</v>
      </c>
      <c r="F28" s="948">
        <v>1</v>
      </c>
      <c r="G28" s="940">
        <f t="shared" si="0"/>
        <v>106.73076923076923</v>
      </c>
      <c r="H28" s="943">
        <f>F28*G28</f>
        <v>106.73076923076923</v>
      </c>
      <c r="I28" s="914">
        <f>VLOOKUP(B28,All_Ingredients!$A$1:$F$161,6,FALSE())</f>
        <v>0.69</v>
      </c>
      <c r="J28" s="940">
        <f>VLOOKUP(B28,All_Ingredients!$A$1:$J$161,10,FALSE())</f>
        <v>4</v>
      </c>
      <c r="K28" s="945">
        <f t="shared" si="1"/>
        <v>0.15468227424749165</v>
      </c>
      <c r="L28" s="945">
        <f t="shared" si="2"/>
        <v>0.61872909698996659</v>
      </c>
      <c r="M28" s="217"/>
      <c r="R28" s="961" t="s">
        <v>263</v>
      </c>
      <c r="S28" s="965">
        <f>$Z$1</f>
        <v>106</v>
      </c>
      <c r="T28" s="964"/>
      <c r="U28" s="963"/>
      <c r="V28" s="966">
        <f>SUM(H14:H28)</f>
        <v>4055.7692307692309</v>
      </c>
      <c r="W28" s="967">
        <f>K6</f>
        <v>2.2200000000000002</v>
      </c>
      <c r="X28" s="966">
        <f>Z1+AB1</f>
        <v>111</v>
      </c>
      <c r="Z28" s="1086"/>
      <c r="AA28" s="987"/>
      <c r="AB28" s="985">
        <f>AA25*$S$40</f>
        <v>1</v>
      </c>
      <c r="AC28" s="985">
        <f>AA25-AB28</f>
        <v>0</v>
      </c>
      <c r="AD28" s="1205"/>
      <c r="AE28" s="1205"/>
      <c r="AF28" s="1088">
        <f>SUM(AB28:AC28)</f>
        <v>1</v>
      </c>
    </row>
    <row r="29" spans="2:32" x14ac:dyDescent="0.25">
      <c r="B29" s="890"/>
      <c r="C29" s="830"/>
      <c r="D29" s="890"/>
      <c r="E29" s="890"/>
      <c r="F29" s="890"/>
      <c r="H29" s="890"/>
      <c r="K29" s="890"/>
      <c r="R29" s="961" t="s">
        <v>264</v>
      </c>
      <c r="S29" s="968"/>
      <c r="T29" s="967"/>
      <c r="U29" s="963">
        <f>T29</f>
        <v>0</v>
      </c>
      <c r="V29" s="966"/>
      <c r="W29" s="967"/>
      <c r="X29" s="966"/>
      <c r="Z29" s="1086"/>
      <c r="AA29" s="991"/>
      <c r="AB29" s="1089">
        <f>AB28/$AF$28</f>
        <v>1</v>
      </c>
      <c r="AC29" s="1089">
        <f>AC28/$AF$28</f>
        <v>0</v>
      </c>
      <c r="AD29" s="1205"/>
      <c r="AE29" s="1205"/>
      <c r="AF29" s="1089">
        <f>AF28/$AF$28</f>
        <v>1</v>
      </c>
    </row>
    <row r="30" spans="2:32" x14ac:dyDescent="0.25">
      <c r="B30" s="890"/>
      <c r="C30" s="890"/>
      <c r="D30" s="890"/>
      <c r="E30" s="890"/>
      <c r="F30" s="890"/>
      <c r="H30" s="890"/>
      <c r="K30" s="890"/>
      <c r="R30" s="961" t="s">
        <v>265</v>
      </c>
      <c r="S30" s="1204">
        <f>$AB$1</f>
        <v>5</v>
      </c>
      <c r="T30" s="964"/>
      <c r="U30" s="963"/>
      <c r="V30" s="972"/>
      <c r="W30" s="973"/>
      <c r="X30" s="972"/>
      <c r="Z30" s="982" t="s">
        <v>266</v>
      </c>
      <c r="AA30" s="994">
        <f>V35/AF1</f>
        <v>0.44943051729966754</v>
      </c>
      <c r="AB30" s="1090">
        <f>S35/AD1</f>
        <v>4.0041600567050324</v>
      </c>
      <c r="AC30" s="1206">
        <f>T35/AD1</f>
        <v>0</v>
      </c>
      <c r="AD30" s="955">
        <f>W35/AD1</f>
        <v>0.17801886792452831</v>
      </c>
      <c r="AE30" s="955">
        <f>X35/AD1</f>
        <v>0.52358490566037741</v>
      </c>
      <c r="AF30" s="1121">
        <f>SUMPRODUCT(AB30:AC30,AB29:AC29)+AA30+AD30+AE30</f>
        <v>5.1551943475896058</v>
      </c>
    </row>
    <row r="31" spans="2:32" x14ac:dyDescent="0.25">
      <c r="B31" s="890"/>
      <c r="C31" s="890"/>
      <c r="D31" s="890"/>
      <c r="E31" s="890"/>
      <c r="F31" s="890"/>
      <c r="H31" s="890"/>
      <c r="K31" s="890"/>
      <c r="R31" s="961" t="s">
        <v>267</v>
      </c>
      <c r="S31" s="959" t="s">
        <v>309</v>
      </c>
      <c r="T31" s="967">
        <f>T28+T29</f>
        <v>0</v>
      </c>
      <c r="U31" s="966">
        <f>T31</f>
        <v>0</v>
      </c>
      <c r="V31" s="966"/>
      <c r="W31" s="967"/>
      <c r="X31" s="966"/>
    </row>
    <row r="32" spans="2:32" x14ac:dyDescent="0.25">
      <c r="B32" s="890"/>
      <c r="C32" s="890"/>
      <c r="D32" s="890"/>
      <c r="E32" s="890"/>
      <c r="F32" s="890"/>
      <c r="H32" s="890"/>
      <c r="K32" s="890"/>
      <c r="R32" s="961" t="s">
        <v>257</v>
      </c>
      <c r="S32" s="966">
        <f>S28+S30</f>
        <v>111</v>
      </c>
      <c r="T32" s="967">
        <f>SUM(T28:T30)</f>
        <v>0</v>
      </c>
      <c r="U32" s="966">
        <f>T32+S32</f>
        <v>111</v>
      </c>
      <c r="V32" s="966"/>
      <c r="W32" s="967">
        <f>SUM(W28:W30)</f>
        <v>2.2200000000000002</v>
      </c>
      <c r="X32" s="966"/>
    </row>
    <row r="33" spans="17:24" x14ac:dyDescent="0.25">
      <c r="R33" s="976" t="s">
        <v>254</v>
      </c>
      <c r="S33" s="959"/>
      <c r="T33" s="960">
        <f>F40+F59</f>
        <v>0</v>
      </c>
      <c r="U33" s="959"/>
      <c r="V33" s="959"/>
      <c r="W33" s="960"/>
      <c r="X33" s="959"/>
    </row>
    <row r="34" spans="17:24" x14ac:dyDescent="0.25">
      <c r="R34" s="961" t="s">
        <v>269</v>
      </c>
      <c r="S34" s="959"/>
      <c r="T34" s="967">
        <f>T33-(T28+T29)</f>
        <v>0</v>
      </c>
      <c r="U34" s="959"/>
      <c r="V34" s="959"/>
      <c r="W34" s="960"/>
      <c r="X34" s="959"/>
    </row>
    <row r="35" spans="17:24" x14ac:dyDescent="0.25">
      <c r="R35" s="977" t="s">
        <v>249</v>
      </c>
      <c r="S35" s="978">
        <f>$L$5</f>
        <v>424.44096601073346</v>
      </c>
      <c r="T35" s="979">
        <f>SUM(O6:O19)</f>
        <v>0</v>
      </c>
      <c r="U35" s="978">
        <f>S35+T35</f>
        <v>424.44096601073346</v>
      </c>
      <c r="V35" s="978">
        <f>SUM(L14:L28)</f>
        <v>49.886787420263097</v>
      </c>
      <c r="W35" s="1120">
        <f>L6</f>
        <v>18.87</v>
      </c>
      <c r="X35" s="1136">
        <f>L7</f>
        <v>55.5</v>
      </c>
    </row>
    <row r="36" spans="17:24" x14ac:dyDescent="0.25">
      <c r="R36" s="890"/>
      <c r="T36" s="890"/>
      <c r="W36" s="890"/>
    </row>
    <row r="37" spans="17:24" x14ac:dyDescent="0.25">
      <c r="R37" s="890"/>
      <c r="T37" s="890"/>
      <c r="W37" s="890"/>
    </row>
    <row r="38" spans="17:24" x14ac:dyDescent="0.25">
      <c r="R38" s="890"/>
      <c r="T38" s="890"/>
      <c r="W38" s="890"/>
    </row>
    <row r="39" spans="17:24" x14ac:dyDescent="0.25">
      <c r="R39" s="890"/>
      <c r="T39" s="890"/>
      <c r="W39" s="890"/>
    </row>
    <row r="40" spans="17:24" ht="26.25" x14ac:dyDescent="0.25">
      <c r="R40" s="1011" t="s">
        <v>270</v>
      </c>
      <c r="S40" s="1012">
        <v>1</v>
      </c>
      <c r="T40" s="1011" t="s">
        <v>271</v>
      </c>
      <c r="U40" s="1013">
        <v>0</v>
      </c>
      <c r="V40" s="1014">
        <f>S40+U40</f>
        <v>1</v>
      </c>
      <c r="W40" s="890"/>
    </row>
    <row r="41" spans="17:24" x14ac:dyDescent="0.25">
      <c r="R41" s="890"/>
      <c r="T41" s="890"/>
      <c r="U41" s="123"/>
      <c r="W41" s="890"/>
    </row>
    <row r="42" spans="17:24" x14ac:dyDescent="0.25">
      <c r="R42" s="890"/>
      <c r="T42" s="890"/>
      <c r="W42" s="890"/>
    </row>
    <row r="43" spans="17:24" ht="26.25" x14ac:dyDescent="0.25">
      <c r="Q43" s="1015" t="s">
        <v>272</v>
      </c>
      <c r="R43" s="1011" t="s">
        <v>273</v>
      </c>
      <c r="S43" s="1015" t="s">
        <v>274</v>
      </c>
      <c r="T43" s="1011" t="s">
        <v>275</v>
      </c>
      <c r="U43" s="1015" t="s">
        <v>276</v>
      </c>
      <c r="V43" s="1015" t="s">
        <v>277</v>
      </c>
      <c r="W43" s="1011" t="s">
        <v>278</v>
      </c>
    </row>
    <row r="44" spans="17:24" x14ac:dyDescent="0.25">
      <c r="Q44" s="1023">
        <v>18841</v>
      </c>
      <c r="R44" s="1017">
        <f>E53</f>
        <v>0</v>
      </c>
      <c r="S44" s="1024">
        <v>0</v>
      </c>
      <c r="T44" s="1025">
        <v>0</v>
      </c>
      <c r="U44" s="1096">
        <f>R44*S44</f>
        <v>0</v>
      </c>
      <c r="V44" s="1021">
        <f>R44*T44</f>
        <v>0</v>
      </c>
      <c r="W44" s="1026">
        <f>Q44-U44</f>
        <v>18841</v>
      </c>
    </row>
    <row r="50" spans="1:11" x14ac:dyDescent="0.25">
      <c r="B50" s="1175"/>
      <c r="C50" s="1175"/>
      <c r="D50" s="92"/>
      <c r="E50" s="92"/>
      <c r="F50" s="900"/>
      <c r="G50" s="962" t="s">
        <v>280</v>
      </c>
      <c r="H50" s="961" t="s">
        <v>233</v>
      </c>
      <c r="I50" s="962" t="s">
        <v>281</v>
      </c>
      <c r="J50" s="962" t="s">
        <v>282</v>
      </c>
      <c r="K50" s="890"/>
    </row>
    <row r="51" spans="1:11" x14ac:dyDescent="0.25">
      <c r="B51" s="1175"/>
      <c r="C51" s="1175"/>
      <c r="D51" s="92"/>
      <c r="E51" s="92"/>
      <c r="F51" s="900"/>
      <c r="G51" s="1033" t="s">
        <v>283</v>
      </c>
      <c r="H51" s="1122">
        <f>I51/$D$5</f>
        <v>188.41</v>
      </c>
      <c r="I51" s="1028">
        <f>J51/$R$1</f>
        <v>36232.692307692305</v>
      </c>
      <c r="J51" s="1028">
        <f>$W$44</f>
        <v>18841</v>
      </c>
      <c r="K51" s="890"/>
    </row>
    <row r="52" spans="1:11" x14ac:dyDescent="0.25">
      <c r="B52" s="898"/>
      <c r="C52" s="898"/>
      <c r="D52" s="898"/>
      <c r="E52" s="80"/>
      <c r="F52" s="80"/>
      <c r="G52" s="962" t="s">
        <v>262</v>
      </c>
      <c r="H52" s="1189">
        <f>I52/$D$5</f>
        <v>111</v>
      </c>
      <c r="I52" s="1021">
        <f>J52/$R$1</f>
        <v>21346.153846153844</v>
      </c>
      <c r="J52" s="1030">
        <f>$U$32*$T$1</f>
        <v>11100</v>
      </c>
      <c r="K52" s="890"/>
    </row>
    <row r="53" spans="1:11" x14ac:dyDescent="0.25">
      <c r="B53" s="898"/>
      <c r="C53" s="1178"/>
      <c r="D53" s="1180">
        <f>(C53*$K$1)*$C$1</f>
        <v>0</v>
      </c>
      <c r="E53" s="135"/>
      <c r="F53" s="80"/>
      <c r="G53" s="962" t="s">
        <v>284</v>
      </c>
      <c r="H53" s="1035">
        <f>MIN(H52,H51)</f>
        <v>111</v>
      </c>
      <c r="I53" s="1021">
        <f>J53/$R$1</f>
        <v>21346.153846153844</v>
      </c>
      <c r="J53" s="1021">
        <f>MIN(J52,J51)</f>
        <v>11100</v>
      </c>
      <c r="K53" s="890"/>
    </row>
    <row r="54" spans="1:11" x14ac:dyDescent="0.25">
      <c r="B54" s="1176"/>
      <c r="C54" s="1179"/>
      <c r="D54" s="1181">
        <f>(C54*$K$1)*$C$1</f>
        <v>0</v>
      </c>
      <c r="E54" s="80"/>
      <c r="F54" s="80"/>
      <c r="G54" s="962" t="s">
        <v>285</v>
      </c>
      <c r="H54" s="1035">
        <f>MIN(MAX(H52-H53),H51)</f>
        <v>0</v>
      </c>
      <c r="I54" s="1021">
        <f>J54/$R$1</f>
        <v>0</v>
      </c>
      <c r="J54" s="1021">
        <f>MIN(MAX(J52-J53),J51)</f>
        <v>0</v>
      </c>
      <c r="K54" s="890"/>
    </row>
    <row r="55" spans="1:11" x14ac:dyDescent="0.25">
      <c r="B55" s="1176"/>
      <c r="C55" s="1179"/>
      <c r="D55" s="1181">
        <f>(C55*$K$1)*$C$1</f>
        <v>0</v>
      </c>
      <c r="E55" s="80"/>
      <c r="F55" s="80"/>
      <c r="G55" s="962" t="s">
        <v>286</v>
      </c>
      <c r="H55" s="1035">
        <f>MIN(MAX(H52-H53-H54),H51)</f>
        <v>0</v>
      </c>
      <c r="I55" s="1021">
        <f>J55/$R$1</f>
        <v>0</v>
      </c>
      <c r="J55" s="1021">
        <f>MIN(MAX(J52-J53-J54),J51)</f>
        <v>0</v>
      </c>
      <c r="K55" s="890"/>
    </row>
    <row r="56" spans="1:11" x14ac:dyDescent="0.25">
      <c r="B56" s="1176"/>
      <c r="C56" s="1179"/>
      <c r="D56" s="1182"/>
      <c r="E56" s="80"/>
      <c r="F56" s="80"/>
      <c r="G56" s="92"/>
      <c r="H56" s="901"/>
      <c r="I56" s="73"/>
      <c r="J56" s="94"/>
      <c r="K56" s="890"/>
    </row>
    <row r="57" spans="1:11" x14ac:dyDescent="0.25">
      <c r="B57" s="1176"/>
      <c r="C57" s="1179"/>
      <c r="D57" s="1182"/>
      <c r="E57" s="80"/>
      <c r="F57" s="80"/>
      <c r="G57" s="92"/>
      <c r="H57" s="901"/>
      <c r="I57" s="73"/>
      <c r="J57" s="94"/>
      <c r="K57" s="890"/>
    </row>
    <row r="58" spans="1:11" ht="18" x14ac:dyDescent="0.25">
      <c r="B58" s="176"/>
      <c r="C58" s="890"/>
      <c r="D58" s="890"/>
      <c r="E58" s="890"/>
      <c r="F58" s="890"/>
      <c r="H58" s="890"/>
      <c r="K58" s="890"/>
    </row>
    <row r="59" spans="1:11" x14ac:dyDescent="0.25">
      <c r="B59" s="226"/>
      <c r="C59" s="226"/>
      <c r="D59" s="226"/>
      <c r="E59" s="226"/>
      <c r="F59" s="226"/>
      <c r="G59" s="226"/>
      <c r="H59" s="226"/>
      <c r="I59" s="226"/>
      <c r="J59" s="226"/>
      <c r="K59" s="890"/>
    </row>
    <row r="60" spans="1:11" x14ac:dyDescent="0.25">
      <c r="B60" s="1175"/>
      <c r="C60" s="1175"/>
      <c r="D60" s="1175"/>
      <c r="E60" s="92"/>
      <c r="F60" s="900"/>
      <c r="G60" s="92"/>
      <c r="H60" s="901"/>
      <c r="I60" s="73"/>
      <c r="J60" s="94"/>
      <c r="K60" s="890"/>
    </row>
    <row r="61" spans="1:11" x14ac:dyDescent="0.25">
      <c r="B61" s="1175"/>
      <c r="C61" s="1175"/>
      <c r="D61" s="1175"/>
      <c r="E61" s="92"/>
      <c r="F61" s="900"/>
      <c r="G61" s="92"/>
      <c r="H61" s="901"/>
      <c r="I61" s="73"/>
      <c r="J61" s="94"/>
      <c r="K61" s="890"/>
    </row>
    <row r="62" spans="1:11" x14ac:dyDescent="0.25">
      <c r="A62" s="863"/>
      <c r="B62" s="1805" t="s">
        <v>333</v>
      </c>
      <c r="C62" s="1805"/>
      <c r="D62" s="1805"/>
      <c r="E62" s="1805"/>
      <c r="F62" s="1805"/>
      <c r="G62" s="1805"/>
      <c r="H62" s="1805"/>
      <c r="I62" s="73"/>
      <c r="J62" s="94"/>
      <c r="K62" s="890"/>
    </row>
    <row r="63" spans="1:11" x14ac:dyDescent="0.25">
      <c r="A63" s="863"/>
      <c r="B63" s="1791"/>
      <c r="C63" s="1791"/>
      <c r="D63" s="1791"/>
      <c r="E63" s="1791"/>
      <c r="F63" s="1791"/>
      <c r="G63" s="1791"/>
      <c r="H63" s="1791"/>
      <c r="K63" s="890"/>
    </row>
    <row r="64" spans="1:11" ht="25.5" x14ac:dyDescent="0.2">
      <c r="A64" s="933" t="s">
        <v>864</v>
      </c>
      <c r="B64" s="923" t="s">
        <v>241</v>
      </c>
      <c r="C64" s="1104" t="s">
        <v>242</v>
      </c>
      <c r="D64" s="923" t="s">
        <v>473</v>
      </c>
      <c r="E64" s="935" t="s">
        <v>234</v>
      </c>
      <c r="F64" s="935" t="s">
        <v>243</v>
      </c>
      <c r="G64" s="923" t="s">
        <v>244</v>
      </c>
      <c r="H64" s="936" t="s">
        <v>334</v>
      </c>
      <c r="K64" s="890"/>
    </row>
    <row r="65" spans="1:12" x14ac:dyDescent="0.25">
      <c r="A65" s="949" t="s">
        <v>872</v>
      </c>
      <c r="B65" s="1116" t="str">
        <f t="shared" ref="B65:C65" si="5">B5</f>
        <v>Chicken - دجاج</v>
      </c>
      <c r="C65" s="1116" t="str">
        <f t="shared" si="5"/>
        <v>gm</v>
      </c>
      <c r="D65" s="1116">
        <f>D5</f>
        <v>192.30769230769229</v>
      </c>
      <c r="E65" s="1116">
        <f t="shared" ref="E65:F65" si="6">E5</f>
        <v>111</v>
      </c>
      <c r="F65" s="1116">
        <f t="shared" si="6"/>
        <v>1</v>
      </c>
      <c r="G65" s="944">
        <f>D65*E65</f>
        <v>21346.153846153844</v>
      </c>
      <c r="H65" s="943">
        <f>G65*F65</f>
        <v>21346.153846153844</v>
      </c>
      <c r="K65" s="890"/>
    </row>
    <row r="66" spans="1:12" x14ac:dyDescent="0.25">
      <c r="A66" s="949"/>
      <c r="B66" s="1116" t="str">
        <f t="shared" ref="B66:D66" si="7">B6</f>
        <v>Iceberg Lettuce - خس مدور أمريكى</v>
      </c>
      <c r="C66" s="1116" t="str">
        <f t="shared" si="7"/>
        <v>gm</v>
      </c>
      <c r="D66" s="1116">
        <f t="shared" si="7"/>
        <v>10</v>
      </c>
      <c r="E66" s="1116">
        <f t="shared" ref="E66:F66" si="8">E6</f>
        <v>111</v>
      </c>
      <c r="F66" s="1116">
        <f t="shared" si="8"/>
        <v>1</v>
      </c>
      <c r="G66" s="940">
        <f>D66*E66</f>
        <v>1110</v>
      </c>
      <c r="H66" s="943">
        <f>G66*F66</f>
        <v>1110</v>
      </c>
      <c r="I66" s="73"/>
      <c r="J66" s="92"/>
      <c r="K66" s="73"/>
      <c r="L66" s="92"/>
    </row>
    <row r="67" spans="1:12" ht="25.5" x14ac:dyDescent="0.25">
      <c r="A67" s="949"/>
      <c r="B67" s="1116" t="str">
        <f t="shared" ref="B67:D67" si="9">B7</f>
        <v>Whole Wheat Oat Sub Roll - صامولي اسمر شوفان 16 سم</v>
      </c>
      <c r="C67" s="1116" t="str">
        <f t="shared" si="9"/>
        <v>Piece</v>
      </c>
      <c r="D67" s="1116">
        <f t="shared" si="9"/>
        <v>1</v>
      </c>
      <c r="E67" s="1116">
        <f t="shared" ref="E67:F67" si="10">E7</f>
        <v>111</v>
      </c>
      <c r="F67" s="1116">
        <f t="shared" si="10"/>
        <v>1</v>
      </c>
      <c r="G67" s="944">
        <f>D67*($Z$1+$AB$1)</f>
        <v>111</v>
      </c>
      <c r="H67" s="943">
        <f>G67*F67</f>
        <v>111</v>
      </c>
      <c r="K67" s="890"/>
    </row>
    <row r="68" spans="1:12" ht="15.75" x14ac:dyDescent="0.25">
      <c r="B68" s="1041" t="s">
        <v>287</v>
      </c>
      <c r="C68" s="1744"/>
      <c r="D68" s="1041" t="s">
        <v>537</v>
      </c>
      <c r="E68" s="1744"/>
      <c r="F68" s="1744"/>
      <c r="G68" s="95"/>
      <c r="H68" s="901"/>
      <c r="K68" s="890"/>
    </row>
    <row r="69" spans="1:12" ht="20.25" x14ac:dyDescent="0.3">
      <c r="B69" s="1047">
        <f>$J$52</f>
        <v>11100</v>
      </c>
      <c r="C69" s="1744"/>
      <c r="D69" s="1047">
        <f>$AF$1</f>
        <v>111</v>
      </c>
      <c r="E69" s="1744"/>
      <c r="F69" s="1744"/>
      <c r="G69" s="95"/>
      <c r="H69" s="901"/>
      <c r="K69" s="890"/>
    </row>
    <row r="70" spans="1:12" x14ac:dyDescent="0.25">
      <c r="B70" s="1744"/>
      <c r="C70" s="1744"/>
      <c r="D70" s="1744"/>
      <c r="E70" s="1744"/>
      <c r="F70" s="1744"/>
      <c r="G70" s="95"/>
      <c r="H70" s="901"/>
      <c r="K70" s="890"/>
    </row>
    <row r="71" spans="1:12" ht="15" customHeight="1" x14ac:dyDescent="0.25">
      <c r="B71" s="1191" t="s">
        <v>1015</v>
      </c>
      <c r="C71" s="1783" t="s">
        <v>333</v>
      </c>
      <c r="D71" s="1783"/>
      <c r="E71" s="1783"/>
      <c r="F71" s="1783"/>
      <c r="G71" s="930"/>
      <c r="H71" s="930"/>
      <c r="K71" s="890"/>
    </row>
    <row r="72" spans="1:12" ht="15" customHeight="1" x14ac:dyDescent="0.25">
      <c r="B72" s="926" t="s">
        <v>250</v>
      </c>
      <c r="C72" s="926">
        <v>10000</v>
      </c>
      <c r="D72" s="927" t="s">
        <v>474</v>
      </c>
      <c r="E72" s="928">
        <f>$S$32*100</f>
        <v>11100</v>
      </c>
      <c r="F72" s="926" t="s">
        <v>239</v>
      </c>
      <c r="G72" s="1190">
        <f>(($S$32*$T$1)/$R$1)/$C$9</f>
        <v>2.1346153846153846</v>
      </c>
      <c r="H72" s="1207"/>
      <c r="K72" s="890"/>
    </row>
    <row r="73" spans="1:12" ht="38.25" x14ac:dyDescent="0.25">
      <c r="B73" s="926" t="s">
        <v>241</v>
      </c>
      <c r="C73" s="926" t="s">
        <v>242</v>
      </c>
      <c r="D73" s="926" t="s">
        <v>250</v>
      </c>
      <c r="E73" s="926" t="s">
        <v>234</v>
      </c>
      <c r="F73" s="926" t="s">
        <v>243</v>
      </c>
      <c r="G73" s="926" t="s">
        <v>244</v>
      </c>
      <c r="H73" s="926" t="s">
        <v>245</v>
      </c>
      <c r="K73" s="890"/>
    </row>
    <row r="74" spans="1:12" x14ac:dyDescent="0.25">
      <c r="B74" s="938" t="s">
        <v>54</v>
      </c>
      <c r="C74" s="1201" t="s">
        <v>14</v>
      </c>
      <c r="D74" s="1075">
        <v>100</v>
      </c>
      <c r="E74" s="1040">
        <f>$G$9</f>
        <v>2.1346153846153846</v>
      </c>
      <c r="F74" s="948">
        <v>1</v>
      </c>
      <c r="G74" s="940">
        <f>D74*E74</f>
        <v>213.46153846153845</v>
      </c>
      <c r="H74" s="943">
        <f>F74*G74</f>
        <v>213.46153846153845</v>
      </c>
      <c r="K74" s="890"/>
    </row>
    <row r="75" spans="1:12" x14ac:dyDescent="0.25">
      <c r="B75" s="938" t="s">
        <v>706</v>
      </c>
      <c r="C75" s="1201" t="s">
        <v>14</v>
      </c>
      <c r="D75" s="1075">
        <v>100</v>
      </c>
      <c r="E75" s="1040">
        <f t="shared" ref="E75:E88" si="11">$G$9</f>
        <v>2.1346153846153846</v>
      </c>
      <c r="F75" s="948">
        <v>1</v>
      </c>
      <c r="G75" s="940">
        <f t="shared" ref="G75:G87" si="12">D75*E75</f>
        <v>213.46153846153845</v>
      </c>
      <c r="H75" s="943">
        <f t="shared" ref="H75:H87" si="13">F75*G75</f>
        <v>213.46153846153845</v>
      </c>
      <c r="K75" s="890"/>
    </row>
    <row r="76" spans="1:12" x14ac:dyDescent="0.25">
      <c r="B76" s="938" t="s">
        <v>105</v>
      </c>
      <c r="C76" s="1201" t="s">
        <v>14</v>
      </c>
      <c r="D76" s="1075">
        <v>10</v>
      </c>
      <c r="E76" s="1040">
        <f t="shared" si="11"/>
        <v>2.1346153846153846</v>
      </c>
      <c r="F76" s="948">
        <v>1</v>
      </c>
      <c r="G76" s="940">
        <f t="shared" si="12"/>
        <v>21.346153846153847</v>
      </c>
      <c r="H76" s="943">
        <f t="shared" si="13"/>
        <v>21.346153846153847</v>
      </c>
      <c r="K76" s="890"/>
    </row>
    <row r="77" spans="1:12" x14ac:dyDescent="0.25">
      <c r="B77" s="938" t="s">
        <v>107</v>
      </c>
      <c r="C77" s="1201" t="s">
        <v>14</v>
      </c>
      <c r="D77" s="1075">
        <v>10</v>
      </c>
      <c r="E77" s="1040">
        <f t="shared" si="11"/>
        <v>2.1346153846153846</v>
      </c>
      <c r="F77" s="948">
        <v>1</v>
      </c>
      <c r="G77" s="940">
        <f t="shared" si="12"/>
        <v>21.346153846153847</v>
      </c>
      <c r="H77" s="943">
        <f t="shared" si="13"/>
        <v>21.346153846153847</v>
      </c>
      <c r="K77" s="890"/>
    </row>
    <row r="78" spans="1:12" x14ac:dyDescent="0.25">
      <c r="B78" s="938" t="s">
        <v>93</v>
      </c>
      <c r="C78" s="1201" t="s">
        <v>14</v>
      </c>
      <c r="D78" s="1075">
        <v>15</v>
      </c>
      <c r="E78" s="1040">
        <f t="shared" si="11"/>
        <v>2.1346153846153846</v>
      </c>
      <c r="F78" s="948">
        <v>1</v>
      </c>
      <c r="G78" s="940">
        <f t="shared" si="12"/>
        <v>32.019230769230766</v>
      </c>
      <c r="H78" s="943">
        <f t="shared" si="13"/>
        <v>32.019230769230766</v>
      </c>
      <c r="K78" s="890"/>
    </row>
    <row r="79" spans="1:12" x14ac:dyDescent="0.25">
      <c r="B79" s="938" t="s">
        <v>101</v>
      </c>
      <c r="C79" s="1201" t="s">
        <v>14</v>
      </c>
      <c r="D79" s="1075">
        <v>10</v>
      </c>
      <c r="E79" s="1040">
        <f t="shared" si="11"/>
        <v>2.1346153846153846</v>
      </c>
      <c r="F79" s="948">
        <v>1</v>
      </c>
      <c r="G79" s="940">
        <f t="shared" si="12"/>
        <v>21.346153846153847</v>
      </c>
      <c r="H79" s="943">
        <f t="shared" si="13"/>
        <v>21.346153846153847</v>
      </c>
      <c r="K79" s="890"/>
    </row>
    <row r="80" spans="1:12" x14ac:dyDescent="0.25">
      <c r="B80" s="938" t="s">
        <v>172</v>
      </c>
      <c r="C80" s="1201" t="s">
        <v>14</v>
      </c>
      <c r="D80" s="1075">
        <v>100</v>
      </c>
      <c r="E80" s="1040">
        <f t="shared" si="11"/>
        <v>2.1346153846153846</v>
      </c>
      <c r="F80" s="948">
        <v>1</v>
      </c>
      <c r="G80" s="940">
        <f t="shared" si="12"/>
        <v>213.46153846153845</v>
      </c>
      <c r="H80" s="943">
        <f t="shared" si="13"/>
        <v>213.46153846153845</v>
      </c>
      <c r="K80" s="890"/>
    </row>
    <row r="81" spans="2:8" x14ac:dyDescent="0.25">
      <c r="B81" s="938" t="s">
        <v>212</v>
      </c>
      <c r="C81" s="1201" t="s">
        <v>160</v>
      </c>
      <c r="D81" s="1075">
        <v>200</v>
      </c>
      <c r="E81" s="1040">
        <f t="shared" si="11"/>
        <v>2.1346153846153846</v>
      </c>
      <c r="F81" s="948">
        <v>1</v>
      </c>
      <c r="G81" s="940">
        <f t="shared" si="12"/>
        <v>426.92307692307691</v>
      </c>
      <c r="H81" s="943">
        <f t="shared" si="13"/>
        <v>426.92307692307691</v>
      </c>
    </row>
    <row r="82" spans="2:8" x14ac:dyDescent="0.25">
      <c r="B82" s="938" t="s">
        <v>707</v>
      </c>
      <c r="C82" s="1201" t="s">
        <v>14</v>
      </c>
      <c r="D82" s="1075">
        <v>50</v>
      </c>
      <c r="E82" s="1040">
        <f t="shared" si="11"/>
        <v>2.1346153846153846</v>
      </c>
      <c r="F82" s="948">
        <v>1</v>
      </c>
      <c r="G82" s="940">
        <f t="shared" si="12"/>
        <v>106.73076923076923</v>
      </c>
      <c r="H82" s="943">
        <f t="shared" si="13"/>
        <v>106.73076923076923</v>
      </c>
    </row>
    <row r="83" spans="2:8" x14ac:dyDescent="0.25">
      <c r="B83" s="938" t="s">
        <v>166</v>
      </c>
      <c r="C83" s="1201" t="s">
        <v>160</v>
      </c>
      <c r="D83" s="1075">
        <v>1000</v>
      </c>
      <c r="E83" s="1040">
        <f t="shared" si="11"/>
        <v>2.1346153846153846</v>
      </c>
      <c r="F83" s="948">
        <v>1</v>
      </c>
      <c r="G83" s="940">
        <f t="shared" si="12"/>
        <v>2134.6153846153848</v>
      </c>
      <c r="H83" s="943">
        <f t="shared" si="13"/>
        <v>2134.6153846153848</v>
      </c>
    </row>
    <row r="84" spans="2:8" x14ac:dyDescent="0.25">
      <c r="B84" s="938" t="s">
        <v>128</v>
      </c>
      <c r="C84" s="1201" t="s">
        <v>14</v>
      </c>
      <c r="D84" s="1075">
        <v>10</v>
      </c>
      <c r="E84" s="1040">
        <f t="shared" si="11"/>
        <v>2.1346153846153846</v>
      </c>
      <c r="F84" s="948">
        <v>1</v>
      </c>
      <c r="G84" s="940">
        <f t="shared" si="12"/>
        <v>21.346153846153847</v>
      </c>
      <c r="H84" s="943">
        <f t="shared" si="13"/>
        <v>21.346153846153847</v>
      </c>
    </row>
    <row r="85" spans="2:8" x14ac:dyDescent="0.25">
      <c r="B85" s="938" t="s">
        <v>163</v>
      </c>
      <c r="C85" s="1201" t="s">
        <v>14</v>
      </c>
      <c r="D85" s="1075">
        <v>200</v>
      </c>
      <c r="E85" s="1040">
        <f t="shared" si="11"/>
        <v>2.1346153846153846</v>
      </c>
      <c r="F85" s="948">
        <v>1</v>
      </c>
      <c r="G85" s="940">
        <f t="shared" si="12"/>
        <v>426.92307692307691</v>
      </c>
      <c r="H85" s="943">
        <f t="shared" si="13"/>
        <v>426.92307692307691</v>
      </c>
    </row>
    <row r="86" spans="2:8" x14ac:dyDescent="0.25">
      <c r="B86" s="938" t="s">
        <v>60</v>
      </c>
      <c r="C86" s="1201" t="s">
        <v>14</v>
      </c>
      <c r="D86" s="1075">
        <v>10</v>
      </c>
      <c r="E86" s="1040">
        <f t="shared" si="11"/>
        <v>2.1346153846153846</v>
      </c>
      <c r="F86" s="948">
        <v>1</v>
      </c>
      <c r="G86" s="940">
        <f t="shared" si="12"/>
        <v>21.346153846153847</v>
      </c>
      <c r="H86" s="943">
        <f t="shared" si="13"/>
        <v>21.346153846153847</v>
      </c>
    </row>
    <row r="87" spans="2:8" x14ac:dyDescent="0.25">
      <c r="B87" s="938" t="s">
        <v>34</v>
      </c>
      <c r="C87" s="1201" t="s">
        <v>14</v>
      </c>
      <c r="D87" s="1075">
        <v>35</v>
      </c>
      <c r="E87" s="1040">
        <f t="shared" si="11"/>
        <v>2.1346153846153846</v>
      </c>
      <c r="F87" s="948">
        <v>1</v>
      </c>
      <c r="G87" s="940">
        <f t="shared" si="12"/>
        <v>74.711538461538467</v>
      </c>
      <c r="H87" s="943">
        <f t="shared" si="13"/>
        <v>74.711538461538467</v>
      </c>
    </row>
    <row r="88" spans="2:8" x14ac:dyDescent="0.25">
      <c r="B88" s="938" t="s">
        <v>32</v>
      </c>
      <c r="C88" s="1201" t="s">
        <v>14</v>
      </c>
      <c r="D88" s="1075">
        <v>50</v>
      </c>
      <c r="E88" s="1040">
        <f t="shared" si="11"/>
        <v>2.1346153846153846</v>
      </c>
      <c r="F88" s="948">
        <v>1</v>
      </c>
      <c r="G88" s="940">
        <f>D88*E88</f>
        <v>106.73076923076923</v>
      </c>
      <c r="H88" s="943">
        <f>F88*G88</f>
        <v>106.73076923076923</v>
      </c>
    </row>
  </sheetData>
  <mergeCells count="6">
    <mergeCell ref="C71:F71"/>
    <mergeCell ref="B2:H3"/>
    <mergeCell ref="R26:U26"/>
    <mergeCell ref="R25:U25"/>
    <mergeCell ref="C10:F10"/>
    <mergeCell ref="B62:H63"/>
  </mergeCells>
  <printOptions horizontalCentered="1"/>
  <pageMargins left="0.4" right="0.4" top="1" bottom="0.5" header="0.3" footer="0.511811023622047"/>
  <pageSetup paperSize="9" scale="40"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5B93C-78BA-4608-BE25-56E94876A796}">
  <sheetPr codeName="Sheet82">
    <tabColor rgb="FF00B050"/>
    <pageSetUpPr fitToPage="1"/>
  </sheetPr>
  <dimension ref="A1:AD81"/>
  <sheetViews>
    <sheetView topLeftCell="H1" zoomScale="85" zoomScaleNormal="85" workbookViewId="0">
      <selection activeCell="T29" sqref="T29"/>
    </sheetView>
  </sheetViews>
  <sheetFormatPr defaultColWidth="12.5" defaultRowHeight="15" x14ac:dyDescent="0.2"/>
  <cols>
    <col min="1" max="1" width="18.625" style="885" customWidth="1"/>
    <col min="2" max="2" width="25.875" style="346" customWidth="1"/>
    <col min="3" max="4" width="18.625" style="346" customWidth="1"/>
    <col min="5" max="5" width="12.625" style="346" customWidth="1"/>
    <col min="6" max="6" width="25.875" style="346" customWidth="1"/>
    <col min="7" max="7" width="18.625" style="346" customWidth="1"/>
    <col min="8" max="8" width="25.875" style="346" customWidth="1"/>
    <col min="9" max="10" width="18.625" style="346" customWidth="1"/>
    <col min="11" max="11" width="25.875" style="346" customWidth="1"/>
    <col min="12" max="12" width="12.625" style="346" customWidth="1"/>
    <col min="13" max="17" width="3.375" style="346" customWidth="1"/>
    <col min="18" max="18" width="25.875" style="346" customWidth="1"/>
    <col min="19" max="20" width="12.625" style="346" customWidth="1"/>
    <col min="21" max="23" width="12.5" style="346"/>
    <col min="24" max="24" width="8.625" style="346" customWidth="1"/>
    <col min="25" max="25" width="12.625" style="346" customWidth="1"/>
    <col min="26" max="26" width="8.625" style="346" customWidth="1"/>
    <col min="27" max="27" width="12.625" style="346" customWidth="1"/>
    <col min="28" max="30" width="8.625" style="346" customWidth="1"/>
    <col min="31" max="16384" width="12.5" style="346"/>
  </cols>
  <sheetData>
    <row r="1" spans="1:30" x14ac:dyDescent="0.25">
      <c r="A1" s="883"/>
      <c r="B1" s="1210" t="s">
        <v>521</v>
      </c>
      <c r="C1" s="1211">
        <v>5000</v>
      </c>
      <c r="D1" s="1212" t="s">
        <v>232</v>
      </c>
      <c r="E1" s="1213">
        <f>T29</f>
        <v>2781.6666666666665</v>
      </c>
      <c r="F1" s="1210" t="s">
        <v>233</v>
      </c>
      <c r="G1" s="1214">
        <f>E1/C1</f>
        <v>0.55633333333333335</v>
      </c>
      <c r="H1" s="1210" t="s">
        <v>234</v>
      </c>
      <c r="I1" s="1215">
        <f>G1/K1</f>
        <v>0.61657246296501533</v>
      </c>
      <c r="J1" s="1210" t="s">
        <v>235</v>
      </c>
      <c r="K1" s="1216">
        <v>0.90229999999999999</v>
      </c>
      <c r="L1" s="347"/>
      <c r="M1" s="347"/>
      <c r="N1" s="347"/>
      <c r="R1" s="1209"/>
      <c r="Y1" s="923" t="s">
        <v>444</v>
      </c>
      <c r="Z1" s="925">
        <v>16690</v>
      </c>
      <c r="AA1" s="923" t="s">
        <v>544</v>
      </c>
      <c r="AB1" s="925">
        <v>0</v>
      </c>
      <c r="AC1" s="923" t="s">
        <v>537</v>
      </c>
      <c r="AD1" s="925">
        <v>119</v>
      </c>
    </row>
    <row r="2" spans="1:30" ht="15.75" x14ac:dyDescent="0.2">
      <c r="A2" s="1806"/>
      <c r="B2" s="1807" t="s">
        <v>527</v>
      </c>
      <c r="C2" s="1807"/>
      <c r="D2" s="1807"/>
      <c r="E2" s="1807"/>
      <c r="F2" s="1807"/>
      <c r="G2" s="1807"/>
      <c r="H2" s="1807"/>
      <c r="I2" s="1217"/>
      <c r="J2" s="1217"/>
      <c r="K2" s="1809"/>
      <c r="L2" s="347"/>
      <c r="M2" s="347"/>
      <c r="N2" s="347"/>
      <c r="R2" s="1209"/>
    </row>
    <row r="3" spans="1:30" ht="15.75" x14ac:dyDescent="0.2">
      <c r="A3" s="1806"/>
      <c r="B3" s="1808"/>
      <c r="C3" s="1808"/>
      <c r="D3" s="1808"/>
      <c r="E3" s="1808"/>
      <c r="F3" s="1808"/>
      <c r="G3" s="1808"/>
      <c r="H3" s="1808"/>
      <c r="I3" s="352"/>
      <c r="J3" s="352"/>
      <c r="K3" s="1810"/>
      <c r="L3" s="347"/>
      <c r="M3" s="347"/>
      <c r="N3" s="347"/>
      <c r="R3" s="1209"/>
    </row>
    <row r="4" spans="1:30" ht="38.25" x14ac:dyDescent="0.2">
      <c r="A4" s="1218" t="s">
        <v>864</v>
      </c>
      <c r="B4" s="1219" t="s">
        <v>241</v>
      </c>
      <c r="C4" s="1220" t="s">
        <v>316</v>
      </c>
      <c r="D4" s="1220" t="s">
        <v>519</v>
      </c>
      <c r="E4" s="1221" t="s">
        <v>518</v>
      </c>
      <c r="F4" s="1222" t="s">
        <v>243</v>
      </c>
      <c r="G4" s="1223" t="s">
        <v>244</v>
      </c>
      <c r="H4" s="1224" t="s">
        <v>321</v>
      </c>
      <c r="I4" s="923" t="s">
        <v>246</v>
      </c>
      <c r="J4" s="923" t="s">
        <v>247</v>
      </c>
      <c r="K4" s="923" t="s">
        <v>248</v>
      </c>
      <c r="L4" s="923" t="s">
        <v>249</v>
      </c>
      <c r="M4" s="347"/>
      <c r="N4" s="347"/>
      <c r="R4" s="1209"/>
    </row>
    <row r="5" spans="1:30" x14ac:dyDescent="0.2">
      <c r="A5" s="1225"/>
      <c r="B5" s="1226" t="s">
        <v>17</v>
      </c>
      <c r="C5" s="1227" t="s">
        <v>14</v>
      </c>
      <c r="D5" s="1227">
        <v>1000</v>
      </c>
      <c r="E5" s="1228">
        <f>$I$1</f>
        <v>0.61657246296501533</v>
      </c>
      <c r="F5" s="1229">
        <v>1</v>
      </c>
      <c r="G5" s="1230">
        <f t="shared" ref="G5:G19" si="0">D5*E5</f>
        <v>616.57246296501535</v>
      </c>
      <c r="H5" s="1231">
        <f t="shared" ref="H5:H19" si="1">G5*F5</f>
        <v>616.57246296501535</v>
      </c>
      <c r="I5" s="914">
        <f>VLOOKUP(B5,All_Ingredients!$A$1:$F$161,6,FALSE())</f>
        <v>0.98</v>
      </c>
      <c r="J5" s="940">
        <f>VLOOKUP(B5,All_Ingredients!$A$1:$J$161,10,FALSE())</f>
        <v>3.5</v>
      </c>
      <c r="K5" s="945">
        <f t="shared" ref="K5" si="2">(H5/I5)/1000</f>
        <v>0.62915557445409731</v>
      </c>
      <c r="L5" s="945">
        <f t="shared" ref="L5" si="3">K5*J5</f>
        <v>2.2020445105893405</v>
      </c>
      <c r="R5" s="1209"/>
    </row>
    <row r="6" spans="1:30" x14ac:dyDescent="0.2">
      <c r="A6" s="1225"/>
      <c r="B6" s="1226" t="s">
        <v>12</v>
      </c>
      <c r="C6" s="1227" t="s">
        <v>14</v>
      </c>
      <c r="D6" s="1227">
        <v>1000</v>
      </c>
      <c r="E6" s="1228">
        <f t="shared" ref="E6:E19" si="4">$I$1</f>
        <v>0.61657246296501533</v>
      </c>
      <c r="F6" s="1229">
        <v>1</v>
      </c>
      <c r="G6" s="1230">
        <f t="shared" si="0"/>
        <v>616.57246296501535</v>
      </c>
      <c r="H6" s="1231">
        <f t="shared" si="1"/>
        <v>616.57246296501535</v>
      </c>
      <c r="I6" s="914">
        <f>VLOOKUP(B6,All_Ingredients!$A$1:$F$161,6,FALSE())</f>
        <v>0.9</v>
      </c>
      <c r="J6" s="940">
        <f>VLOOKUP(B6,All_Ingredients!$A$1:$J$161,10,FALSE())</f>
        <v>3</v>
      </c>
      <c r="K6" s="945">
        <f t="shared" ref="K6:K19" si="5">(H6/I6)/1000</f>
        <v>0.6850805144055726</v>
      </c>
      <c r="L6" s="945">
        <f t="shared" ref="L6:L19" si="6">K6*J6</f>
        <v>2.0552415432167179</v>
      </c>
      <c r="R6" s="1209"/>
    </row>
    <row r="7" spans="1:30" x14ac:dyDescent="0.2">
      <c r="A7" s="1225"/>
      <c r="B7" s="1226" t="s">
        <v>28</v>
      </c>
      <c r="C7" s="1227" t="s">
        <v>14</v>
      </c>
      <c r="D7" s="1227">
        <v>666</v>
      </c>
      <c r="E7" s="1228">
        <f>$I$1</f>
        <v>0.61657246296501533</v>
      </c>
      <c r="F7" s="1229">
        <v>1</v>
      </c>
      <c r="G7" s="1230">
        <f t="shared" si="0"/>
        <v>410.63726033470022</v>
      </c>
      <c r="H7" s="1231">
        <f t="shared" si="1"/>
        <v>410.63726033470022</v>
      </c>
      <c r="I7" s="914">
        <f>VLOOKUP(B7,All_Ingredients!$A$1:$F$161,6,FALSE())</f>
        <v>0.73</v>
      </c>
      <c r="J7" s="940">
        <f>VLOOKUP(B7,All_Ingredients!$A$1:$J$161,10,FALSE())</f>
        <v>8.5</v>
      </c>
      <c r="K7" s="945">
        <f t="shared" si="5"/>
        <v>0.56251679497904139</v>
      </c>
      <c r="L7" s="945">
        <f t="shared" si="6"/>
        <v>4.7813927573218518</v>
      </c>
      <c r="R7" s="1209"/>
    </row>
    <row r="8" spans="1:30" x14ac:dyDescent="0.2">
      <c r="A8" s="1225"/>
      <c r="B8" s="1226" t="s">
        <v>30</v>
      </c>
      <c r="C8" s="1227" t="s">
        <v>14</v>
      </c>
      <c r="D8" s="1227">
        <v>666</v>
      </c>
      <c r="E8" s="1228">
        <f t="shared" si="4"/>
        <v>0.61657246296501533</v>
      </c>
      <c r="F8" s="1229">
        <v>1</v>
      </c>
      <c r="G8" s="1230">
        <f t="shared" si="0"/>
        <v>410.63726033470022</v>
      </c>
      <c r="H8" s="1231">
        <f t="shared" si="1"/>
        <v>410.63726033470022</v>
      </c>
      <c r="I8" s="914">
        <f>VLOOKUP(B8,All_Ingredients!$A$1:$F$161,6,FALSE())</f>
        <v>0.71</v>
      </c>
      <c r="J8" s="940">
        <f>VLOOKUP(B8,All_Ingredients!$A$1:$J$161,10,FALSE())</f>
        <v>8.5</v>
      </c>
      <c r="K8" s="945">
        <f t="shared" si="5"/>
        <v>0.57836233849957785</v>
      </c>
      <c r="L8" s="945">
        <f t="shared" si="6"/>
        <v>4.9160798772464114</v>
      </c>
      <c r="R8" s="1209"/>
    </row>
    <row r="9" spans="1:30" x14ac:dyDescent="0.2">
      <c r="A9" s="1225"/>
      <c r="B9" s="1226" t="s">
        <v>32</v>
      </c>
      <c r="C9" s="1227" t="s">
        <v>14</v>
      </c>
      <c r="D9" s="1227">
        <v>666</v>
      </c>
      <c r="E9" s="1228">
        <f t="shared" si="4"/>
        <v>0.61657246296501533</v>
      </c>
      <c r="F9" s="1229">
        <v>1</v>
      </c>
      <c r="G9" s="1230">
        <f t="shared" si="0"/>
        <v>410.63726033470022</v>
      </c>
      <c r="H9" s="1231">
        <f t="shared" si="1"/>
        <v>410.63726033470022</v>
      </c>
      <c r="I9" s="914">
        <f>VLOOKUP(B9,All_Ingredients!$A$1:$F$161,6,FALSE())</f>
        <v>0.69</v>
      </c>
      <c r="J9" s="940">
        <f>VLOOKUP(B9,All_Ingredients!$A$1:$J$161,10,FALSE())</f>
        <v>4</v>
      </c>
      <c r="K9" s="945">
        <f t="shared" si="5"/>
        <v>0.59512646425318871</v>
      </c>
      <c r="L9" s="945">
        <f t="shared" si="6"/>
        <v>2.3805058570127549</v>
      </c>
      <c r="R9" s="1209"/>
    </row>
    <row r="10" spans="1:30" x14ac:dyDescent="0.2">
      <c r="A10" s="1225"/>
      <c r="B10" s="1232" t="s">
        <v>516</v>
      </c>
      <c r="C10" s="1227" t="s">
        <v>14</v>
      </c>
      <c r="D10" s="1227">
        <v>1850</v>
      </c>
      <c r="E10" s="1228">
        <f t="shared" si="4"/>
        <v>0.61657246296501533</v>
      </c>
      <c r="F10" s="1229">
        <v>1</v>
      </c>
      <c r="G10" s="1230">
        <f t="shared" si="0"/>
        <v>1140.6590564852784</v>
      </c>
      <c r="H10" s="1231">
        <f t="shared" si="1"/>
        <v>1140.6590564852784</v>
      </c>
      <c r="I10" s="914">
        <f>VLOOKUP(B10,All_Ingredients!$A$1:$F$161,6,FALSE())</f>
        <v>1</v>
      </c>
      <c r="J10" s="940">
        <f>VLOOKUP(B10,All_Ingredients!$A$1:$J$161,10,FALSE())</f>
        <v>10.196078431372548</v>
      </c>
      <c r="K10" s="945">
        <f>(H10/I10)/1000</f>
        <v>1.1406590564852783</v>
      </c>
      <c r="L10" s="945">
        <f>K10*J10</f>
        <v>11.630249203379307</v>
      </c>
      <c r="R10" s="1209"/>
    </row>
    <row r="11" spans="1:30" x14ac:dyDescent="0.2">
      <c r="A11" s="1225"/>
      <c r="B11" s="1232" t="s">
        <v>678</v>
      </c>
      <c r="C11" s="1227" t="s">
        <v>14</v>
      </c>
      <c r="D11" s="1227">
        <v>1200</v>
      </c>
      <c r="E11" s="1228">
        <f t="shared" si="4"/>
        <v>0.61657246296501533</v>
      </c>
      <c r="F11" s="1229">
        <v>1</v>
      </c>
      <c r="G11" s="1230">
        <f t="shared" si="0"/>
        <v>739.88695555801837</v>
      </c>
      <c r="H11" s="1231">
        <f t="shared" si="1"/>
        <v>739.88695555801837</v>
      </c>
      <c r="I11" s="914">
        <f>VLOOKUP(B11,All_Ingredients!$A$1:$F$161,6,FALSE())</f>
        <v>1</v>
      </c>
      <c r="J11" s="940">
        <f>VLOOKUP(B11,All_Ingredients!$A$1:$J$161,10,FALSE())</f>
        <v>8.1520833333333336</v>
      </c>
      <c r="K11" s="945">
        <f t="shared" si="5"/>
        <v>0.73988695555801842</v>
      </c>
      <c r="L11" s="945">
        <f t="shared" si="6"/>
        <v>6.0316201189552627</v>
      </c>
      <c r="R11" s="1209"/>
    </row>
    <row r="12" spans="1:30" x14ac:dyDescent="0.2">
      <c r="A12" s="1225"/>
      <c r="B12" s="1232" t="s">
        <v>152</v>
      </c>
      <c r="C12" s="1227" t="s">
        <v>14</v>
      </c>
      <c r="D12" s="1227">
        <v>300</v>
      </c>
      <c r="E12" s="1228">
        <f t="shared" si="4"/>
        <v>0.61657246296501533</v>
      </c>
      <c r="F12" s="1229">
        <v>1</v>
      </c>
      <c r="G12" s="1230">
        <f t="shared" si="0"/>
        <v>184.97173888950459</v>
      </c>
      <c r="H12" s="1231">
        <f t="shared" si="1"/>
        <v>184.97173888950459</v>
      </c>
      <c r="I12" s="914">
        <f>VLOOKUP(B12,All_Ingredients!$A$1:$F$161,6,FALSE())</f>
        <v>1</v>
      </c>
      <c r="J12" s="940">
        <f>VLOOKUP(B12,All_Ingredients!$A$1:$J$161,10,FALSE())</f>
        <v>30</v>
      </c>
      <c r="K12" s="945">
        <f t="shared" si="5"/>
        <v>0.18497173888950461</v>
      </c>
      <c r="L12" s="945">
        <f t="shared" si="6"/>
        <v>5.549152166685138</v>
      </c>
      <c r="R12" s="1209"/>
    </row>
    <row r="13" spans="1:30" x14ac:dyDescent="0.2">
      <c r="A13" s="1225"/>
      <c r="B13" s="1232" t="s">
        <v>110</v>
      </c>
      <c r="C13" s="1227" t="s">
        <v>14</v>
      </c>
      <c r="D13" s="1227">
        <v>60</v>
      </c>
      <c r="E13" s="1228">
        <f t="shared" si="4"/>
        <v>0.61657246296501533</v>
      </c>
      <c r="F13" s="1229">
        <v>1</v>
      </c>
      <c r="G13" s="1230">
        <f t="shared" si="0"/>
        <v>36.99434777790092</v>
      </c>
      <c r="H13" s="1231">
        <f t="shared" si="1"/>
        <v>36.99434777790092</v>
      </c>
      <c r="I13" s="914">
        <f>VLOOKUP(B13,All_Ingredients!$A$1:$F$161,6,FALSE())</f>
        <v>1</v>
      </c>
      <c r="J13" s="940">
        <f>VLOOKUP(B13,All_Ingredients!$A$1:$J$161,10,FALSE())</f>
        <v>64.243759177679877</v>
      </c>
      <c r="K13" s="945">
        <f t="shared" si="5"/>
        <v>3.6994347777900921E-2</v>
      </c>
      <c r="L13" s="945">
        <f t="shared" si="6"/>
        <v>2.3766559695788034</v>
      </c>
      <c r="R13" s="1209"/>
    </row>
    <row r="14" spans="1:30" x14ac:dyDescent="0.2">
      <c r="A14" s="1225"/>
      <c r="B14" s="1232" t="s">
        <v>108</v>
      </c>
      <c r="C14" s="1227" t="s">
        <v>14</v>
      </c>
      <c r="D14" s="1227">
        <v>60</v>
      </c>
      <c r="E14" s="1228">
        <f t="shared" si="4"/>
        <v>0.61657246296501533</v>
      </c>
      <c r="F14" s="1229">
        <v>1</v>
      </c>
      <c r="G14" s="1230">
        <f t="shared" si="0"/>
        <v>36.99434777790092</v>
      </c>
      <c r="H14" s="1231">
        <f t="shared" si="1"/>
        <v>36.99434777790092</v>
      </c>
      <c r="I14" s="914">
        <f>VLOOKUP(B14,All_Ingredients!$A$1:$F$161,6,FALSE())</f>
        <v>1</v>
      </c>
      <c r="J14" s="940">
        <f>VLOOKUP(B14,All_Ingredients!$A$1:$J$161,10,FALSE())</f>
        <v>26.5</v>
      </c>
      <c r="K14" s="945">
        <f t="shared" si="5"/>
        <v>3.6994347777900921E-2</v>
      </c>
      <c r="L14" s="945">
        <f t="shared" si="6"/>
        <v>0.98035021611437445</v>
      </c>
      <c r="R14" s="1209"/>
    </row>
    <row r="15" spans="1:30" x14ac:dyDescent="0.2">
      <c r="A15" s="1225"/>
      <c r="B15" s="1232" t="s">
        <v>708</v>
      </c>
      <c r="C15" s="1227" t="s">
        <v>14</v>
      </c>
      <c r="D15" s="1227">
        <v>40</v>
      </c>
      <c r="E15" s="1228">
        <f t="shared" si="4"/>
        <v>0.61657246296501533</v>
      </c>
      <c r="F15" s="1229">
        <v>1</v>
      </c>
      <c r="G15" s="1230">
        <f t="shared" si="0"/>
        <v>24.662898518600613</v>
      </c>
      <c r="H15" s="1231">
        <f t="shared" si="1"/>
        <v>24.662898518600613</v>
      </c>
      <c r="I15" s="914">
        <f>VLOOKUP(B15,All_Ingredients!$A$1:$F$161,6,FALSE())</f>
        <v>0.5</v>
      </c>
      <c r="J15" s="940">
        <f>VLOOKUP(B15,All_Ingredients!$A$1:$J$161,10,FALSE())</f>
        <v>90</v>
      </c>
      <c r="K15" s="945">
        <f t="shared" si="5"/>
        <v>4.9325797037201226E-2</v>
      </c>
      <c r="L15" s="945">
        <f t="shared" si="6"/>
        <v>4.4393217333481108</v>
      </c>
      <c r="R15" s="1209"/>
    </row>
    <row r="16" spans="1:30" x14ac:dyDescent="0.2">
      <c r="A16" s="1225"/>
      <c r="B16" s="1232" t="s">
        <v>735</v>
      </c>
      <c r="C16" s="1227" t="s">
        <v>14</v>
      </c>
      <c r="D16" s="1227">
        <v>40</v>
      </c>
      <c r="E16" s="1228">
        <f t="shared" si="4"/>
        <v>0.61657246296501533</v>
      </c>
      <c r="F16" s="1229">
        <v>1</v>
      </c>
      <c r="G16" s="1230">
        <f t="shared" si="0"/>
        <v>24.662898518600613</v>
      </c>
      <c r="H16" s="1231">
        <f t="shared" si="1"/>
        <v>24.662898518600613</v>
      </c>
      <c r="I16" s="914">
        <f>VLOOKUP(B16,All_Ingredients!$A$1:$F$161,6,FALSE())</f>
        <v>0.74</v>
      </c>
      <c r="J16" s="940">
        <f>VLOOKUP(B16,All_Ingredients!$A$1:$J$161,10,FALSE())</f>
        <v>100</v>
      </c>
      <c r="K16" s="945">
        <f t="shared" si="5"/>
        <v>3.3328241241352183E-2</v>
      </c>
      <c r="L16" s="945">
        <f t="shared" si="6"/>
        <v>3.3328241241352181</v>
      </c>
      <c r="N16" s="1813"/>
      <c r="O16" s="1813"/>
      <c r="R16" s="1209"/>
    </row>
    <row r="17" spans="1:27" x14ac:dyDescent="0.2">
      <c r="A17" s="1225"/>
      <c r="B17" s="1232" t="s">
        <v>139</v>
      </c>
      <c r="C17" s="1227" t="s">
        <v>14</v>
      </c>
      <c r="D17" s="1227">
        <v>50</v>
      </c>
      <c r="E17" s="1228">
        <f>$I$1</f>
        <v>0.61657246296501533</v>
      </c>
      <c r="F17" s="1229">
        <v>1</v>
      </c>
      <c r="G17" s="1230">
        <f t="shared" si="0"/>
        <v>30.828623148250767</v>
      </c>
      <c r="H17" s="1231">
        <f t="shared" si="1"/>
        <v>30.828623148250767</v>
      </c>
      <c r="I17" s="914">
        <f>VLOOKUP(B17,All_Ingredients!$A$1:$F$161,6,FALSE())</f>
        <v>1</v>
      </c>
      <c r="J17" s="940">
        <f>VLOOKUP(B17,All_Ingredients!$A$1:$J$161,10,FALSE())</f>
        <v>15.277777777777779</v>
      </c>
      <c r="K17" s="945">
        <f t="shared" si="5"/>
        <v>3.0828623148250765E-2</v>
      </c>
      <c r="L17" s="945">
        <f t="shared" si="6"/>
        <v>0.47099285365383114</v>
      </c>
      <c r="R17" s="1209"/>
    </row>
    <row r="18" spans="1:27" ht="25.5" x14ac:dyDescent="0.2">
      <c r="A18" s="1225"/>
      <c r="B18" s="1232" t="s">
        <v>99</v>
      </c>
      <c r="C18" s="1227" t="s">
        <v>14</v>
      </c>
      <c r="D18" s="1227">
        <v>30</v>
      </c>
      <c r="E18" s="1228">
        <f t="shared" si="4"/>
        <v>0.61657246296501533</v>
      </c>
      <c r="F18" s="1229">
        <v>1</v>
      </c>
      <c r="G18" s="1230">
        <f t="shared" si="0"/>
        <v>18.49717388895046</v>
      </c>
      <c r="H18" s="1231">
        <f t="shared" si="1"/>
        <v>18.49717388895046</v>
      </c>
      <c r="I18" s="914">
        <f>VLOOKUP(B18,All_Ingredients!$A$1:$F$161,6,FALSE())</f>
        <v>1</v>
      </c>
      <c r="J18" s="940">
        <f>VLOOKUP(B18,All_Ingredients!$A$1:$J$161,10,FALSE())</f>
        <v>31</v>
      </c>
      <c r="K18" s="945">
        <f t="shared" si="5"/>
        <v>1.8497173888950461E-2</v>
      </c>
      <c r="L18" s="945">
        <f t="shared" si="6"/>
        <v>0.57341239055746429</v>
      </c>
      <c r="R18" s="1209"/>
    </row>
    <row r="19" spans="1:27" x14ac:dyDescent="0.2">
      <c r="A19" s="1225"/>
      <c r="B19" s="1232" t="s">
        <v>93</v>
      </c>
      <c r="C19" s="1227" t="s">
        <v>14</v>
      </c>
      <c r="D19" s="1227">
        <v>60</v>
      </c>
      <c r="E19" s="1228">
        <f t="shared" si="4"/>
        <v>0.61657246296501533</v>
      </c>
      <c r="F19" s="1233">
        <v>1</v>
      </c>
      <c r="G19" s="1230">
        <f t="shared" si="0"/>
        <v>36.99434777790092</v>
      </c>
      <c r="H19" s="1231">
        <f t="shared" si="1"/>
        <v>36.99434777790092</v>
      </c>
      <c r="I19" s="914">
        <f>VLOOKUP(B19,All_Ingredients!$A$1:$F$161,6,FALSE())</f>
        <v>1</v>
      </c>
      <c r="J19" s="940">
        <f>VLOOKUP(B19,All_Ingredients!$A$1:$J$161,10,FALSE())</f>
        <v>0.74</v>
      </c>
      <c r="K19" s="945">
        <f t="shared" si="5"/>
        <v>3.6994347777900921E-2</v>
      </c>
      <c r="L19" s="945">
        <f t="shared" si="6"/>
        <v>2.7375817355646682E-2</v>
      </c>
      <c r="R19" s="1209"/>
    </row>
    <row r="20" spans="1:27" x14ac:dyDescent="0.2">
      <c r="B20" s="1209"/>
      <c r="F20" s="1209"/>
      <c r="H20" s="1209"/>
      <c r="K20" s="1209"/>
      <c r="R20" s="1209"/>
    </row>
    <row r="21" spans="1:27" x14ac:dyDescent="0.2">
      <c r="B21" s="1209"/>
      <c r="F21" s="1209"/>
      <c r="H21" s="1209"/>
      <c r="K21" s="1209"/>
      <c r="R21" s="1209"/>
    </row>
    <row r="22" spans="1:27" x14ac:dyDescent="0.2">
      <c r="B22" s="1209" t="s">
        <v>528</v>
      </c>
      <c r="F22" s="1209"/>
      <c r="H22" s="1209"/>
      <c r="J22" s="348"/>
      <c r="K22" s="1209"/>
      <c r="N22" s="1813"/>
      <c r="O22" s="1813"/>
      <c r="R22" s="1209"/>
    </row>
    <row r="23" spans="1:27" x14ac:dyDescent="0.2">
      <c r="B23" s="1209"/>
      <c r="F23" s="1209"/>
      <c r="H23" s="1209"/>
      <c r="K23" s="1209"/>
      <c r="R23" s="1209"/>
    </row>
    <row r="24" spans="1:27" x14ac:dyDescent="0.2">
      <c r="B24" s="1209"/>
      <c r="F24" s="1209"/>
      <c r="H24" s="1209"/>
      <c r="K24" s="1209"/>
      <c r="R24" s="1209"/>
      <c r="X24" s="631"/>
    </row>
    <row r="25" spans="1:27" x14ac:dyDescent="0.2">
      <c r="B25" s="1209"/>
      <c r="F25" s="1209"/>
      <c r="H25" s="1209"/>
      <c r="K25" s="1209"/>
      <c r="R25" s="1811" t="s">
        <v>527</v>
      </c>
      <c r="S25" s="1812"/>
      <c r="T25" s="1812"/>
      <c r="X25" s="982" t="s">
        <v>14</v>
      </c>
      <c r="Y25" s="989">
        <v>4833.33</v>
      </c>
      <c r="Z25" s="982" t="s">
        <v>249</v>
      </c>
      <c r="AA25" s="1138">
        <f>Y25*(T30/T29)</f>
        <v>89.914219298440628</v>
      </c>
    </row>
    <row r="26" spans="1:27" x14ac:dyDescent="0.2">
      <c r="B26" s="1209"/>
      <c r="F26" s="1209"/>
      <c r="H26" s="1209"/>
      <c r="K26" s="1209"/>
      <c r="R26" s="1234" t="s">
        <v>254</v>
      </c>
      <c r="S26" s="1235" t="s">
        <v>501</v>
      </c>
      <c r="T26" s="1235" t="s">
        <v>526</v>
      </c>
    </row>
    <row r="27" spans="1:27" x14ac:dyDescent="0.2">
      <c r="B27" s="1209"/>
      <c r="F27" s="1209"/>
      <c r="H27" s="1209"/>
      <c r="K27" s="1209"/>
      <c r="R27" s="1234" t="s">
        <v>502</v>
      </c>
      <c r="S27" s="1755">
        <f>$Z$1</f>
        <v>16690</v>
      </c>
      <c r="T27" s="1756">
        <f>S29/30000</f>
        <v>0.55633333333333335</v>
      </c>
    </row>
    <row r="28" spans="1:27" x14ac:dyDescent="0.2">
      <c r="B28" s="1209"/>
      <c r="F28" s="1209"/>
      <c r="H28" s="1209"/>
      <c r="K28" s="1209"/>
      <c r="R28" s="1234" t="s">
        <v>446</v>
      </c>
      <c r="S28" s="1757">
        <f>$AB$1</f>
        <v>0</v>
      </c>
      <c r="T28" s="1758"/>
      <c r="U28" s="688"/>
    </row>
    <row r="29" spans="1:27" x14ac:dyDescent="0.2">
      <c r="B29" s="1209"/>
      <c r="F29" s="1209"/>
      <c r="H29" s="1209"/>
      <c r="K29" s="1209"/>
      <c r="R29" s="1234" t="s">
        <v>534</v>
      </c>
      <c r="S29" s="1237">
        <f>S27+S28</f>
        <v>16690</v>
      </c>
      <c r="T29" s="1238">
        <f>5000*T27</f>
        <v>2781.6666666666665</v>
      </c>
      <c r="U29" s="688"/>
    </row>
    <row r="30" spans="1:27" x14ac:dyDescent="0.2">
      <c r="B30" s="1209"/>
      <c r="F30" s="1209"/>
      <c r="H30" s="1209"/>
      <c r="K30" s="1209"/>
      <c r="R30" s="1239"/>
      <c r="S30" s="1236"/>
      <c r="T30" s="1240">
        <f>SUM(L5:L19)</f>
        <v>51.747219139150239</v>
      </c>
      <c r="U30" s="688"/>
    </row>
    <row r="31" spans="1:27" x14ac:dyDescent="0.2">
      <c r="B31" s="1209"/>
      <c r="F31" s="1209"/>
      <c r="H31" s="1209"/>
      <c r="K31" s="1209"/>
      <c r="R31" s="909" t="s">
        <v>249</v>
      </c>
    </row>
    <row r="50" spans="1:8" x14ac:dyDescent="0.2">
      <c r="B50" s="961"/>
      <c r="C50" s="962" t="s">
        <v>233</v>
      </c>
      <c r="D50" s="962" t="s">
        <v>279</v>
      </c>
      <c r="F50" s="1209"/>
      <c r="H50" s="1209"/>
    </row>
    <row r="51" spans="1:8" x14ac:dyDescent="0.2">
      <c r="B51" s="1027" t="s">
        <v>283</v>
      </c>
      <c r="C51" s="1028">
        <f>5/K1</f>
        <v>5.5413942147844395</v>
      </c>
      <c r="D51" s="1241">
        <f>C1</f>
        <v>5000</v>
      </c>
      <c r="F51" s="1209"/>
      <c r="H51" s="1209"/>
    </row>
    <row r="52" spans="1:8" x14ac:dyDescent="0.2">
      <c r="B52" s="961" t="s">
        <v>262</v>
      </c>
      <c r="C52" s="1030">
        <f>I1</f>
        <v>0.61657246296501533</v>
      </c>
      <c r="D52" s="1242">
        <f>E1</f>
        <v>2781.6666666666665</v>
      </c>
      <c r="F52" s="1209"/>
      <c r="H52" s="1209"/>
    </row>
    <row r="53" spans="1:8" x14ac:dyDescent="0.2">
      <c r="B53" s="958" t="s">
        <v>284</v>
      </c>
      <c r="C53" s="1101">
        <f>MIN(C52, C51)</f>
        <v>0.61657246296501533</v>
      </c>
      <c r="D53" s="1243">
        <f>(C53*$K$1)*$C$1</f>
        <v>2781.6666666666665</v>
      </c>
      <c r="F53" s="1209"/>
      <c r="H53" s="1209"/>
    </row>
    <row r="54" spans="1:8" x14ac:dyDescent="0.2">
      <c r="B54" s="958" t="s">
        <v>285</v>
      </c>
      <c r="C54" s="1101">
        <f>MIN(MAX(C52-C53,0),C51)</f>
        <v>0</v>
      </c>
      <c r="D54" s="1243">
        <f>(C54*$K$1)*$C$1</f>
        <v>0</v>
      </c>
      <c r="F54" s="1209"/>
      <c r="H54" s="1209"/>
    </row>
    <row r="55" spans="1:8" x14ac:dyDescent="0.2">
      <c r="B55" s="958" t="s">
        <v>286</v>
      </c>
      <c r="C55" s="1101">
        <f>MIN(MAX(C52-C53-C54,0),C51)</f>
        <v>0</v>
      </c>
      <c r="D55" s="1243">
        <f>(C55*$K$1)*$C$1</f>
        <v>0</v>
      </c>
      <c r="F55" s="1209"/>
      <c r="H55" s="1209"/>
    </row>
    <row r="56" spans="1:8" x14ac:dyDescent="0.2">
      <c r="B56" s="1209"/>
      <c r="F56" s="1209"/>
      <c r="H56" s="1209"/>
    </row>
    <row r="57" spans="1:8" x14ac:dyDescent="0.2">
      <c r="B57" s="1209"/>
      <c r="F57" s="1209"/>
      <c r="H57" s="1209"/>
    </row>
    <row r="58" spans="1:8" x14ac:dyDescent="0.2">
      <c r="B58" s="1209"/>
      <c r="F58" s="1209"/>
      <c r="H58" s="1209"/>
    </row>
    <row r="59" spans="1:8" x14ac:dyDescent="0.2">
      <c r="B59" s="1209"/>
      <c r="F59" s="1209"/>
      <c r="H59" s="1209"/>
    </row>
    <row r="60" spans="1:8" x14ac:dyDescent="0.2">
      <c r="B60" s="1209"/>
      <c r="F60" s="1209"/>
      <c r="H60" s="1209"/>
    </row>
    <row r="61" spans="1:8" x14ac:dyDescent="0.2">
      <c r="B61" s="1209"/>
      <c r="F61" s="1209"/>
      <c r="H61" s="1209"/>
    </row>
    <row r="62" spans="1:8" ht="12.75" x14ac:dyDescent="0.2">
      <c r="A62" s="1806"/>
      <c r="B62" s="1814" t="s">
        <v>527</v>
      </c>
      <c r="C62" s="1814"/>
      <c r="D62" s="1814"/>
      <c r="E62" s="1814"/>
      <c r="F62" s="1814"/>
      <c r="G62" s="1814"/>
      <c r="H62" s="1814"/>
    </row>
    <row r="63" spans="1:8" ht="12.75" x14ac:dyDescent="0.2">
      <c r="A63" s="1806"/>
      <c r="B63" s="1808"/>
      <c r="C63" s="1808"/>
      <c r="D63" s="1808"/>
      <c r="E63" s="1808"/>
      <c r="F63" s="1808"/>
      <c r="G63" s="1808"/>
      <c r="H63" s="1808"/>
    </row>
    <row r="64" spans="1:8" ht="38.25" x14ac:dyDescent="0.2">
      <c r="A64" s="1218" t="s">
        <v>864</v>
      </c>
      <c r="B64" s="1219" t="s">
        <v>241</v>
      </c>
      <c r="C64" s="1220" t="s">
        <v>316</v>
      </c>
      <c r="D64" s="1220" t="s">
        <v>519</v>
      </c>
      <c r="E64" s="1221" t="s">
        <v>518</v>
      </c>
      <c r="F64" s="1222" t="s">
        <v>243</v>
      </c>
      <c r="G64" s="1223" t="s">
        <v>244</v>
      </c>
      <c r="H64" s="1224" t="s">
        <v>321</v>
      </c>
    </row>
    <row r="65" spans="1:8" x14ac:dyDescent="0.2">
      <c r="A65" s="1225"/>
      <c r="B65" s="1226" t="str">
        <f>B5</f>
        <v>Tomato - طماطم</v>
      </c>
      <c r="C65" s="1226" t="str">
        <f t="shared" ref="C65:F65" si="7">C5</f>
        <v>gm</v>
      </c>
      <c r="D65" s="1226">
        <f t="shared" si="7"/>
        <v>1000</v>
      </c>
      <c r="E65" s="1244">
        <f t="shared" si="7"/>
        <v>0.61657246296501533</v>
      </c>
      <c r="F65" s="1245">
        <f t="shared" si="7"/>
        <v>1</v>
      </c>
      <c r="G65" s="1230">
        <f t="shared" ref="G65:G79" si="8">D65*E65</f>
        <v>616.57246296501535</v>
      </c>
      <c r="H65" s="1231">
        <f t="shared" ref="H65:H79" si="9">G65*F65</f>
        <v>616.57246296501535</v>
      </c>
    </row>
    <row r="66" spans="1:8" x14ac:dyDescent="0.2">
      <c r="A66" s="1225"/>
      <c r="B66" s="1226" t="str">
        <f t="shared" ref="B66:F66" si="10">B6</f>
        <v>Onion - بصل</v>
      </c>
      <c r="C66" s="1226" t="str">
        <f t="shared" si="10"/>
        <v>gm</v>
      </c>
      <c r="D66" s="1226">
        <f t="shared" si="10"/>
        <v>1000</v>
      </c>
      <c r="E66" s="1244">
        <f t="shared" si="10"/>
        <v>0.61657246296501533</v>
      </c>
      <c r="F66" s="1245">
        <f t="shared" si="10"/>
        <v>1</v>
      </c>
      <c r="G66" s="1230">
        <f t="shared" si="8"/>
        <v>616.57246296501535</v>
      </c>
      <c r="H66" s="1231">
        <f t="shared" si="9"/>
        <v>616.57246296501535</v>
      </c>
    </row>
    <row r="67" spans="1:8" x14ac:dyDescent="0.2">
      <c r="A67" s="1225"/>
      <c r="B67" s="1226" t="str">
        <f t="shared" ref="B67:F67" si="11">B7</f>
        <v xml:space="preserve">Red Bell Pepper - فلفل أحمر </v>
      </c>
      <c r="C67" s="1226" t="str">
        <f t="shared" si="11"/>
        <v>gm</v>
      </c>
      <c r="D67" s="1226">
        <f t="shared" si="11"/>
        <v>666</v>
      </c>
      <c r="E67" s="1244">
        <f t="shared" si="11"/>
        <v>0.61657246296501533</v>
      </c>
      <c r="F67" s="1245">
        <f t="shared" si="11"/>
        <v>1</v>
      </c>
      <c r="G67" s="1230">
        <f t="shared" si="8"/>
        <v>410.63726033470022</v>
      </c>
      <c r="H67" s="1231">
        <f t="shared" si="9"/>
        <v>410.63726033470022</v>
      </c>
    </row>
    <row r="68" spans="1:8" x14ac:dyDescent="0.2">
      <c r="A68" s="1225"/>
      <c r="B68" s="1226" t="str">
        <f t="shared" ref="B68:F68" si="12">B8</f>
        <v xml:space="preserve">Yellow Bell Pepper - فلفل أصفر </v>
      </c>
      <c r="C68" s="1226" t="str">
        <f t="shared" si="12"/>
        <v>gm</v>
      </c>
      <c r="D68" s="1226">
        <f t="shared" si="12"/>
        <v>666</v>
      </c>
      <c r="E68" s="1244">
        <f t="shared" si="12"/>
        <v>0.61657246296501533</v>
      </c>
      <c r="F68" s="1245">
        <f t="shared" si="12"/>
        <v>1</v>
      </c>
      <c r="G68" s="1230">
        <f t="shared" si="8"/>
        <v>410.63726033470022</v>
      </c>
      <c r="H68" s="1231">
        <f t="shared" si="9"/>
        <v>410.63726033470022</v>
      </c>
    </row>
    <row r="69" spans="1:8" x14ac:dyDescent="0.2">
      <c r="A69" s="1225"/>
      <c r="B69" s="1226" t="str">
        <f t="shared" ref="B69:F69" si="13">B9</f>
        <v>Green Bell Pepper - فلفل أخضر رومى</v>
      </c>
      <c r="C69" s="1226" t="str">
        <f t="shared" si="13"/>
        <v>gm</v>
      </c>
      <c r="D69" s="1226">
        <f t="shared" si="13"/>
        <v>666</v>
      </c>
      <c r="E69" s="1244">
        <f t="shared" si="13"/>
        <v>0.61657246296501533</v>
      </c>
      <c r="F69" s="1245">
        <f t="shared" si="13"/>
        <v>1</v>
      </c>
      <c r="G69" s="1230">
        <f t="shared" si="8"/>
        <v>410.63726033470022</v>
      </c>
      <c r="H69" s="1231">
        <f t="shared" si="9"/>
        <v>410.63726033470022</v>
      </c>
    </row>
    <row r="70" spans="1:8" x14ac:dyDescent="0.2">
      <c r="A70" s="1225"/>
      <c r="B70" s="1226" t="str">
        <f t="shared" ref="B70:F70" si="14">B10</f>
        <v>Sweet Corn - ذرة حلوة</v>
      </c>
      <c r="C70" s="1226" t="str">
        <f t="shared" si="14"/>
        <v>gm</v>
      </c>
      <c r="D70" s="1226">
        <f t="shared" si="14"/>
        <v>1850</v>
      </c>
      <c r="E70" s="1244">
        <f t="shared" si="14"/>
        <v>0.61657246296501533</v>
      </c>
      <c r="F70" s="1245">
        <f t="shared" si="14"/>
        <v>1</v>
      </c>
      <c r="G70" s="1230">
        <f t="shared" si="8"/>
        <v>1140.6590564852784</v>
      </c>
      <c r="H70" s="1231">
        <f t="shared" si="9"/>
        <v>1140.6590564852784</v>
      </c>
    </row>
    <row r="71" spans="1:8" x14ac:dyDescent="0.2">
      <c r="A71" s="1225"/>
      <c r="B71" s="1226" t="str">
        <f t="shared" ref="B71:F71" si="15">B11</f>
        <v>Tomato Paste - صلصة طماطم</v>
      </c>
      <c r="C71" s="1226" t="str">
        <f t="shared" si="15"/>
        <v>gm</v>
      </c>
      <c r="D71" s="1226">
        <f t="shared" si="15"/>
        <v>1200</v>
      </c>
      <c r="E71" s="1244">
        <f t="shared" si="15"/>
        <v>0.61657246296501533</v>
      </c>
      <c r="F71" s="1245">
        <f t="shared" si="15"/>
        <v>1</v>
      </c>
      <c r="G71" s="1230">
        <f t="shared" si="8"/>
        <v>739.88695555801837</v>
      </c>
      <c r="H71" s="1231">
        <f t="shared" si="9"/>
        <v>739.88695555801837</v>
      </c>
    </row>
    <row r="72" spans="1:8" x14ac:dyDescent="0.2">
      <c r="A72" s="1225"/>
      <c r="B72" s="1226" t="str">
        <f t="shared" ref="B72:F72" si="16">B12</f>
        <v>Butter - زبدة</v>
      </c>
      <c r="C72" s="1226" t="str">
        <f t="shared" si="16"/>
        <v>gm</v>
      </c>
      <c r="D72" s="1226">
        <f t="shared" si="16"/>
        <v>300</v>
      </c>
      <c r="E72" s="1244">
        <f t="shared" si="16"/>
        <v>0.61657246296501533</v>
      </c>
      <c r="F72" s="1245">
        <f t="shared" si="16"/>
        <v>1</v>
      </c>
      <c r="G72" s="1230">
        <f t="shared" si="8"/>
        <v>184.97173888950459</v>
      </c>
      <c r="H72" s="1231">
        <f t="shared" si="9"/>
        <v>184.97173888950459</v>
      </c>
    </row>
    <row r="73" spans="1:8" x14ac:dyDescent="0.2">
      <c r="A73" s="1225"/>
      <c r="B73" s="1226" t="str">
        <f t="shared" ref="B73:F73" si="17">B13</f>
        <v>Paprika Powder - بابريكا مطحون</v>
      </c>
      <c r="C73" s="1226" t="str">
        <f t="shared" si="17"/>
        <v>gm</v>
      </c>
      <c r="D73" s="1226">
        <f t="shared" si="17"/>
        <v>60</v>
      </c>
      <c r="E73" s="1244">
        <f t="shared" si="17"/>
        <v>0.61657246296501533</v>
      </c>
      <c r="F73" s="1245">
        <f t="shared" si="17"/>
        <v>1</v>
      </c>
      <c r="G73" s="1230">
        <f t="shared" si="8"/>
        <v>36.99434777790092</v>
      </c>
      <c r="H73" s="1231">
        <f t="shared" si="9"/>
        <v>36.99434777790092</v>
      </c>
    </row>
    <row r="74" spans="1:8" x14ac:dyDescent="0.2">
      <c r="A74" s="1225"/>
      <c r="B74" s="1226" t="str">
        <f t="shared" ref="B74:F74" si="18">B14</f>
        <v>Curry Powder - كاري بودرة</v>
      </c>
      <c r="C74" s="1226" t="str">
        <f t="shared" si="18"/>
        <v>gm</v>
      </c>
      <c r="D74" s="1226">
        <f t="shared" si="18"/>
        <v>60</v>
      </c>
      <c r="E74" s="1244">
        <f t="shared" si="18"/>
        <v>0.61657246296501533</v>
      </c>
      <c r="F74" s="1245">
        <f t="shared" si="18"/>
        <v>1</v>
      </c>
      <c r="G74" s="1230">
        <f t="shared" si="8"/>
        <v>36.99434777790092</v>
      </c>
      <c r="H74" s="1231">
        <f t="shared" si="9"/>
        <v>36.99434777790092</v>
      </c>
    </row>
    <row r="75" spans="1:8" x14ac:dyDescent="0.2">
      <c r="A75" s="1225"/>
      <c r="B75" s="1226" t="str">
        <f t="shared" ref="B75:F75" si="19">B15</f>
        <v>Fresh Thyme - بذور الزعتر</v>
      </c>
      <c r="C75" s="1226" t="str">
        <f t="shared" si="19"/>
        <v>gm</v>
      </c>
      <c r="D75" s="1226">
        <f t="shared" si="19"/>
        <v>40</v>
      </c>
      <c r="E75" s="1244">
        <f t="shared" si="19"/>
        <v>0.61657246296501533</v>
      </c>
      <c r="F75" s="1245">
        <f t="shared" si="19"/>
        <v>1</v>
      </c>
      <c r="G75" s="1230">
        <f t="shared" si="8"/>
        <v>24.662898518600613</v>
      </c>
      <c r="H75" s="1231">
        <f t="shared" si="9"/>
        <v>24.662898518600613</v>
      </c>
    </row>
    <row r="76" spans="1:8" x14ac:dyDescent="0.2">
      <c r="A76" s="1225"/>
      <c r="B76" s="1226" t="str">
        <f t="shared" ref="B76:F76" si="20">B16</f>
        <v>Rosemary - روزميري مستورد</v>
      </c>
      <c r="C76" s="1226" t="str">
        <f t="shared" si="20"/>
        <v>gm</v>
      </c>
      <c r="D76" s="1226">
        <f t="shared" si="20"/>
        <v>40</v>
      </c>
      <c r="E76" s="1244">
        <f t="shared" si="20"/>
        <v>0.61657246296501533</v>
      </c>
      <c r="F76" s="1245">
        <f t="shared" si="20"/>
        <v>1</v>
      </c>
      <c r="G76" s="1230">
        <f t="shared" si="8"/>
        <v>24.662898518600613</v>
      </c>
      <c r="H76" s="1231">
        <f t="shared" si="9"/>
        <v>24.662898518600613</v>
      </c>
    </row>
    <row r="77" spans="1:8" x14ac:dyDescent="0.2">
      <c r="A77" s="1225"/>
      <c r="B77" s="1226" t="str">
        <f t="shared" ref="B77:F77" si="21">B17</f>
        <v>Maggi Cubes - مكعبات ماجي</v>
      </c>
      <c r="C77" s="1226" t="str">
        <f t="shared" si="21"/>
        <v>gm</v>
      </c>
      <c r="D77" s="1226">
        <f t="shared" si="21"/>
        <v>50</v>
      </c>
      <c r="E77" s="1244">
        <f t="shared" si="21"/>
        <v>0.61657246296501533</v>
      </c>
      <c r="F77" s="1245">
        <f t="shared" si="21"/>
        <v>1</v>
      </c>
      <c r="G77" s="1230">
        <f t="shared" si="8"/>
        <v>30.828623148250767</v>
      </c>
      <c r="H77" s="1231">
        <f t="shared" si="9"/>
        <v>30.828623148250767</v>
      </c>
    </row>
    <row r="78" spans="1:8" ht="25.5" x14ac:dyDescent="0.2">
      <c r="A78" s="1225"/>
      <c r="B78" s="1226" t="str">
        <f t="shared" ref="B78:F78" si="22">B18</f>
        <v>Black Pepper Powder - فلفل أسود مطحون</v>
      </c>
      <c r="C78" s="1226" t="str">
        <f t="shared" si="22"/>
        <v>gm</v>
      </c>
      <c r="D78" s="1226">
        <f t="shared" si="22"/>
        <v>30</v>
      </c>
      <c r="E78" s="1244">
        <f t="shared" si="22"/>
        <v>0.61657246296501533</v>
      </c>
      <c r="F78" s="1245">
        <f t="shared" si="22"/>
        <v>1</v>
      </c>
      <c r="G78" s="1230">
        <f t="shared" si="8"/>
        <v>18.49717388895046</v>
      </c>
      <c r="H78" s="1231">
        <f t="shared" si="9"/>
        <v>18.49717388895046</v>
      </c>
    </row>
    <row r="79" spans="1:8" x14ac:dyDescent="0.2">
      <c r="A79" s="1225"/>
      <c r="B79" s="1226" t="str">
        <f t="shared" ref="B79:F79" si="23">B19</f>
        <v>Salt - ملح</v>
      </c>
      <c r="C79" s="1226" t="str">
        <f t="shared" si="23"/>
        <v>gm</v>
      </c>
      <c r="D79" s="1226">
        <f t="shared" si="23"/>
        <v>60</v>
      </c>
      <c r="E79" s="1244">
        <f t="shared" si="23"/>
        <v>0.61657246296501533</v>
      </c>
      <c r="F79" s="1245">
        <f t="shared" si="23"/>
        <v>1</v>
      </c>
      <c r="G79" s="1230">
        <f t="shared" si="8"/>
        <v>36.99434777790092</v>
      </c>
      <c r="H79" s="1231">
        <f t="shared" si="9"/>
        <v>36.99434777790092</v>
      </c>
    </row>
    <row r="80" spans="1:8" ht="18" x14ac:dyDescent="0.2">
      <c r="B80" s="1044" t="s">
        <v>273</v>
      </c>
    </row>
    <row r="81" spans="2:2" ht="20.25" x14ac:dyDescent="0.3">
      <c r="B81" s="1047">
        <f>$D$52</f>
        <v>2781.6666666666665</v>
      </c>
    </row>
  </sheetData>
  <mergeCells count="8">
    <mergeCell ref="A62:A63"/>
    <mergeCell ref="B62:H63"/>
    <mergeCell ref="A2:A3"/>
    <mergeCell ref="B2:H3"/>
    <mergeCell ref="K2:K3"/>
    <mergeCell ref="R25:T25"/>
    <mergeCell ref="N22:O22"/>
    <mergeCell ref="N16:O16"/>
  </mergeCells>
  <printOptions horizontalCentered="1"/>
  <pageMargins left="0.4" right="0.4" top="1" bottom="0.5" header="0.3" footer="0.511811023622047"/>
  <pageSetup paperSize="9" scale="30"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C930E-AD5D-4FFE-8835-A8B3FC3F8B40}">
  <sheetPr codeName="Sheet89">
    <tabColor rgb="FF00B050"/>
    <pageSetUpPr fitToPage="1"/>
  </sheetPr>
  <dimension ref="A1:AF87"/>
  <sheetViews>
    <sheetView topLeftCell="A40" zoomScale="70" zoomScaleNormal="70" workbookViewId="0">
      <selection activeCell="D72" sqref="D72"/>
    </sheetView>
  </sheetViews>
  <sheetFormatPr defaultColWidth="12.5" defaultRowHeight="15" x14ac:dyDescent="0.25"/>
  <cols>
    <col min="1" max="1" width="28.87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3.7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625" style="14" customWidth="1"/>
    <col min="25" max="25" width="8.625" style="14" customWidth="1"/>
    <col min="26" max="28" width="12.625" style="14" customWidth="1"/>
    <col min="29" max="29" width="18.625" style="14" customWidth="1"/>
    <col min="30" max="30" width="8.625" style="14" customWidth="1"/>
    <col min="31" max="31" width="12.625" style="14" customWidth="1"/>
    <col min="32" max="32" width="8.625" style="14" customWidth="1"/>
    <col min="33" max="35" width="2.875" style="14" customWidth="1"/>
    <col min="36" max="16384" width="12.5" style="14"/>
  </cols>
  <sheetData>
    <row r="1" spans="1:32" ht="25.5" x14ac:dyDescent="0.25">
      <c r="B1" s="913" t="s">
        <v>330</v>
      </c>
      <c r="C1" s="914">
        <v>1</v>
      </c>
      <c r="D1" s="915" t="s">
        <v>232</v>
      </c>
      <c r="E1" s="941">
        <f>U32</f>
        <v>153</v>
      </c>
      <c r="F1" s="913" t="s">
        <v>233</v>
      </c>
      <c r="G1" s="941">
        <f>E1/C1</f>
        <v>153</v>
      </c>
      <c r="H1" s="913" t="s">
        <v>234</v>
      </c>
      <c r="I1" s="1185"/>
      <c r="J1" s="209" t="s">
        <v>235</v>
      </c>
      <c r="K1" s="210">
        <v>1</v>
      </c>
      <c r="L1" s="80"/>
      <c r="M1" s="80"/>
      <c r="N1" s="80"/>
      <c r="O1" s="923" t="s">
        <v>236</v>
      </c>
      <c r="P1" s="914" t="s">
        <v>237</v>
      </c>
      <c r="Q1" s="924" t="s">
        <v>238</v>
      </c>
      <c r="R1" s="914">
        <v>0.89</v>
      </c>
      <c r="S1" s="924" t="s">
        <v>332</v>
      </c>
      <c r="T1" s="1186">
        <v>100</v>
      </c>
      <c r="U1" s="80"/>
      <c r="V1" s="80"/>
      <c r="W1" s="890"/>
      <c r="Y1" s="923" t="s">
        <v>444</v>
      </c>
      <c r="Z1" s="925">
        <v>148</v>
      </c>
      <c r="AA1" s="923" t="s">
        <v>544</v>
      </c>
      <c r="AB1" s="925">
        <v>5</v>
      </c>
      <c r="AC1" s="923" t="s">
        <v>537</v>
      </c>
      <c r="AD1" s="925">
        <v>148</v>
      </c>
      <c r="AE1" s="923" t="s">
        <v>529</v>
      </c>
      <c r="AF1" s="925">
        <f>Z1+AB1</f>
        <v>153</v>
      </c>
    </row>
    <row r="2" spans="1:32" x14ac:dyDescent="0.25">
      <c r="A2" s="863"/>
      <c r="B2" s="1784" t="s">
        <v>822</v>
      </c>
      <c r="C2" s="1784"/>
      <c r="D2" s="1784"/>
      <c r="E2" s="1784"/>
      <c r="F2" s="1784"/>
      <c r="G2" s="1784"/>
      <c r="H2" s="1784"/>
      <c r="I2" s="327"/>
      <c r="J2" s="327"/>
      <c r="K2" s="1183"/>
      <c r="L2" s="187"/>
      <c r="M2" s="80"/>
      <c r="N2" s="80"/>
      <c r="O2" s="80"/>
      <c r="P2" s="80"/>
      <c r="Q2" s="80"/>
      <c r="R2" s="80"/>
      <c r="S2" s="80"/>
      <c r="T2" s="80"/>
      <c r="U2" s="80"/>
      <c r="W2" s="890"/>
    </row>
    <row r="3" spans="1:32" x14ac:dyDescent="0.25">
      <c r="A3" s="863"/>
      <c r="B3" s="1791"/>
      <c r="C3" s="1791"/>
      <c r="D3" s="1791"/>
      <c r="E3" s="1791"/>
      <c r="F3" s="1791"/>
      <c r="G3" s="1791"/>
      <c r="H3" s="1791"/>
      <c r="I3" s="1187"/>
      <c r="J3" s="1187"/>
      <c r="K3" s="1188"/>
      <c r="L3" s="187"/>
      <c r="M3" s="80"/>
      <c r="N3" s="80"/>
      <c r="O3" s="80"/>
      <c r="P3" s="80"/>
      <c r="Q3" s="80"/>
      <c r="R3" s="80"/>
      <c r="S3" s="80"/>
      <c r="T3" s="80"/>
      <c r="U3" s="80"/>
      <c r="W3" s="890"/>
    </row>
    <row r="4" spans="1:32" ht="25.5" x14ac:dyDescent="0.2">
      <c r="A4" s="933" t="s">
        <v>864</v>
      </c>
      <c r="B4" s="923" t="s">
        <v>241</v>
      </c>
      <c r="C4" s="934" t="s">
        <v>242</v>
      </c>
      <c r="D4" s="923" t="s">
        <v>231</v>
      </c>
      <c r="E4" s="935" t="s">
        <v>234</v>
      </c>
      <c r="F4" s="935" t="s">
        <v>243</v>
      </c>
      <c r="G4" s="923" t="s">
        <v>244</v>
      </c>
      <c r="H4" s="936" t="s">
        <v>334</v>
      </c>
      <c r="I4" s="923" t="s">
        <v>246</v>
      </c>
      <c r="J4" s="923" t="s">
        <v>247</v>
      </c>
      <c r="K4" s="923" t="s">
        <v>248</v>
      </c>
      <c r="L4" s="923" t="s">
        <v>249</v>
      </c>
      <c r="M4" s="235"/>
      <c r="N4" s="80"/>
      <c r="O4" s="80"/>
      <c r="P4" s="80"/>
      <c r="Q4" s="80"/>
      <c r="R4" s="80"/>
      <c r="S4" s="80"/>
      <c r="T4" s="890"/>
      <c r="W4" s="890"/>
    </row>
    <row r="5" spans="1:32" x14ac:dyDescent="0.25">
      <c r="A5" s="949" t="s">
        <v>878</v>
      </c>
      <c r="B5" s="1130" t="s">
        <v>821</v>
      </c>
      <c r="C5" s="1247" t="s">
        <v>14</v>
      </c>
      <c r="D5" s="1248">
        <v>120</v>
      </c>
      <c r="E5" s="1248">
        <f>G1</f>
        <v>153</v>
      </c>
      <c r="F5" s="948">
        <v>1</v>
      </c>
      <c r="G5" s="940">
        <f>D5*E5</f>
        <v>18360</v>
      </c>
      <c r="H5" s="943">
        <f>G5*F5</f>
        <v>18360</v>
      </c>
      <c r="I5" s="914">
        <f>VLOOKUP(B5,All_Ingredients!$A$1:$F$161,6,FALSE())</f>
        <v>0.95</v>
      </c>
      <c r="J5" s="940">
        <f>VLOOKUP(B5,All_Ingredients!$A$1:$J$161,10,FALSE())</f>
        <v>17.100000000000001</v>
      </c>
      <c r="K5" s="945">
        <f>(H5/I5)/1000</f>
        <v>19.326315789473686</v>
      </c>
      <c r="L5" s="945">
        <f>K5*J5</f>
        <v>330.48000000000008</v>
      </c>
      <c r="M5" s="87"/>
      <c r="R5" s="890"/>
      <c r="T5" s="890"/>
      <c r="W5" s="890"/>
    </row>
    <row r="6" spans="1:32" ht="28.5" x14ac:dyDescent="0.25">
      <c r="A6" s="949"/>
      <c r="B6" s="1130" t="s">
        <v>775</v>
      </c>
      <c r="C6" s="947" t="s">
        <v>230</v>
      </c>
      <c r="D6" s="1248">
        <v>1</v>
      </c>
      <c r="E6" s="1248">
        <f>$G$1</f>
        <v>153</v>
      </c>
      <c r="F6" s="948">
        <v>1</v>
      </c>
      <c r="G6" s="940">
        <f>D6*E6</f>
        <v>153</v>
      </c>
      <c r="H6" s="943">
        <f>G6*F6</f>
        <v>153</v>
      </c>
      <c r="I6" s="914">
        <f>VLOOKUP(B6,All_Ingredients!$A$1:$F$161,6,FALSE())</f>
        <v>1</v>
      </c>
      <c r="J6" s="940">
        <f>VLOOKUP(B6,All_Ingredients!$A$1:$J$161,10,FALSE())</f>
        <v>0.6</v>
      </c>
      <c r="K6" s="945">
        <f t="shared" ref="K6:K9" si="0">(H6/I6)/1000</f>
        <v>0.153</v>
      </c>
      <c r="L6" s="945">
        <f t="shared" ref="L6:L9" si="1">K6*J6</f>
        <v>9.1799999999999993E-2</v>
      </c>
      <c r="M6" s="87"/>
      <c r="R6" s="890"/>
      <c r="T6" s="890"/>
      <c r="W6" s="890"/>
    </row>
    <row r="7" spans="1:32" ht="28.5" x14ac:dyDescent="0.25">
      <c r="A7" s="1249" t="s">
        <v>888</v>
      </c>
      <c r="B7" s="1130" t="s">
        <v>951</v>
      </c>
      <c r="C7" s="1247" t="s">
        <v>14</v>
      </c>
      <c r="D7" s="1248">
        <v>10</v>
      </c>
      <c r="E7" s="1248">
        <f>$G$1</f>
        <v>153</v>
      </c>
      <c r="F7" s="948">
        <v>1</v>
      </c>
      <c r="G7" s="944">
        <f>D7*($Z$1+$AB$1)</f>
        <v>1530</v>
      </c>
      <c r="H7" s="943">
        <f>G7*F7</f>
        <v>1530</v>
      </c>
      <c r="I7" s="914">
        <f>VLOOKUP(B7,All_Ingredients!$A$1:$F$161,6,FALSE())</f>
        <v>0.5</v>
      </c>
      <c r="J7" s="940">
        <f>VLOOKUP(B7,All_Ingredients!$A$1:$J$161,10,FALSE())</f>
        <v>8.5</v>
      </c>
      <c r="K7" s="945">
        <f t="shared" si="0"/>
        <v>3.06</v>
      </c>
      <c r="L7" s="945">
        <f t="shared" si="1"/>
        <v>26.01</v>
      </c>
      <c r="M7" s="87"/>
      <c r="R7" s="890"/>
      <c r="T7" s="890"/>
      <c r="W7" s="890"/>
    </row>
    <row r="8" spans="1:32" x14ac:dyDescent="0.25">
      <c r="A8" s="1249" t="s">
        <v>882</v>
      </c>
      <c r="B8" s="1068" t="s">
        <v>807</v>
      </c>
      <c r="C8" s="1247" t="s">
        <v>14</v>
      </c>
      <c r="D8" s="1248">
        <v>25</v>
      </c>
      <c r="E8" s="1248">
        <f>$G$1</f>
        <v>153</v>
      </c>
      <c r="F8" s="948">
        <v>1</v>
      </c>
      <c r="G8" s="940">
        <f t="shared" ref="G8" si="2">D8*E8</f>
        <v>3825</v>
      </c>
      <c r="H8" s="943">
        <f t="shared" ref="H8:H10" si="3">G8*F8</f>
        <v>3825</v>
      </c>
      <c r="I8" s="914">
        <f>VLOOKUP(B8,All_Ingredients!$A$1:$F$161,6,FALSE())</f>
        <v>0.66</v>
      </c>
      <c r="J8" s="940">
        <f>VLOOKUP(B8,All_Ingredients!$A$1:$J$161,10,FALSE())</f>
        <v>3.5</v>
      </c>
      <c r="K8" s="945">
        <f t="shared" si="0"/>
        <v>5.795454545454545</v>
      </c>
      <c r="L8" s="945">
        <f t="shared" si="1"/>
        <v>20.284090909090907</v>
      </c>
      <c r="M8" s="87"/>
      <c r="R8" s="890"/>
      <c r="T8" s="890"/>
      <c r="W8" s="890"/>
    </row>
    <row r="9" spans="1:32" x14ac:dyDescent="0.25">
      <c r="A9" s="1249" t="s">
        <v>888</v>
      </c>
      <c r="B9" s="1130" t="s">
        <v>824</v>
      </c>
      <c r="C9" s="1247" t="s">
        <v>14</v>
      </c>
      <c r="D9" s="1248">
        <v>10</v>
      </c>
      <c r="E9" s="1248">
        <f>$G$1</f>
        <v>153</v>
      </c>
      <c r="F9" s="948">
        <v>1</v>
      </c>
      <c r="G9" s="944">
        <f t="shared" ref="G9" si="4">D9*($Z$1+$AB$1)</f>
        <v>1530</v>
      </c>
      <c r="H9" s="943">
        <f t="shared" si="3"/>
        <v>1530</v>
      </c>
      <c r="I9" s="914">
        <f>VLOOKUP(B9,All_Ingredients!$A$1:$F$161,6,FALSE())</f>
        <v>0.81</v>
      </c>
      <c r="J9" s="940">
        <f>VLOOKUP(B9,All_Ingredients!$A$1:$J$161,10,FALSE())</f>
        <v>3</v>
      </c>
      <c r="K9" s="945">
        <f t="shared" si="0"/>
        <v>1.8888888888888886</v>
      </c>
      <c r="L9" s="945">
        <f t="shared" si="1"/>
        <v>5.6666666666666661</v>
      </c>
      <c r="M9" s="87"/>
      <c r="R9" s="890"/>
      <c r="T9" s="890"/>
      <c r="W9" s="890"/>
    </row>
    <row r="10" spans="1:32" x14ac:dyDescent="0.25">
      <c r="A10" s="949"/>
      <c r="B10" s="1130" t="s">
        <v>948</v>
      </c>
      <c r="C10" s="1247" t="s">
        <v>14</v>
      </c>
      <c r="D10" s="1248">
        <v>20</v>
      </c>
      <c r="E10" s="1248">
        <f>$G$1</f>
        <v>153</v>
      </c>
      <c r="F10" s="948">
        <v>1</v>
      </c>
      <c r="G10" s="940">
        <f t="shared" ref="G10" si="5">D10*E10</f>
        <v>3060</v>
      </c>
      <c r="H10" s="943">
        <f t="shared" si="3"/>
        <v>3060</v>
      </c>
      <c r="I10" s="914">
        <f>VLOOKUP(B10,All_Ingredients!$A$1:$F$161,6,FALSE())</f>
        <v>1</v>
      </c>
      <c r="J10" s="940">
        <f>VLOOKUP(B10,All_Ingredients!$A$1:$J$161,10,FALSE())</f>
        <v>21.527777777777779</v>
      </c>
      <c r="K10" s="945">
        <f>(H10/I10)/1000</f>
        <v>3.06</v>
      </c>
      <c r="L10" s="945">
        <f>K10*J10</f>
        <v>65.875</v>
      </c>
      <c r="M10" s="87"/>
      <c r="R10" s="890"/>
      <c r="T10" s="890"/>
      <c r="W10" s="890"/>
    </row>
    <row r="11" spans="1:32" x14ac:dyDescent="0.25">
      <c r="B11" s="1175"/>
      <c r="C11" s="228"/>
      <c r="D11" s="92"/>
      <c r="E11" s="92"/>
      <c r="F11" s="900"/>
      <c r="G11" s="92"/>
      <c r="H11" s="901"/>
      <c r="I11" s="73"/>
      <c r="J11" s="92"/>
      <c r="K11" s="87"/>
      <c r="L11" s="87"/>
      <c r="M11" s="87"/>
      <c r="R11" s="890"/>
      <c r="T11" s="890"/>
      <c r="W11" s="890"/>
    </row>
    <row r="12" spans="1:32" ht="15.75" x14ac:dyDescent="0.25">
      <c r="B12" s="1191" t="s">
        <v>1015</v>
      </c>
      <c r="C12" s="1783" t="s">
        <v>823</v>
      </c>
      <c r="D12" s="1783"/>
      <c r="E12" s="1783"/>
      <c r="F12" s="1783"/>
      <c r="G12" s="930"/>
      <c r="H12" s="930"/>
      <c r="I12" s="930"/>
      <c r="J12" s="930"/>
      <c r="K12" s="930"/>
      <c r="L12" s="930"/>
      <c r="M12" s="87"/>
      <c r="R12" s="890"/>
      <c r="T12" s="890"/>
      <c r="W12" s="890"/>
    </row>
    <row r="13" spans="1:32" x14ac:dyDescent="0.25">
      <c r="B13" s="926" t="s">
        <v>250</v>
      </c>
      <c r="C13" s="926">
        <v>10000</v>
      </c>
      <c r="D13" s="927" t="s">
        <v>476</v>
      </c>
      <c r="E13" s="928">
        <f>$S$32*$T$1</f>
        <v>15300</v>
      </c>
      <c r="F13" s="926" t="s">
        <v>239</v>
      </c>
      <c r="G13" s="929">
        <f>(($S$32*$T$1)/$R$1)/$C$13</f>
        <v>1.7191011235955056</v>
      </c>
      <c r="H13" s="1207"/>
      <c r="I13" s="1207"/>
      <c r="J13" s="1207"/>
      <c r="K13" s="1207"/>
      <c r="L13" s="1207"/>
      <c r="M13" s="87"/>
      <c r="R13" s="890"/>
      <c r="T13" s="890"/>
      <c r="W13" s="890"/>
    </row>
    <row r="14" spans="1:32" ht="38.25" x14ac:dyDescent="0.25">
      <c r="B14" s="926" t="s">
        <v>241</v>
      </c>
      <c r="C14" s="926" t="s">
        <v>242</v>
      </c>
      <c r="D14" s="926" t="s">
        <v>250</v>
      </c>
      <c r="E14" s="926" t="s">
        <v>234</v>
      </c>
      <c r="F14" s="926" t="s">
        <v>243</v>
      </c>
      <c r="G14" s="926" t="s">
        <v>244</v>
      </c>
      <c r="H14" s="926" t="s">
        <v>245</v>
      </c>
      <c r="I14" s="926" t="s">
        <v>246</v>
      </c>
      <c r="J14" s="926" t="s">
        <v>247</v>
      </c>
      <c r="K14" s="926" t="s">
        <v>248</v>
      </c>
      <c r="L14" s="926" t="s">
        <v>249</v>
      </c>
      <c r="M14" s="87"/>
      <c r="R14" s="890"/>
      <c r="T14" s="890"/>
      <c r="W14" s="890"/>
    </row>
    <row r="15" spans="1:32" x14ac:dyDescent="0.25">
      <c r="B15" s="1130" t="s">
        <v>93</v>
      </c>
      <c r="C15" s="951" t="s">
        <v>14</v>
      </c>
      <c r="D15" s="1248">
        <v>100</v>
      </c>
      <c r="E15" s="1040">
        <f>$G$13</f>
        <v>1.7191011235955056</v>
      </c>
      <c r="F15" s="948">
        <v>1</v>
      </c>
      <c r="G15" s="940">
        <f t="shared" ref="G15:G24" si="6">D15*E15</f>
        <v>171.91011235955057</v>
      </c>
      <c r="H15" s="943">
        <f t="shared" ref="H15:H24" si="7">F15*G15</f>
        <v>171.91011235955057</v>
      </c>
      <c r="I15" s="914">
        <f>VLOOKUP(B15,All_Ingredients!$A$1:$F$161,6,FALSE())</f>
        <v>1</v>
      </c>
      <c r="J15" s="940">
        <f>VLOOKUP(B15,All_Ingredients!$A$1:$J$161,10,FALSE())</f>
        <v>0.74</v>
      </c>
      <c r="K15" s="945">
        <f>(H15/I15)/1000</f>
        <v>0.17191011235955056</v>
      </c>
      <c r="L15" s="945">
        <f>K15*J15</f>
        <v>0.12721348314606742</v>
      </c>
      <c r="M15" s="87"/>
      <c r="R15" s="890"/>
      <c r="T15" s="890"/>
      <c r="W15" s="890"/>
    </row>
    <row r="16" spans="1:32" ht="28.5" x14ac:dyDescent="0.25">
      <c r="B16" s="1130" t="s">
        <v>99</v>
      </c>
      <c r="C16" s="951" t="s">
        <v>14</v>
      </c>
      <c r="D16" s="1248">
        <v>50</v>
      </c>
      <c r="E16" s="1040">
        <f t="shared" ref="E16:E24" si="8">$G$13</f>
        <v>1.7191011235955056</v>
      </c>
      <c r="F16" s="948">
        <v>1</v>
      </c>
      <c r="G16" s="940">
        <f t="shared" si="6"/>
        <v>85.955056179775283</v>
      </c>
      <c r="H16" s="943">
        <f t="shared" si="7"/>
        <v>85.955056179775283</v>
      </c>
      <c r="I16" s="914">
        <f>VLOOKUP(B16,All_Ingredients!$A$1:$F$161,6,FALSE())</f>
        <v>1</v>
      </c>
      <c r="J16" s="940">
        <f>VLOOKUP(B16,All_Ingredients!$A$1:$J$161,10,FALSE())</f>
        <v>31</v>
      </c>
      <c r="K16" s="945">
        <f t="shared" ref="K16:K24" si="9">(H16/I16)/1000</f>
        <v>8.595505617977528E-2</v>
      </c>
      <c r="L16" s="945">
        <f t="shared" ref="L16:L24" si="10">K16*J16</f>
        <v>2.6646067415730337</v>
      </c>
    </row>
    <row r="17" spans="2:31" x14ac:dyDescent="0.25">
      <c r="B17" s="1130" t="s">
        <v>706</v>
      </c>
      <c r="C17" s="951" t="s">
        <v>14</v>
      </c>
      <c r="D17" s="1248">
        <v>150</v>
      </c>
      <c r="E17" s="1040">
        <f t="shared" si="8"/>
        <v>1.7191011235955056</v>
      </c>
      <c r="F17" s="948">
        <v>1</v>
      </c>
      <c r="G17" s="940">
        <f t="shared" si="6"/>
        <v>257.86516853932585</v>
      </c>
      <c r="H17" s="943">
        <f t="shared" si="7"/>
        <v>257.86516853932585</v>
      </c>
      <c r="I17" s="914">
        <f>VLOOKUP(B17,All_Ingredients!$A$1:$F$161,6,FALSE())</f>
        <v>1</v>
      </c>
      <c r="J17" s="940">
        <f>VLOOKUP(B17,All_Ingredients!$A$1:$J$161,10,FALSE())</f>
        <v>10.5</v>
      </c>
      <c r="K17" s="945">
        <f t="shared" si="9"/>
        <v>0.25786516853932584</v>
      </c>
      <c r="L17" s="945">
        <f t="shared" si="10"/>
        <v>2.7075842696629211</v>
      </c>
    </row>
    <row r="18" spans="2:31" x14ac:dyDescent="0.25">
      <c r="B18" s="1130" t="s">
        <v>82</v>
      </c>
      <c r="C18" s="951" t="s">
        <v>14</v>
      </c>
      <c r="D18" s="1248">
        <v>50</v>
      </c>
      <c r="E18" s="1040">
        <f t="shared" si="8"/>
        <v>1.7191011235955056</v>
      </c>
      <c r="F18" s="948">
        <v>1</v>
      </c>
      <c r="G18" s="940">
        <f t="shared" si="6"/>
        <v>85.955056179775283</v>
      </c>
      <c r="H18" s="943">
        <f t="shared" si="7"/>
        <v>85.955056179775283</v>
      </c>
      <c r="I18" s="914">
        <f>VLOOKUP(B18,All_Ingredients!$A$1:$F$161,6,FALSE())</f>
        <v>1</v>
      </c>
      <c r="J18" s="940">
        <f>VLOOKUP(B18,All_Ingredients!$A$1:$J$161,10,FALSE())</f>
        <v>147.88732394366198</v>
      </c>
      <c r="K18" s="945">
        <f t="shared" si="9"/>
        <v>8.595505617977528E-2</v>
      </c>
      <c r="L18" s="945">
        <f t="shared" si="10"/>
        <v>12.711663237854092</v>
      </c>
    </row>
    <row r="19" spans="2:31" x14ac:dyDescent="0.25">
      <c r="B19" s="1130" t="s">
        <v>64</v>
      </c>
      <c r="C19" s="951" t="s">
        <v>14</v>
      </c>
      <c r="D19" s="1248">
        <v>200</v>
      </c>
      <c r="E19" s="1040">
        <f t="shared" si="8"/>
        <v>1.7191011235955056</v>
      </c>
      <c r="F19" s="948">
        <v>1</v>
      </c>
      <c r="G19" s="940">
        <f t="shared" si="6"/>
        <v>343.82022471910113</v>
      </c>
      <c r="H19" s="943">
        <f t="shared" si="7"/>
        <v>343.82022471910113</v>
      </c>
      <c r="I19" s="914">
        <f>VLOOKUP(B19,All_Ingredients!$A$1:$F$161,6,FALSE())</f>
        <v>0.65</v>
      </c>
      <c r="J19" s="940">
        <f>VLOOKUP(B19,All_Ingredients!$A$1:$J$161,10,FALSE())</f>
        <v>3.5</v>
      </c>
      <c r="K19" s="945">
        <f t="shared" si="9"/>
        <v>0.52895419187554027</v>
      </c>
      <c r="L19" s="945">
        <f t="shared" si="10"/>
        <v>1.8513396715643911</v>
      </c>
    </row>
    <row r="20" spans="2:31" ht="28.5" x14ac:dyDescent="0.25">
      <c r="B20" s="1130" t="s">
        <v>825</v>
      </c>
      <c r="C20" s="951" t="s">
        <v>826</v>
      </c>
      <c r="D20" s="1248">
        <v>50</v>
      </c>
      <c r="E20" s="1040">
        <f t="shared" si="8"/>
        <v>1.7191011235955056</v>
      </c>
      <c r="F20" s="948">
        <v>1</v>
      </c>
      <c r="G20" s="940">
        <f t="shared" si="6"/>
        <v>85.955056179775283</v>
      </c>
      <c r="H20" s="943">
        <f t="shared" si="7"/>
        <v>85.955056179775283</v>
      </c>
      <c r="I20" s="914">
        <f>VLOOKUP(B20,All_Ingredients!$A$1:$F$161,6,FALSE())</f>
        <v>0.9</v>
      </c>
      <c r="J20" s="940">
        <f>VLOOKUP(B20,All_Ingredients!$A$1:$J$161,10,FALSE())</f>
        <v>4.5</v>
      </c>
      <c r="K20" s="945">
        <f t="shared" si="9"/>
        <v>9.5505617977528087E-2</v>
      </c>
      <c r="L20" s="945">
        <f t="shared" si="10"/>
        <v>0.4297752808988764</v>
      </c>
    </row>
    <row r="21" spans="2:31" ht="28.5" x14ac:dyDescent="0.25">
      <c r="B21" s="1130" t="s">
        <v>188</v>
      </c>
      <c r="C21" s="951" t="s">
        <v>14</v>
      </c>
      <c r="D21" s="1248">
        <v>700</v>
      </c>
      <c r="E21" s="1040">
        <f t="shared" si="8"/>
        <v>1.7191011235955056</v>
      </c>
      <c r="F21" s="948">
        <v>1</v>
      </c>
      <c r="G21" s="940">
        <f t="shared" si="6"/>
        <v>1203.370786516854</v>
      </c>
      <c r="H21" s="943">
        <f t="shared" si="7"/>
        <v>1203.370786516854</v>
      </c>
      <c r="I21" s="914">
        <f>VLOOKUP(B21,All_Ingredients!$A$1:$F$161,6,FALSE())</f>
        <v>1</v>
      </c>
      <c r="J21" s="940">
        <f>VLOOKUP(B21,All_Ingredients!$A$1:$J$161,10,FALSE())</f>
        <v>8.5</v>
      </c>
      <c r="K21" s="945">
        <f t="shared" si="9"/>
        <v>1.2033707865168539</v>
      </c>
      <c r="L21" s="945">
        <f t="shared" si="10"/>
        <v>10.228651685393258</v>
      </c>
    </row>
    <row r="22" spans="2:31" x14ac:dyDescent="0.25">
      <c r="B22" s="1130" t="s">
        <v>229</v>
      </c>
      <c r="C22" s="951" t="s">
        <v>230</v>
      </c>
      <c r="D22" s="1248">
        <v>20</v>
      </c>
      <c r="E22" s="1040">
        <f t="shared" si="8"/>
        <v>1.7191011235955056</v>
      </c>
      <c r="F22" s="948">
        <v>1</v>
      </c>
      <c r="G22" s="940">
        <f t="shared" si="6"/>
        <v>34.382022471910112</v>
      </c>
      <c r="H22" s="943">
        <f t="shared" si="7"/>
        <v>34.382022471910112</v>
      </c>
      <c r="I22" s="914">
        <f>VLOOKUP(B22,All_Ingredients!$A$1:$F$161,6,FALSE())</f>
        <v>1</v>
      </c>
      <c r="J22" s="940">
        <f>VLOOKUP(B22,All_Ingredients!$A$1:$J$161,10,FALSE())</f>
        <v>0.43333333333333335</v>
      </c>
      <c r="K22" s="945">
        <f t="shared" si="9"/>
        <v>3.4382022471910113E-2</v>
      </c>
      <c r="L22" s="945">
        <f t="shared" si="10"/>
        <v>1.4898876404494383E-2</v>
      </c>
    </row>
    <row r="23" spans="2:31" x14ac:dyDescent="0.25">
      <c r="B23" s="1130" t="s">
        <v>829</v>
      </c>
      <c r="C23" s="951" t="s">
        <v>14</v>
      </c>
      <c r="D23" s="1248">
        <v>500</v>
      </c>
      <c r="E23" s="1040">
        <f t="shared" si="8"/>
        <v>1.7191011235955056</v>
      </c>
      <c r="F23" s="948">
        <v>1</v>
      </c>
      <c r="G23" s="940">
        <f t="shared" si="6"/>
        <v>859.55056179775283</v>
      </c>
      <c r="H23" s="943">
        <f t="shared" si="7"/>
        <v>859.55056179775283</v>
      </c>
      <c r="I23" s="914">
        <f>VLOOKUP(B23,All_Ingredients!$A$1:$F$161,6,FALSE())</f>
        <v>1</v>
      </c>
      <c r="J23" s="940">
        <f>VLOOKUP(B23,All_Ingredients!$A$1:$J$161,10,FALSE())</f>
        <v>0</v>
      </c>
      <c r="K23" s="945">
        <f t="shared" si="9"/>
        <v>0.8595505617977528</v>
      </c>
      <c r="L23" s="945">
        <f t="shared" si="10"/>
        <v>0</v>
      </c>
    </row>
    <row r="24" spans="2:31" x14ac:dyDescent="0.25">
      <c r="B24" s="1130" t="s">
        <v>222</v>
      </c>
      <c r="C24" s="951" t="s">
        <v>14</v>
      </c>
      <c r="D24" s="1248">
        <v>500</v>
      </c>
      <c r="E24" s="1040">
        <f t="shared" si="8"/>
        <v>1.7191011235955056</v>
      </c>
      <c r="F24" s="948">
        <v>1</v>
      </c>
      <c r="G24" s="940">
        <f t="shared" si="6"/>
        <v>859.55056179775283</v>
      </c>
      <c r="H24" s="943">
        <f t="shared" si="7"/>
        <v>859.55056179775283</v>
      </c>
      <c r="I24" s="914">
        <f>VLOOKUP(B24,All_Ingredients!$A$1:$F$161,6,FALSE())</f>
        <v>1</v>
      </c>
      <c r="J24" s="940">
        <f>VLOOKUP(B24,All_Ingredients!$A$1:$J$161,10,FALSE())</f>
        <v>30</v>
      </c>
      <c r="K24" s="945">
        <f t="shared" si="9"/>
        <v>0.8595505617977528</v>
      </c>
      <c r="L24" s="945">
        <f t="shared" si="10"/>
        <v>25.786516853932582</v>
      </c>
    </row>
    <row r="25" spans="2:31" x14ac:dyDescent="0.25">
      <c r="R25" s="1792" t="s">
        <v>823</v>
      </c>
      <c r="S25" s="1787"/>
      <c r="T25" s="1788"/>
      <c r="U25" s="1787"/>
      <c r="V25" s="956"/>
      <c r="W25" s="1043"/>
      <c r="X25" s="952"/>
      <c r="Z25" s="982" t="s">
        <v>252</v>
      </c>
      <c r="AA25" s="989">
        <v>1</v>
      </c>
      <c r="AB25" s="982" t="s">
        <v>249</v>
      </c>
      <c r="AC25" s="985">
        <f>AE30*AA25</f>
        <v>2.7000264712446391</v>
      </c>
    </row>
    <row r="26" spans="2:31" x14ac:dyDescent="0.25">
      <c r="R26" s="1792" t="s">
        <v>291</v>
      </c>
      <c r="S26" s="1797"/>
      <c r="T26" s="1798"/>
      <c r="U26" s="1797"/>
      <c r="V26" s="956"/>
      <c r="W26" s="1043"/>
      <c r="X26" s="952"/>
    </row>
    <row r="27" spans="2:31" x14ac:dyDescent="0.25">
      <c r="R27" s="961" t="s">
        <v>254</v>
      </c>
      <c r="S27" s="962" t="s">
        <v>297</v>
      </c>
      <c r="T27" s="961" t="s">
        <v>256</v>
      </c>
      <c r="U27" s="962" t="s">
        <v>262</v>
      </c>
      <c r="V27" s="962" t="s">
        <v>746</v>
      </c>
      <c r="W27" s="961" t="s">
        <v>767</v>
      </c>
      <c r="X27" s="962" t="s">
        <v>766</v>
      </c>
      <c r="Z27" s="982" t="s">
        <v>258</v>
      </c>
      <c r="AA27" s="982" t="s">
        <v>746</v>
      </c>
      <c r="AB27" s="982" t="s">
        <v>259</v>
      </c>
      <c r="AC27" s="982" t="s">
        <v>757</v>
      </c>
      <c r="AD27" s="982" t="s">
        <v>754</v>
      </c>
      <c r="AE27" s="982" t="s">
        <v>262</v>
      </c>
    </row>
    <row r="28" spans="2:31" x14ac:dyDescent="0.25">
      <c r="R28" s="961" t="s">
        <v>263</v>
      </c>
      <c r="S28" s="965">
        <f>$Z$1</f>
        <v>148</v>
      </c>
      <c r="T28" s="964"/>
      <c r="U28" s="963">
        <f>S28</f>
        <v>148</v>
      </c>
      <c r="V28" s="966">
        <f>SUM(H15:H24)</f>
        <v>3988.3146067415732</v>
      </c>
      <c r="W28" s="967">
        <f>SUM(L6)</f>
        <v>9.1799999999999993E-2</v>
      </c>
      <c r="X28" s="966">
        <f>K13</f>
        <v>0</v>
      </c>
      <c r="Z28" s="1086"/>
      <c r="AA28" s="1205"/>
      <c r="AB28" s="985">
        <f>AA25*$S$40</f>
        <v>1</v>
      </c>
      <c r="AC28" s="1205"/>
      <c r="AD28" s="1205"/>
      <c r="AE28" s="1088">
        <f>SUM(AB28:AB28)</f>
        <v>1</v>
      </c>
    </row>
    <row r="29" spans="2:31" x14ac:dyDescent="0.25">
      <c r="R29" s="961" t="s">
        <v>264</v>
      </c>
      <c r="S29" s="968"/>
      <c r="T29" s="967"/>
      <c r="U29" s="963">
        <f>T29</f>
        <v>0</v>
      </c>
      <c r="V29" s="966"/>
      <c r="W29" s="967"/>
      <c r="X29" s="966"/>
      <c r="Z29" s="1086"/>
      <c r="AA29" s="1205"/>
      <c r="AB29" s="1089">
        <f>AB28/$AE$28</f>
        <v>1</v>
      </c>
      <c r="AC29" s="1205"/>
      <c r="AD29" s="1205"/>
      <c r="AE29" s="1089">
        <f>AE28/$AE$28</f>
        <v>1</v>
      </c>
    </row>
    <row r="30" spans="2:31" x14ac:dyDescent="0.25">
      <c r="R30" s="961" t="s">
        <v>265</v>
      </c>
      <c r="S30" s="1204">
        <f>$AB$1</f>
        <v>5</v>
      </c>
      <c r="T30" s="964"/>
      <c r="U30" s="963"/>
      <c r="V30" s="972"/>
      <c r="W30" s="973"/>
      <c r="X30" s="972"/>
      <c r="Z30" s="982" t="s">
        <v>266</v>
      </c>
      <c r="AA30" s="955">
        <f>V35/$AF$1</f>
        <v>0.36942647124463868</v>
      </c>
      <c r="AB30" s="1090">
        <f>S35/(AF1)</f>
        <v>2.1600000000000006</v>
      </c>
      <c r="AC30" s="955">
        <f>W35/AF1</f>
        <v>5.9999999999999995E-4</v>
      </c>
      <c r="AD30" s="955">
        <f>X35/$AF$1</f>
        <v>0.17</v>
      </c>
      <c r="AE30" s="1121">
        <f>AB30+AD30+AC30+AA30</f>
        <v>2.7000264712446391</v>
      </c>
    </row>
    <row r="31" spans="2:31" x14ac:dyDescent="0.25">
      <c r="R31" s="961" t="s">
        <v>267</v>
      </c>
      <c r="S31" s="959" t="s">
        <v>309</v>
      </c>
      <c r="T31" s="967"/>
      <c r="U31" s="966"/>
      <c r="V31" s="966"/>
      <c r="W31" s="967"/>
      <c r="X31" s="966"/>
    </row>
    <row r="32" spans="2:31" x14ac:dyDescent="0.25">
      <c r="R32" s="961" t="s">
        <v>257</v>
      </c>
      <c r="S32" s="1251">
        <f>S28+S30</f>
        <v>153</v>
      </c>
      <c r="T32" s="967">
        <f>SUM(T28:T30)</f>
        <v>0</v>
      </c>
      <c r="U32" s="966">
        <f>T32+S32</f>
        <v>153</v>
      </c>
      <c r="V32" s="966"/>
      <c r="W32" s="967"/>
      <c r="X32" s="966"/>
    </row>
    <row r="33" spans="2:24" x14ac:dyDescent="0.25">
      <c r="B33" s="890"/>
      <c r="D33" s="890"/>
      <c r="E33" s="890"/>
      <c r="F33" s="890"/>
      <c r="H33" s="890"/>
      <c r="K33" s="890"/>
      <c r="R33" s="976" t="s">
        <v>254</v>
      </c>
      <c r="S33" s="959"/>
      <c r="T33" s="960">
        <f>F40+F59</f>
        <v>0</v>
      </c>
      <c r="U33" s="959"/>
      <c r="V33" s="959"/>
      <c r="W33" s="960"/>
      <c r="X33" s="959"/>
    </row>
    <row r="34" spans="2:24" x14ac:dyDescent="0.25">
      <c r="B34" s="890"/>
      <c r="D34" s="890"/>
      <c r="E34" s="890"/>
      <c r="F34" s="890"/>
      <c r="H34" s="890"/>
      <c r="K34" s="890"/>
      <c r="R34" s="961" t="s">
        <v>269</v>
      </c>
      <c r="S34" s="959"/>
      <c r="T34" s="967">
        <f>T33-(T28+T29)</f>
        <v>0</v>
      </c>
      <c r="U34" s="959"/>
      <c r="V34" s="959"/>
      <c r="W34" s="960"/>
      <c r="X34" s="959"/>
    </row>
    <row r="35" spans="2:24" x14ac:dyDescent="0.25">
      <c r="B35" s="890"/>
      <c r="D35" s="890"/>
      <c r="E35" s="890"/>
      <c r="F35" s="890"/>
      <c r="H35" s="890"/>
      <c r="K35" s="890"/>
      <c r="R35" s="977" t="s">
        <v>249</v>
      </c>
      <c r="S35" s="978">
        <f>L5</f>
        <v>330.48000000000008</v>
      </c>
      <c r="T35" s="979">
        <f>SUM(O6:O19)</f>
        <v>0</v>
      </c>
      <c r="U35" s="1136">
        <f>S35+T35+V35+W35+X35</f>
        <v>413.10405010042979</v>
      </c>
      <c r="V35" s="978">
        <f>SUM(L15:L24)</f>
        <v>56.522250100429716</v>
      </c>
      <c r="W35" s="979">
        <f>L6</f>
        <v>9.1799999999999993E-2</v>
      </c>
      <c r="X35" s="978">
        <f>L7</f>
        <v>26.01</v>
      </c>
    </row>
    <row r="36" spans="2:24" x14ac:dyDescent="0.25">
      <c r="B36" s="890"/>
      <c r="D36" s="890"/>
      <c r="E36" s="890"/>
      <c r="F36" s="890"/>
      <c r="H36" s="890"/>
      <c r="K36" s="890"/>
      <c r="R36" s="890"/>
      <c r="T36" s="890"/>
      <c r="W36" s="890"/>
    </row>
    <row r="37" spans="2:24" x14ac:dyDescent="0.25">
      <c r="B37" s="890"/>
      <c r="D37" s="890"/>
      <c r="E37" s="890"/>
      <c r="F37" s="890"/>
      <c r="H37" s="890"/>
      <c r="K37" s="890"/>
      <c r="R37" s="890"/>
      <c r="T37" s="890"/>
      <c r="W37" s="890"/>
    </row>
    <row r="38" spans="2:24" x14ac:dyDescent="0.25">
      <c r="B38" s="890"/>
      <c r="D38" s="890"/>
      <c r="E38" s="890"/>
      <c r="F38" s="890"/>
      <c r="H38" s="890"/>
      <c r="K38" s="890"/>
      <c r="R38" s="890"/>
      <c r="T38" s="890"/>
      <c r="W38" s="890"/>
    </row>
    <row r="39" spans="2:24" x14ac:dyDescent="0.25">
      <c r="B39" s="80"/>
      <c r="D39" s="890"/>
      <c r="E39" s="80"/>
      <c r="F39" s="80"/>
      <c r="H39" s="890"/>
      <c r="K39" s="890"/>
      <c r="R39" s="890"/>
      <c r="T39" s="890"/>
      <c r="W39" s="890"/>
    </row>
    <row r="40" spans="2:24" ht="26.25" x14ac:dyDescent="0.25">
      <c r="B40" s="80"/>
      <c r="C40" s="80"/>
      <c r="D40" s="225"/>
      <c r="E40" s="80"/>
      <c r="F40" s="80"/>
      <c r="G40" s="80"/>
      <c r="H40" s="80"/>
      <c r="I40" s="80"/>
      <c r="J40" s="80"/>
      <c r="K40" s="890"/>
      <c r="R40" s="1011" t="s">
        <v>270</v>
      </c>
      <c r="S40" s="1012">
        <v>1</v>
      </c>
      <c r="T40" s="1011" t="s">
        <v>271</v>
      </c>
      <c r="U40" s="1013">
        <v>0</v>
      </c>
      <c r="V40" s="1014">
        <f>S40+U40</f>
        <v>1</v>
      </c>
      <c r="W40" s="890"/>
    </row>
    <row r="41" spans="2:24" x14ac:dyDescent="0.25">
      <c r="B41" s="80"/>
      <c r="C41" s="80"/>
      <c r="D41" s="80"/>
      <c r="E41" s="80"/>
      <c r="F41" s="80"/>
      <c r="G41" s="80"/>
      <c r="H41" s="80"/>
      <c r="I41" s="80"/>
      <c r="J41" s="80"/>
      <c r="K41" s="890"/>
      <c r="R41" s="890"/>
      <c r="T41" s="890"/>
      <c r="U41" s="123"/>
      <c r="W41" s="890"/>
    </row>
    <row r="42" spans="2:24" ht="18" x14ac:dyDescent="0.25">
      <c r="B42" s="1815"/>
      <c r="C42" s="1799"/>
      <c r="D42" s="1816"/>
      <c r="E42" s="1816"/>
      <c r="F42" s="1816"/>
      <c r="G42" s="1799"/>
      <c r="H42" s="1816"/>
      <c r="I42" s="1799"/>
      <c r="J42" s="1799"/>
      <c r="K42" s="890"/>
      <c r="R42" s="890"/>
      <c r="T42" s="890"/>
      <c r="W42" s="890"/>
    </row>
    <row r="43" spans="2:24" ht="26.25" x14ac:dyDescent="0.25">
      <c r="B43" s="1803"/>
      <c r="C43" s="1799"/>
      <c r="D43" s="1816"/>
      <c r="E43" s="1816"/>
      <c r="F43" s="1816"/>
      <c r="G43" s="1799"/>
      <c r="H43" s="1816"/>
      <c r="I43" s="1799"/>
      <c r="J43" s="1799"/>
      <c r="K43" s="890"/>
      <c r="Q43" s="1015" t="s">
        <v>272</v>
      </c>
      <c r="R43" s="1011" t="s">
        <v>273</v>
      </c>
      <c r="S43" s="1015" t="s">
        <v>274</v>
      </c>
      <c r="T43" s="1011" t="s">
        <v>275</v>
      </c>
      <c r="U43" s="1015" t="s">
        <v>276</v>
      </c>
      <c r="V43" s="1015" t="s">
        <v>277</v>
      </c>
      <c r="W43" s="1011" t="s">
        <v>278</v>
      </c>
    </row>
    <row r="44" spans="2:24" x14ac:dyDescent="0.25">
      <c r="B44" s="226"/>
      <c r="C44" s="227"/>
      <c r="D44" s="226"/>
      <c r="E44" s="226"/>
      <c r="F44" s="226"/>
      <c r="G44" s="226"/>
      <c r="H44" s="226"/>
      <c r="I44" s="226"/>
      <c r="J44" s="226"/>
      <c r="K44" s="890"/>
      <c r="Q44" s="1023">
        <v>18841</v>
      </c>
      <c r="R44" s="1017">
        <f>E51</f>
        <v>0</v>
      </c>
      <c r="S44" s="1024">
        <v>0</v>
      </c>
      <c r="T44" s="1025">
        <v>0</v>
      </c>
      <c r="U44" s="1096">
        <f>R44*S44</f>
        <v>0</v>
      </c>
      <c r="V44" s="1021">
        <f>R44*T44</f>
        <v>0</v>
      </c>
      <c r="W44" s="1026">
        <f>Q44-U44</f>
        <v>18841</v>
      </c>
    </row>
    <row r="50" spans="1:14" x14ac:dyDescent="0.25">
      <c r="B50" s="961"/>
      <c r="C50" s="962" t="s">
        <v>233</v>
      </c>
      <c r="D50" s="961" t="s">
        <v>279</v>
      </c>
      <c r="E50" s="80"/>
      <c r="F50" s="80"/>
      <c r="G50" s="962" t="s">
        <v>280</v>
      </c>
      <c r="H50" s="961" t="s">
        <v>233</v>
      </c>
      <c r="I50" s="962" t="s">
        <v>281</v>
      </c>
      <c r="J50" s="962" t="s">
        <v>282</v>
      </c>
      <c r="K50" s="890"/>
    </row>
    <row r="51" spans="1:14" x14ac:dyDescent="0.25">
      <c r="B51" s="1027" t="s">
        <v>283</v>
      </c>
      <c r="C51" s="1028">
        <f>10/$K$1</f>
        <v>10</v>
      </c>
      <c r="D51" s="1029">
        <f>$C$1*10</f>
        <v>10</v>
      </c>
      <c r="E51" s="135"/>
      <c r="F51" s="80"/>
      <c r="G51" s="1033" t="s">
        <v>283</v>
      </c>
      <c r="H51" s="1122">
        <f>I51/$D$5</f>
        <v>176.41385767790263</v>
      </c>
      <c r="I51" s="1028">
        <f>J51/$R$1</f>
        <v>21169.662921348314</v>
      </c>
      <c r="J51" s="1028">
        <f>$W$44</f>
        <v>18841</v>
      </c>
      <c r="K51" s="890"/>
    </row>
    <row r="52" spans="1:14" x14ac:dyDescent="0.25">
      <c r="B52" s="958" t="s">
        <v>262</v>
      </c>
      <c r="C52" s="1099">
        <f>$I$1</f>
        <v>0</v>
      </c>
      <c r="D52" s="1100">
        <f>$E$1</f>
        <v>153</v>
      </c>
      <c r="E52" s="80"/>
      <c r="F52" s="80"/>
      <c r="G52" s="962" t="s">
        <v>262</v>
      </c>
      <c r="H52" s="1189">
        <f>I52/$D$5</f>
        <v>143.25842696629212</v>
      </c>
      <c r="I52" s="1021">
        <f>J52/$R$1</f>
        <v>17191.011235955055</v>
      </c>
      <c r="J52" s="1030">
        <f>$U$32*$T$1</f>
        <v>15300</v>
      </c>
      <c r="K52" s="890"/>
    </row>
    <row r="53" spans="1:14" x14ac:dyDescent="0.25">
      <c r="B53" s="958" t="s">
        <v>284</v>
      </c>
      <c r="C53" s="1101">
        <f>MIN(C52, C51)</f>
        <v>0</v>
      </c>
      <c r="D53" s="1100">
        <f>(C53*$K$1)*$C$1</f>
        <v>0</v>
      </c>
      <c r="E53" s="80"/>
      <c r="F53" s="80"/>
      <c r="G53" s="962" t="s">
        <v>284</v>
      </c>
      <c r="H53" s="1035">
        <f>MIN(H52,H51)</f>
        <v>143.25842696629212</v>
      </c>
      <c r="I53" s="1021">
        <f>J53/$R$1</f>
        <v>17191.011235955055</v>
      </c>
      <c r="J53" s="1021">
        <f>MIN(J52,J51)</f>
        <v>15300</v>
      </c>
      <c r="K53" s="890"/>
    </row>
    <row r="54" spans="1:14" x14ac:dyDescent="0.25">
      <c r="B54" s="958" t="s">
        <v>285</v>
      </c>
      <c r="C54" s="1101">
        <f>MIN(MAX(C52-C53,0),C51)</f>
        <v>0</v>
      </c>
      <c r="D54" s="1100">
        <f>(C54*$K$1)*$C$1</f>
        <v>0</v>
      </c>
      <c r="E54" s="80"/>
      <c r="F54" s="80"/>
      <c r="G54" s="962" t="s">
        <v>285</v>
      </c>
      <c r="H54" s="1035">
        <f>MIN(MAX(H52-H53),H51)</f>
        <v>0</v>
      </c>
      <c r="I54" s="1021">
        <f>J54/$R$1</f>
        <v>0</v>
      </c>
      <c r="J54" s="1021">
        <f>MIN(MAX(J52-J53),J51)</f>
        <v>0</v>
      </c>
      <c r="K54" s="890"/>
    </row>
    <row r="55" spans="1:14"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4" x14ac:dyDescent="0.25">
      <c r="B56" s="890"/>
      <c r="D56" s="890"/>
      <c r="E56" s="890"/>
      <c r="F56" s="890"/>
      <c r="H56" s="890"/>
      <c r="K56" s="890"/>
    </row>
    <row r="57" spans="1:14" x14ac:dyDescent="0.25">
      <c r="B57" s="890"/>
      <c r="D57" s="890"/>
      <c r="E57" s="890"/>
      <c r="F57" s="890"/>
      <c r="H57" s="890"/>
      <c r="K57" s="890"/>
    </row>
    <row r="58" spans="1:14" ht="18" x14ac:dyDescent="0.25">
      <c r="B58" s="1803"/>
      <c r="C58" s="1799"/>
      <c r="D58" s="1816"/>
      <c r="E58" s="1816"/>
      <c r="F58" s="1816"/>
      <c r="G58" s="1799"/>
      <c r="H58" s="1816"/>
      <c r="I58" s="1799"/>
      <c r="J58" s="1799"/>
      <c r="K58" s="890"/>
    </row>
    <row r="59" spans="1:14" x14ac:dyDescent="0.25">
      <c r="B59" s="226"/>
      <c r="C59" s="227"/>
      <c r="D59" s="226"/>
      <c r="E59" s="226"/>
      <c r="F59" s="226"/>
      <c r="G59" s="226"/>
      <c r="H59" s="226"/>
      <c r="I59" s="226"/>
      <c r="J59" s="226"/>
      <c r="K59" s="890"/>
    </row>
    <row r="60" spans="1:14" x14ac:dyDescent="0.25">
      <c r="B60" s="1175"/>
      <c r="C60" s="228"/>
      <c r="D60" s="1175"/>
      <c r="E60" s="92"/>
      <c r="F60" s="900"/>
      <c r="G60" s="92"/>
      <c r="H60" s="901"/>
      <c r="I60" s="73"/>
      <c r="J60" s="94"/>
      <c r="K60" s="890"/>
    </row>
    <row r="61" spans="1:14" x14ac:dyDescent="0.25">
      <c r="B61" s="1175"/>
      <c r="C61" s="228"/>
      <c r="D61" s="1175"/>
      <c r="E61" s="92"/>
      <c r="F61" s="900"/>
      <c r="G61" s="92"/>
      <c r="H61" s="901"/>
      <c r="I61" s="73"/>
      <c r="J61" s="94"/>
      <c r="K61" s="890"/>
    </row>
    <row r="62" spans="1:14" ht="18" x14ac:dyDescent="0.25">
      <c r="A62" s="867"/>
      <c r="B62" s="1804"/>
      <c r="C62" s="1817"/>
      <c r="D62" s="1818"/>
      <c r="E62" s="1818"/>
      <c r="F62" s="1818"/>
      <c r="G62" s="1817"/>
      <c r="H62" s="1818"/>
      <c r="K62" s="890"/>
    </row>
    <row r="63" spans="1:14" x14ac:dyDescent="0.25">
      <c r="A63" s="867"/>
      <c r="B63" s="1776" t="s">
        <v>823</v>
      </c>
      <c r="C63" s="1777"/>
      <c r="D63" s="1778"/>
      <c r="E63" s="1778"/>
      <c r="F63" s="1778"/>
      <c r="G63" s="1777"/>
      <c r="H63" s="1778"/>
      <c r="K63" s="890"/>
    </row>
    <row r="64" spans="1:14" ht="38.25" x14ac:dyDescent="0.2">
      <c r="A64" s="933" t="s">
        <v>864</v>
      </c>
      <c r="B64" s="1104" t="s">
        <v>241</v>
      </c>
      <c r="C64" s="934" t="s">
        <v>242</v>
      </c>
      <c r="D64" s="1104" t="s">
        <v>231</v>
      </c>
      <c r="E64" s="936" t="s">
        <v>234</v>
      </c>
      <c r="F64" s="936" t="s">
        <v>243</v>
      </c>
      <c r="G64" s="1104" t="s">
        <v>244</v>
      </c>
      <c r="H64" s="936" t="s">
        <v>245</v>
      </c>
      <c r="K64" s="890"/>
      <c r="M64" s="87"/>
      <c r="N64" s="87"/>
    </row>
    <row r="65" spans="1:12" x14ac:dyDescent="0.25">
      <c r="A65" s="949" t="s">
        <v>878</v>
      </c>
      <c r="B65" s="1130" t="str">
        <f>B5</f>
        <v>Chicken Minced - دجاج مفروم</v>
      </c>
      <c r="C65" s="1252" t="str">
        <f t="shared" ref="C65:D65" si="11">C5</f>
        <v>gm</v>
      </c>
      <c r="D65" s="1130">
        <f t="shared" si="11"/>
        <v>120</v>
      </c>
      <c r="E65" s="940">
        <f>$D$52</f>
        <v>153</v>
      </c>
      <c r="F65" s="948">
        <f>F5</f>
        <v>1</v>
      </c>
      <c r="G65" s="944">
        <f t="shared" ref="G65:G67" si="12">D65*E65</f>
        <v>18360</v>
      </c>
      <c r="H65" s="943">
        <f t="shared" ref="H65:H67" si="13">G65*F65</f>
        <v>18360</v>
      </c>
      <c r="I65" s="73"/>
      <c r="J65" s="92"/>
      <c r="K65" s="73"/>
      <c r="L65" s="92"/>
    </row>
    <row r="66" spans="1:12" ht="28.5" x14ac:dyDescent="0.25">
      <c r="A66" s="949"/>
      <c r="B66" s="1130" t="str">
        <f t="shared" ref="B66:D70" si="14">B6</f>
        <v>Whole Wheat Burger Buns 70gm - خبز برجر بني</v>
      </c>
      <c r="C66" s="1252" t="str">
        <f t="shared" si="14"/>
        <v>Piece</v>
      </c>
      <c r="D66" s="1130">
        <f t="shared" si="14"/>
        <v>1</v>
      </c>
      <c r="E66" s="940">
        <f t="shared" ref="E66:E67" si="15">$D$52</f>
        <v>153</v>
      </c>
      <c r="F66" s="948">
        <f t="shared" ref="F66:F70" si="16">F6</f>
        <v>1</v>
      </c>
      <c r="G66" s="944">
        <f t="shared" si="12"/>
        <v>153</v>
      </c>
      <c r="H66" s="943">
        <f t="shared" si="13"/>
        <v>153</v>
      </c>
      <c r="K66" s="890"/>
    </row>
    <row r="67" spans="1:12" ht="28.5" x14ac:dyDescent="0.25">
      <c r="A67" s="1249" t="s">
        <v>888</v>
      </c>
      <c r="B67" s="1130" t="str">
        <f t="shared" si="14"/>
        <v>Iceberg Lettuce - خس مدور أمريكى</v>
      </c>
      <c r="C67" s="1252" t="str">
        <f t="shared" si="14"/>
        <v>gm</v>
      </c>
      <c r="D67" s="1130">
        <f t="shared" si="14"/>
        <v>10</v>
      </c>
      <c r="E67" s="940">
        <f t="shared" si="15"/>
        <v>153</v>
      </c>
      <c r="F67" s="948">
        <f t="shared" si="16"/>
        <v>1</v>
      </c>
      <c r="G67" s="944">
        <f t="shared" si="12"/>
        <v>1530</v>
      </c>
      <c r="H67" s="943">
        <f t="shared" si="13"/>
        <v>1530</v>
      </c>
      <c r="K67" s="890"/>
    </row>
    <row r="68" spans="1:12" x14ac:dyDescent="0.25">
      <c r="A68" s="1249" t="s">
        <v>882</v>
      </c>
      <c r="B68" s="1130" t="str">
        <f t="shared" si="14"/>
        <v>Sliced tomato - طماطم شرائح</v>
      </c>
      <c r="C68" s="1252" t="str">
        <f t="shared" si="14"/>
        <v>gm</v>
      </c>
      <c r="D68" s="1130">
        <f t="shared" si="14"/>
        <v>25</v>
      </c>
      <c r="E68" s="940">
        <f>$D$52</f>
        <v>153</v>
      </c>
      <c r="F68" s="948">
        <f t="shared" si="16"/>
        <v>1</v>
      </c>
      <c r="G68" s="944">
        <f>D68*E68</f>
        <v>3825</v>
      </c>
      <c r="H68" s="943">
        <f>G68*F68</f>
        <v>3825</v>
      </c>
      <c r="K68" s="890"/>
    </row>
    <row r="69" spans="1:12" x14ac:dyDescent="0.25">
      <c r="A69" s="1249" t="s">
        <v>888</v>
      </c>
      <c r="B69" s="1130" t="str">
        <f t="shared" si="14"/>
        <v>Cucumber - خيار</v>
      </c>
      <c r="C69" s="1252" t="str">
        <f t="shared" si="14"/>
        <v>gm</v>
      </c>
      <c r="D69" s="1130">
        <f t="shared" si="14"/>
        <v>10</v>
      </c>
      <c r="E69" s="940">
        <f>$D$52</f>
        <v>153</v>
      </c>
      <c r="F69" s="948">
        <f t="shared" si="16"/>
        <v>1</v>
      </c>
      <c r="G69" s="944">
        <f>D69*E69</f>
        <v>1530</v>
      </c>
      <c r="H69" s="943">
        <f>G69*F69</f>
        <v>1530</v>
      </c>
      <c r="K69" s="890"/>
    </row>
    <row r="70" spans="1:12" x14ac:dyDescent="0.25">
      <c r="B70" s="1130" t="str">
        <f t="shared" si="14"/>
        <v>Feta cheese - جبنة فيتا</v>
      </c>
      <c r="C70" s="1252" t="str">
        <f t="shared" si="14"/>
        <v>gm</v>
      </c>
      <c r="D70" s="1130">
        <f t="shared" si="14"/>
        <v>20</v>
      </c>
      <c r="E70" s="940">
        <f>$D$52</f>
        <v>153</v>
      </c>
      <c r="F70" s="948">
        <f t="shared" si="16"/>
        <v>1</v>
      </c>
      <c r="G70" s="944">
        <f>D70*E70</f>
        <v>3060</v>
      </c>
      <c r="H70" s="943">
        <f>G70*F70</f>
        <v>3060</v>
      </c>
      <c r="K70" s="890"/>
    </row>
    <row r="71" spans="1:12" ht="18" x14ac:dyDescent="0.25">
      <c r="B71" s="1041" t="s">
        <v>287</v>
      </c>
      <c r="C71" s="1042" t="s">
        <v>273</v>
      </c>
      <c r="D71" s="1041" t="s">
        <v>537</v>
      </c>
      <c r="E71" s="1254" t="s">
        <v>288</v>
      </c>
      <c r="F71"/>
      <c r="G71" s="1255" t="s">
        <v>264</v>
      </c>
      <c r="H71" s="1256" t="s">
        <v>661</v>
      </c>
      <c r="K71" s="890"/>
    </row>
    <row r="72" spans="1:12" ht="20.25" x14ac:dyDescent="0.3">
      <c r="B72" s="1047">
        <f>$J$53</f>
        <v>15300</v>
      </c>
      <c r="C72" s="1283">
        <f>E72+G72</f>
        <v>0</v>
      </c>
      <c r="D72" s="1047">
        <f>$AF$1</f>
        <v>153</v>
      </c>
      <c r="E72" s="1047">
        <f>$C$53*$S$44</f>
        <v>0</v>
      </c>
      <c r="F72"/>
      <c r="G72" s="1048">
        <f>$D$53*$T$44</f>
        <v>0</v>
      </c>
      <c r="H72" s="1047">
        <f>B72+E72</f>
        <v>15300</v>
      </c>
      <c r="K72" s="890"/>
    </row>
    <row r="73" spans="1:12" ht="14.25" customHeight="1" x14ac:dyDescent="0.25">
      <c r="E73" s="80"/>
      <c r="F73" s="80"/>
    </row>
    <row r="74" spans="1:12" ht="12.75" customHeight="1" x14ac:dyDescent="0.25">
      <c r="B74" s="80"/>
      <c r="E74" s="80"/>
      <c r="F74" s="80"/>
    </row>
    <row r="75" spans="1:12" ht="15.75" x14ac:dyDescent="0.25">
      <c r="B75" s="1191" t="s">
        <v>1015</v>
      </c>
      <c r="C75" s="1783" t="s">
        <v>823</v>
      </c>
      <c r="D75" s="1783"/>
      <c r="E75" s="1783"/>
      <c r="F75" s="1783"/>
      <c r="G75" s="930"/>
      <c r="H75" s="930"/>
    </row>
    <row r="76" spans="1:12" x14ac:dyDescent="0.25">
      <c r="B76" s="926" t="s">
        <v>250</v>
      </c>
      <c r="C76" s="926">
        <v>10000</v>
      </c>
      <c r="D76" s="927" t="s">
        <v>474</v>
      </c>
      <c r="E76" s="928">
        <f>$S$32*$T$1</f>
        <v>15300</v>
      </c>
      <c r="F76" s="926" t="s">
        <v>239</v>
      </c>
      <c r="G76" s="929">
        <f>(($S$32*$T$1)/$R$1)/$C$76</f>
        <v>1.7191011235955056</v>
      </c>
      <c r="H76" s="1207"/>
    </row>
    <row r="77" spans="1:12" ht="38.25" x14ac:dyDescent="0.25">
      <c r="B77" s="926" t="s">
        <v>241</v>
      </c>
      <c r="C77" s="926" t="s">
        <v>242</v>
      </c>
      <c r="D77" s="926" t="s">
        <v>250</v>
      </c>
      <c r="E77" s="926" t="s">
        <v>234</v>
      </c>
      <c r="F77" s="926" t="s">
        <v>243</v>
      </c>
      <c r="G77" s="926" t="s">
        <v>244</v>
      </c>
      <c r="H77" s="926" t="s">
        <v>245</v>
      </c>
    </row>
    <row r="78" spans="1:12" x14ac:dyDescent="0.25">
      <c r="B78" s="1130" t="s">
        <v>93</v>
      </c>
      <c r="C78" s="951" t="s">
        <v>14</v>
      </c>
      <c r="D78" s="1248">
        <v>100</v>
      </c>
      <c r="E78" s="1040">
        <f>$G$76</f>
        <v>1.7191011235955056</v>
      </c>
      <c r="F78" s="948">
        <v>1</v>
      </c>
      <c r="G78" s="940">
        <f t="shared" ref="G78:G87" si="17">D78*E78</f>
        <v>171.91011235955057</v>
      </c>
      <c r="H78" s="943">
        <f t="shared" ref="H78:H87" si="18">F78*G78</f>
        <v>171.91011235955057</v>
      </c>
    </row>
    <row r="79" spans="1:12" ht="28.5" x14ac:dyDescent="0.25">
      <c r="B79" s="1130" t="s">
        <v>99</v>
      </c>
      <c r="C79" s="951" t="s">
        <v>14</v>
      </c>
      <c r="D79" s="1248">
        <v>50</v>
      </c>
      <c r="E79" s="1040">
        <f t="shared" ref="E79:E87" si="19">$G$76</f>
        <v>1.7191011235955056</v>
      </c>
      <c r="F79" s="948">
        <v>1</v>
      </c>
      <c r="G79" s="940">
        <f t="shared" si="17"/>
        <v>85.955056179775283</v>
      </c>
      <c r="H79" s="943">
        <f t="shared" si="18"/>
        <v>85.955056179775283</v>
      </c>
    </row>
    <row r="80" spans="1:12" x14ac:dyDescent="0.25">
      <c r="B80" s="1130" t="s">
        <v>706</v>
      </c>
      <c r="C80" s="951" t="s">
        <v>14</v>
      </c>
      <c r="D80" s="1248">
        <v>150</v>
      </c>
      <c r="E80" s="1040">
        <f t="shared" si="19"/>
        <v>1.7191011235955056</v>
      </c>
      <c r="F80" s="948">
        <v>1</v>
      </c>
      <c r="G80" s="940">
        <f t="shared" si="17"/>
        <v>257.86516853932585</v>
      </c>
      <c r="H80" s="943">
        <f t="shared" si="18"/>
        <v>257.86516853932585</v>
      </c>
    </row>
    <row r="81" spans="2:8" x14ac:dyDescent="0.25">
      <c r="B81" s="1130" t="s">
        <v>82</v>
      </c>
      <c r="C81" s="951" t="s">
        <v>14</v>
      </c>
      <c r="D81" s="1248">
        <v>50</v>
      </c>
      <c r="E81" s="1040">
        <f t="shared" si="19"/>
        <v>1.7191011235955056</v>
      </c>
      <c r="F81" s="948">
        <v>1</v>
      </c>
      <c r="G81" s="940">
        <f t="shared" si="17"/>
        <v>85.955056179775283</v>
      </c>
      <c r="H81" s="943">
        <f t="shared" si="18"/>
        <v>85.955056179775283</v>
      </c>
    </row>
    <row r="82" spans="2:8" x14ac:dyDescent="0.25">
      <c r="B82" s="1130" t="s">
        <v>64</v>
      </c>
      <c r="C82" s="951" t="s">
        <v>14</v>
      </c>
      <c r="D82" s="1248">
        <v>200</v>
      </c>
      <c r="E82" s="1040">
        <f t="shared" si="19"/>
        <v>1.7191011235955056</v>
      </c>
      <c r="F82" s="948">
        <v>1</v>
      </c>
      <c r="G82" s="940">
        <f t="shared" si="17"/>
        <v>343.82022471910113</v>
      </c>
      <c r="H82" s="943">
        <f t="shared" si="18"/>
        <v>343.82022471910113</v>
      </c>
    </row>
    <row r="83" spans="2:8" ht="28.5" x14ac:dyDescent="0.25">
      <c r="B83" s="1130" t="s">
        <v>825</v>
      </c>
      <c r="C83" s="951" t="s">
        <v>826</v>
      </c>
      <c r="D83" s="1248">
        <v>50</v>
      </c>
      <c r="E83" s="1040">
        <f t="shared" si="19"/>
        <v>1.7191011235955056</v>
      </c>
      <c r="F83" s="948">
        <v>1</v>
      </c>
      <c r="G83" s="940">
        <f t="shared" si="17"/>
        <v>85.955056179775283</v>
      </c>
      <c r="H83" s="943">
        <f t="shared" si="18"/>
        <v>85.955056179775283</v>
      </c>
    </row>
    <row r="84" spans="2:8" ht="28.5" x14ac:dyDescent="0.25">
      <c r="B84" s="1130" t="s">
        <v>188</v>
      </c>
      <c r="C84" s="951" t="s">
        <v>14</v>
      </c>
      <c r="D84" s="1248">
        <v>700</v>
      </c>
      <c r="E84" s="1040">
        <f t="shared" si="19"/>
        <v>1.7191011235955056</v>
      </c>
      <c r="F84" s="948">
        <v>1</v>
      </c>
      <c r="G84" s="940">
        <f t="shared" si="17"/>
        <v>1203.370786516854</v>
      </c>
      <c r="H84" s="943">
        <f t="shared" si="18"/>
        <v>1203.370786516854</v>
      </c>
    </row>
    <row r="85" spans="2:8" x14ac:dyDescent="0.25">
      <c r="B85" s="1130" t="s">
        <v>229</v>
      </c>
      <c r="C85" s="951" t="s">
        <v>230</v>
      </c>
      <c r="D85" s="1248">
        <v>20</v>
      </c>
      <c r="E85" s="1040">
        <f t="shared" si="19"/>
        <v>1.7191011235955056</v>
      </c>
      <c r="F85" s="948">
        <v>1</v>
      </c>
      <c r="G85" s="940">
        <f t="shared" si="17"/>
        <v>34.382022471910112</v>
      </c>
      <c r="H85" s="943">
        <f t="shared" si="18"/>
        <v>34.382022471910112</v>
      </c>
    </row>
    <row r="86" spans="2:8" x14ac:dyDescent="0.25">
      <c r="B86" s="1130" t="s">
        <v>829</v>
      </c>
      <c r="C86" s="951" t="s">
        <v>14</v>
      </c>
      <c r="D86" s="1248">
        <v>500</v>
      </c>
      <c r="E86" s="1040">
        <f t="shared" si="19"/>
        <v>1.7191011235955056</v>
      </c>
      <c r="F86" s="948">
        <v>1</v>
      </c>
      <c r="G86" s="940">
        <f t="shared" si="17"/>
        <v>859.55056179775283</v>
      </c>
      <c r="H86" s="943">
        <f t="shared" si="18"/>
        <v>859.55056179775283</v>
      </c>
    </row>
    <row r="87" spans="2:8" x14ac:dyDescent="0.25">
      <c r="B87" s="1130" t="s">
        <v>222</v>
      </c>
      <c r="C87" s="951" t="s">
        <v>14</v>
      </c>
      <c r="D87" s="1248">
        <v>500</v>
      </c>
      <c r="E87" s="1040">
        <f t="shared" si="19"/>
        <v>1.7191011235955056</v>
      </c>
      <c r="F87" s="948">
        <v>1</v>
      </c>
      <c r="G87" s="940">
        <f t="shared" si="17"/>
        <v>859.55056179775283</v>
      </c>
      <c r="H87" s="943">
        <f t="shared" si="18"/>
        <v>859.55056179775283</v>
      </c>
    </row>
  </sheetData>
  <mergeCells count="10">
    <mergeCell ref="B2:H3"/>
    <mergeCell ref="C75:F75"/>
    <mergeCell ref="C12:F12"/>
    <mergeCell ref="R25:U25"/>
    <mergeCell ref="R26:U26"/>
    <mergeCell ref="B42:J42"/>
    <mergeCell ref="B43:J43"/>
    <mergeCell ref="B58:J58"/>
    <mergeCell ref="B62:H62"/>
    <mergeCell ref="B63:H63"/>
  </mergeCells>
  <printOptions horizontalCentered="1"/>
  <pageMargins left="0.4" right="0.4" top="1" bottom="0.5" header="0.3" footer="0.511811023622047"/>
  <pageSetup paperSize="9" scale="41" orientation="landscape"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pageSetUpPr fitToPage="1"/>
  </sheetPr>
  <dimension ref="A1:AD106"/>
  <sheetViews>
    <sheetView topLeftCell="A43" zoomScale="40" zoomScaleNormal="40" workbookViewId="0">
      <selection activeCell="K110" sqref="K110"/>
    </sheetView>
  </sheetViews>
  <sheetFormatPr defaultColWidth="12.5" defaultRowHeight="15" x14ac:dyDescent="0.25"/>
  <cols>
    <col min="1" max="1" width="25.875" style="1" customWidth="1"/>
    <col min="2" max="2" width="25.875" customWidth="1"/>
    <col min="3" max="3" width="12.625" customWidth="1"/>
    <col min="4" max="8" width="25.875" customWidth="1"/>
    <col min="9" max="10" width="18.625" customWidth="1"/>
    <col min="11" max="11" width="25.875" customWidth="1"/>
    <col min="12" max="12" width="12.625" customWidth="1"/>
    <col min="13" max="13" width="31.875" customWidth="1"/>
    <col min="17" max="17" width="12.625" customWidth="1"/>
    <col min="18" max="18" width="25.875" customWidth="1"/>
    <col min="19" max="22" width="12.625" customWidth="1"/>
    <col min="23" max="23" width="25.875" customWidth="1"/>
    <col min="24" max="24" width="31.75" customWidth="1"/>
    <col min="25" max="25" width="8.625" customWidth="1"/>
    <col min="26" max="27" width="12.625" customWidth="1"/>
    <col min="28" max="28" width="12.625" style="386" customWidth="1"/>
    <col min="29" max="29" width="8.625" style="386" customWidth="1"/>
    <col min="30" max="30" width="8.625" customWidth="1"/>
  </cols>
  <sheetData>
    <row r="1" spans="1:30" ht="25.5" x14ac:dyDescent="0.2">
      <c r="A1" s="933" t="s">
        <v>231</v>
      </c>
      <c r="B1" s="914">
        <v>1000</v>
      </c>
      <c r="C1" s="923" t="s">
        <v>312</v>
      </c>
      <c r="D1" s="1262">
        <f>$S$30/J1</f>
        <v>17716.216216216217</v>
      </c>
      <c r="E1" s="923" t="s">
        <v>236</v>
      </c>
      <c r="F1" s="914" t="s">
        <v>313</v>
      </c>
      <c r="G1" s="923" t="s">
        <v>314</v>
      </c>
      <c r="H1" s="1263">
        <f>H52</f>
        <v>13.110000000000001</v>
      </c>
      <c r="I1" s="924" t="s">
        <v>238</v>
      </c>
      <c r="J1" s="1264">
        <v>0.74</v>
      </c>
      <c r="K1" s="80"/>
      <c r="R1" s="830"/>
      <c r="W1" s="830"/>
      <c r="Y1" s="923" t="s">
        <v>444</v>
      </c>
      <c r="Z1" s="925">
        <v>12110</v>
      </c>
      <c r="AA1" s="923" t="s">
        <v>544</v>
      </c>
      <c r="AB1" s="925">
        <v>1000</v>
      </c>
      <c r="AC1" s="923" t="s">
        <v>537</v>
      </c>
      <c r="AD1" s="925">
        <v>85</v>
      </c>
    </row>
    <row r="2" spans="1:30" x14ac:dyDescent="0.25">
      <c r="A2" s="1265"/>
      <c r="B2" s="1784" t="s">
        <v>315</v>
      </c>
      <c r="C2" s="1787"/>
      <c r="D2" s="1788"/>
      <c r="E2" s="1788"/>
      <c r="F2" s="1788"/>
      <c r="G2" s="1788"/>
      <c r="H2" s="1788"/>
      <c r="I2" s="1787"/>
      <c r="J2" s="1787"/>
      <c r="K2" s="1785"/>
      <c r="L2" s="187"/>
      <c r="R2" s="830"/>
      <c r="W2" s="830"/>
    </row>
    <row r="3" spans="1:30" x14ac:dyDescent="0.25">
      <c r="A3" s="1257"/>
      <c r="B3" s="1785"/>
      <c r="C3" s="1796"/>
      <c r="D3" s="1785"/>
      <c r="E3" s="1785"/>
      <c r="F3" s="1785"/>
      <c r="G3" s="1785"/>
      <c r="H3" s="1785"/>
      <c r="I3" s="1796"/>
      <c r="J3" s="1796"/>
      <c r="K3" s="1785"/>
      <c r="L3" s="187"/>
      <c r="R3" s="830"/>
      <c r="W3" s="830"/>
    </row>
    <row r="4" spans="1:30" ht="38.25" x14ac:dyDescent="0.2">
      <c r="A4" s="1350" t="s">
        <v>864</v>
      </c>
      <c r="B4" s="923" t="s">
        <v>241</v>
      </c>
      <c r="C4" s="1104" t="s">
        <v>316</v>
      </c>
      <c r="D4" s="923" t="s">
        <v>317</v>
      </c>
      <c r="E4" s="935" t="s">
        <v>318</v>
      </c>
      <c r="F4" s="935" t="s">
        <v>319</v>
      </c>
      <c r="G4" s="1266" t="s">
        <v>320</v>
      </c>
      <c r="H4" s="936" t="s">
        <v>321</v>
      </c>
      <c r="I4" s="923" t="s">
        <v>246</v>
      </c>
      <c r="J4" s="923" t="s">
        <v>247</v>
      </c>
      <c r="K4" s="923" t="s">
        <v>248</v>
      </c>
      <c r="L4" s="923" t="s">
        <v>249</v>
      </c>
      <c r="R4" s="830"/>
      <c r="W4" s="830"/>
    </row>
    <row r="5" spans="1:30" x14ac:dyDescent="0.2">
      <c r="A5" s="876" t="s">
        <v>874</v>
      </c>
      <c r="B5" s="1118" t="s">
        <v>220</v>
      </c>
      <c r="C5" s="947" t="s">
        <v>14</v>
      </c>
      <c r="D5" s="940">
        <f>I51/H51</f>
        <v>1351.3513513513512</v>
      </c>
      <c r="E5" s="940">
        <f>I52/D5</f>
        <v>13.110000000000001</v>
      </c>
      <c r="F5" s="948">
        <v>1</v>
      </c>
      <c r="G5" s="940">
        <f>D5*E5</f>
        <v>17716.216216216217</v>
      </c>
      <c r="H5" s="940">
        <f>D1</f>
        <v>17716.216216216217</v>
      </c>
      <c r="I5" s="914">
        <f>VLOOKUP(B5,All_Ingredients!$A$1:$F$161,6,FALSE())</f>
        <v>0.86</v>
      </c>
      <c r="J5" s="940">
        <f>VLOOKUP(B5,All_Ingredients!$A$1:$J$161,10,FALSE())</f>
        <v>17.100000000000001</v>
      </c>
      <c r="K5" s="945">
        <f>(H5/I5)/1000</f>
        <v>20.600251414204905</v>
      </c>
      <c r="L5" s="945">
        <f>K5*J5</f>
        <v>352.26429918290393</v>
      </c>
      <c r="R5" s="830"/>
      <c r="W5" s="830"/>
    </row>
    <row r="6" spans="1:30" x14ac:dyDescent="0.25">
      <c r="A6" s="1268"/>
      <c r="B6" s="1130" t="s">
        <v>93</v>
      </c>
      <c r="C6" s="947" t="s">
        <v>14</v>
      </c>
      <c r="D6" s="914">
        <v>50</v>
      </c>
      <c r="E6" s="940">
        <f>$H$52</f>
        <v>13.110000000000001</v>
      </c>
      <c r="F6" s="948">
        <v>0.75</v>
      </c>
      <c r="G6" s="940">
        <f>D6*E6</f>
        <v>655.50000000000011</v>
      </c>
      <c r="H6" s="943">
        <f>G6*F6</f>
        <v>491.62500000000011</v>
      </c>
      <c r="I6" s="914">
        <f>VLOOKUP(B6,All_Ingredients!$A$1:$F$161,6,FALSE())</f>
        <v>1</v>
      </c>
      <c r="J6" s="940">
        <f>VLOOKUP(B6,All_Ingredients!$A$1:$J$161,10,FALSE())</f>
        <v>0.74</v>
      </c>
      <c r="K6" s="945">
        <f t="shared" ref="K6:K9" si="0">(H6/I6)/1000</f>
        <v>0.49162500000000009</v>
      </c>
      <c r="L6" s="945">
        <f t="shared" ref="L6:L9" si="1">K6*J6</f>
        <v>0.36380250000000008</v>
      </c>
      <c r="R6" s="830"/>
      <c r="W6" s="830"/>
    </row>
    <row r="7" spans="1:30" ht="28.5" x14ac:dyDescent="0.25">
      <c r="A7" s="1268"/>
      <c r="B7" s="1130" t="s">
        <v>799</v>
      </c>
      <c r="C7" s="947" t="s">
        <v>14</v>
      </c>
      <c r="D7" s="914">
        <v>3</v>
      </c>
      <c r="E7" s="940">
        <f>$H$52</f>
        <v>13.110000000000001</v>
      </c>
      <c r="F7" s="948">
        <v>0.75</v>
      </c>
      <c r="G7" s="940">
        <f>D7*E7</f>
        <v>39.330000000000005</v>
      </c>
      <c r="H7" s="943">
        <f>G7*F7</f>
        <v>29.497500000000002</v>
      </c>
      <c r="I7" s="914">
        <f>VLOOKUP(B7,All_Ingredients!$A$1:$F$161,6,FALSE())</f>
        <v>1</v>
      </c>
      <c r="J7" s="940">
        <f>VLOOKUP(B7,All_Ingredients!$A$1:$J$161,10,FALSE())</f>
        <v>22.5</v>
      </c>
      <c r="K7" s="945">
        <f t="shared" si="0"/>
        <v>2.9497500000000003E-2</v>
      </c>
      <c r="L7" s="945">
        <f t="shared" si="1"/>
        <v>0.66369375000000008</v>
      </c>
      <c r="R7" s="830"/>
      <c r="W7" s="830"/>
    </row>
    <row r="8" spans="1:30" x14ac:dyDescent="0.25">
      <c r="A8" s="1268"/>
      <c r="B8" s="1130" t="s">
        <v>214</v>
      </c>
      <c r="C8" s="947" t="s">
        <v>14</v>
      </c>
      <c r="D8" s="914">
        <v>3</v>
      </c>
      <c r="E8" s="940">
        <f>$H$52</f>
        <v>13.110000000000001</v>
      </c>
      <c r="F8" s="948">
        <v>0.9</v>
      </c>
      <c r="G8" s="940">
        <f>D8*E8</f>
        <v>39.330000000000005</v>
      </c>
      <c r="H8" s="943">
        <f>G8*F8</f>
        <v>35.397000000000006</v>
      </c>
      <c r="I8" s="914">
        <f>VLOOKUP(B8,All_Ingredients!$A$1:$F$161,6,FALSE())</f>
        <v>1</v>
      </c>
      <c r="J8" s="940">
        <f>VLOOKUP(B8,All_Ingredients!$A$1:$J$161,10,FALSE())</f>
        <v>35</v>
      </c>
      <c r="K8" s="945">
        <f t="shared" si="0"/>
        <v>3.5397000000000005E-2</v>
      </c>
      <c r="L8" s="945">
        <f t="shared" si="1"/>
        <v>1.2388950000000001</v>
      </c>
      <c r="R8" s="830"/>
      <c r="W8" s="830"/>
    </row>
    <row r="9" spans="1:30" x14ac:dyDescent="0.25">
      <c r="A9" s="1268"/>
      <c r="B9" s="1130" t="s">
        <v>105</v>
      </c>
      <c r="C9" s="947" t="s">
        <v>14</v>
      </c>
      <c r="D9" s="914">
        <v>5</v>
      </c>
      <c r="E9" s="940">
        <f>$H$52</f>
        <v>13.110000000000001</v>
      </c>
      <c r="F9" s="948">
        <v>0.8</v>
      </c>
      <c r="G9" s="940">
        <f>D9*E9</f>
        <v>65.550000000000011</v>
      </c>
      <c r="H9" s="943">
        <f>G9*F9</f>
        <v>52.440000000000012</v>
      </c>
      <c r="I9" s="914">
        <f>VLOOKUP(B9,All_Ingredients!$A$1:$F$161,6,FALSE())</f>
        <v>1</v>
      </c>
      <c r="J9" s="940">
        <f>VLOOKUP(B9,All_Ingredients!$A$1:$J$161,10,FALSE())</f>
        <v>15</v>
      </c>
      <c r="K9" s="945">
        <f t="shared" si="0"/>
        <v>5.2440000000000014E-2</v>
      </c>
      <c r="L9" s="945">
        <f t="shared" si="1"/>
        <v>0.78660000000000019</v>
      </c>
      <c r="R9" s="830"/>
      <c r="W9" s="830"/>
    </row>
    <row r="25" spans="18:29" x14ac:dyDescent="0.25">
      <c r="R25" s="1779" t="str">
        <f>B2</f>
        <v>Chicken Mandi - مندي دجاج</v>
      </c>
      <c r="S25" s="1787"/>
      <c r="T25" s="1787"/>
      <c r="U25" s="1269"/>
      <c r="W25" s="830"/>
      <c r="Z25" s="982" t="s">
        <v>252</v>
      </c>
      <c r="AA25" s="989">
        <v>1</v>
      </c>
      <c r="AB25" s="982" t="s">
        <v>249</v>
      </c>
      <c r="AC25" s="1138">
        <f>AC30*AA25</f>
        <v>2.7134188673518463E-2</v>
      </c>
    </row>
    <row r="26" spans="18:29" x14ac:dyDescent="0.25">
      <c r="R26" s="1786" t="s">
        <v>323</v>
      </c>
      <c r="S26" s="1787"/>
      <c r="T26" s="1787"/>
      <c r="U26" s="1269"/>
      <c r="W26" s="830"/>
      <c r="AB26" s="14"/>
      <c r="AC26" s="14"/>
    </row>
    <row r="27" spans="18:29" x14ac:dyDescent="0.25">
      <c r="R27" s="961" t="s">
        <v>254</v>
      </c>
      <c r="S27" s="962" t="s">
        <v>255</v>
      </c>
      <c r="T27" s="962" t="s">
        <v>257</v>
      </c>
      <c r="U27" s="962" t="s">
        <v>753</v>
      </c>
      <c r="W27" s="830"/>
      <c r="Z27" s="982" t="s">
        <v>258</v>
      </c>
      <c r="AA27" s="982" t="s">
        <v>259</v>
      </c>
      <c r="AB27" s="984" t="s">
        <v>753</v>
      </c>
      <c r="AC27" s="982" t="s">
        <v>262</v>
      </c>
    </row>
    <row r="28" spans="18:29" x14ac:dyDescent="0.25">
      <c r="R28" s="961" t="s">
        <v>324</v>
      </c>
      <c r="S28" s="965">
        <f>$Z$1</f>
        <v>12110</v>
      </c>
      <c r="T28" s="963">
        <f>S28</f>
        <v>12110</v>
      </c>
      <c r="U28" s="1270">
        <f>K37</f>
        <v>9.153846153846153E-3</v>
      </c>
      <c r="W28" s="830"/>
      <c r="Z28" s="1086"/>
      <c r="AA28" s="1087">
        <f>AA25</f>
        <v>1</v>
      </c>
      <c r="AB28" s="987"/>
      <c r="AC28" s="1088">
        <f>SUM(AA28:AB28)</f>
        <v>1</v>
      </c>
    </row>
    <row r="29" spans="18:29" x14ac:dyDescent="0.25">
      <c r="R29" s="961" t="s">
        <v>325</v>
      </c>
      <c r="S29" s="968">
        <f>$AB$1</f>
        <v>1000</v>
      </c>
      <c r="T29" s="974">
        <f>S29</f>
        <v>1000</v>
      </c>
      <c r="U29" s="968"/>
      <c r="W29" s="830"/>
      <c r="Z29" s="1086"/>
      <c r="AA29" s="1089">
        <v>1</v>
      </c>
      <c r="AB29" s="991"/>
      <c r="AC29" s="1089">
        <f>AC28/$AC$28</f>
        <v>1</v>
      </c>
    </row>
    <row r="30" spans="18:29" x14ac:dyDescent="0.25">
      <c r="R30" s="961" t="s">
        <v>326</v>
      </c>
      <c r="S30" s="1271">
        <f>S28+S29</f>
        <v>13110</v>
      </c>
      <c r="T30" s="1271">
        <f>T28+T29</f>
        <v>13110</v>
      </c>
      <c r="U30" s="1272">
        <f>U28+U29</f>
        <v>9.153846153846153E-3</v>
      </c>
      <c r="W30" s="830"/>
      <c r="Z30" s="982" t="s">
        <v>266</v>
      </c>
      <c r="AA30" s="1090">
        <f>S33/(S30)</f>
        <v>2.7102768148962928E-2</v>
      </c>
      <c r="AB30" s="995">
        <f>U33/T30</f>
        <v>3.1420524555535992E-5</v>
      </c>
      <c r="AC30" s="1164">
        <f>SUMPRODUCT(AA29,AA30)+AB30</f>
        <v>2.7134188673518463E-2</v>
      </c>
    </row>
    <row r="31" spans="18:29" ht="30" x14ac:dyDescent="0.25">
      <c r="R31" s="976" t="s">
        <v>268</v>
      </c>
      <c r="S31" s="959"/>
      <c r="T31" s="959"/>
      <c r="U31" s="959"/>
      <c r="W31" s="830"/>
    </row>
    <row r="32" spans="18:29" x14ac:dyDescent="0.25">
      <c r="R32" s="961" t="s">
        <v>269</v>
      </c>
      <c r="S32" s="959"/>
      <c r="T32" s="959"/>
      <c r="U32" s="959"/>
      <c r="W32" s="830"/>
    </row>
    <row r="33" spans="2:23" x14ac:dyDescent="0.25">
      <c r="B33" s="898"/>
      <c r="C33" s="205"/>
      <c r="D33" s="1151"/>
      <c r="E33" s="1260"/>
      <c r="F33" s="80"/>
      <c r="G33" s="830"/>
      <c r="H33" s="830"/>
      <c r="K33" s="830"/>
      <c r="R33" s="977" t="s">
        <v>249</v>
      </c>
      <c r="S33" s="1133">
        <f>SUM(L5:L9)</f>
        <v>355.31729043290397</v>
      </c>
      <c r="T33" s="1133">
        <f>S33+U33</f>
        <v>355.72921350982705</v>
      </c>
      <c r="U33" s="1273">
        <f>L37</f>
        <v>0.41192307692307689</v>
      </c>
      <c r="W33" s="830"/>
    </row>
    <row r="34" spans="2:23" x14ac:dyDescent="0.25">
      <c r="B34" s="898"/>
      <c r="C34" s="205"/>
      <c r="D34" s="1151"/>
      <c r="E34" s="1260"/>
      <c r="F34" s="80"/>
      <c r="G34" s="830"/>
      <c r="H34" s="830"/>
      <c r="K34" s="830"/>
      <c r="R34" s="830"/>
      <c r="W34" s="830"/>
    </row>
    <row r="35" spans="2:23" ht="15.75" x14ac:dyDescent="0.25">
      <c r="B35" s="1781" t="s">
        <v>616</v>
      </c>
      <c r="C35" s="1782"/>
      <c r="D35" s="1781"/>
      <c r="E35" s="1781"/>
      <c r="F35" s="1781"/>
      <c r="G35" s="1274"/>
      <c r="H35" s="1009"/>
      <c r="I35" s="1010"/>
      <c r="J35" s="1010"/>
      <c r="K35" s="1009"/>
      <c r="L35" s="1010"/>
      <c r="R35" s="830"/>
      <c r="W35" s="830"/>
    </row>
    <row r="36" spans="2:23" ht="31.5" x14ac:dyDescent="0.25">
      <c r="B36" s="1004" t="s">
        <v>241</v>
      </c>
      <c r="C36" s="1004" t="s">
        <v>316</v>
      </c>
      <c r="D36" s="1002" t="s">
        <v>610</v>
      </c>
      <c r="E36" s="1002" t="s">
        <v>611</v>
      </c>
      <c r="F36" s="1002" t="s">
        <v>612</v>
      </c>
      <c r="G36" s="1276"/>
      <c r="H36" s="1002" t="s">
        <v>612</v>
      </c>
      <c r="I36" s="1002" t="s">
        <v>246</v>
      </c>
      <c r="J36" s="1002" t="s">
        <v>247</v>
      </c>
      <c r="K36" s="1002" t="s">
        <v>248</v>
      </c>
      <c r="L36" s="1002" t="s">
        <v>249</v>
      </c>
      <c r="R36" s="830"/>
      <c r="W36" s="830"/>
    </row>
    <row r="37" spans="2:23" x14ac:dyDescent="0.25">
      <c r="B37" s="1005" t="s">
        <v>666</v>
      </c>
      <c r="C37" s="1006" t="s">
        <v>14</v>
      </c>
      <c r="D37" s="1007">
        <v>7.0000000000000007E-2</v>
      </c>
      <c r="E37" s="1005">
        <f>$AD$1</f>
        <v>85</v>
      </c>
      <c r="F37" s="1005">
        <f>D37*E37</f>
        <v>5.95</v>
      </c>
      <c r="G37" s="830"/>
      <c r="H37" s="1005">
        <f>F37</f>
        <v>5.95</v>
      </c>
      <c r="I37" s="1005">
        <f>VLOOKUP(B37,All_Ingredients!$A$1:$F$161,6,FALSE())</f>
        <v>0.65</v>
      </c>
      <c r="J37" s="1005">
        <f>VLOOKUP(B37,All_Ingredients!$A$1:$J$161,10,FALSE())</f>
        <v>45</v>
      </c>
      <c r="K37" s="1005">
        <f>(H37/I37)/1000</f>
        <v>9.153846153846153E-3</v>
      </c>
      <c r="L37" s="1005">
        <f t="shared" ref="L37" si="2">K37*J37</f>
        <v>0.41192307692307689</v>
      </c>
      <c r="R37" s="830"/>
      <c r="W37" s="830"/>
    </row>
    <row r="38" spans="2:23" x14ac:dyDescent="0.25">
      <c r="B38" s="898"/>
      <c r="C38" s="205"/>
      <c r="D38" s="1151"/>
      <c r="E38" s="1260"/>
      <c r="F38" s="80"/>
      <c r="G38" s="830"/>
      <c r="H38" s="830"/>
      <c r="K38" s="830"/>
      <c r="R38" s="830"/>
      <c r="W38" s="830"/>
    </row>
    <row r="39" spans="2:23" x14ac:dyDescent="0.25">
      <c r="B39" s="898"/>
      <c r="C39" s="205"/>
      <c r="D39" s="1151"/>
      <c r="E39" s="1260"/>
      <c r="F39" s="80"/>
      <c r="G39" s="830"/>
      <c r="H39" s="830"/>
      <c r="K39" s="830"/>
      <c r="R39" s="830"/>
      <c r="W39" s="830"/>
    </row>
    <row r="40" spans="2:23" x14ac:dyDescent="0.25">
      <c r="B40" s="898"/>
      <c r="C40" s="205"/>
      <c r="D40" s="1151"/>
      <c r="E40" s="1260"/>
      <c r="F40" s="80"/>
      <c r="G40" s="830"/>
      <c r="H40" s="830"/>
      <c r="K40" s="830"/>
      <c r="Q40" s="14"/>
      <c r="R40" s="119" t="s">
        <v>327</v>
      </c>
      <c r="S40" s="163">
        <v>1</v>
      </c>
      <c r="W40" s="830"/>
    </row>
    <row r="41" spans="2:23" x14ac:dyDescent="0.25">
      <c r="B41" s="898"/>
      <c r="C41" s="205"/>
      <c r="D41" s="1151"/>
      <c r="E41" s="1260"/>
      <c r="F41" s="80"/>
      <c r="G41" s="830"/>
      <c r="H41" s="830"/>
      <c r="K41" s="830"/>
      <c r="Q41" s="14"/>
      <c r="R41" s="890"/>
      <c r="S41" s="14"/>
      <c r="T41" s="14"/>
      <c r="U41" s="123"/>
      <c r="V41" s="14"/>
      <c r="W41" s="890"/>
    </row>
    <row r="42" spans="2:23" x14ac:dyDescent="0.25">
      <c r="B42" s="898"/>
      <c r="C42" s="205"/>
      <c r="D42" s="1151"/>
      <c r="E42" s="1260"/>
      <c r="F42" s="80"/>
      <c r="G42" s="830"/>
      <c r="H42" s="830"/>
      <c r="K42" s="830"/>
      <c r="Q42" s="14"/>
      <c r="R42" s="890"/>
      <c r="S42" s="14"/>
      <c r="T42" s="14"/>
      <c r="U42" s="14"/>
      <c r="V42" s="14"/>
      <c r="W42" s="890"/>
    </row>
    <row r="43" spans="2:23" ht="26.25" x14ac:dyDescent="0.25">
      <c r="B43" s="898"/>
      <c r="C43" s="205"/>
      <c r="D43" s="1151"/>
      <c r="E43" s="1260"/>
      <c r="F43" s="80"/>
      <c r="G43" s="830"/>
      <c r="H43" s="830"/>
      <c r="K43" s="830"/>
      <c r="Q43" s="1015" t="s">
        <v>272</v>
      </c>
      <c r="R43" s="1011" t="s">
        <v>273</v>
      </c>
      <c r="S43" s="1015" t="s">
        <v>274</v>
      </c>
      <c r="T43" s="1015" t="s">
        <v>275</v>
      </c>
      <c r="U43" s="1015" t="s">
        <v>276</v>
      </c>
      <c r="V43" s="1015" t="s">
        <v>277</v>
      </c>
      <c r="W43" s="1011" t="s">
        <v>328</v>
      </c>
    </row>
    <row r="44" spans="2:23" x14ac:dyDescent="0.25">
      <c r="B44" s="898"/>
      <c r="C44" s="205"/>
      <c r="D44" s="1151"/>
      <c r="E44" s="1260"/>
      <c r="F44" s="80"/>
      <c r="G44" s="830"/>
      <c r="H44" s="830"/>
      <c r="K44" s="830"/>
      <c r="Q44" s="1023">
        <v>10000</v>
      </c>
      <c r="R44" s="1017">
        <v>0</v>
      </c>
      <c r="S44" s="1095">
        <v>0</v>
      </c>
      <c r="T44" s="1095">
        <v>0</v>
      </c>
      <c r="U44" s="1096">
        <f>R44*S44</f>
        <v>0</v>
      </c>
      <c r="V44" s="1021">
        <f>R44*T44</f>
        <v>0</v>
      </c>
      <c r="W44" s="1026">
        <f>Q44-U44</f>
        <v>10000</v>
      </c>
    </row>
    <row r="50" spans="1:11" x14ac:dyDescent="0.25">
      <c r="A50" s="874"/>
      <c r="B50" s="830"/>
      <c r="D50" s="830"/>
      <c r="E50" s="830"/>
      <c r="F50" s="80"/>
      <c r="G50" s="961" t="s">
        <v>280</v>
      </c>
      <c r="H50" s="961" t="s">
        <v>233</v>
      </c>
      <c r="I50" s="962" t="s">
        <v>281</v>
      </c>
      <c r="J50" s="962" t="s">
        <v>282</v>
      </c>
      <c r="K50" s="830"/>
    </row>
    <row r="51" spans="1:11" x14ac:dyDescent="0.25">
      <c r="A51" s="874"/>
      <c r="B51" s="830"/>
      <c r="D51" s="830"/>
      <c r="E51" s="830"/>
      <c r="F51" s="80"/>
      <c r="G51" s="1027" t="s">
        <v>322</v>
      </c>
      <c r="H51" s="1034">
        <v>10</v>
      </c>
      <c r="I51" s="1028">
        <f>J51/J1</f>
        <v>13513.513513513513</v>
      </c>
      <c r="J51" s="1028">
        <f>$W$44</f>
        <v>10000</v>
      </c>
      <c r="K51" s="830"/>
    </row>
    <row r="52" spans="1:11" x14ac:dyDescent="0.25">
      <c r="A52" s="874"/>
      <c r="B52" s="830"/>
      <c r="D52" s="830"/>
      <c r="E52" s="830"/>
      <c r="F52" s="80"/>
      <c r="G52" s="961" t="s">
        <v>262</v>
      </c>
      <c r="H52" s="1277">
        <f>$E$5</f>
        <v>13.110000000000001</v>
      </c>
      <c r="I52" s="1021">
        <f>J52/$J$1</f>
        <v>17716.216216216217</v>
      </c>
      <c r="J52" s="1030">
        <f>$S$30</f>
        <v>13110</v>
      </c>
      <c r="K52" s="830"/>
    </row>
    <row r="53" spans="1:11" x14ac:dyDescent="0.25">
      <c r="A53" s="874"/>
      <c r="B53" s="830"/>
      <c r="D53" s="1259"/>
      <c r="E53" s="830"/>
      <c r="F53" s="80"/>
      <c r="G53" s="961" t="s">
        <v>284</v>
      </c>
      <c r="H53" s="1278">
        <f>MIN($H$52, H51)</f>
        <v>10</v>
      </c>
      <c r="I53" s="1021">
        <f>J53/$J$1</f>
        <v>13513.513513513513</v>
      </c>
      <c r="J53" s="1279">
        <f>MIN(MAX($J$52,0),$J$51)</f>
        <v>10000</v>
      </c>
      <c r="K53" s="830"/>
    </row>
    <row r="54" spans="1:11" x14ac:dyDescent="0.25">
      <c r="A54" s="874"/>
      <c r="B54" s="830"/>
      <c r="D54" s="1259"/>
      <c r="E54" s="830"/>
      <c r="F54" s="80"/>
      <c r="G54" s="961" t="s">
        <v>285</v>
      </c>
      <c r="H54" s="1278">
        <f>MIN(MAX($H$52-H53,0),H51)</f>
        <v>3.1100000000000012</v>
      </c>
      <c r="I54" s="1021">
        <f>J54/$J$1</f>
        <v>4202.7027027027025</v>
      </c>
      <c r="J54" s="1030">
        <f>MIN(MAX($J$52-J53,0),$J$51)</f>
        <v>3110</v>
      </c>
      <c r="K54" s="830"/>
    </row>
    <row r="55" spans="1:11" x14ac:dyDescent="0.25">
      <c r="A55" s="874"/>
      <c r="B55" s="830"/>
      <c r="D55" s="1259"/>
      <c r="E55" s="830"/>
      <c r="F55" s="80"/>
      <c r="G55" s="961" t="s">
        <v>286</v>
      </c>
      <c r="H55" s="1278">
        <f>MIN(MAX($H$52-H53-H54,0),$H$51)</f>
        <v>0</v>
      </c>
      <c r="I55" s="1021">
        <f>J55/$J$1</f>
        <v>0</v>
      </c>
      <c r="J55" s="1279">
        <f>MIN(MAX($J$52-J53-J54,0),$J$51)</f>
        <v>0</v>
      </c>
      <c r="K55" s="830"/>
    </row>
    <row r="56" spans="1:11" x14ac:dyDescent="0.25">
      <c r="A56" s="874"/>
      <c r="B56" s="830"/>
      <c r="D56" s="830"/>
      <c r="E56" s="830"/>
      <c r="F56" s="80"/>
      <c r="G56" s="961" t="s">
        <v>293</v>
      </c>
      <c r="H56" s="1278">
        <f>MIN(MAX($H$52-H53-H54-H55,0),$H$51)</f>
        <v>0</v>
      </c>
      <c r="I56" s="1021">
        <f>J56/$J$1</f>
        <v>0</v>
      </c>
      <c r="J56" s="1279">
        <f>MIN(MAX($J$52-J53-J54-J55,0),$J$51)</f>
        <v>0</v>
      </c>
      <c r="K56" s="830"/>
    </row>
    <row r="57" spans="1:11" x14ac:dyDescent="0.25">
      <c r="A57" s="874"/>
      <c r="B57" s="898"/>
      <c r="C57" s="205"/>
      <c r="D57" s="1151"/>
      <c r="E57" s="1260"/>
      <c r="F57" s="80"/>
      <c r="G57" s="830"/>
      <c r="H57" s="830"/>
      <c r="K57" s="830"/>
    </row>
    <row r="58" spans="1:11" x14ac:dyDescent="0.25">
      <c r="A58" s="874"/>
      <c r="B58" s="80"/>
      <c r="D58" s="830"/>
      <c r="E58" s="80"/>
      <c r="F58" s="80"/>
      <c r="G58" s="830"/>
      <c r="H58" s="830"/>
      <c r="K58" s="830"/>
    </row>
    <row r="59" spans="1:11" x14ac:dyDescent="0.25">
      <c r="A59" s="874"/>
      <c r="B59" s="80"/>
      <c r="D59" s="830"/>
      <c r="E59" s="80"/>
      <c r="F59" s="80"/>
      <c r="G59" s="830"/>
      <c r="H59" s="830"/>
      <c r="K59" s="830"/>
    </row>
    <row r="60" spans="1:11" x14ac:dyDescent="0.25">
      <c r="A60" s="874"/>
      <c r="B60" s="80"/>
      <c r="D60" s="830"/>
      <c r="E60" s="80"/>
      <c r="F60" s="80"/>
      <c r="G60" s="830"/>
      <c r="H60" s="830"/>
      <c r="K60" s="830"/>
    </row>
    <row r="61" spans="1:11" x14ac:dyDescent="0.25">
      <c r="A61" s="874"/>
      <c r="B61" s="80"/>
      <c r="D61" s="830"/>
      <c r="E61" s="80"/>
      <c r="F61" s="80"/>
      <c r="G61" s="830"/>
      <c r="H61" s="830"/>
      <c r="K61" s="830"/>
    </row>
    <row r="62" spans="1:11" x14ac:dyDescent="0.2">
      <c r="A62" s="875"/>
      <c r="B62" s="1776" t="str">
        <f>"دجاج مندى 1 / " &amp; COUNTIF($H$53:$H$56, "&gt;0")</f>
        <v>دجاج مندى 1 / 2</v>
      </c>
      <c r="C62" s="1777"/>
      <c r="D62" s="1778"/>
      <c r="E62" s="1778"/>
      <c r="F62" s="1778"/>
      <c r="G62" s="1778"/>
      <c r="H62" s="1778"/>
      <c r="K62" s="830"/>
    </row>
    <row r="63" spans="1:11" x14ac:dyDescent="0.2">
      <c r="A63" s="875"/>
      <c r="B63" s="1776" t="str">
        <f>"Mandi Chicken 1 / " &amp; COUNTIF($H$53:$H$56, "&gt;0")</f>
        <v>Mandi Chicken 1 / 2</v>
      </c>
      <c r="C63" s="1777"/>
      <c r="D63" s="1778"/>
      <c r="E63" s="1778"/>
      <c r="F63" s="1778"/>
      <c r="G63" s="1778"/>
      <c r="H63" s="1778"/>
      <c r="K63" s="830"/>
    </row>
    <row r="64" spans="1:11" ht="38.25" x14ac:dyDescent="0.2">
      <c r="A64" s="1350" t="s">
        <v>864</v>
      </c>
      <c r="B64" s="923" t="s">
        <v>241</v>
      </c>
      <c r="C64" s="1104" t="s">
        <v>316</v>
      </c>
      <c r="D64" s="923" t="s">
        <v>317</v>
      </c>
      <c r="E64" s="935" t="s">
        <v>318</v>
      </c>
      <c r="F64" s="935" t="s">
        <v>319</v>
      </c>
      <c r="G64" s="1266" t="s">
        <v>320</v>
      </c>
      <c r="H64" s="936" t="s">
        <v>321</v>
      </c>
      <c r="K64" s="830"/>
    </row>
    <row r="65" spans="1:11" x14ac:dyDescent="0.2">
      <c r="A65" s="876" t="s">
        <v>874</v>
      </c>
      <c r="B65" s="1130" t="str">
        <f t="shared" ref="B65:D69" si="3">B5</f>
        <v>Chicken - دجاج</v>
      </c>
      <c r="C65" s="1252" t="str">
        <f t="shared" si="3"/>
        <v>gm</v>
      </c>
      <c r="D65" s="1280">
        <f>D5</f>
        <v>1351.3513513513512</v>
      </c>
      <c r="E65" s="1040">
        <f>$H$53</f>
        <v>10</v>
      </c>
      <c r="F65" s="948">
        <f>F5</f>
        <v>1</v>
      </c>
      <c r="G65" s="940">
        <f>D65*E65</f>
        <v>13513.513513513513</v>
      </c>
      <c r="H65" s="943">
        <f>G65*F65</f>
        <v>13513.513513513513</v>
      </c>
      <c r="K65" s="830"/>
    </row>
    <row r="66" spans="1:11" x14ac:dyDescent="0.25">
      <c r="A66" s="874"/>
      <c r="B66" s="1130" t="str">
        <f t="shared" si="3"/>
        <v>Salt - ملح</v>
      </c>
      <c r="C66" s="1252" t="str">
        <f t="shared" si="3"/>
        <v>gm</v>
      </c>
      <c r="D66" s="1130">
        <f t="shared" si="3"/>
        <v>50</v>
      </c>
      <c r="E66" s="1040">
        <f>$H$53</f>
        <v>10</v>
      </c>
      <c r="F66" s="948">
        <f>F6</f>
        <v>0.75</v>
      </c>
      <c r="G66" s="914">
        <f>D66*E66</f>
        <v>500</v>
      </c>
      <c r="H66" s="943">
        <f>G66*F66</f>
        <v>375</v>
      </c>
      <c r="K66" s="830"/>
    </row>
    <row r="67" spans="1:11" ht="28.5" x14ac:dyDescent="0.25">
      <c r="A67" s="874"/>
      <c r="B67" s="1130" t="str">
        <f t="shared" si="3"/>
        <v>Saffron yellow color powder - لون صفار زعفران بودر</v>
      </c>
      <c r="C67" s="1252" t="str">
        <f t="shared" si="3"/>
        <v>gm</v>
      </c>
      <c r="D67" s="1130">
        <f t="shared" si="3"/>
        <v>3</v>
      </c>
      <c r="E67" s="1040">
        <f>$H$53</f>
        <v>10</v>
      </c>
      <c r="F67" s="948">
        <f>F7</f>
        <v>0.75</v>
      </c>
      <c r="G67" s="914">
        <f>D67*E67</f>
        <v>30</v>
      </c>
      <c r="H67" s="943">
        <f>G67*F67</f>
        <v>22.5</v>
      </c>
      <c r="K67" s="830"/>
    </row>
    <row r="68" spans="1:11" x14ac:dyDescent="0.25">
      <c r="A68" s="874"/>
      <c r="B68" s="1130" t="str">
        <f t="shared" si="3"/>
        <v>Orange Color - لون برتقالي</v>
      </c>
      <c r="C68" s="1252" t="str">
        <f t="shared" si="3"/>
        <v>gm</v>
      </c>
      <c r="D68" s="1130">
        <f t="shared" si="3"/>
        <v>3</v>
      </c>
      <c r="E68" s="1040">
        <f>$H$53</f>
        <v>10</v>
      </c>
      <c r="F68" s="948">
        <f>F8</f>
        <v>0.9</v>
      </c>
      <c r="G68" s="914">
        <f>D68*E68</f>
        <v>30</v>
      </c>
      <c r="H68" s="943">
        <f>G68*F68</f>
        <v>27</v>
      </c>
      <c r="K68" s="830"/>
    </row>
    <row r="69" spans="1:11" x14ac:dyDescent="0.25">
      <c r="A69" s="874"/>
      <c r="B69" s="1130" t="str">
        <f t="shared" si="3"/>
        <v>Cumin Powder - كمون مطحون</v>
      </c>
      <c r="C69" s="1252" t="str">
        <f t="shared" si="3"/>
        <v>gm</v>
      </c>
      <c r="D69" s="1130">
        <f t="shared" si="3"/>
        <v>5</v>
      </c>
      <c r="E69" s="1040">
        <f>$H$53</f>
        <v>10</v>
      </c>
      <c r="F69" s="948">
        <f>F9</f>
        <v>0.8</v>
      </c>
      <c r="G69" s="914">
        <f>D69*E69</f>
        <v>50</v>
      </c>
      <c r="H69" s="943">
        <f>G69*F69</f>
        <v>40</v>
      </c>
      <c r="K69" s="830"/>
    </row>
    <row r="70" spans="1:11" ht="18" x14ac:dyDescent="0.25">
      <c r="A70" s="1258"/>
      <c r="B70" s="1041" t="s">
        <v>287</v>
      </c>
      <c r="C70" s="1042" t="s">
        <v>273</v>
      </c>
      <c r="E70" s="1044" t="s">
        <v>288</v>
      </c>
      <c r="G70" s="1046" t="s">
        <v>264</v>
      </c>
      <c r="H70" s="1046" t="s">
        <v>661</v>
      </c>
      <c r="K70" s="830"/>
    </row>
    <row r="71" spans="1:11" ht="20.25" x14ac:dyDescent="0.3">
      <c r="A71" s="1258"/>
      <c r="B71" s="1047">
        <f>$J$53</f>
        <v>10000</v>
      </c>
      <c r="C71" s="1048">
        <f>E71+G71</f>
        <v>0</v>
      </c>
      <c r="E71" s="1047">
        <f>$H$53*$S$44</f>
        <v>0</v>
      </c>
      <c r="G71" s="1047">
        <f>$H$53*$T$44</f>
        <v>0</v>
      </c>
      <c r="H71" s="1047">
        <f>B71+E71</f>
        <v>10000</v>
      </c>
      <c r="K71" s="830"/>
    </row>
    <row r="72" spans="1:11" x14ac:dyDescent="0.25">
      <c r="A72" s="874"/>
      <c r="B72" s="80"/>
      <c r="D72" s="830"/>
      <c r="E72" s="80"/>
      <c r="F72" s="80"/>
      <c r="G72" s="830"/>
      <c r="H72" s="830"/>
      <c r="K72" s="830"/>
    </row>
    <row r="73" spans="1:11" x14ac:dyDescent="0.2">
      <c r="A73" s="875"/>
      <c r="B73" s="1776" t="str">
        <f>"دجاج مندى 2 / " &amp; COUNTIF($H$53:$H$56, "&gt;0")</f>
        <v>دجاج مندى 2 / 2</v>
      </c>
      <c r="C73" s="1777"/>
      <c r="D73" s="1778"/>
      <c r="E73" s="1778"/>
      <c r="F73" s="1778"/>
      <c r="G73" s="1778"/>
      <c r="H73" s="1778"/>
      <c r="K73" s="830"/>
    </row>
    <row r="74" spans="1:11" x14ac:dyDescent="0.2">
      <c r="A74" s="875"/>
      <c r="B74" s="1776" t="str">
        <f>"Mandi Chicken 2 / " &amp; COUNTIF($H$53:$H$56, "&gt;0")</f>
        <v>Mandi Chicken 2 / 2</v>
      </c>
      <c r="C74" s="1777"/>
      <c r="D74" s="1778"/>
      <c r="E74" s="1778"/>
      <c r="F74" s="1778"/>
      <c r="G74" s="1778"/>
      <c r="H74" s="1778"/>
      <c r="K74" s="830"/>
    </row>
    <row r="75" spans="1:11" ht="38.25" x14ac:dyDescent="0.2">
      <c r="A75" s="1350" t="s">
        <v>864</v>
      </c>
      <c r="B75" s="923" t="s">
        <v>241</v>
      </c>
      <c r="C75" s="934" t="s">
        <v>242</v>
      </c>
      <c r="D75" s="923" t="s">
        <v>231</v>
      </c>
      <c r="E75" s="936" t="s">
        <v>234</v>
      </c>
      <c r="F75" s="935" t="s">
        <v>329</v>
      </c>
      <c r="G75" s="923" t="s">
        <v>244</v>
      </c>
      <c r="H75" s="936" t="s">
        <v>245</v>
      </c>
      <c r="K75" s="830"/>
    </row>
    <row r="76" spans="1:11" x14ac:dyDescent="0.2">
      <c r="A76" s="876" t="s">
        <v>874</v>
      </c>
      <c r="B76" s="1130" t="str">
        <f t="shared" ref="B76:D80" si="4">B5</f>
        <v>Chicken - دجاج</v>
      </c>
      <c r="C76" s="1252" t="str">
        <f t="shared" si="4"/>
        <v>gm</v>
      </c>
      <c r="D76" s="940">
        <f t="shared" si="4"/>
        <v>1351.3513513513512</v>
      </c>
      <c r="E76" s="1040">
        <f>$H$54</f>
        <v>3.1100000000000012</v>
      </c>
      <c r="F76" s="948">
        <f>F5</f>
        <v>1</v>
      </c>
      <c r="G76" s="940">
        <f>D76*E76</f>
        <v>4202.7027027027043</v>
      </c>
      <c r="H76" s="943">
        <f>G76*F76</f>
        <v>4202.7027027027043</v>
      </c>
      <c r="K76" s="830"/>
    </row>
    <row r="77" spans="1:11" x14ac:dyDescent="0.25">
      <c r="A77" s="874"/>
      <c r="B77" s="1130" t="str">
        <f t="shared" si="4"/>
        <v>Salt - ملح</v>
      </c>
      <c r="C77" s="1252" t="str">
        <f t="shared" si="4"/>
        <v>gm</v>
      </c>
      <c r="D77" s="1130">
        <f t="shared" si="4"/>
        <v>50</v>
      </c>
      <c r="E77" s="1040">
        <f>$H$54</f>
        <v>3.1100000000000012</v>
      </c>
      <c r="F77" s="948">
        <f>F6</f>
        <v>0.75</v>
      </c>
      <c r="G77" s="940">
        <f>D77*E77</f>
        <v>155.50000000000006</v>
      </c>
      <c r="H77" s="943">
        <f>G77*F77</f>
        <v>116.62500000000004</v>
      </c>
      <c r="K77" s="830"/>
    </row>
    <row r="78" spans="1:11" ht="28.5" x14ac:dyDescent="0.25">
      <c r="A78" s="874"/>
      <c r="B78" s="1130" t="str">
        <f t="shared" si="4"/>
        <v>Saffron yellow color powder - لون صفار زعفران بودر</v>
      </c>
      <c r="C78" s="1252" t="str">
        <f t="shared" si="4"/>
        <v>gm</v>
      </c>
      <c r="D78" s="1130">
        <f t="shared" si="4"/>
        <v>3</v>
      </c>
      <c r="E78" s="1040">
        <f>$H$54</f>
        <v>3.1100000000000012</v>
      </c>
      <c r="F78" s="948">
        <f>F7</f>
        <v>0.75</v>
      </c>
      <c r="G78" s="940">
        <f>D78*E78</f>
        <v>9.3300000000000036</v>
      </c>
      <c r="H78" s="943">
        <f>G78*F78</f>
        <v>6.9975000000000023</v>
      </c>
      <c r="K78" s="830"/>
    </row>
    <row r="79" spans="1:11" x14ac:dyDescent="0.25">
      <c r="A79" s="874"/>
      <c r="B79" s="1130" t="str">
        <f t="shared" si="4"/>
        <v>Orange Color - لون برتقالي</v>
      </c>
      <c r="C79" s="1252" t="str">
        <f t="shared" si="4"/>
        <v>gm</v>
      </c>
      <c r="D79" s="1130">
        <f t="shared" si="4"/>
        <v>3</v>
      </c>
      <c r="E79" s="1040">
        <f>$H$54</f>
        <v>3.1100000000000012</v>
      </c>
      <c r="F79" s="948">
        <f>F8</f>
        <v>0.9</v>
      </c>
      <c r="G79" s="940">
        <f>D79*E79</f>
        <v>9.3300000000000036</v>
      </c>
      <c r="H79" s="943">
        <f>G79*F79</f>
        <v>8.3970000000000038</v>
      </c>
      <c r="K79" s="830"/>
    </row>
    <row r="80" spans="1:11" x14ac:dyDescent="0.25">
      <c r="A80" s="874"/>
      <c r="B80" s="1130" t="str">
        <f t="shared" si="4"/>
        <v>Cumin Powder - كمون مطحون</v>
      </c>
      <c r="C80" s="1252" t="str">
        <f t="shared" si="4"/>
        <v>gm</v>
      </c>
      <c r="D80" s="1130">
        <f t="shared" si="4"/>
        <v>5</v>
      </c>
      <c r="E80" s="1040">
        <f>$H$54</f>
        <v>3.1100000000000012</v>
      </c>
      <c r="F80" s="948">
        <f>F9</f>
        <v>0.8</v>
      </c>
      <c r="G80" s="940">
        <f>D80*E80</f>
        <v>15.550000000000006</v>
      </c>
      <c r="H80" s="943">
        <f>G80*F80</f>
        <v>12.440000000000005</v>
      </c>
      <c r="K80" s="830"/>
    </row>
    <row r="81" spans="1:11" ht="18" x14ac:dyDescent="0.25">
      <c r="A81" s="1258"/>
      <c r="B81" s="1041" t="s">
        <v>287</v>
      </c>
      <c r="C81" s="1042" t="s">
        <v>273</v>
      </c>
      <c r="E81" s="1044" t="s">
        <v>288</v>
      </c>
      <c r="G81" s="1046" t="s">
        <v>264</v>
      </c>
      <c r="H81" s="1046" t="s">
        <v>661</v>
      </c>
      <c r="K81" s="830"/>
    </row>
    <row r="82" spans="1:11" ht="20.25" x14ac:dyDescent="0.3">
      <c r="A82" s="1258"/>
      <c r="B82" s="1047">
        <f>$J$54</f>
        <v>3110</v>
      </c>
      <c r="C82" s="1048">
        <f>E82+G82</f>
        <v>0</v>
      </c>
      <c r="E82" s="1047">
        <f>$H$54*$S$44</f>
        <v>0</v>
      </c>
      <c r="G82" s="1047">
        <f>$H$54*$T$44</f>
        <v>0</v>
      </c>
      <c r="H82" s="1047">
        <f>B82+E82</f>
        <v>3110</v>
      </c>
      <c r="K82" s="830"/>
    </row>
    <row r="83" spans="1:11" x14ac:dyDescent="0.25">
      <c r="A83" s="874"/>
      <c r="B83" s="80"/>
      <c r="D83" s="830"/>
      <c r="E83" s="80"/>
      <c r="F83" s="80"/>
      <c r="G83" s="830"/>
      <c r="H83" s="830"/>
      <c r="K83" s="830"/>
    </row>
    <row r="84" spans="1:11" x14ac:dyDescent="0.25">
      <c r="A84" s="874"/>
      <c r="B84" s="80"/>
      <c r="D84" s="830"/>
      <c r="E84" s="80"/>
      <c r="F84" s="80"/>
      <c r="G84" s="830"/>
      <c r="H84" s="830"/>
      <c r="K84" s="830"/>
    </row>
    <row r="85" spans="1:11" x14ac:dyDescent="0.25">
      <c r="A85" s="874"/>
      <c r="B85" s="80"/>
      <c r="D85" s="830"/>
      <c r="E85" s="80"/>
      <c r="F85" s="80"/>
      <c r="G85" s="830"/>
      <c r="H85" s="830"/>
      <c r="K85" s="830"/>
    </row>
    <row r="86" spans="1:11" x14ac:dyDescent="0.2">
      <c r="A86" s="875"/>
      <c r="B86" s="1776" t="str">
        <f>"دجاج مندى 3 / " &amp; COUNTIF($H$53:$H$56, "&gt;0")</f>
        <v>دجاج مندى 3 / 2</v>
      </c>
      <c r="C86" s="1777"/>
      <c r="D86" s="1778"/>
      <c r="E86" s="1778"/>
      <c r="F86" s="1778"/>
      <c r="G86" s="1778"/>
      <c r="H86" s="1778"/>
      <c r="K86" s="830"/>
    </row>
    <row r="87" spans="1:11" x14ac:dyDescent="0.2">
      <c r="A87" s="875"/>
      <c r="B87" s="1776" t="str">
        <f>"Mandi Chicken 3 / " &amp; COUNTIF($H$53:$H$56, "&gt;0")</f>
        <v>Mandi Chicken 3 / 2</v>
      </c>
      <c r="C87" s="1777"/>
      <c r="D87" s="1778"/>
      <c r="E87" s="1778"/>
      <c r="F87" s="1778"/>
      <c r="G87" s="1778"/>
      <c r="H87" s="1778"/>
      <c r="K87" s="830"/>
    </row>
    <row r="88" spans="1:11" ht="38.25" x14ac:dyDescent="0.2">
      <c r="A88" s="1350" t="s">
        <v>864</v>
      </c>
      <c r="B88" s="923" t="s">
        <v>241</v>
      </c>
      <c r="C88" s="934" t="s">
        <v>242</v>
      </c>
      <c r="D88" s="923" t="s">
        <v>231</v>
      </c>
      <c r="E88" s="936" t="s">
        <v>234</v>
      </c>
      <c r="F88" s="935" t="s">
        <v>329</v>
      </c>
      <c r="G88" s="923" t="s">
        <v>244</v>
      </c>
      <c r="H88" s="936" t="s">
        <v>245</v>
      </c>
      <c r="K88" s="830"/>
    </row>
    <row r="89" spans="1:11" x14ac:dyDescent="0.2">
      <c r="A89" s="876" t="s">
        <v>874</v>
      </c>
      <c r="B89" s="1281" t="str">
        <f t="shared" ref="B89:D93" si="5">B5</f>
        <v>Chicken - دجاج</v>
      </c>
      <c r="C89" s="1281" t="str">
        <f t="shared" si="5"/>
        <v>gm</v>
      </c>
      <c r="D89" s="940">
        <f t="shared" si="5"/>
        <v>1351.3513513513512</v>
      </c>
      <c r="E89" s="1040">
        <f>$H$55</f>
        <v>0</v>
      </c>
      <c r="F89" s="1282">
        <f>F5</f>
        <v>1</v>
      </c>
      <c r="G89" s="940">
        <f>D89*E89</f>
        <v>0</v>
      </c>
      <c r="H89" s="943">
        <f>G89*F89</f>
        <v>0</v>
      </c>
      <c r="K89" s="830"/>
    </row>
    <row r="90" spans="1:11" x14ac:dyDescent="0.2">
      <c r="A90" s="876"/>
      <c r="B90" s="1281" t="str">
        <f t="shared" si="5"/>
        <v>Salt - ملح</v>
      </c>
      <c r="C90" s="1281" t="str">
        <f t="shared" si="5"/>
        <v>gm</v>
      </c>
      <c r="D90" s="1281">
        <f t="shared" si="5"/>
        <v>50</v>
      </c>
      <c r="E90" s="1040">
        <f>$H$55</f>
        <v>0</v>
      </c>
      <c r="F90" s="1282">
        <f>F6</f>
        <v>0.75</v>
      </c>
      <c r="G90" s="940">
        <f>D90*E90</f>
        <v>0</v>
      </c>
      <c r="H90" s="943">
        <f>G90*F90</f>
        <v>0</v>
      </c>
      <c r="K90" s="830"/>
    </row>
    <row r="91" spans="1:11" ht="25.5" x14ac:dyDescent="0.2">
      <c r="A91" s="876"/>
      <c r="B91" s="1281" t="str">
        <f t="shared" si="5"/>
        <v>Saffron yellow color powder - لون صفار زعفران بودر</v>
      </c>
      <c r="C91" s="1281" t="str">
        <f t="shared" si="5"/>
        <v>gm</v>
      </c>
      <c r="D91" s="1281">
        <f t="shared" si="5"/>
        <v>3</v>
      </c>
      <c r="E91" s="1040">
        <f>$H$55</f>
        <v>0</v>
      </c>
      <c r="F91" s="1282">
        <f>F7</f>
        <v>0.75</v>
      </c>
      <c r="G91" s="940">
        <f>D91*E91</f>
        <v>0</v>
      </c>
      <c r="H91" s="943">
        <f>G91*F91</f>
        <v>0</v>
      </c>
      <c r="K91" s="830"/>
    </row>
    <row r="92" spans="1:11" x14ac:dyDescent="0.2">
      <c r="A92" s="876"/>
      <c r="B92" s="1281" t="str">
        <f t="shared" si="5"/>
        <v>Orange Color - لون برتقالي</v>
      </c>
      <c r="C92" s="1281" t="str">
        <f t="shared" si="5"/>
        <v>gm</v>
      </c>
      <c r="D92" s="1281">
        <f t="shared" si="5"/>
        <v>3</v>
      </c>
      <c r="E92" s="1040">
        <f>$H$55</f>
        <v>0</v>
      </c>
      <c r="F92" s="1282">
        <f>F8</f>
        <v>0.9</v>
      </c>
      <c r="G92" s="940">
        <f>D92*E92</f>
        <v>0</v>
      </c>
      <c r="H92" s="943">
        <f>G92*F92</f>
        <v>0</v>
      </c>
      <c r="K92" s="830"/>
    </row>
    <row r="93" spans="1:11" x14ac:dyDescent="0.2">
      <c r="A93" s="876"/>
      <c r="B93" s="1281" t="str">
        <f t="shared" si="5"/>
        <v>Cumin Powder - كمون مطحون</v>
      </c>
      <c r="C93" s="1281" t="str">
        <f t="shared" si="5"/>
        <v>gm</v>
      </c>
      <c r="D93" s="1281">
        <f t="shared" si="5"/>
        <v>5</v>
      </c>
      <c r="E93" s="1040">
        <f>$H$55</f>
        <v>0</v>
      </c>
      <c r="F93" s="1282">
        <f>F9</f>
        <v>0.8</v>
      </c>
      <c r="G93" s="940">
        <f>D93*E93</f>
        <v>0</v>
      </c>
      <c r="H93" s="943">
        <f>G93*F93</f>
        <v>0</v>
      </c>
      <c r="K93" s="830"/>
    </row>
    <row r="94" spans="1:11" ht="18" x14ac:dyDescent="0.25">
      <c r="A94" s="1168"/>
      <c r="B94" s="1041" t="s">
        <v>287</v>
      </c>
      <c r="C94" s="1042" t="s">
        <v>273</v>
      </c>
      <c r="E94" s="1044" t="s">
        <v>288</v>
      </c>
      <c r="G94" s="1046" t="s">
        <v>264</v>
      </c>
      <c r="H94" s="1046" t="s">
        <v>661</v>
      </c>
      <c r="K94" s="830"/>
    </row>
    <row r="95" spans="1:11" ht="20.25" x14ac:dyDescent="0.3">
      <c r="A95" s="1168"/>
      <c r="B95" s="1047">
        <f>$J$55</f>
        <v>0</v>
      </c>
      <c r="C95" s="1283">
        <f>E95+G95</f>
        <v>0</v>
      </c>
      <c r="E95" s="1284">
        <f>$H$55*$S$44</f>
        <v>0</v>
      </c>
      <c r="G95" s="1285">
        <f>$H$55*$T$44</f>
        <v>0</v>
      </c>
      <c r="H95" s="1285">
        <f>B95+E95</f>
        <v>0</v>
      </c>
      <c r="K95" s="830"/>
    </row>
    <row r="96" spans="1:11" x14ac:dyDescent="0.25">
      <c r="A96" s="874"/>
      <c r="B96" s="830"/>
      <c r="D96" s="830"/>
      <c r="E96" s="830"/>
      <c r="F96" s="830"/>
      <c r="G96" s="830"/>
      <c r="H96" s="830"/>
      <c r="K96" s="830"/>
    </row>
    <row r="97" spans="1:11" x14ac:dyDescent="0.2">
      <c r="A97" s="875"/>
      <c r="B97" s="1776" t="str">
        <f>"دجاج مندى 4 / " &amp; COUNTIF($H$53:$H$56, "&gt;0")</f>
        <v>دجاج مندى 4 / 2</v>
      </c>
      <c r="C97" s="1787"/>
      <c r="D97" s="1788"/>
      <c r="E97" s="1788"/>
      <c r="F97" s="1788"/>
      <c r="G97" s="1788"/>
      <c r="H97" s="1788"/>
      <c r="K97" s="830"/>
    </row>
    <row r="98" spans="1:11" x14ac:dyDescent="0.2">
      <c r="A98" s="875"/>
      <c r="B98" s="1776" t="str">
        <f>"Mandi Chicken 4 / " &amp; COUNTIF($H$53:$H$56, "&gt;0")</f>
        <v>Mandi Chicken 4 / 2</v>
      </c>
      <c r="C98" s="1787"/>
      <c r="D98" s="1788"/>
      <c r="E98" s="1788"/>
      <c r="F98" s="1788"/>
      <c r="G98" s="1788"/>
      <c r="H98" s="1788"/>
      <c r="K98" s="830"/>
    </row>
    <row r="99" spans="1:11" ht="38.25" x14ac:dyDescent="0.2">
      <c r="A99" s="1350" t="s">
        <v>864</v>
      </c>
      <c r="B99" s="923" t="s">
        <v>241</v>
      </c>
      <c r="C99" s="934" t="s">
        <v>242</v>
      </c>
      <c r="D99" s="923" t="s">
        <v>231</v>
      </c>
      <c r="E99" s="936" t="s">
        <v>234</v>
      </c>
      <c r="F99" s="935" t="s">
        <v>329</v>
      </c>
      <c r="G99" s="923" t="s">
        <v>244</v>
      </c>
      <c r="H99" s="936" t="s">
        <v>245</v>
      </c>
      <c r="K99" s="830"/>
    </row>
    <row r="100" spans="1:11" x14ac:dyDescent="0.2">
      <c r="A100" s="876" t="s">
        <v>874</v>
      </c>
      <c r="B100" s="1281" t="str">
        <f t="shared" ref="B100:D104" si="6">B5</f>
        <v>Chicken - دجاج</v>
      </c>
      <c r="C100" s="1281" t="str">
        <f t="shared" si="6"/>
        <v>gm</v>
      </c>
      <c r="D100" s="1286">
        <f t="shared" si="6"/>
        <v>1351.3513513513512</v>
      </c>
      <c r="E100" s="1040">
        <f>$H$56</f>
        <v>0</v>
      </c>
      <c r="F100" s="1282">
        <f>F5</f>
        <v>1</v>
      </c>
      <c r="G100" s="940">
        <f>D100*E100</f>
        <v>0</v>
      </c>
      <c r="H100" s="943">
        <f>G100*F100</f>
        <v>0</v>
      </c>
      <c r="K100" s="830"/>
    </row>
    <row r="101" spans="1:11" x14ac:dyDescent="0.2">
      <c r="A101" s="876"/>
      <c r="B101" s="1281" t="str">
        <f t="shared" si="6"/>
        <v>Salt - ملح</v>
      </c>
      <c r="C101" s="1281" t="str">
        <f t="shared" si="6"/>
        <v>gm</v>
      </c>
      <c r="D101" s="1286">
        <f t="shared" si="6"/>
        <v>50</v>
      </c>
      <c r="E101" s="1040">
        <f>$H$56</f>
        <v>0</v>
      </c>
      <c r="F101" s="1282">
        <f>F6</f>
        <v>0.75</v>
      </c>
      <c r="G101" s="940">
        <f>D101*E101</f>
        <v>0</v>
      </c>
      <c r="H101" s="943">
        <f>G101*F101</f>
        <v>0</v>
      </c>
      <c r="K101" s="830"/>
    </row>
    <row r="102" spans="1:11" ht="25.5" x14ac:dyDescent="0.2">
      <c r="A102" s="876"/>
      <c r="B102" s="1281" t="str">
        <f t="shared" si="6"/>
        <v>Saffron yellow color powder - لون صفار زعفران بودر</v>
      </c>
      <c r="C102" s="1281" t="str">
        <f t="shared" si="6"/>
        <v>gm</v>
      </c>
      <c r="D102" s="1286">
        <f t="shared" si="6"/>
        <v>3</v>
      </c>
      <c r="E102" s="1040">
        <f>$H$56</f>
        <v>0</v>
      </c>
      <c r="F102" s="1282">
        <f>F7</f>
        <v>0.75</v>
      </c>
      <c r="G102" s="940">
        <f>D102*E102</f>
        <v>0</v>
      </c>
      <c r="H102" s="943">
        <f>G102*F102</f>
        <v>0</v>
      </c>
      <c r="K102" s="830"/>
    </row>
    <row r="103" spans="1:11" x14ac:dyDescent="0.2">
      <c r="A103" s="876"/>
      <c r="B103" s="1281" t="str">
        <f t="shared" si="6"/>
        <v>Orange Color - لون برتقالي</v>
      </c>
      <c r="C103" s="1281" t="str">
        <f t="shared" si="6"/>
        <v>gm</v>
      </c>
      <c r="D103" s="1286">
        <f t="shared" si="6"/>
        <v>3</v>
      </c>
      <c r="E103" s="1040">
        <f>$H$56</f>
        <v>0</v>
      </c>
      <c r="F103" s="1282">
        <f>F8</f>
        <v>0.9</v>
      </c>
      <c r="G103" s="940">
        <f>D103*E103</f>
        <v>0</v>
      </c>
      <c r="H103" s="943">
        <f>G103*F103</f>
        <v>0</v>
      </c>
      <c r="K103" s="830"/>
    </row>
    <row r="104" spans="1:11" x14ac:dyDescent="0.2">
      <c r="A104" s="876"/>
      <c r="B104" s="1281" t="str">
        <f t="shared" si="6"/>
        <v>Cumin Powder - كمون مطحون</v>
      </c>
      <c r="C104" s="1281" t="str">
        <f t="shared" si="6"/>
        <v>gm</v>
      </c>
      <c r="D104" s="1286">
        <f t="shared" si="6"/>
        <v>5</v>
      </c>
      <c r="E104" s="1040">
        <f>$H$56</f>
        <v>0</v>
      </c>
      <c r="F104" s="1282">
        <f>F9</f>
        <v>0.8</v>
      </c>
      <c r="G104" s="940">
        <f>D104*E104</f>
        <v>0</v>
      </c>
      <c r="H104" s="943">
        <f>G104*F104</f>
        <v>0</v>
      </c>
      <c r="K104" s="830"/>
    </row>
    <row r="105" spans="1:11" ht="18" x14ac:dyDescent="0.25">
      <c r="A105" s="1168"/>
      <c r="B105" s="1041" t="s">
        <v>287</v>
      </c>
      <c r="C105" s="1042" t="s">
        <v>273</v>
      </c>
      <c r="E105" s="1044" t="s">
        <v>288</v>
      </c>
      <c r="G105" s="1046" t="s">
        <v>264</v>
      </c>
      <c r="H105" s="1046" t="s">
        <v>661</v>
      </c>
      <c r="K105" s="830"/>
    </row>
    <row r="106" spans="1:11" ht="20.25" x14ac:dyDescent="0.3">
      <c r="A106" s="1168"/>
      <c r="B106" s="1047">
        <f>$J$56</f>
        <v>0</v>
      </c>
      <c r="C106" s="1048">
        <f>E106+G106</f>
        <v>0</v>
      </c>
      <c r="E106" s="1047">
        <f>$H$56*$S$44</f>
        <v>0</v>
      </c>
      <c r="G106" s="1047">
        <f>$H$56*$T$44</f>
        <v>0</v>
      </c>
      <c r="H106" s="1047">
        <f>B106+E106</f>
        <v>0</v>
      </c>
      <c r="I106" s="460"/>
      <c r="K106" s="830"/>
    </row>
  </sheetData>
  <mergeCells count="12">
    <mergeCell ref="B62:H62"/>
    <mergeCell ref="R26:T26"/>
    <mergeCell ref="B86:H86"/>
    <mergeCell ref="R25:T25"/>
    <mergeCell ref="B2:K3"/>
    <mergeCell ref="B63:H63"/>
    <mergeCell ref="B35:F35"/>
    <mergeCell ref="B98:H98"/>
    <mergeCell ref="B74:H74"/>
    <mergeCell ref="B97:H97"/>
    <mergeCell ref="B73:H73"/>
    <mergeCell ref="B87:H87"/>
  </mergeCells>
  <printOptions horizontalCentered="1"/>
  <pageMargins left="0.5" right="0.5" top="1" bottom="0.5" header="0.3" footer="0.511811023622047"/>
  <pageSetup paperSize="9" scale="25"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8016F-730B-4507-91C6-22D4A1D84E11}">
  <sheetPr codeName="Sheet76">
    <tabColor rgb="FFFFFF00"/>
    <pageSetUpPr fitToPage="1"/>
  </sheetPr>
  <dimension ref="A1:AG102"/>
  <sheetViews>
    <sheetView topLeftCell="A3" zoomScale="55" zoomScaleNormal="55" workbookViewId="0">
      <selection activeCell="A64" sqref="A64"/>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7" width="5.5" style="14" customWidth="1"/>
    <col min="18" max="18" width="25.875" style="14" customWidth="1"/>
    <col min="19" max="19" width="18.625" style="14" customWidth="1"/>
    <col min="20" max="20" width="12.625" style="14" customWidth="1"/>
    <col min="21" max="24" width="12.5" style="14"/>
    <col min="25" max="30" width="8.625" style="14" customWidth="1"/>
    <col min="31" max="16384" width="12.5" style="14"/>
  </cols>
  <sheetData>
    <row r="1" spans="1:33" x14ac:dyDescent="0.25">
      <c r="B1" s="913" t="s">
        <v>231</v>
      </c>
      <c r="C1" s="914">
        <v>1000</v>
      </c>
      <c r="D1" s="915" t="s">
        <v>232</v>
      </c>
      <c r="E1" s="941">
        <f>S30</f>
        <v>9540</v>
      </c>
      <c r="F1" s="913" t="s">
        <v>233</v>
      </c>
      <c r="G1" s="941">
        <f>E1/C1</f>
        <v>9.5399999999999991</v>
      </c>
      <c r="H1" s="913" t="s">
        <v>234</v>
      </c>
      <c r="I1" s="941">
        <f>G1/K1</f>
        <v>9.5399999999999991</v>
      </c>
      <c r="J1" s="913" t="s">
        <v>235</v>
      </c>
      <c r="K1" s="1208">
        <v>1</v>
      </c>
      <c r="L1" s="80"/>
      <c r="M1" s="80"/>
      <c r="N1" s="80"/>
      <c r="O1" s="80"/>
      <c r="P1" s="80"/>
      <c r="Q1" s="80"/>
      <c r="R1" s="80"/>
      <c r="S1" s="74" t="s">
        <v>332</v>
      </c>
      <c r="T1" s="211">
        <v>90</v>
      </c>
      <c r="U1" s="80"/>
      <c r="V1" s="80"/>
      <c r="Y1" s="923" t="s">
        <v>444</v>
      </c>
      <c r="Z1" s="925">
        <v>106</v>
      </c>
      <c r="AA1" s="923" t="s">
        <v>544</v>
      </c>
      <c r="AB1" s="925">
        <v>0</v>
      </c>
      <c r="AC1" s="923" t="s">
        <v>537</v>
      </c>
      <c r="AD1" s="925">
        <v>106</v>
      </c>
    </row>
    <row r="2" spans="1:33" ht="15.75" x14ac:dyDescent="0.25">
      <c r="A2" s="863"/>
      <c r="B2" s="1784" t="s">
        <v>668</v>
      </c>
      <c r="C2" s="1787"/>
      <c r="D2" s="1788"/>
      <c r="E2" s="1788"/>
      <c r="F2" s="1788"/>
      <c r="G2" s="1787"/>
      <c r="H2" s="1788"/>
      <c r="I2" s="1287"/>
      <c r="J2" s="1287"/>
      <c r="K2" s="1287"/>
      <c r="L2" s="80"/>
      <c r="M2" s="80"/>
      <c r="N2" s="80"/>
      <c r="O2" s="80"/>
      <c r="P2" s="80"/>
      <c r="Q2" s="80"/>
      <c r="R2" s="80"/>
      <c r="S2" s="80"/>
      <c r="T2" s="80"/>
      <c r="U2" s="80"/>
      <c r="AE2" s="1821"/>
      <c r="AF2" s="1799"/>
      <c r="AG2" s="1799"/>
    </row>
    <row r="3" spans="1:33" ht="15.75" x14ac:dyDescent="0.25">
      <c r="A3" s="863"/>
      <c r="B3" s="1785"/>
      <c r="C3" s="1796"/>
      <c r="D3" s="1785"/>
      <c r="E3" s="1785"/>
      <c r="F3" s="1785"/>
      <c r="G3" s="1796"/>
      <c r="H3" s="1785"/>
      <c r="I3" s="231"/>
      <c r="J3" s="230"/>
      <c r="K3" s="230"/>
      <c r="L3" s="80"/>
      <c r="M3" s="80"/>
      <c r="N3" s="80"/>
      <c r="O3" s="80"/>
      <c r="P3" s="80"/>
      <c r="Q3" s="80"/>
      <c r="R3" s="80"/>
      <c r="S3" s="80"/>
      <c r="T3" s="80"/>
      <c r="U3" s="80"/>
      <c r="AE3" s="1799"/>
      <c r="AF3" s="1799"/>
      <c r="AG3" s="1799"/>
    </row>
    <row r="4" spans="1:33" ht="25.5" x14ac:dyDescent="0.2">
      <c r="A4" s="933"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Q4" s="80"/>
      <c r="R4" s="80"/>
    </row>
    <row r="5" spans="1:33" x14ac:dyDescent="0.2">
      <c r="A5" s="876"/>
      <c r="B5" s="1288"/>
      <c r="C5" s="1289"/>
      <c r="D5" s="1290"/>
      <c r="E5" s="1291"/>
      <c r="F5" s="1290"/>
      <c r="G5" s="1290"/>
      <c r="H5" s="1292"/>
      <c r="I5" s="1195"/>
      <c r="J5" s="1198"/>
      <c r="K5" s="1200"/>
      <c r="L5" s="1200"/>
      <c r="R5" s="890"/>
    </row>
    <row r="6" spans="1:33" x14ac:dyDescent="0.25">
      <c r="A6" s="949" t="s">
        <v>890</v>
      </c>
      <c r="B6" s="1130" t="s">
        <v>21</v>
      </c>
      <c r="C6" s="947" t="s">
        <v>14</v>
      </c>
      <c r="D6" s="940">
        <v>1400</v>
      </c>
      <c r="E6" s="940">
        <f>$I$1</f>
        <v>9.5399999999999991</v>
      </c>
      <c r="F6" s="948">
        <v>1</v>
      </c>
      <c r="G6" s="940">
        <f>D6*E6</f>
        <v>13355.999999999998</v>
      </c>
      <c r="H6" s="943">
        <f>G6*F6</f>
        <v>13355.999999999998</v>
      </c>
      <c r="I6" s="914">
        <f>VLOOKUP(B6,All_Ingredients!$A$1:$F$161,6,FALSE())</f>
        <v>0.9</v>
      </c>
      <c r="J6" s="940">
        <f>VLOOKUP(B6,All_Ingredients!$A$1:$J$161,10,FALSE())</f>
        <v>2.2999999999999998</v>
      </c>
      <c r="K6" s="945">
        <f t="shared" ref="K6:K10" si="0">(H6/I6)/1000</f>
        <v>14.839999999999998</v>
      </c>
      <c r="L6" s="945">
        <f t="shared" ref="L6:L10" si="1">K6*J6</f>
        <v>34.131999999999991</v>
      </c>
      <c r="R6" s="890"/>
    </row>
    <row r="7" spans="1:33" x14ac:dyDescent="0.25">
      <c r="A7" s="949"/>
      <c r="B7" s="1130" t="s">
        <v>110</v>
      </c>
      <c r="C7" s="947" t="s">
        <v>14</v>
      </c>
      <c r="D7" s="940">
        <v>3</v>
      </c>
      <c r="E7" s="940">
        <f>$I$1</f>
        <v>9.5399999999999991</v>
      </c>
      <c r="F7" s="948">
        <v>1</v>
      </c>
      <c r="G7" s="940">
        <f>D7*E7</f>
        <v>28.619999999999997</v>
      </c>
      <c r="H7" s="943">
        <f>G7*F7</f>
        <v>28.619999999999997</v>
      </c>
      <c r="I7" s="914">
        <f>VLOOKUP(B7,All_Ingredients!$A$1:$F$161,6,FALSE())</f>
        <v>1</v>
      </c>
      <c r="J7" s="940">
        <f>VLOOKUP(B7,All_Ingredients!$A$1:$J$161,10,FALSE())</f>
        <v>64.243759177679877</v>
      </c>
      <c r="K7" s="945">
        <f t="shared" si="0"/>
        <v>2.8619999999999996E-2</v>
      </c>
      <c r="L7" s="945">
        <f t="shared" si="1"/>
        <v>1.8386563876651978</v>
      </c>
      <c r="R7" s="890"/>
    </row>
    <row r="8" spans="1:33" x14ac:dyDescent="0.25">
      <c r="A8" s="949"/>
      <c r="B8" s="1130" t="s">
        <v>93</v>
      </c>
      <c r="C8" s="947" t="s">
        <v>14</v>
      </c>
      <c r="D8" s="940">
        <v>5</v>
      </c>
      <c r="E8" s="940">
        <f>$I$1</f>
        <v>9.5399999999999991</v>
      </c>
      <c r="F8" s="948">
        <v>0.75</v>
      </c>
      <c r="G8" s="940">
        <f>D8*E8</f>
        <v>47.699999999999996</v>
      </c>
      <c r="H8" s="943">
        <f>G8*F8</f>
        <v>35.774999999999999</v>
      </c>
      <c r="I8" s="914">
        <f>VLOOKUP(B8,All_Ingredients!$A$1:$F$161,6,FALSE())</f>
        <v>1</v>
      </c>
      <c r="J8" s="940">
        <f>VLOOKUP(B8,All_Ingredients!$A$1:$J$161,10,FALSE())</f>
        <v>0.74</v>
      </c>
      <c r="K8" s="945">
        <f t="shared" si="0"/>
        <v>3.5775000000000001E-2</v>
      </c>
      <c r="L8" s="945">
        <f t="shared" si="1"/>
        <v>2.6473500000000001E-2</v>
      </c>
      <c r="R8" s="890"/>
    </row>
    <row r="9" spans="1:33" ht="28.5" x14ac:dyDescent="0.25">
      <c r="A9" s="949"/>
      <c r="B9" s="1130" t="s">
        <v>99</v>
      </c>
      <c r="C9" s="947" t="s">
        <v>14</v>
      </c>
      <c r="D9" s="944">
        <v>0.5</v>
      </c>
      <c r="E9" s="940">
        <f>$I$1</f>
        <v>9.5399999999999991</v>
      </c>
      <c r="F9" s="948">
        <v>0.75</v>
      </c>
      <c r="G9" s="940">
        <f>D9*E9</f>
        <v>4.7699999999999996</v>
      </c>
      <c r="H9" s="943">
        <f>G9*F9</f>
        <v>3.5774999999999997</v>
      </c>
      <c r="I9" s="914">
        <f>VLOOKUP(B9,All_Ingredients!$A$1:$F$161,6,FALSE())</f>
        <v>1</v>
      </c>
      <c r="J9" s="940">
        <f>VLOOKUP(B9,All_Ingredients!$A$1:$J$161,10,FALSE())</f>
        <v>31</v>
      </c>
      <c r="K9" s="945">
        <f t="shared" si="0"/>
        <v>3.5774999999999995E-3</v>
      </c>
      <c r="L9" s="945">
        <f t="shared" si="1"/>
        <v>0.11090249999999999</v>
      </c>
      <c r="R9" s="890"/>
    </row>
    <row r="10" spans="1:33" x14ac:dyDescent="0.25">
      <c r="A10" s="949"/>
      <c r="B10" s="1130" t="s">
        <v>212</v>
      </c>
      <c r="C10" s="947" t="s">
        <v>160</v>
      </c>
      <c r="D10" s="940">
        <v>7</v>
      </c>
      <c r="E10" s="940">
        <f>$I$1</f>
        <v>9.5399999999999991</v>
      </c>
      <c r="F10" s="948">
        <v>1</v>
      </c>
      <c r="G10" s="940">
        <f>D10*E10</f>
        <v>66.78</v>
      </c>
      <c r="H10" s="943">
        <f>G10*F10</f>
        <v>66.78</v>
      </c>
      <c r="I10" s="914">
        <f>VLOOKUP(B10,All_Ingredients!$A$1:$F$161,6,FALSE())</f>
        <v>1</v>
      </c>
      <c r="J10" s="940">
        <f>VLOOKUP(B10,All_Ingredients!$A$1:$J$161,10,FALSE())</f>
        <v>5</v>
      </c>
      <c r="K10" s="945">
        <f t="shared" si="0"/>
        <v>6.6780000000000006E-2</v>
      </c>
      <c r="L10" s="945">
        <f t="shared" si="1"/>
        <v>0.33390000000000003</v>
      </c>
      <c r="R10" s="890"/>
    </row>
    <row r="25" spans="18:29" x14ac:dyDescent="0.25">
      <c r="R25" s="1792" t="s">
        <v>687</v>
      </c>
      <c r="S25" s="1787"/>
      <c r="T25" s="1787"/>
      <c r="Z25" s="982" t="s">
        <v>758</v>
      </c>
      <c r="AA25" s="989">
        <v>1</v>
      </c>
      <c r="AB25" s="982" t="s">
        <v>249</v>
      </c>
      <c r="AC25" s="985">
        <f>AA25*(T33/AD1)</f>
        <v>0.34379181497797351</v>
      </c>
    </row>
    <row r="26" spans="18:29" x14ac:dyDescent="0.25">
      <c r="R26" s="1792" t="s">
        <v>337</v>
      </c>
      <c r="S26" s="1787"/>
      <c r="T26" s="1787"/>
    </row>
    <row r="27" spans="18:29" x14ac:dyDescent="0.25">
      <c r="R27" s="961" t="s">
        <v>254</v>
      </c>
      <c r="S27" s="962" t="s">
        <v>338</v>
      </c>
      <c r="T27" s="962" t="s">
        <v>257</v>
      </c>
    </row>
    <row r="28" spans="18:29" x14ac:dyDescent="0.25">
      <c r="R28" s="961" t="s">
        <v>263</v>
      </c>
      <c r="S28" s="965">
        <f>$Z$1*$T$1</f>
        <v>9540</v>
      </c>
      <c r="T28" s="963">
        <f>S28</f>
        <v>9540</v>
      </c>
      <c r="U28" s="685"/>
    </row>
    <row r="29" spans="18:29" x14ac:dyDescent="0.25">
      <c r="R29" s="961" t="s">
        <v>265</v>
      </c>
      <c r="S29" s="965">
        <f>$AB$1*$T$1</f>
        <v>0</v>
      </c>
      <c r="T29" s="974">
        <f>S29</f>
        <v>0</v>
      </c>
      <c r="U29" s="685"/>
    </row>
    <row r="30" spans="18:29" x14ac:dyDescent="0.25">
      <c r="R30" s="961" t="s">
        <v>257</v>
      </c>
      <c r="S30" s="1293">
        <f>SUM(S28:S29)</f>
        <v>9540</v>
      </c>
      <c r="T30" s="1293">
        <f>S30</f>
        <v>9540</v>
      </c>
      <c r="U30" s="685"/>
    </row>
    <row r="33" spans="18:20" x14ac:dyDescent="0.25">
      <c r="R33" s="909" t="s">
        <v>249</v>
      </c>
      <c r="S33" s="191">
        <f>SUM(L6:L10)</f>
        <v>36.44193238766519</v>
      </c>
      <c r="T33" s="191">
        <f>S33</f>
        <v>36.44193238766519</v>
      </c>
    </row>
    <row r="50" spans="1:11" x14ac:dyDescent="0.25">
      <c r="B50" s="958"/>
      <c r="C50" s="1076" t="s">
        <v>233</v>
      </c>
      <c r="D50" s="958" t="s">
        <v>279</v>
      </c>
      <c r="E50" s="890"/>
      <c r="F50" s="890"/>
      <c r="H50" s="890"/>
      <c r="K50" s="890"/>
    </row>
    <row r="51" spans="1:11" x14ac:dyDescent="0.25">
      <c r="B51" s="1027" t="s">
        <v>283</v>
      </c>
      <c r="C51" s="1028">
        <f>10/$K$1</f>
        <v>10</v>
      </c>
      <c r="D51" s="1029">
        <f>$C$1*10</f>
        <v>10000</v>
      </c>
      <c r="E51" s="890"/>
      <c r="F51" s="890"/>
      <c r="H51" s="890"/>
      <c r="K51" s="890"/>
    </row>
    <row r="52" spans="1:11" x14ac:dyDescent="0.25">
      <c r="B52" s="958" t="s">
        <v>257</v>
      </c>
      <c r="C52" s="1243">
        <f>I1</f>
        <v>9.5399999999999991</v>
      </c>
      <c r="D52" s="1100">
        <f>E1</f>
        <v>9540</v>
      </c>
      <c r="E52" s="890"/>
      <c r="F52" s="890"/>
      <c r="H52" s="890"/>
      <c r="K52" s="890"/>
    </row>
    <row r="53" spans="1:11" x14ac:dyDescent="0.25">
      <c r="B53" s="958" t="s">
        <v>284</v>
      </c>
      <c r="C53" s="1101">
        <f>MIN($C$52, $C$51)</f>
        <v>9.5399999999999991</v>
      </c>
      <c r="D53" s="1100">
        <f>(C53*$K$1)*$C$1</f>
        <v>9540</v>
      </c>
      <c r="E53" s="890"/>
      <c r="F53" s="890"/>
      <c r="H53" s="890"/>
      <c r="K53" s="890"/>
    </row>
    <row r="54" spans="1:11" x14ac:dyDescent="0.25">
      <c r="B54" s="958" t="s">
        <v>285</v>
      </c>
      <c r="C54" s="1101">
        <f>MIN(MAX($C$52-C53,0),$C$51)</f>
        <v>0</v>
      </c>
      <c r="D54" s="1100">
        <f>(C54*$K$1)*$C$1</f>
        <v>0</v>
      </c>
      <c r="E54" s="890"/>
      <c r="F54" s="890"/>
      <c r="H54" s="890"/>
      <c r="K54" s="890"/>
    </row>
    <row r="55" spans="1:11" x14ac:dyDescent="0.25">
      <c r="B55" s="958" t="s">
        <v>286</v>
      </c>
      <c r="C55" s="1101">
        <f>MIN(MAX($C$52-C53-C54,0),$C$51)</f>
        <v>0</v>
      </c>
      <c r="D55" s="1100">
        <f>(C55*$K$1)*$C$1</f>
        <v>0</v>
      </c>
      <c r="E55" s="890"/>
      <c r="F55" s="890"/>
      <c r="H55" s="890"/>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1036"/>
      <c r="B62" s="1776" t="s">
        <v>762</v>
      </c>
      <c r="C62" s="1777"/>
      <c r="D62" s="1778"/>
      <c r="E62" s="1778"/>
      <c r="F62" s="1778"/>
      <c r="G62" s="1777"/>
      <c r="H62" s="1778"/>
      <c r="K62" s="890"/>
    </row>
    <row r="63" spans="1:11" x14ac:dyDescent="0.25">
      <c r="A63" s="1036"/>
      <c r="B63" s="1776" t="s">
        <v>668</v>
      </c>
      <c r="C63" s="1777"/>
      <c r="D63" s="1778"/>
      <c r="E63" s="1778"/>
      <c r="F63" s="1778"/>
      <c r="G63" s="1777"/>
      <c r="H63" s="1778"/>
      <c r="K63" s="890"/>
    </row>
    <row r="64" spans="1:11" ht="38.25" x14ac:dyDescent="0.2">
      <c r="A64" s="1350" t="s">
        <v>864</v>
      </c>
      <c r="B64" s="1104" t="s">
        <v>241</v>
      </c>
      <c r="C64" s="934" t="s">
        <v>242</v>
      </c>
      <c r="D64" s="1104" t="s">
        <v>231</v>
      </c>
      <c r="E64" s="936" t="s">
        <v>234</v>
      </c>
      <c r="F64" s="936" t="s">
        <v>243</v>
      </c>
      <c r="G64" s="1104" t="s">
        <v>244</v>
      </c>
      <c r="H64" s="936" t="s">
        <v>245</v>
      </c>
      <c r="K64" s="890"/>
    </row>
    <row r="65" spans="1:11" x14ac:dyDescent="0.25">
      <c r="A65" s="949" t="s">
        <v>890</v>
      </c>
      <c r="B65" s="1130" t="str">
        <f t="shared" ref="B65:D69" si="2">B6</f>
        <v>Potato - بطاطس</v>
      </c>
      <c r="C65" s="1252" t="str">
        <f t="shared" si="2"/>
        <v>gm</v>
      </c>
      <c r="D65" s="1130">
        <f t="shared" si="2"/>
        <v>1400</v>
      </c>
      <c r="E65" s="940">
        <f>$C$52</f>
        <v>9.5399999999999991</v>
      </c>
      <c r="F65" s="948">
        <f>F6</f>
        <v>1</v>
      </c>
      <c r="G65" s="940">
        <f>D65*E65</f>
        <v>13355.999999999998</v>
      </c>
      <c r="H65" s="943">
        <f>G65*F65</f>
        <v>13355.999999999998</v>
      </c>
      <c r="K65" s="890"/>
    </row>
    <row r="66" spans="1:11" x14ac:dyDescent="0.25">
      <c r="A66" s="949"/>
      <c r="B66" s="1130" t="str">
        <f t="shared" si="2"/>
        <v>Paprika Powder - بابريكا مطحون</v>
      </c>
      <c r="C66" s="1252" t="str">
        <f t="shared" si="2"/>
        <v>gm</v>
      </c>
      <c r="D66" s="1130">
        <f t="shared" si="2"/>
        <v>3</v>
      </c>
      <c r="E66" s="940">
        <f t="shared" ref="E66:E69" si="3">$C$52</f>
        <v>9.5399999999999991</v>
      </c>
      <c r="F66" s="948">
        <f>F7</f>
        <v>1</v>
      </c>
      <c r="G66" s="940">
        <f>D66*E66</f>
        <v>28.619999999999997</v>
      </c>
      <c r="H66" s="943">
        <f>G66*F66</f>
        <v>28.619999999999997</v>
      </c>
      <c r="K66" s="890"/>
    </row>
    <row r="67" spans="1:11" x14ac:dyDescent="0.25">
      <c r="A67" s="949"/>
      <c r="B67" s="1130" t="str">
        <f t="shared" si="2"/>
        <v>Salt - ملح</v>
      </c>
      <c r="C67" s="1252" t="str">
        <f t="shared" si="2"/>
        <v>gm</v>
      </c>
      <c r="D67" s="1130">
        <f t="shared" si="2"/>
        <v>5</v>
      </c>
      <c r="E67" s="940">
        <f t="shared" si="3"/>
        <v>9.5399999999999991</v>
      </c>
      <c r="F67" s="948">
        <f>F8</f>
        <v>0.75</v>
      </c>
      <c r="G67" s="940">
        <f>D67*E67</f>
        <v>47.699999999999996</v>
      </c>
      <c r="H67" s="943">
        <f>G67*F67</f>
        <v>35.774999999999999</v>
      </c>
      <c r="K67" s="890"/>
    </row>
    <row r="68" spans="1:11" ht="28.5" x14ac:dyDescent="0.25">
      <c r="A68" s="949"/>
      <c r="B68" s="1130" t="str">
        <f t="shared" si="2"/>
        <v>Black Pepper Powder - فلفل أسود مطحون</v>
      </c>
      <c r="C68" s="1252" t="str">
        <f t="shared" si="2"/>
        <v>gm</v>
      </c>
      <c r="D68" s="1130">
        <f t="shared" si="2"/>
        <v>0.5</v>
      </c>
      <c r="E68" s="940">
        <f t="shared" si="3"/>
        <v>9.5399999999999991</v>
      </c>
      <c r="F68" s="948">
        <f>F9</f>
        <v>0.75</v>
      </c>
      <c r="G68" s="940">
        <f>D68*E68</f>
        <v>4.7699999999999996</v>
      </c>
      <c r="H68" s="943">
        <f>G68*F68</f>
        <v>3.5774999999999997</v>
      </c>
      <c r="K68" s="890"/>
    </row>
    <row r="69" spans="1:11" x14ac:dyDescent="0.25">
      <c r="A69" s="949"/>
      <c r="B69" s="1130" t="str">
        <f t="shared" si="2"/>
        <v>Lemon Juice - عصير ليمون</v>
      </c>
      <c r="C69" s="1252" t="str">
        <f t="shared" si="2"/>
        <v>ml</v>
      </c>
      <c r="D69" s="1130">
        <f t="shared" si="2"/>
        <v>7</v>
      </c>
      <c r="E69" s="940">
        <f t="shared" si="3"/>
        <v>9.5399999999999991</v>
      </c>
      <c r="F69" s="948">
        <f>F10</f>
        <v>1</v>
      </c>
      <c r="G69" s="940">
        <f>D69*E69</f>
        <v>66.78</v>
      </c>
      <c r="H69" s="943">
        <f>G69*F69</f>
        <v>66.78</v>
      </c>
      <c r="K69" s="890"/>
    </row>
    <row r="70" spans="1:11" ht="15.75" x14ac:dyDescent="0.25">
      <c r="A70" s="949"/>
      <c r="B70" s="1041" t="s">
        <v>683</v>
      </c>
      <c r="C70" s="1208"/>
      <c r="D70" s="1208"/>
      <c r="E70" s="1208"/>
      <c r="F70" s="1208"/>
      <c r="G70" s="1208"/>
      <c r="H70" s="1208"/>
      <c r="K70" s="890"/>
    </row>
    <row r="71" spans="1:11" ht="20.25" x14ac:dyDescent="0.3">
      <c r="A71" s="949"/>
      <c r="B71" s="1047">
        <f>D52</f>
        <v>9540</v>
      </c>
      <c r="C71" s="1208"/>
      <c r="D71" s="1208"/>
      <c r="E71" s="1208"/>
      <c r="F71" s="1208"/>
      <c r="G71" s="1208"/>
      <c r="H71" s="1043"/>
      <c r="K71" s="890"/>
    </row>
    <row r="72" spans="1:11" ht="14.25" customHeight="1" x14ac:dyDescent="0.25">
      <c r="B72" s="80"/>
      <c r="C72" s="80"/>
      <c r="D72" s="80"/>
      <c r="E72" s="80"/>
      <c r="F72" s="80"/>
      <c r="G72" s="80"/>
      <c r="H72" s="80"/>
    </row>
    <row r="73" spans="1:11" ht="14.25" customHeight="1" x14ac:dyDescent="0.25">
      <c r="A73" s="887"/>
      <c r="B73" s="1819"/>
      <c r="C73" s="1820"/>
      <c r="D73" s="1820"/>
      <c r="E73" s="1820"/>
      <c r="F73" s="1820"/>
      <c r="G73" s="1820"/>
      <c r="H73" s="1820"/>
    </row>
    <row r="74" spans="1:11" ht="12.75" customHeight="1" x14ac:dyDescent="0.25">
      <c r="A74" s="887"/>
      <c r="B74" s="1819"/>
      <c r="C74" s="1820"/>
      <c r="D74" s="1820"/>
      <c r="E74" s="1820"/>
      <c r="F74" s="1820"/>
      <c r="G74" s="1820"/>
      <c r="H74" s="1820"/>
    </row>
    <row r="75" spans="1:11" ht="30" customHeight="1" x14ac:dyDescent="0.2">
      <c r="A75" s="888"/>
      <c r="B75" s="613"/>
      <c r="C75" s="614"/>
      <c r="D75" s="613"/>
      <c r="E75" s="615"/>
      <c r="F75" s="615"/>
      <c r="G75" s="613"/>
      <c r="H75" s="615"/>
    </row>
    <row r="76" spans="1:11" ht="12.75" customHeight="1" x14ac:dyDescent="0.25">
      <c r="A76" s="887"/>
      <c r="B76" s="616"/>
      <c r="C76" s="616"/>
      <c r="D76" s="616"/>
      <c r="E76" s="617"/>
      <c r="F76" s="618"/>
      <c r="G76" s="619"/>
      <c r="H76" s="620"/>
    </row>
    <row r="77" spans="1:11" ht="18" customHeight="1" x14ac:dyDescent="0.25">
      <c r="A77" s="887"/>
      <c r="B77" s="616"/>
      <c r="C77" s="616"/>
      <c r="D77" s="616"/>
      <c r="E77" s="617"/>
      <c r="F77" s="618"/>
      <c r="G77" s="619"/>
      <c r="H77" s="620"/>
    </row>
    <row r="78" spans="1:11" ht="18" customHeight="1" x14ac:dyDescent="0.25">
      <c r="A78" s="887"/>
      <c r="B78" s="616"/>
      <c r="C78" s="616"/>
      <c r="D78" s="616"/>
      <c r="E78" s="617"/>
      <c r="F78" s="618"/>
      <c r="G78" s="619"/>
      <c r="H78" s="620"/>
    </row>
    <row r="79" spans="1:11" x14ac:dyDescent="0.25">
      <c r="A79" s="887"/>
      <c r="B79" s="616"/>
      <c r="C79" s="616"/>
      <c r="D79" s="616"/>
      <c r="E79" s="617"/>
      <c r="F79" s="618"/>
      <c r="G79" s="619"/>
      <c r="H79" s="620"/>
    </row>
    <row r="80" spans="1:11" x14ac:dyDescent="0.25">
      <c r="A80" s="887"/>
      <c r="B80" s="616"/>
      <c r="C80" s="616"/>
      <c r="D80" s="616"/>
      <c r="E80" s="617"/>
      <c r="F80" s="618"/>
      <c r="G80" s="619"/>
      <c r="H80" s="620"/>
    </row>
    <row r="81" spans="1:8" ht="14.25" customHeight="1" x14ac:dyDescent="0.25">
      <c r="A81" s="887"/>
      <c r="B81" s="452"/>
      <c r="C81" s="431"/>
      <c r="D81" s="431"/>
      <c r="E81" s="431"/>
      <c r="F81" s="431"/>
      <c r="G81" s="431"/>
      <c r="H81" s="431"/>
    </row>
    <row r="82" spans="1:8" ht="26.25" customHeight="1" x14ac:dyDescent="0.3">
      <c r="A82" s="887"/>
      <c r="B82" s="453"/>
      <c r="C82" s="431"/>
      <c r="D82" s="431"/>
      <c r="E82" s="431"/>
      <c r="F82" s="431"/>
      <c r="G82" s="431"/>
      <c r="H82" s="437"/>
    </row>
    <row r="83" spans="1:8" ht="14.25" customHeight="1" x14ac:dyDescent="0.25">
      <c r="A83" s="887"/>
      <c r="B83" s="431"/>
      <c r="C83" s="431"/>
      <c r="D83" s="431"/>
      <c r="E83" s="431"/>
      <c r="F83" s="431"/>
      <c r="G83" s="431"/>
      <c r="H83" s="431"/>
    </row>
    <row r="84" spans="1:8" ht="14.25" customHeight="1" x14ac:dyDescent="0.25">
      <c r="A84" s="887"/>
      <c r="B84" s="431"/>
      <c r="C84" s="431"/>
      <c r="D84" s="431"/>
      <c r="E84" s="431"/>
      <c r="F84" s="431"/>
      <c r="G84" s="431"/>
      <c r="H84" s="431"/>
    </row>
    <row r="85" spans="1:8" ht="14.25" customHeight="1" x14ac:dyDescent="0.25">
      <c r="A85" s="887"/>
      <c r="B85" s="1819"/>
      <c r="C85" s="1820"/>
      <c r="D85" s="1820"/>
      <c r="E85" s="1820"/>
      <c r="F85" s="1820"/>
      <c r="G85" s="1820"/>
      <c r="H85" s="1820"/>
    </row>
    <row r="86" spans="1:8" ht="14.25" customHeight="1" x14ac:dyDescent="0.25">
      <c r="A86" s="887"/>
      <c r="B86" s="1819"/>
      <c r="C86" s="1820"/>
      <c r="D86" s="1820"/>
      <c r="E86" s="1820"/>
      <c r="F86" s="1820"/>
      <c r="G86" s="1820"/>
      <c r="H86" s="1820"/>
    </row>
    <row r="87" spans="1:8" ht="33" customHeight="1" x14ac:dyDescent="0.2">
      <c r="A87" s="888"/>
      <c r="B87" s="613"/>
      <c r="C87" s="614"/>
      <c r="D87" s="613"/>
      <c r="E87" s="615"/>
      <c r="F87" s="615"/>
      <c r="G87" s="613"/>
      <c r="H87" s="615"/>
    </row>
    <row r="88" spans="1:8" ht="12.75" customHeight="1" x14ac:dyDescent="0.25">
      <c r="A88" s="887"/>
      <c r="B88" s="616"/>
      <c r="C88" s="616"/>
      <c r="D88" s="616"/>
      <c r="E88" s="617"/>
      <c r="F88" s="618"/>
      <c r="G88" s="619"/>
      <c r="H88" s="620"/>
    </row>
    <row r="89" spans="1:8" ht="12.75" customHeight="1" x14ac:dyDescent="0.25">
      <c r="A89" s="887"/>
      <c r="B89" s="616"/>
      <c r="C89" s="616"/>
      <c r="D89" s="616"/>
      <c r="E89" s="617"/>
      <c r="F89" s="618"/>
      <c r="G89" s="619"/>
      <c r="H89" s="620"/>
    </row>
    <row r="90" spans="1:8" ht="12.75" customHeight="1" x14ac:dyDescent="0.25">
      <c r="A90" s="887"/>
      <c r="B90" s="616"/>
      <c r="C90" s="616"/>
      <c r="D90" s="616"/>
      <c r="E90" s="617"/>
      <c r="F90" s="618"/>
      <c r="G90" s="619"/>
      <c r="H90" s="620"/>
    </row>
    <row r="91" spans="1:8" ht="12.75" customHeight="1" x14ac:dyDescent="0.25">
      <c r="A91" s="887"/>
      <c r="B91" s="616"/>
      <c r="C91" s="616"/>
      <c r="D91" s="616"/>
      <c r="E91" s="617"/>
      <c r="F91" s="618"/>
      <c r="G91" s="619"/>
      <c r="H91" s="620"/>
    </row>
    <row r="92" spans="1:8" ht="18" customHeight="1" x14ac:dyDescent="0.25">
      <c r="A92" s="887"/>
      <c r="B92" s="616"/>
      <c r="C92" s="616"/>
      <c r="D92" s="616"/>
      <c r="E92" s="617"/>
      <c r="F92" s="618"/>
      <c r="G92" s="619"/>
      <c r="H92" s="620"/>
    </row>
    <row r="93" spans="1:8" ht="15.75" x14ac:dyDescent="0.25">
      <c r="A93" s="887"/>
      <c r="B93" s="452"/>
      <c r="C93" s="437"/>
      <c r="D93" s="437"/>
      <c r="E93" s="437"/>
      <c r="F93" s="437"/>
      <c r="G93" s="437"/>
      <c r="H93" s="437"/>
    </row>
    <row r="94" spans="1:8" ht="27" customHeight="1" x14ac:dyDescent="0.3">
      <c r="A94" s="887"/>
      <c r="B94" s="453"/>
      <c r="C94" s="437"/>
      <c r="D94" s="437"/>
      <c r="E94" s="437"/>
      <c r="F94" s="437"/>
      <c r="G94" s="437"/>
      <c r="H94" s="437"/>
    </row>
    <row r="95" spans="1:8" ht="42" customHeight="1" x14ac:dyDescent="0.25"/>
    <row r="96" spans="1:8"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10">
    <mergeCell ref="AE2:AG3"/>
    <mergeCell ref="R25:T25"/>
    <mergeCell ref="R26:T26"/>
    <mergeCell ref="B62:H62"/>
    <mergeCell ref="B63:H63"/>
    <mergeCell ref="B73:H73"/>
    <mergeCell ref="B74:H74"/>
    <mergeCell ref="B85:H85"/>
    <mergeCell ref="B86:H86"/>
    <mergeCell ref="B2:H3"/>
  </mergeCells>
  <printOptions horizontalCentered="1"/>
  <pageMargins left="0.5" right="0.5" top="1" bottom="0.5" header="0.3" footer="0.511811023622047"/>
  <pageSetup paperSize="9" scale="35"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FF00"/>
    <pageSetUpPr fitToPage="1"/>
  </sheetPr>
  <dimension ref="A1:AG101"/>
  <sheetViews>
    <sheetView zoomScale="40" zoomScaleNormal="40" workbookViewId="0">
      <selection activeCell="A64" sqref="A64"/>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7" width="5.5" style="14" customWidth="1"/>
    <col min="18" max="18" width="25.875" style="14" customWidth="1"/>
    <col min="19" max="19" width="18.625" style="14" customWidth="1"/>
    <col min="20" max="20" width="12.625" style="14" customWidth="1"/>
    <col min="21" max="24" width="12.5" style="14"/>
    <col min="25" max="30" width="8.625" style="14" customWidth="1"/>
    <col min="31" max="16384" width="12.5" style="14"/>
  </cols>
  <sheetData>
    <row r="1" spans="1:33" x14ac:dyDescent="0.25">
      <c r="B1" s="913" t="s">
        <v>231</v>
      </c>
      <c r="C1" s="914">
        <v>1000</v>
      </c>
      <c r="D1" s="915" t="s">
        <v>232</v>
      </c>
      <c r="E1" s="941">
        <f>S30</f>
        <v>17170</v>
      </c>
      <c r="F1" s="913" t="s">
        <v>233</v>
      </c>
      <c r="G1" s="941">
        <f>E1/C1</f>
        <v>17.170000000000002</v>
      </c>
      <c r="H1" s="913" t="s">
        <v>234</v>
      </c>
      <c r="I1" s="941">
        <f>G1/K1</f>
        <v>17.170000000000002</v>
      </c>
      <c r="J1" s="913" t="s">
        <v>235</v>
      </c>
      <c r="K1" s="1208">
        <v>1</v>
      </c>
      <c r="L1" s="80"/>
      <c r="M1" s="80"/>
      <c r="N1" s="80"/>
      <c r="O1" s="80"/>
      <c r="P1" s="80"/>
      <c r="Q1" s="80"/>
      <c r="R1" s="80"/>
      <c r="S1" s="80"/>
      <c r="T1" s="80"/>
      <c r="U1" s="80"/>
      <c r="V1" s="80"/>
      <c r="Y1" s="923" t="s">
        <v>444</v>
      </c>
      <c r="Z1" s="925">
        <v>17170</v>
      </c>
      <c r="AA1" s="923" t="s">
        <v>544</v>
      </c>
      <c r="AB1" s="925">
        <v>0</v>
      </c>
      <c r="AC1" s="923" t="s">
        <v>537</v>
      </c>
      <c r="AD1" s="925">
        <v>117</v>
      </c>
    </row>
    <row r="2" spans="1:33" ht="15.75" x14ac:dyDescent="0.25">
      <c r="A2" s="863"/>
      <c r="B2" s="1784" t="s">
        <v>35</v>
      </c>
      <c r="C2" s="1787"/>
      <c r="D2" s="1788"/>
      <c r="E2" s="1788"/>
      <c r="F2" s="1788"/>
      <c r="G2" s="1787"/>
      <c r="H2" s="1788"/>
      <c r="I2" s="1287"/>
      <c r="J2" s="1287"/>
      <c r="K2" s="1287"/>
      <c r="L2" s="80"/>
      <c r="M2" s="80"/>
      <c r="N2" s="80"/>
      <c r="O2" s="80"/>
      <c r="P2" s="80"/>
      <c r="Q2" s="80"/>
      <c r="R2" s="80"/>
      <c r="S2" s="80"/>
      <c r="T2" s="80"/>
      <c r="U2" s="80"/>
      <c r="AE2" s="1821"/>
      <c r="AF2" s="1799"/>
      <c r="AG2" s="1799"/>
    </row>
    <row r="3" spans="1:33" ht="15.75" x14ac:dyDescent="0.25">
      <c r="A3" s="863"/>
      <c r="B3" s="1785"/>
      <c r="C3" s="1796"/>
      <c r="D3" s="1785"/>
      <c r="E3" s="1785"/>
      <c r="F3" s="1785"/>
      <c r="G3" s="1796"/>
      <c r="H3" s="1785"/>
      <c r="I3" s="231"/>
      <c r="J3" s="230"/>
      <c r="K3" s="230"/>
      <c r="L3" s="80"/>
      <c r="M3" s="80"/>
      <c r="N3" s="80"/>
      <c r="O3" s="80"/>
      <c r="P3" s="80"/>
      <c r="Q3" s="80"/>
      <c r="R3" s="80"/>
      <c r="S3" s="80"/>
      <c r="T3" s="80"/>
      <c r="U3" s="80"/>
      <c r="AE3" s="1799"/>
      <c r="AF3" s="1799"/>
      <c r="AG3" s="1799"/>
    </row>
    <row r="4" spans="1:33" ht="25.5" x14ac:dyDescent="0.2">
      <c r="A4" s="933"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Q4" s="80"/>
      <c r="R4" s="80"/>
    </row>
    <row r="5" spans="1:33" x14ac:dyDescent="0.2">
      <c r="A5" s="876"/>
      <c r="B5" s="1288"/>
      <c r="C5" s="1289"/>
      <c r="D5" s="1290"/>
      <c r="E5" s="1291"/>
      <c r="F5" s="1290"/>
      <c r="G5" s="1290"/>
      <c r="H5" s="1292"/>
      <c r="I5" s="1195"/>
      <c r="J5" s="1198"/>
      <c r="K5" s="1200"/>
      <c r="L5" s="1200"/>
      <c r="R5" s="890"/>
    </row>
    <row r="6" spans="1:33" x14ac:dyDescent="0.25">
      <c r="A6" s="1294" t="s">
        <v>870</v>
      </c>
      <c r="B6" s="1130" t="s">
        <v>21</v>
      </c>
      <c r="C6" s="947" t="s">
        <v>14</v>
      </c>
      <c r="D6" s="940">
        <v>1400</v>
      </c>
      <c r="E6" s="940">
        <f t="shared" ref="E6:E13" si="0">$I$1</f>
        <v>17.170000000000002</v>
      </c>
      <c r="F6" s="948">
        <v>1</v>
      </c>
      <c r="G6" s="940">
        <f t="shared" ref="G6:G13" si="1">D6*E6</f>
        <v>24038.000000000004</v>
      </c>
      <c r="H6" s="1295">
        <f t="shared" ref="H6:H13" si="2">G6*F6</f>
        <v>24038.000000000004</v>
      </c>
      <c r="I6" s="914">
        <f>VLOOKUP(B6,All_Ingredients!$A$1:$F$161,6,FALSE())</f>
        <v>0.9</v>
      </c>
      <c r="J6" s="940">
        <f>VLOOKUP(B6,All_Ingredients!$A$1:$J$161,10,FALSE())</f>
        <v>2.2999999999999998</v>
      </c>
      <c r="K6" s="945">
        <f t="shared" ref="K6" si="3">(H6/I6)/1000</f>
        <v>26.70888888888889</v>
      </c>
      <c r="L6" s="945">
        <f t="shared" ref="L6" si="4">K6*J6</f>
        <v>61.43044444444444</v>
      </c>
      <c r="R6" s="890"/>
    </row>
    <row r="7" spans="1:33" x14ac:dyDescent="0.25">
      <c r="A7" s="949"/>
      <c r="B7" s="1130" t="s">
        <v>708</v>
      </c>
      <c r="C7" s="947" t="s">
        <v>14</v>
      </c>
      <c r="D7" s="940">
        <v>1</v>
      </c>
      <c r="E7" s="940">
        <f t="shared" si="0"/>
        <v>17.170000000000002</v>
      </c>
      <c r="F7" s="948">
        <v>1</v>
      </c>
      <c r="G7" s="940">
        <f t="shared" si="1"/>
        <v>17.170000000000002</v>
      </c>
      <c r="H7" s="943">
        <f t="shared" si="2"/>
        <v>17.170000000000002</v>
      </c>
      <c r="I7" s="914">
        <f>VLOOKUP(B7,All_Ingredients!$A$1:$F$161,6,FALSE())</f>
        <v>0.5</v>
      </c>
      <c r="J7" s="940">
        <f>VLOOKUP(B7,All_Ingredients!$A$1:$J$161,10,FALSE())</f>
        <v>90</v>
      </c>
      <c r="K7" s="945">
        <f t="shared" ref="K7:K13" si="5">(H7/I7)/1000</f>
        <v>3.4340000000000002E-2</v>
      </c>
      <c r="L7" s="945">
        <f t="shared" ref="L7:L13" si="6">K7*J7</f>
        <v>3.0906000000000002</v>
      </c>
      <c r="R7" s="890"/>
    </row>
    <row r="8" spans="1:33" x14ac:dyDescent="0.25">
      <c r="A8" s="949"/>
      <c r="B8" s="1130" t="s">
        <v>735</v>
      </c>
      <c r="C8" s="947" t="s">
        <v>14</v>
      </c>
      <c r="D8" s="940">
        <v>1</v>
      </c>
      <c r="E8" s="940">
        <f t="shared" si="0"/>
        <v>17.170000000000002</v>
      </c>
      <c r="F8" s="948">
        <v>1</v>
      </c>
      <c r="G8" s="940">
        <f t="shared" si="1"/>
        <v>17.170000000000002</v>
      </c>
      <c r="H8" s="943">
        <f t="shared" si="2"/>
        <v>17.170000000000002</v>
      </c>
      <c r="I8" s="914">
        <f>VLOOKUP(B8,All_Ingredients!$A$1:$F$161,6,FALSE())</f>
        <v>0.74</v>
      </c>
      <c r="J8" s="940">
        <f>VLOOKUP(B8,All_Ingredients!$A$1:$J$161,10,FALSE())</f>
        <v>100</v>
      </c>
      <c r="K8" s="945">
        <f t="shared" si="5"/>
        <v>2.3202702702702704E-2</v>
      </c>
      <c r="L8" s="945">
        <f t="shared" si="6"/>
        <v>2.3202702702702704</v>
      </c>
      <c r="R8" s="890"/>
    </row>
    <row r="9" spans="1:33" x14ac:dyDescent="0.25">
      <c r="A9" s="949"/>
      <c r="B9" s="1130" t="s">
        <v>141</v>
      </c>
      <c r="C9" s="947" t="s">
        <v>14</v>
      </c>
      <c r="D9" s="940">
        <v>1</v>
      </c>
      <c r="E9" s="940">
        <f t="shared" si="0"/>
        <v>17.170000000000002</v>
      </c>
      <c r="F9" s="948">
        <v>1</v>
      </c>
      <c r="G9" s="940">
        <f t="shared" si="1"/>
        <v>17.170000000000002</v>
      </c>
      <c r="H9" s="943">
        <f t="shared" si="2"/>
        <v>17.170000000000002</v>
      </c>
      <c r="I9" s="914">
        <f>VLOOKUP(B9,All_Ingredients!$A$1:$F$161,6,FALSE())</f>
        <v>1</v>
      </c>
      <c r="J9" s="940">
        <f>VLOOKUP(B9,All_Ingredients!$A$1:$J$161,10,FALSE())</f>
        <v>249.99999999999997</v>
      </c>
      <c r="K9" s="945">
        <f t="shared" si="5"/>
        <v>1.7170000000000001E-2</v>
      </c>
      <c r="L9" s="945">
        <f t="shared" si="6"/>
        <v>4.2924999999999995</v>
      </c>
      <c r="R9" s="890"/>
    </row>
    <row r="10" spans="1:33" x14ac:dyDescent="0.25">
      <c r="A10" s="949"/>
      <c r="B10" s="1130" t="s">
        <v>82</v>
      </c>
      <c r="C10" s="947" t="s">
        <v>14</v>
      </c>
      <c r="D10" s="940">
        <v>1</v>
      </c>
      <c r="E10" s="940">
        <f t="shared" si="0"/>
        <v>17.170000000000002</v>
      </c>
      <c r="F10" s="948">
        <v>1</v>
      </c>
      <c r="G10" s="940">
        <f t="shared" si="1"/>
        <v>17.170000000000002</v>
      </c>
      <c r="H10" s="943">
        <f t="shared" si="2"/>
        <v>17.170000000000002</v>
      </c>
      <c r="I10" s="914">
        <f>VLOOKUP(B10,All_Ingredients!$A$1:$F$161,6,FALSE())</f>
        <v>1</v>
      </c>
      <c r="J10" s="940">
        <f>VLOOKUP(B10,All_Ingredients!$A$1:$J$161,10,FALSE())</f>
        <v>147.88732394366198</v>
      </c>
      <c r="K10" s="945">
        <f t="shared" si="5"/>
        <v>1.7170000000000001E-2</v>
      </c>
      <c r="L10" s="945">
        <f t="shared" si="6"/>
        <v>2.5392253521126764</v>
      </c>
      <c r="R10" s="890"/>
    </row>
    <row r="11" spans="1:33" x14ac:dyDescent="0.25">
      <c r="A11" s="949"/>
      <c r="B11" s="1130" t="s">
        <v>93</v>
      </c>
      <c r="C11" s="947" t="s">
        <v>14</v>
      </c>
      <c r="D11" s="940">
        <v>2</v>
      </c>
      <c r="E11" s="940">
        <f t="shared" si="0"/>
        <v>17.170000000000002</v>
      </c>
      <c r="F11" s="948">
        <v>0.75</v>
      </c>
      <c r="G11" s="940">
        <f t="shared" si="1"/>
        <v>34.340000000000003</v>
      </c>
      <c r="H11" s="943">
        <f t="shared" si="2"/>
        <v>25.755000000000003</v>
      </c>
      <c r="I11" s="914">
        <f>VLOOKUP(B11,All_Ingredients!$A$1:$F$161,6,FALSE())</f>
        <v>1</v>
      </c>
      <c r="J11" s="940">
        <f>VLOOKUP(B11,All_Ingredients!$A$1:$J$161,10,FALSE())</f>
        <v>0.74</v>
      </c>
      <c r="K11" s="945">
        <f t="shared" si="5"/>
        <v>2.5755000000000004E-2</v>
      </c>
      <c r="L11" s="945">
        <f t="shared" si="6"/>
        <v>1.9058700000000001E-2</v>
      </c>
      <c r="R11" s="890"/>
    </row>
    <row r="12" spans="1:33" ht="28.5" x14ac:dyDescent="0.25">
      <c r="A12" s="949"/>
      <c r="B12" s="1130" t="s">
        <v>99</v>
      </c>
      <c r="C12" s="947" t="s">
        <v>14</v>
      </c>
      <c r="D12" s="944">
        <v>0.5</v>
      </c>
      <c r="E12" s="940">
        <f t="shared" si="0"/>
        <v>17.170000000000002</v>
      </c>
      <c r="F12" s="948">
        <v>0.75</v>
      </c>
      <c r="G12" s="940">
        <f t="shared" si="1"/>
        <v>8.5850000000000009</v>
      </c>
      <c r="H12" s="943">
        <f t="shared" si="2"/>
        <v>6.4387500000000006</v>
      </c>
      <c r="I12" s="914">
        <f>VLOOKUP(B12,All_Ingredients!$A$1:$F$161,6,FALSE())</f>
        <v>1</v>
      </c>
      <c r="J12" s="940">
        <f>VLOOKUP(B12,All_Ingredients!$A$1:$J$161,10,FALSE())</f>
        <v>31</v>
      </c>
      <c r="K12" s="945">
        <f t="shared" si="5"/>
        <v>6.4387500000000009E-3</v>
      </c>
      <c r="L12" s="945">
        <f t="shared" si="6"/>
        <v>0.19960125000000004</v>
      </c>
      <c r="R12" s="890"/>
    </row>
    <row r="13" spans="1:33" x14ac:dyDescent="0.25">
      <c r="A13" s="949"/>
      <c r="B13" s="1130" t="s">
        <v>212</v>
      </c>
      <c r="C13" s="947" t="s">
        <v>160</v>
      </c>
      <c r="D13" s="940">
        <v>5</v>
      </c>
      <c r="E13" s="940">
        <f t="shared" si="0"/>
        <v>17.170000000000002</v>
      </c>
      <c r="F13" s="948">
        <v>1</v>
      </c>
      <c r="G13" s="940">
        <f t="shared" si="1"/>
        <v>85.850000000000009</v>
      </c>
      <c r="H13" s="943">
        <f t="shared" si="2"/>
        <v>85.850000000000009</v>
      </c>
      <c r="I13" s="914">
        <f>VLOOKUP(B13,All_Ingredients!$A$1:$F$161,6,FALSE())</f>
        <v>1</v>
      </c>
      <c r="J13" s="940">
        <f>VLOOKUP(B13,All_Ingredients!$A$1:$J$161,10,FALSE())</f>
        <v>5</v>
      </c>
      <c r="K13" s="945">
        <f t="shared" si="5"/>
        <v>8.585000000000001E-2</v>
      </c>
      <c r="L13" s="945">
        <f t="shared" si="6"/>
        <v>0.42925000000000002</v>
      </c>
      <c r="R13" s="890"/>
    </row>
    <row r="24" spans="18:29" x14ac:dyDescent="0.25">
      <c r="R24" s="890"/>
      <c r="Z24" s="982" t="s">
        <v>14</v>
      </c>
      <c r="AA24" s="989">
        <v>1</v>
      </c>
      <c r="AB24" s="982" t="s">
        <v>249</v>
      </c>
      <c r="AC24" s="985">
        <f>(S33/S30)*AA24</f>
        <v>4.3285352368565748E-3</v>
      </c>
    </row>
    <row r="25" spans="18:29" x14ac:dyDescent="0.25">
      <c r="R25" s="1792" t="s">
        <v>336</v>
      </c>
      <c r="S25" s="1787"/>
      <c r="T25" s="1787"/>
    </row>
    <row r="26" spans="18:29" x14ac:dyDescent="0.25">
      <c r="R26" s="1792" t="s">
        <v>337</v>
      </c>
      <c r="S26" s="1787"/>
      <c r="T26" s="1787"/>
    </row>
    <row r="27" spans="18:29" x14ac:dyDescent="0.25">
      <c r="R27" s="961" t="s">
        <v>254</v>
      </c>
      <c r="S27" s="962" t="s">
        <v>338</v>
      </c>
      <c r="T27" s="962" t="s">
        <v>257</v>
      </c>
    </row>
    <row r="28" spans="18:29" x14ac:dyDescent="0.25">
      <c r="R28" s="961" t="s">
        <v>263</v>
      </c>
      <c r="S28" s="965">
        <f>$Z$1</f>
        <v>17170</v>
      </c>
      <c r="T28" s="963">
        <f>S28</f>
        <v>17170</v>
      </c>
      <c r="U28" s="685"/>
    </row>
    <row r="29" spans="18:29" x14ac:dyDescent="0.25">
      <c r="R29" s="961" t="s">
        <v>265</v>
      </c>
      <c r="S29" s="965">
        <f>$AB$1</f>
        <v>0</v>
      </c>
      <c r="T29" s="974">
        <f>S29</f>
        <v>0</v>
      </c>
      <c r="U29" s="685"/>
    </row>
    <row r="30" spans="18:29" x14ac:dyDescent="0.25">
      <c r="R30" s="961" t="s">
        <v>257</v>
      </c>
      <c r="S30" s="1293">
        <f>SUM(S28:S29)</f>
        <v>17170</v>
      </c>
      <c r="T30" s="1293">
        <f>S30</f>
        <v>17170</v>
      </c>
      <c r="U30" s="685"/>
    </row>
    <row r="33" spans="18:20" ht="15.75" thickBot="1" x14ac:dyDescent="0.3">
      <c r="R33" s="909" t="s">
        <v>249</v>
      </c>
      <c r="S33" s="548">
        <f>SUM(L6:L13)</f>
        <v>74.320950016827396</v>
      </c>
      <c r="T33" s="594">
        <f>S33</f>
        <v>74.320950016827396</v>
      </c>
    </row>
    <row r="50" spans="1:11" x14ac:dyDescent="0.25">
      <c r="B50" s="958"/>
      <c r="C50" s="1076" t="s">
        <v>233</v>
      </c>
      <c r="D50" s="958" t="s">
        <v>279</v>
      </c>
      <c r="E50" s="890"/>
      <c r="F50" s="890"/>
      <c r="H50" s="890"/>
      <c r="K50" s="890"/>
    </row>
    <row r="51" spans="1:11" x14ac:dyDescent="0.25">
      <c r="B51" s="1027" t="s">
        <v>283</v>
      </c>
      <c r="C51" s="1028">
        <f>10/$K$1</f>
        <v>10</v>
      </c>
      <c r="D51" s="1029">
        <f>$C$1*10</f>
        <v>10000</v>
      </c>
      <c r="E51" s="890"/>
      <c r="F51" s="890"/>
      <c r="H51" s="890"/>
      <c r="K51" s="890"/>
    </row>
    <row r="52" spans="1:11" x14ac:dyDescent="0.25">
      <c r="B52" s="958" t="s">
        <v>257</v>
      </c>
      <c r="C52" s="1243">
        <f>I1</f>
        <v>17.170000000000002</v>
      </c>
      <c r="D52" s="1100">
        <f>E1</f>
        <v>17170</v>
      </c>
      <c r="E52" s="890"/>
      <c r="F52" s="890"/>
      <c r="H52" s="890"/>
      <c r="K52" s="890"/>
    </row>
    <row r="53" spans="1:11" x14ac:dyDescent="0.25">
      <c r="B53" s="958" t="s">
        <v>284</v>
      </c>
      <c r="C53" s="1101">
        <f>MIN($C$52, $C$51)</f>
        <v>10</v>
      </c>
      <c r="D53" s="1100">
        <f>(C53*$K$1)*$C$1</f>
        <v>10000</v>
      </c>
      <c r="E53" s="890"/>
      <c r="F53" s="890"/>
      <c r="H53" s="890"/>
      <c r="K53" s="890"/>
    </row>
    <row r="54" spans="1:11" x14ac:dyDescent="0.25">
      <c r="B54" s="958" t="s">
        <v>285</v>
      </c>
      <c r="C54" s="1101">
        <f>MIN(MAX($C$52-C53,0),$C$51)</f>
        <v>7.1700000000000017</v>
      </c>
      <c r="D54" s="1100">
        <f>(C54*$K$1)*$C$1</f>
        <v>7170.0000000000018</v>
      </c>
      <c r="E54" s="890"/>
      <c r="F54" s="890"/>
      <c r="H54" s="890"/>
      <c r="K54" s="890"/>
    </row>
    <row r="55" spans="1:11" x14ac:dyDescent="0.25">
      <c r="B55" s="958" t="s">
        <v>286</v>
      </c>
      <c r="C55" s="1101">
        <f>MIN(MAX($C$52-C53-C54,0),$C$51)</f>
        <v>0</v>
      </c>
      <c r="D55" s="1100">
        <f>(C55*$K$1)*$C$1</f>
        <v>0</v>
      </c>
      <c r="E55" s="890"/>
      <c r="F55" s="890"/>
      <c r="H55" s="890"/>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1036"/>
      <c r="B62" s="1776" t="s">
        <v>760</v>
      </c>
      <c r="C62" s="1777"/>
      <c r="D62" s="1778"/>
      <c r="E62" s="1778"/>
      <c r="F62" s="1778"/>
      <c r="G62" s="1777"/>
      <c r="H62" s="1778"/>
      <c r="K62" s="890"/>
    </row>
    <row r="63" spans="1:11" x14ac:dyDescent="0.25">
      <c r="A63" s="1036"/>
      <c r="B63" s="1776" t="s">
        <v>35</v>
      </c>
      <c r="C63" s="1777"/>
      <c r="D63" s="1778"/>
      <c r="E63" s="1778"/>
      <c r="F63" s="1778"/>
      <c r="G63" s="1777"/>
      <c r="H63" s="1778"/>
      <c r="K63" s="890"/>
    </row>
    <row r="64" spans="1:11" ht="38.25" x14ac:dyDescent="0.2">
      <c r="A64" s="1350" t="s">
        <v>864</v>
      </c>
      <c r="B64" s="1104" t="s">
        <v>241</v>
      </c>
      <c r="C64" s="934" t="s">
        <v>242</v>
      </c>
      <c r="D64" s="1104" t="s">
        <v>231</v>
      </c>
      <c r="E64" s="936" t="s">
        <v>234</v>
      </c>
      <c r="F64" s="936" t="s">
        <v>243</v>
      </c>
      <c r="G64" s="1104" t="s">
        <v>244</v>
      </c>
      <c r="H64" s="936" t="s">
        <v>245</v>
      </c>
      <c r="K64" s="890"/>
    </row>
    <row r="65" spans="1:11" x14ac:dyDescent="0.25">
      <c r="A65" s="1294" t="s">
        <v>870</v>
      </c>
      <c r="B65" s="1130" t="str">
        <f t="shared" ref="B65:D72" si="7">B6</f>
        <v>Potato - بطاطس</v>
      </c>
      <c r="C65" s="947" t="str">
        <f t="shared" si="7"/>
        <v>gm</v>
      </c>
      <c r="D65" s="914">
        <f t="shared" si="7"/>
        <v>1400</v>
      </c>
      <c r="E65" s="940">
        <f>$C$52</f>
        <v>17.170000000000002</v>
      </c>
      <c r="F65" s="948">
        <f t="shared" ref="F65:F72" si="8">F6</f>
        <v>1</v>
      </c>
      <c r="G65" s="940">
        <f t="shared" ref="G65:G72" si="9">D65*E65</f>
        <v>24038.000000000004</v>
      </c>
      <c r="H65" s="943">
        <f t="shared" ref="H65:H72" si="10">G65*F65</f>
        <v>24038.000000000004</v>
      </c>
      <c r="K65" s="890"/>
    </row>
    <row r="66" spans="1:11" x14ac:dyDescent="0.25">
      <c r="A66" s="949"/>
      <c r="B66" s="1130" t="str">
        <f t="shared" si="7"/>
        <v>Fresh Thyme - بذور الزعتر</v>
      </c>
      <c r="C66" s="947" t="str">
        <f t="shared" si="7"/>
        <v>gm</v>
      </c>
      <c r="D66" s="914">
        <f t="shared" si="7"/>
        <v>1</v>
      </c>
      <c r="E66" s="940">
        <f t="shared" ref="E66:E72" si="11">$C$52</f>
        <v>17.170000000000002</v>
      </c>
      <c r="F66" s="948">
        <f t="shared" si="8"/>
        <v>1</v>
      </c>
      <c r="G66" s="940">
        <f t="shared" si="9"/>
        <v>17.170000000000002</v>
      </c>
      <c r="H66" s="943">
        <f t="shared" si="10"/>
        <v>17.170000000000002</v>
      </c>
      <c r="K66" s="890"/>
    </row>
    <row r="67" spans="1:11" x14ac:dyDescent="0.25">
      <c r="A67" s="949"/>
      <c r="B67" s="1130" t="str">
        <f t="shared" si="7"/>
        <v>Rosemary - روزميري مستورد</v>
      </c>
      <c r="C67" s="947" t="str">
        <f t="shared" si="7"/>
        <v>gm</v>
      </c>
      <c r="D67" s="914">
        <f t="shared" si="7"/>
        <v>1</v>
      </c>
      <c r="E67" s="940">
        <f t="shared" si="11"/>
        <v>17.170000000000002</v>
      </c>
      <c r="F67" s="948">
        <f t="shared" si="8"/>
        <v>1</v>
      </c>
      <c r="G67" s="940">
        <f t="shared" si="9"/>
        <v>17.170000000000002</v>
      </c>
      <c r="H67" s="943">
        <f t="shared" si="10"/>
        <v>17.170000000000002</v>
      </c>
      <c r="K67" s="890"/>
    </row>
    <row r="68" spans="1:11" x14ac:dyDescent="0.25">
      <c r="A68" s="949"/>
      <c r="B68" s="1130" t="str">
        <f t="shared" si="7"/>
        <v>Italian Seasoning - توابل إيطالية</v>
      </c>
      <c r="C68" s="947" t="str">
        <f t="shared" si="7"/>
        <v>gm</v>
      </c>
      <c r="D68" s="914">
        <f t="shared" si="7"/>
        <v>1</v>
      </c>
      <c r="E68" s="940">
        <f t="shared" si="11"/>
        <v>17.170000000000002</v>
      </c>
      <c r="F68" s="948">
        <f t="shared" si="8"/>
        <v>1</v>
      </c>
      <c r="G68" s="940">
        <f t="shared" si="9"/>
        <v>17.170000000000002</v>
      </c>
      <c r="H68" s="943">
        <f t="shared" si="10"/>
        <v>17.170000000000002</v>
      </c>
      <c r="K68" s="890"/>
    </row>
    <row r="69" spans="1:11" x14ac:dyDescent="0.25">
      <c r="A69" s="949"/>
      <c r="B69" s="1130" t="str">
        <f t="shared" si="7"/>
        <v>Dry Oregano - أوريجانو مجفف</v>
      </c>
      <c r="C69" s="947" t="str">
        <f t="shared" si="7"/>
        <v>gm</v>
      </c>
      <c r="D69" s="914">
        <f t="shared" si="7"/>
        <v>1</v>
      </c>
      <c r="E69" s="940">
        <f t="shared" si="11"/>
        <v>17.170000000000002</v>
      </c>
      <c r="F69" s="948">
        <f t="shared" si="8"/>
        <v>1</v>
      </c>
      <c r="G69" s="940">
        <f t="shared" si="9"/>
        <v>17.170000000000002</v>
      </c>
      <c r="H69" s="943">
        <f t="shared" si="10"/>
        <v>17.170000000000002</v>
      </c>
      <c r="K69" s="890"/>
    </row>
    <row r="70" spans="1:11" x14ac:dyDescent="0.25">
      <c r="A70" s="949"/>
      <c r="B70" s="1130" t="str">
        <f t="shared" si="7"/>
        <v>Salt - ملح</v>
      </c>
      <c r="C70" s="947" t="str">
        <f t="shared" si="7"/>
        <v>gm</v>
      </c>
      <c r="D70" s="914">
        <f t="shared" si="7"/>
        <v>2</v>
      </c>
      <c r="E70" s="940">
        <f t="shared" si="11"/>
        <v>17.170000000000002</v>
      </c>
      <c r="F70" s="948">
        <f t="shared" si="8"/>
        <v>0.75</v>
      </c>
      <c r="G70" s="940">
        <f t="shared" si="9"/>
        <v>34.340000000000003</v>
      </c>
      <c r="H70" s="943">
        <f t="shared" si="10"/>
        <v>25.755000000000003</v>
      </c>
      <c r="K70" s="890"/>
    </row>
    <row r="71" spans="1:11" ht="28.5" x14ac:dyDescent="0.25">
      <c r="A71" s="949"/>
      <c r="B71" s="1130" t="str">
        <f t="shared" si="7"/>
        <v>Black Pepper Powder - فلفل أسود مطحون</v>
      </c>
      <c r="C71" s="947" t="str">
        <f t="shared" si="7"/>
        <v>gm</v>
      </c>
      <c r="D71" s="914">
        <f t="shared" si="7"/>
        <v>0.5</v>
      </c>
      <c r="E71" s="940">
        <f t="shared" si="11"/>
        <v>17.170000000000002</v>
      </c>
      <c r="F71" s="948">
        <f t="shared" si="8"/>
        <v>0.75</v>
      </c>
      <c r="G71" s="940">
        <f t="shared" si="9"/>
        <v>8.5850000000000009</v>
      </c>
      <c r="H71" s="943">
        <f t="shared" si="10"/>
        <v>6.4387500000000006</v>
      </c>
      <c r="K71" s="890"/>
    </row>
    <row r="72" spans="1:11" x14ac:dyDescent="0.25">
      <c r="A72" s="949"/>
      <c r="B72" s="1130" t="str">
        <f t="shared" si="7"/>
        <v>Lemon Juice - عصير ليمون</v>
      </c>
      <c r="C72" s="947" t="str">
        <f t="shared" si="7"/>
        <v>ml</v>
      </c>
      <c r="D72" s="914">
        <f t="shared" si="7"/>
        <v>5</v>
      </c>
      <c r="E72" s="940">
        <f t="shared" si="11"/>
        <v>17.170000000000002</v>
      </c>
      <c r="F72" s="948">
        <f t="shared" si="8"/>
        <v>1</v>
      </c>
      <c r="G72" s="940">
        <f t="shared" si="9"/>
        <v>85.850000000000009</v>
      </c>
      <c r="H72" s="943">
        <f t="shared" si="10"/>
        <v>85.850000000000009</v>
      </c>
      <c r="K72" s="890"/>
    </row>
    <row r="73" spans="1:11" ht="15.75" x14ac:dyDescent="0.25">
      <c r="A73" s="949"/>
      <c r="B73" s="1041" t="s">
        <v>683</v>
      </c>
      <c r="C73" s="1208"/>
      <c r="D73" s="1208"/>
      <c r="E73" s="1208"/>
      <c r="F73" s="1208"/>
      <c r="G73" s="1208"/>
      <c r="H73" s="1208"/>
      <c r="K73" s="890"/>
    </row>
    <row r="74" spans="1:11" ht="20.25" x14ac:dyDescent="0.3">
      <c r="A74" s="949"/>
      <c r="B74" s="1047">
        <f>D52</f>
        <v>17170</v>
      </c>
      <c r="C74" s="1208"/>
      <c r="D74" s="1208"/>
      <c r="E74" s="1208"/>
      <c r="F74" s="1208"/>
      <c r="G74" s="1208"/>
      <c r="H74" s="1043"/>
      <c r="K74" s="890"/>
    </row>
    <row r="75" spans="1:11" ht="18" customHeight="1" x14ac:dyDescent="0.25">
      <c r="A75" s="887"/>
      <c r="B75" s="431"/>
      <c r="C75" s="431"/>
      <c r="D75" s="431"/>
      <c r="E75" s="431"/>
      <c r="F75" s="431"/>
      <c r="G75" s="431"/>
      <c r="H75" s="431"/>
    </row>
    <row r="76" spans="1:11" ht="18" customHeight="1" x14ac:dyDescent="0.25">
      <c r="A76" s="887"/>
      <c r="B76" s="1819"/>
      <c r="C76" s="1820"/>
      <c r="D76" s="1820"/>
      <c r="E76" s="1820"/>
      <c r="F76" s="1820"/>
      <c r="G76" s="1820"/>
      <c r="H76" s="1820"/>
    </row>
    <row r="77" spans="1:11" ht="18" x14ac:dyDescent="0.25">
      <c r="A77" s="887"/>
      <c r="B77" s="1819"/>
      <c r="C77" s="1820"/>
      <c r="D77" s="1820"/>
      <c r="E77" s="1820"/>
      <c r="F77" s="1820"/>
      <c r="G77" s="1820"/>
      <c r="H77" s="1820"/>
    </row>
    <row r="78" spans="1:11" ht="40.5" customHeight="1" x14ac:dyDescent="0.2">
      <c r="A78" s="888"/>
      <c r="B78" s="613"/>
      <c r="C78" s="614"/>
      <c r="D78" s="613"/>
      <c r="E78" s="615"/>
      <c r="F78" s="615"/>
      <c r="G78" s="613"/>
      <c r="H78" s="615"/>
    </row>
    <row r="79" spans="1:11" ht="14.25" customHeight="1" x14ac:dyDescent="0.25">
      <c r="A79" s="887"/>
      <c r="B79" s="616"/>
      <c r="C79" s="616"/>
      <c r="D79" s="616"/>
      <c r="E79" s="617"/>
      <c r="F79" s="618"/>
      <c r="G79" s="619"/>
      <c r="H79" s="620"/>
    </row>
    <row r="80" spans="1:11" ht="14.25" customHeight="1" x14ac:dyDescent="0.25">
      <c r="A80" s="887"/>
      <c r="B80" s="616"/>
      <c r="C80" s="616"/>
      <c r="D80" s="616"/>
      <c r="E80" s="617"/>
      <c r="F80" s="618"/>
      <c r="G80" s="619"/>
      <c r="H80" s="620"/>
    </row>
    <row r="81" spans="1:8" ht="14.25" customHeight="1" x14ac:dyDescent="0.25">
      <c r="A81" s="887"/>
      <c r="B81" s="616"/>
      <c r="C81" s="616"/>
      <c r="D81" s="616"/>
      <c r="E81" s="617"/>
      <c r="F81" s="618"/>
      <c r="G81" s="619"/>
      <c r="H81" s="620"/>
    </row>
    <row r="82" spans="1:8" ht="14.25" customHeight="1" x14ac:dyDescent="0.25">
      <c r="A82" s="887"/>
      <c r="B82" s="616"/>
      <c r="C82" s="616"/>
      <c r="D82" s="616"/>
      <c r="E82" s="617"/>
      <c r="F82" s="618"/>
      <c r="G82" s="619"/>
      <c r="H82" s="620"/>
    </row>
    <row r="83" spans="1:8" ht="14.25" customHeight="1" x14ac:dyDescent="0.25">
      <c r="A83" s="887"/>
      <c r="B83" s="616"/>
      <c r="C83" s="616"/>
      <c r="D83" s="616"/>
      <c r="E83" s="617"/>
      <c r="F83" s="618"/>
      <c r="G83" s="619"/>
      <c r="H83" s="620"/>
    </row>
    <row r="84" spans="1:8" ht="14.25" customHeight="1" x14ac:dyDescent="0.25">
      <c r="A84" s="887"/>
      <c r="B84" s="616"/>
      <c r="C84" s="616"/>
      <c r="D84" s="616"/>
      <c r="E84" s="617"/>
      <c r="F84" s="618"/>
      <c r="G84" s="619"/>
      <c r="H84" s="620"/>
    </row>
    <row r="85" spans="1:8" ht="14.25" customHeight="1" x14ac:dyDescent="0.25">
      <c r="A85" s="887"/>
      <c r="B85" s="616"/>
      <c r="C85" s="616"/>
      <c r="D85" s="616"/>
      <c r="E85" s="617"/>
      <c r="F85" s="618"/>
      <c r="G85" s="619"/>
      <c r="H85" s="620"/>
    </row>
    <row r="86" spans="1:8" ht="12.75" customHeight="1" x14ac:dyDescent="0.25">
      <c r="A86" s="887"/>
      <c r="B86" s="616"/>
      <c r="C86" s="616"/>
      <c r="D86" s="616"/>
      <c r="E86" s="617"/>
      <c r="F86" s="618"/>
      <c r="G86" s="619"/>
      <c r="H86" s="620"/>
    </row>
    <row r="87" spans="1:8" ht="16.5" customHeight="1" x14ac:dyDescent="0.25">
      <c r="A87" s="887"/>
      <c r="B87" s="452"/>
      <c r="C87" s="431"/>
      <c r="D87" s="431"/>
      <c r="E87" s="431"/>
      <c r="F87" s="431"/>
      <c r="G87" s="431"/>
      <c r="H87" s="431"/>
    </row>
    <row r="88" spans="1:8" ht="17.25" customHeight="1" x14ac:dyDescent="0.3">
      <c r="A88" s="887"/>
      <c r="B88" s="453"/>
      <c r="C88" s="431"/>
      <c r="D88" s="431"/>
      <c r="E88" s="431"/>
      <c r="F88" s="431"/>
      <c r="G88" s="431"/>
      <c r="H88" s="437"/>
    </row>
    <row r="89" spans="1:8" ht="12.75" customHeight="1" x14ac:dyDescent="0.25">
      <c r="A89" s="887"/>
      <c r="B89" s="431"/>
      <c r="C89" s="431"/>
      <c r="D89" s="431"/>
      <c r="E89" s="431"/>
      <c r="F89" s="431"/>
      <c r="G89" s="431"/>
      <c r="H89" s="431"/>
    </row>
    <row r="90" spans="1:8" ht="18" customHeight="1" x14ac:dyDescent="0.25">
      <c r="A90" s="887"/>
      <c r="B90" s="431"/>
      <c r="C90" s="431"/>
      <c r="D90" s="431"/>
      <c r="E90" s="431"/>
      <c r="F90" s="431"/>
      <c r="G90" s="431"/>
      <c r="H90" s="431"/>
    </row>
    <row r="91" spans="1:8" ht="18" x14ac:dyDescent="0.25">
      <c r="A91" s="887"/>
      <c r="B91" s="1819"/>
      <c r="C91" s="1820"/>
      <c r="D91" s="1820"/>
      <c r="E91" s="1820"/>
      <c r="F91" s="1820"/>
      <c r="G91" s="1820"/>
      <c r="H91" s="1820"/>
    </row>
    <row r="92" spans="1:8" ht="18" x14ac:dyDescent="0.25">
      <c r="A92" s="887"/>
      <c r="B92" s="1819"/>
      <c r="C92" s="1820"/>
      <c r="D92" s="1820"/>
      <c r="E92" s="1820"/>
      <c r="F92" s="1820"/>
      <c r="G92" s="1820"/>
      <c r="H92" s="1820"/>
    </row>
    <row r="93" spans="1:8" ht="42" customHeight="1" x14ac:dyDescent="0.2">
      <c r="A93" s="888"/>
      <c r="B93" s="613"/>
      <c r="C93" s="614"/>
      <c r="D93" s="613"/>
      <c r="E93" s="615"/>
      <c r="F93" s="615"/>
      <c r="G93" s="613"/>
      <c r="H93" s="615"/>
    </row>
    <row r="94" spans="1:8" ht="14.25" customHeight="1" x14ac:dyDescent="0.25">
      <c r="A94" s="887"/>
      <c r="B94" s="616"/>
      <c r="C94" s="616"/>
      <c r="D94" s="616"/>
      <c r="E94" s="617"/>
      <c r="F94" s="618"/>
      <c r="G94" s="619"/>
      <c r="H94" s="620"/>
    </row>
    <row r="95" spans="1:8" ht="14.25" customHeight="1" x14ac:dyDescent="0.25">
      <c r="A95" s="887"/>
      <c r="B95" s="616"/>
      <c r="C95" s="616"/>
      <c r="D95" s="616"/>
      <c r="E95" s="617"/>
      <c r="F95" s="618"/>
      <c r="G95" s="619"/>
      <c r="H95" s="620"/>
    </row>
    <row r="96" spans="1:8" ht="14.25" customHeight="1" x14ac:dyDescent="0.25">
      <c r="A96" s="887"/>
      <c r="B96" s="616"/>
      <c r="C96" s="616"/>
      <c r="D96" s="616"/>
      <c r="E96" s="617"/>
      <c r="F96" s="618"/>
      <c r="G96" s="619"/>
      <c r="H96" s="620"/>
    </row>
    <row r="97" spans="1:8" ht="14.25" customHeight="1" x14ac:dyDescent="0.25">
      <c r="A97" s="887"/>
      <c r="B97" s="616"/>
      <c r="C97" s="616"/>
      <c r="D97" s="616"/>
      <c r="E97" s="617"/>
      <c r="F97" s="618"/>
      <c r="G97" s="619"/>
      <c r="H97" s="620"/>
    </row>
    <row r="98" spans="1:8" ht="14.25" customHeight="1" x14ac:dyDescent="0.25">
      <c r="A98" s="887"/>
      <c r="B98" s="616"/>
      <c r="C98" s="616"/>
      <c r="D98" s="616"/>
      <c r="E98" s="617"/>
      <c r="F98" s="618"/>
      <c r="G98" s="619"/>
      <c r="H98" s="620"/>
    </row>
    <row r="99" spans="1:8" ht="14.25" customHeight="1" x14ac:dyDescent="0.25">
      <c r="A99" s="887"/>
      <c r="B99" s="616"/>
      <c r="C99" s="616"/>
      <c r="D99" s="616"/>
      <c r="E99" s="617"/>
      <c r="F99" s="618"/>
      <c r="G99" s="619"/>
      <c r="H99" s="620"/>
    </row>
    <row r="100" spans="1:8" ht="14.25" customHeight="1" x14ac:dyDescent="0.25">
      <c r="A100" s="887"/>
      <c r="B100" s="616"/>
      <c r="C100" s="616"/>
      <c r="D100" s="616"/>
      <c r="E100" s="617"/>
      <c r="F100" s="618"/>
      <c r="G100" s="619"/>
      <c r="H100" s="620"/>
    </row>
    <row r="101" spans="1:8" x14ac:dyDescent="0.25">
      <c r="A101" s="887"/>
      <c r="B101" s="616"/>
      <c r="C101" s="616"/>
      <c r="D101" s="616"/>
      <c r="E101" s="617"/>
      <c r="F101" s="618"/>
      <c r="G101" s="619"/>
      <c r="H101" s="620"/>
    </row>
  </sheetData>
  <mergeCells count="10">
    <mergeCell ref="AE2:AG3"/>
    <mergeCell ref="B91:H91"/>
    <mergeCell ref="B92:H92"/>
    <mergeCell ref="B77:H77"/>
    <mergeCell ref="B62:H62"/>
    <mergeCell ref="R26:T26"/>
    <mergeCell ref="B2:H3"/>
    <mergeCell ref="R25:T25"/>
    <mergeCell ref="B76:H76"/>
    <mergeCell ref="B63:H63"/>
  </mergeCells>
  <printOptions horizontalCentered="1"/>
  <pageMargins left="0.5" right="0.5" top="1" bottom="0.5" header="0.3" footer="0.511811023622047"/>
  <pageSetup paperSize="9" scale="3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4B47F-D714-41FE-BE41-B4CF3CBD53F0}">
  <sheetPr codeName="Sheet83">
    <tabColor rgb="FFFFFF00"/>
    <outlinePr summaryBelow="0" summaryRight="0"/>
    <pageSetUpPr fitToPage="1"/>
  </sheetPr>
  <dimension ref="A1:AD95"/>
  <sheetViews>
    <sheetView topLeftCell="A42" zoomScale="70" zoomScaleNormal="70" workbookViewId="0">
      <selection activeCell="B63" sqref="B63:H63"/>
    </sheetView>
  </sheetViews>
  <sheetFormatPr defaultColWidth="12.5" defaultRowHeight="15" x14ac:dyDescent="0.25"/>
  <cols>
    <col min="1" max="1" width="18.625" style="880" customWidth="1"/>
    <col min="2" max="2" width="25.875" style="337" customWidth="1"/>
    <col min="3" max="3" width="18.625" style="337" customWidth="1"/>
    <col min="4" max="6" width="25.875" style="337" customWidth="1"/>
    <col min="7" max="7" width="18.625" style="337" customWidth="1"/>
    <col min="8" max="8" width="25.875" style="337" customWidth="1"/>
    <col min="9" max="10" width="18.625" style="337" customWidth="1"/>
    <col min="11" max="11" width="25.875" style="337" customWidth="1"/>
    <col min="12" max="12" width="12.625" style="337" customWidth="1"/>
    <col min="13" max="13" width="5.75" style="337" customWidth="1"/>
    <col min="14" max="15" width="16.75" style="337" bestFit="1" customWidth="1"/>
    <col min="16" max="17" width="12.5" style="337"/>
    <col min="18" max="18" width="25.875" style="337" customWidth="1"/>
    <col min="19" max="19" width="12.625" style="337" customWidth="1"/>
    <col min="20" max="24" width="12.5" style="337"/>
    <col min="25" max="30" width="8.625" style="337" customWidth="1"/>
    <col min="31" max="16384" width="12.5" style="337"/>
  </cols>
  <sheetData>
    <row r="1" spans="1:30" x14ac:dyDescent="0.25">
      <c r="A1" s="61"/>
      <c r="B1" s="1297" t="s">
        <v>231</v>
      </c>
      <c r="C1" s="1298">
        <v>1000</v>
      </c>
      <c r="D1" s="1299" t="s">
        <v>232</v>
      </c>
      <c r="E1" s="1300">
        <f>S29</f>
        <v>23050</v>
      </c>
      <c r="F1" s="1297" t="s">
        <v>233</v>
      </c>
      <c r="G1" s="1300">
        <f>E1/C1</f>
        <v>23.05</v>
      </c>
      <c r="H1" s="1297" t="s">
        <v>234</v>
      </c>
      <c r="I1" s="1301">
        <f>G1/K1</f>
        <v>7.6833333333333336</v>
      </c>
      <c r="J1" s="1297" t="s">
        <v>235</v>
      </c>
      <c r="K1" s="1302">
        <v>3</v>
      </c>
      <c r="L1" s="336"/>
      <c r="M1" s="336"/>
      <c r="N1" s="336"/>
      <c r="O1" s="336"/>
      <c r="P1" s="336"/>
      <c r="Q1" s="336"/>
      <c r="R1" s="336"/>
      <c r="S1" s="336"/>
      <c r="T1" s="336"/>
      <c r="U1" s="336"/>
      <c r="V1" s="336"/>
      <c r="Y1" s="923" t="s">
        <v>444</v>
      </c>
      <c r="Z1" s="925">
        <v>23050</v>
      </c>
      <c r="AA1" s="923" t="s">
        <v>544</v>
      </c>
      <c r="AB1" s="925">
        <v>0</v>
      </c>
      <c r="AC1" s="923" t="s">
        <v>537</v>
      </c>
      <c r="AD1" s="925">
        <v>162</v>
      </c>
    </row>
    <row r="2" spans="1:30" ht="15.75" x14ac:dyDescent="0.25">
      <c r="A2" s="863"/>
      <c r="B2" s="1822" t="s">
        <v>507</v>
      </c>
      <c r="C2" s="1822"/>
      <c r="D2" s="1822"/>
      <c r="E2" s="1822"/>
      <c r="F2" s="1822"/>
      <c r="G2" s="1822"/>
      <c r="H2" s="1822"/>
      <c r="I2" s="1303"/>
      <c r="J2" s="1303"/>
      <c r="K2" s="1303"/>
      <c r="L2" s="336"/>
      <c r="M2" s="336"/>
      <c r="N2" s="336"/>
      <c r="O2" s="336"/>
      <c r="P2" s="336"/>
      <c r="Q2" s="336"/>
      <c r="R2" s="336"/>
      <c r="S2" s="336"/>
      <c r="T2" s="336"/>
      <c r="U2" s="336"/>
    </row>
    <row r="3" spans="1:30" ht="15.75" x14ac:dyDescent="0.25">
      <c r="A3" s="863"/>
      <c r="B3" s="1823"/>
      <c r="C3" s="1823"/>
      <c r="D3" s="1823"/>
      <c r="E3" s="1823"/>
      <c r="F3" s="1823"/>
      <c r="G3" s="1823"/>
      <c r="H3" s="1823"/>
      <c r="I3" s="390"/>
      <c r="J3" s="390"/>
      <c r="K3" s="390"/>
      <c r="L3" s="336"/>
      <c r="M3" s="336"/>
      <c r="N3" s="336"/>
      <c r="O3" s="336"/>
      <c r="P3" s="336"/>
      <c r="Q3" s="336"/>
      <c r="R3" s="336"/>
      <c r="S3" s="336"/>
      <c r="T3" s="336"/>
      <c r="U3" s="336"/>
    </row>
    <row r="4" spans="1:30" ht="41.25" x14ac:dyDescent="0.2">
      <c r="A4" s="933" t="s">
        <v>864</v>
      </c>
      <c r="B4" s="1304" t="s">
        <v>241</v>
      </c>
      <c r="C4" s="1305" t="s">
        <v>242</v>
      </c>
      <c r="D4" s="1304" t="s">
        <v>231</v>
      </c>
      <c r="E4" s="1306" t="s">
        <v>234</v>
      </c>
      <c r="F4" s="1307" t="s">
        <v>243</v>
      </c>
      <c r="G4" s="1304" t="s">
        <v>244</v>
      </c>
      <c r="H4" s="1306" t="s">
        <v>503</v>
      </c>
      <c r="I4" s="923" t="s">
        <v>246</v>
      </c>
      <c r="J4" s="923" t="s">
        <v>247</v>
      </c>
      <c r="K4" s="923" t="s">
        <v>248</v>
      </c>
      <c r="L4" s="923" t="s">
        <v>249</v>
      </c>
      <c r="M4" s="336"/>
      <c r="N4" s="336"/>
      <c r="O4" s="336"/>
      <c r="P4" s="336"/>
      <c r="Q4" s="336"/>
      <c r="R4" s="336"/>
      <c r="S4" s="336"/>
      <c r="T4" s="336"/>
      <c r="U4" s="336"/>
    </row>
    <row r="5" spans="1:30" x14ac:dyDescent="0.2">
      <c r="A5" s="876"/>
      <c r="B5" s="1308"/>
      <c r="C5" s="1309"/>
      <c r="D5" s="1310"/>
      <c r="E5" s="1311"/>
      <c r="F5" s="1310"/>
      <c r="G5" s="1310"/>
      <c r="H5" s="574"/>
      <c r="I5" s="1195"/>
      <c r="J5" s="1198"/>
      <c r="K5" s="1200"/>
      <c r="L5" s="1200"/>
      <c r="R5" s="1296"/>
    </row>
    <row r="6" spans="1:30" ht="30" x14ac:dyDescent="0.25">
      <c r="B6" s="1312" t="s">
        <v>508</v>
      </c>
      <c r="C6" s="1313" t="s">
        <v>14</v>
      </c>
      <c r="D6" s="1314">
        <v>330</v>
      </c>
      <c r="E6" s="1315">
        <f>$I$1</f>
        <v>7.6833333333333336</v>
      </c>
      <c r="F6" s="1316">
        <v>1</v>
      </c>
      <c r="G6" s="1317">
        <f>D6*E6</f>
        <v>2535.5</v>
      </c>
      <c r="H6" s="1318">
        <f>G6*F6</f>
        <v>2535.5</v>
      </c>
      <c r="I6" s="914">
        <f>VLOOKUP(B6,All_Ingredients!$A$1:$F$161,6,FALSE())</f>
        <v>1</v>
      </c>
      <c r="J6" s="940">
        <f>VLOOKUP(B6,All_Ingredients!$A$1:$J$161,10,FALSE())</f>
        <v>9.0740740740740726</v>
      </c>
      <c r="K6" s="945">
        <f t="shared" ref="K6" si="0">(H6/I6)/1000</f>
        <v>2.5354999999999999</v>
      </c>
      <c r="L6" s="945">
        <f t="shared" ref="L6" si="1">K6*J6</f>
        <v>23.007314814814809</v>
      </c>
      <c r="R6" s="1296"/>
    </row>
    <row r="7" spans="1:30" x14ac:dyDescent="0.25">
      <c r="B7" s="1312" t="s">
        <v>203</v>
      </c>
      <c r="C7" s="947" t="s">
        <v>160</v>
      </c>
      <c r="D7" s="1317">
        <v>8000</v>
      </c>
      <c r="E7" s="1317">
        <f>$I$1</f>
        <v>7.6833333333333336</v>
      </c>
      <c r="F7" s="1316">
        <v>1</v>
      </c>
      <c r="G7" s="1317">
        <f>D7*E7</f>
        <v>61466.666666666672</v>
      </c>
      <c r="H7" s="1318">
        <f>G7*F7</f>
        <v>61466.666666666672</v>
      </c>
      <c r="I7" s="914">
        <f>VLOOKUP(B7,All_Ingredients!$A$1:$F$161,6,FALSE())</f>
        <v>1</v>
      </c>
      <c r="J7" s="940">
        <f>VLOOKUP(B7,All_Ingredients!$A$1:$J$161,10,FALSE())</f>
        <v>0</v>
      </c>
      <c r="K7" s="945">
        <f t="shared" ref="K7:K9" si="2">(H7/I7)/1000</f>
        <v>61.466666666666669</v>
      </c>
      <c r="L7" s="945">
        <f t="shared" ref="L7:L9" si="3">K7*J7</f>
        <v>0</v>
      </c>
      <c r="R7" s="1296"/>
    </row>
    <row r="8" spans="1:30" x14ac:dyDescent="0.25">
      <c r="B8" s="1312" t="s">
        <v>93</v>
      </c>
      <c r="C8" s="1313" t="s">
        <v>14</v>
      </c>
      <c r="D8" s="1317">
        <v>10</v>
      </c>
      <c r="E8" s="1317">
        <f>$I$1</f>
        <v>7.6833333333333336</v>
      </c>
      <c r="F8" s="1316">
        <v>1</v>
      </c>
      <c r="G8" s="1317">
        <f>D8*E8</f>
        <v>76.833333333333343</v>
      </c>
      <c r="H8" s="1318">
        <f>G8*F8</f>
        <v>76.833333333333343</v>
      </c>
      <c r="I8" s="914">
        <f>VLOOKUP(B8,All_Ingredients!$A$1:$F$161,6,FALSE())</f>
        <v>1</v>
      </c>
      <c r="J8" s="940">
        <f>VLOOKUP(B8,All_Ingredients!$A$1:$J$161,10,FALSE())</f>
        <v>0.74</v>
      </c>
      <c r="K8" s="945">
        <f t="shared" si="2"/>
        <v>7.6833333333333337E-2</v>
      </c>
      <c r="L8" s="945">
        <f t="shared" si="3"/>
        <v>5.6856666666666666E-2</v>
      </c>
      <c r="R8" s="1296"/>
    </row>
    <row r="9" spans="1:30" x14ac:dyDescent="0.25">
      <c r="B9" s="1312" t="s">
        <v>211</v>
      </c>
      <c r="C9" s="1313" t="s">
        <v>14</v>
      </c>
      <c r="D9" s="1317">
        <v>5</v>
      </c>
      <c r="E9" s="1317">
        <f>$I$1</f>
        <v>7.6833333333333336</v>
      </c>
      <c r="F9" s="1316">
        <v>1</v>
      </c>
      <c r="G9" s="1317">
        <f>D9*E9</f>
        <v>38.416666666666671</v>
      </c>
      <c r="H9" s="1318">
        <f>G9*F9</f>
        <v>38.416666666666671</v>
      </c>
      <c r="I9" s="914">
        <f>VLOOKUP(B9,All_Ingredients!$A$1:$F$161,6,FALSE())</f>
        <v>1</v>
      </c>
      <c r="J9" s="940">
        <f>VLOOKUP(B9,All_Ingredients!$A$1:$J$161,10,FALSE())</f>
        <v>15.5</v>
      </c>
      <c r="K9" s="945">
        <f t="shared" si="2"/>
        <v>3.8416666666666668E-2</v>
      </c>
      <c r="L9" s="945">
        <f t="shared" si="3"/>
        <v>0.59545833333333331</v>
      </c>
      <c r="R9" s="1296"/>
    </row>
    <row r="24" spans="18:29" x14ac:dyDescent="0.25">
      <c r="R24" s="1296"/>
      <c r="Z24" s="982" t="s">
        <v>14</v>
      </c>
      <c r="AA24" s="989">
        <v>1</v>
      </c>
      <c r="AB24" s="982" t="s">
        <v>249</v>
      </c>
      <c r="AC24" s="985">
        <f>(S32/S29)*AA24</f>
        <v>1.0264481481481479E-3</v>
      </c>
    </row>
    <row r="25" spans="18:29" x14ac:dyDescent="0.25">
      <c r="R25" s="1824" t="s">
        <v>509</v>
      </c>
      <c r="S25" s="1825"/>
    </row>
    <row r="26" spans="18:29" x14ac:dyDescent="0.25">
      <c r="R26" s="1319" t="s">
        <v>254</v>
      </c>
      <c r="S26" s="1320" t="s">
        <v>538</v>
      </c>
    </row>
    <row r="27" spans="18:29" x14ac:dyDescent="0.25">
      <c r="R27" s="1319" t="s">
        <v>502</v>
      </c>
      <c r="S27" s="1321">
        <f>$Z$1</f>
        <v>23050</v>
      </c>
    </row>
    <row r="28" spans="18:29" x14ac:dyDescent="0.25">
      <c r="R28" s="1319" t="s">
        <v>265</v>
      </c>
      <c r="S28" s="1322">
        <f>$AB$1</f>
        <v>0</v>
      </c>
      <c r="T28" s="687"/>
      <c r="U28" s="687"/>
    </row>
    <row r="29" spans="18:29" x14ac:dyDescent="0.25">
      <c r="R29" s="1319" t="s">
        <v>257</v>
      </c>
      <c r="S29" s="1323">
        <f>S27+S28</f>
        <v>23050</v>
      </c>
      <c r="U29" s="687"/>
    </row>
    <row r="30" spans="18:29" x14ac:dyDescent="0.25">
      <c r="R30" s="1296"/>
      <c r="T30" s="690"/>
      <c r="U30" s="687"/>
    </row>
    <row r="31" spans="18:29" ht="15.75" thickBot="1" x14ac:dyDescent="0.3">
      <c r="R31" s="1296"/>
    </row>
    <row r="32" spans="18:29" ht="15.75" thickBot="1" x14ac:dyDescent="0.3">
      <c r="R32" s="909" t="s">
        <v>249</v>
      </c>
      <c r="S32" s="689">
        <f>SUM(L5:L9)</f>
        <v>23.65962981481481</v>
      </c>
      <c r="U32" s="542"/>
    </row>
    <row r="50" spans="2:8" x14ac:dyDescent="0.25">
      <c r="B50" s="1324"/>
      <c r="C50" s="1325" t="s">
        <v>233</v>
      </c>
      <c r="D50" s="1324" t="s">
        <v>279</v>
      </c>
      <c r="E50" s="1296"/>
      <c r="F50" s="1296"/>
      <c r="H50" s="1296"/>
    </row>
    <row r="51" spans="2:8" x14ac:dyDescent="0.25">
      <c r="B51" s="1027" t="s">
        <v>283</v>
      </c>
      <c r="C51" s="1028">
        <f>10/$K$1</f>
        <v>3.3333333333333335</v>
      </c>
      <c r="D51" s="1029">
        <f>$C$1*10</f>
        <v>10000</v>
      </c>
      <c r="E51" s="1296"/>
      <c r="F51" s="1296"/>
      <c r="H51" s="1296"/>
    </row>
    <row r="52" spans="2:8" x14ac:dyDescent="0.25">
      <c r="B52" s="1324" t="s">
        <v>257</v>
      </c>
      <c r="C52" s="1326">
        <f>G1</f>
        <v>23.05</v>
      </c>
      <c r="D52" s="1327">
        <f>E1</f>
        <v>23050</v>
      </c>
      <c r="E52" s="1296"/>
      <c r="F52" s="1296"/>
      <c r="H52" s="1296"/>
    </row>
    <row r="53" spans="2:8" x14ac:dyDescent="0.25">
      <c r="B53" s="1324" t="s">
        <v>284</v>
      </c>
      <c r="C53" s="1328">
        <f>MIN($C$52, $C$51)</f>
        <v>3.3333333333333335</v>
      </c>
      <c r="D53" s="1329">
        <f>(C53*$K$1)*$C$1</f>
        <v>10000</v>
      </c>
      <c r="E53" s="1296"/>
      <c r="F53" s="1296"/>
      <c r="H53" s="1296"/>
    </row>
    <row r="54" spans="2:8" x14ac:dyDescent="0.25">
      <c r="B54" s="1324" t="s">
        <v>285</v>
      </c>
      <c r="C54" s="1328">
        <f>MIN(MAX($C$52-C53,0),$C$51)</f>
        <v>3.3333333333333335</v>
      </c>
      <c r="D54" s="1329">
        <f>(C54*$K$1)*$C$1</f>
        <v>10000</v>
      </c>
      <c r="E54" s="1296"/>
      <c r="F54" s="1296"/>
      <c r="H54" s="1296"/>
    </row>
    <row r="55" spans="2:8" x14ac:dyDescent="0.25">
      <c r="B55" s="1324" t="s">
        <v>286</v>
      </c>
      <c r="C55" s="1328">
        <f>MIN(MAX($C$52-C53-C54,0),$C$51)</f>
        <v>3.3333333333333335</v>
      </c>
      <c r="D55" s="1329">
        <f>(C55*$K$1)*$C$1</f>
        <v>10000</v>
      </c>
      <c r="E55" s="1296"/>
      <c r="F55" s="1296"/>
      <c r="H55" s="1296"/>
    </row>
    <row r="56" spans="2:8" x14ac:dyDescent="0.25">
      <c r="B56" s="1324" t="s">
        <v>293</v>
      </c>
      <c r="C56" s="1328">
        <f>MIN(MAX($C$52-C53-C54-C55,0),$C$51)</f>
        <v>3.3333333333333335</v>
      </c>
      <c r="D56" s="1330">
        <f>C56*$K$1</f>
        <v>10</v>
      </c>
      <c r="E56" s="1296"/>
      <c r="F56" s="1296"/>
      <c r="H56" s="1296"/>
    </row>
    <row r="57" spans="2:8" x14ac:dyDescent="0.25">
      <c r="B57" s="1296"/>
      <c r="D57" s="1296"/>
      <c r="E57" s="1296"/>
      <c r="F57" s="1296"/>
      <c r="H57" s="1296"/>
    </row>
    <row r="58" spans="2:8" x14ac:dyDescent="0.25">
      <c r="B58" s="1296"/>
      <c r="D58" s="1296"/>
      <c r="E58" s="1296"/>
      <c r="F58" s="1296"/>
      <c r="H58" s="1296"/>
    </row>
    <row r="59" spans="2:8" x14ac:dyDescent="0.25">
      <c r="B59" s="1296"/>
      <c r="D59" s="1296"/>
      <c r="E59" s="1296"/>
      <c r="F59" s="1296"/>
      <c r="H59" s="1296"/>
    </row>
    <row r="60" spans="2:8" x14ac:dyDescent="0.25">
      <c r="B60" s="1296"/>
      <c r="D60" s="1296"/>
      <c r="E60" s="1296"/>
      <c r="F60" s="1296"/>
      <c r="H60" s="1296"/>
    </row>
    <row r="61" spans="2:8" x14ac:dyDescent="0.25">
      <c r="B61" s="1296"/>
      <c r="D61" s="1296"/>
      <c r="E61" s="1296"/>
      <c r="F61" s="1296"/>
      <c r="H61" s="1296"/>
    </row>
    <row r="62" spans="2:8" x14ac:dyDescent="0.25">
      <c r="B62" s="1776" t="s">
        <v>749</v>
      </c>
      <c r="C62" s="1777"/>
      <c r="D62" s="1778"/>
      <c r="E62" s="1778"/>
      <c r="F62" s="1778"/>
      <c r="G62" s="1777"/>
      <c r="H62" s="1778"/>
    </row>
    <row r="63" spans="2:8" x14ac:dyDescent="0.25">
      <c r="B63" s="1776" t="s">
        <v>750</v>
      </c>
      <c r="C63" s="1777"/>
      <c r="D63" s="1778"/>
      <c r="E63" s="1778"/>
      <c r="F63" s="1778"/>
      <c r="G63" s="1777"/>
      <c r="H63" s="1778"/>
    </row>
    <row r="64" spans="2:8" ht="38.25" x14ac:dyDescent="0.25">
      <c r="B64" s="1104" t="s">
        <v>241</v>
      </c>
      <c r="C64" s="934" t="s">
        <v>242</v>
      </c>
      <c r="D64" s="1104" t="s">
        <v>231</v>
      </c>
      <c r="E64" s="936" t="s">
        <v>234</v>
      </c>
      <c r="F64" s="936" t="s">
        <v>243</v>
      </c>
      <c r="G64" s="1104" t="s">
        <v>244</v>
      </c>
      <c r="H64" s="936" t="s">
        <v>245</v>
      </c>
    </row>
    <row r="65" spans="2:8" ht="30" x14ac:dyDescent="0.25">
      <c r="B65" s="1312" t="str">
        <f t="shared" ref="B65:D68" si="4">B6</f>
        <v>Pasta Spaghettini  - مكرونة اسباجيتي</v>
      </c>
      <c r="C65" s="1313" t="str">
        <f t="shared" si="4"/>
        <v>gm</v>
      </c>
      <c r="D65" s="1331">
        <f t="shared" si="4"/>
        <v>330</v>
      </c>
      <c r="E65" s="1317">
        <f>$C$52</f>
        <v>23.05</v>
      </c>
      <c r="F65" s="1316">
        <f>F6</f>
        <v>1</v>
      </c>
      <c r="G65" s="1317">
        <f>D65*E65</f>
        <v>7606.5</v>
      </c>
      <c r="H65" s="1318">
        <f>G65*F65</f>
        <v>7606.5</v>
      </c>
    </row>
    <row r="66" spans="2:8" x14ac:dyDescent="0.25">
      <c r="B66" s="1312" t="str">
        <f t="shared" si="4"/>
        <v>Water - ماء</v>
      </c>
      <c r="C66" s="1313" t="str">
        <f t="shared" si="4"/>
        <v>ml</v>
      </c>
      <c r="D66" s="1331">
        <f t="shared" si="4"/>
        <v>8000</v>
      </c>
      <c r="E66" s="1317">
        <f>$C$52</f>
        <v>23.05</v>
      </c>
      <c r="F66" s="1316">
        <f>F7</f>
        <v>1</v>
      </c>
      <c r="G66" s="1317">
        <f>D66*E66</f>
        <v>184400</v>
      </c>
      <c r="H66" s="1318">
        <f>G66*F66</f>
        <v>184400</v>
      </c>
    </row>
    <row r="67" spans="2:8" x14ac:dyDescent="0.25">
      <c r="B67" s="1312" t="str">
        <f t="shared" si="4"/>
        <v>Salt - ملح</v>
      </c>
      <c r="C67" s="1313" t="str">
        <f t="shared" si="4"/>
        <v>gm</v>
      </c>
      <c r="D67" s="1331">
        <f t="shared" si="4"/>
        <v>10</v>
      </c>
      <c r="E67" s="1317">
        <f>$C$52</f>
        <v>23.05</v>
      </c>
      <c r="F67" s="1316">
        <f>F8</f>
        <v>1</v>
      </c>
      <c r="G67" s="1317">
        <f>D67*E67</f>
        <v>230.5</v>
      </c>
      <c r="H67" s="1318">
        <f>G67*F67</f>
        <v>230.5</v>
      </c>
    </row>
    <row r="68" spans="2:8" x14ac:dyDescent="0.25">
      <c r="B68" s="1312" t="str">
        <f t="shared" si="4"/>
        <v>Olive Oil - زيت زيتون</v>
      </c>
      <c r="C68" s="1313" t="str">
        <f t="shared" si="4"/>
        <v>gm</v>
      </c>
      <c r="D68" s="1331">
        <f t="shared" si="4"/>
        <v>5</v>
      </c>
      <c r="E68" s="1317">
        <f>$C$52</f>
        <v>23.05</v>
      </c>
      <c r="F68" s="1316">
        <f>F9</f>
        <v>1</v>
      </c>
      <c r="G68" s="1317">
        <f>D68*E68</f>
        <v>115.25</v>
      </c>
      <c r="H68" s="1318">
        <f>G68*F68</f>
        <v>115.25</v>
      </c>
    </row>
    <row r="69" spans="2:8" ht="18" x14ac:dyDescent="0.25">
      <c r="B69" s="1041" t="s">
        <v>682</v>
      </c>
      <c r="C69" s="1171"/>
      <c r="D69" s="1043"/>
      <c r="E69" s="1173"/>
      <c r="F69" s="1043"/>
      <c r="G69" s="1171"/>
      <c r="H69" s="1173"/>
    </row>
    <row r="70" spans="2:8" ht="20.25" x14ac:dyDescent="0.3">
      <c r="B70" s="1047">
        <f>D52</f>
        <v>23050</v>
      </c>
      <c r="C70" s="1332"/>
      <c r="D70" s="1049"/>
      <c r="E70" s="1333"/>
      <c r="F70" s="1050"/>
      <c r="G70" s="1332"/>
      <c r="H70" s="1333"/>
    </row>
    <row r="71" spans="2:8" x14ac:dyDescent="0.25">
      <c r="B71" s="336"/>
      <c r="E71" s="336"/>
      <c r="F71" s="336"/>
    </row>
    <row r="72" spans="2:8" s="603" customFormat="1" ht="12.75" x14ac:dyDescent="0.2">
      <c r="B72" s="604"/>
      <c r="C72" s="604"/>
      <c r="D72" s="604"/>
      <c r="E72" s="604"/>
      <c r="F72" s="604"/>
      <c r="G72" s="604"/>
      <c r="H72" s="604"/>
    </row>
    <row r="73" spans="2:8" s="603" customFormat="1" ht="18" x14ac:dyDescent="0.2">
      <c r="B73" s="1819"/>
      <c r="C73" s="1820"/>
      <c r="D73" s="1820"/>
      <c r="E73" s="1820"/>
      <c r="F73" s="1820"/>
      <c r="G73" s="1820"/>
      <c r="H73" s="1820"/>
    </row>
    <row r="74" spans="2:8" s="603" customFormat="1" ht="18" x14ac:dyDescent="0.2">
      <c r="B74" s="1819"/>
      <c r="C74" s="1820"/>
      <c r="D74" s="1820"/>
      <c r="E74" s="1820"/>
      <c r="F74" s="1820"/>
      <c r="G74" s="1820"/>
      <c r="H74" s="1820"/>
    </row>
    <row r="84" spans="2:8" s="603" customFormat="1" ht="18" x14ac:dyDescent="0.2">
      <c r="B84" s="1819"/>
      <c r="C84" s="1820"/>
      <c r="D84" s="1820"/>
      <c r="E84" s="1820"/>
      <c r="F84" s="1820"/>
      <c r="G84" s="1820"/>
      <c r="H84" s="1820"/>
    </row>
    <row r="85" spans="2:8" s="603" customFormat="1" ht="18" x14ac:dyDescent="0.2">
      <c r="B85" s="1819"/>
      <c r="C85" s="1820"/>
      <c r="D85" s="1820"/>
      <c r="E85" s="1820"/>
      <c r="F85" s="1820"/>
      <c r="G85" s="1820"/>
      <c r="H85" s="1820"/>
    </row>
    <row r="86" spans="2:8" s="603" customFormat="1" ht="12.75" x14ac:dyDescent="0.2">
      <c r="B86" s="606"/>
      <c r="C86" s="607"/>
      <c r="D86" s="606"/>
      <c r="E86" s="606"/>
      <c r="F86" s="606"/>
      <c r="G86" s="606"/>
      <c r="H86" s="606"/>
    </row>
    <row r="87" spans="2:8" s="603" customFormat="1" x14ac:dyDescent="0.2">
      <c r="B87" s="608"/>
      <c r="C87" s="608"/>
      <c r="D87" s="608"/>
      <c r="E87" s="611"/>
      <c r="F87" s="612"/>
      <c r="G87" s="609"/>
      <c r="H87" s="610"/>
    </row>
    <row r="88" spans="2:8" s="603" customFormat="1" x14ac:dyDescent="0.2">
      <c r="B88" s="608"/>
      <c r="C88" s="608"/>
      <c r="D88" s="608"/>
      <c r="E88" s="611"/>
      <c r="F88" s="612"/>
      <c r="G88" s="609"/>
      <c r="H88" s="610"/>
    </row>
    <row r="89" spans="2:8" s="603" customFormat="1" x14ac:dyDescent="0.2">
      <c r="B89" s="608"/>
      <c r="C89" s="608"/>
      <c r="D89" s="608"/>
      <c r="E89" s="611"/>
      <c r="F89" s="612"/>
      <c r="G89" s="609"/>
      <c r="H89" s="610"/>
    </row>
    <row r="90" spans="2:8" s="603" customFormat="1" x14ac:dyDescent="0.2">
      <c r="B90" s="608"/>
      <c r="C90" s="608"/>
      <c r="D90" s="608"/>
      <c r="E90" s="611"/>
      <c r="F90" s="612"/>
      <c r="G90" s="609"/>
      <c r="H90" s="610"/>
    </row>
    <row r="91" spans="2:8" s="603" customFormat="1" ht="15.75" x14ac:dyDescent="0.2">
      <c r="B91" s="452"/>
      <c r="E91" s="604"/>
      <c r="F91" s="604"/>
    </row>
    <row r="92" spans="2:8" s="603" customFormat="1" ht="20.25" x14ac:dyDescent="0.3">
      <c r="B92" s="453"/>
    </row>
    <row r="93" spans="2:8" s="603" customFormat="1" ht="20.25" x14ac:dyDescent="0.3">
      <c r="B93" s="605"/>
    </row>
    <row r="94" spans="2:8" s="603" customFormat="1" ht="18" x14ac:dyDescent="0.2">
      <c r="B94" s="1819"/>
      <c r="C94" s="1820"/>
      <c r="D94" s="1820"/>
      <c r="E94" s="1820"/>
      <c r="F94" s="1820"/>
      <c r="G94" s="1820"/>
      <c r="H94" s="1820"/>
    </row>
    <row r="95" spans="2:8" s="603" customFormat="1" ht="18" x14ac:dyDescent="0.2">
      <c r="B95" s="1819"/>
      <c r="C95" s="1820"/>
      <c r="D95" s="1820"/>
      <c r="E95" s="1820"/>
      <c r="F95" s="1820"/>
      <c r="G95" s="1820"/>
      <c r="H95" s="1820"/>
    </row>
  </sheetData>
  <mergeCells count="10">
    <mergeCell ref="B94:H94"/>
    <mergeCell ref="B95:H95"/>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1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FF00"/>
    <pageSetUpPr fitToPage="1"/>
  </sheetPr>
  <dimension ref="A1:AG105"/>
  <sheetViews>
    <sheetView topLeftCell="A53" zoomScale="85" zoomScaleNormal="85" workbookViewId="0">
      <selection activeCell="B63" sqref="B63:H63"/>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3" width="12.625" style="14" customWidth="1"/>
    <col min="14" max="17" width="5" style="14" customWidth="1"/>
    <col min="18" max="18" width="25.875" style="14" customWidth="1"/>
    <col min="19" max="19" width="18.625" style="14" customWidth="1"/>
    <col min="20" max="20" width="12.625" style="14" customWidth="1"/>
    <col min="21" max="24" width="12.5" style="14"/>
    <col min="25" max="30" width="8.625" style="14" customWidth="1"/>
    <col min="31" max="16384" width="12.5" style="14"/>
  </cols>
  <sheetData>
    <row r="1" spans="1:33" x14ac:dyDescent="0.25">
      <c r="B1" s="913" t="s">
        <v>231</v>
      </c>
      <c r="C1" s="914">
        <v>1000</v>
      </c>
      <c r="D1" s="915" t="s">
        <v>232</v>
      </c>
      <c r="E1" s="941">
        <f>S30</f>
        <v>8700</v>
      </c>
      <c r="F1" s="913" t="s">
        <v>233</v>
      </c>
      <c r="G1" s="941">
        <f>E1/C1</f>
        <v>8.6999999999999993</v>
      </c>
      <c r="H1" s="913" t="s">
        <v>234</v>
      </c>
      <c r="I1" s="941">
        <f>G1/K1</f>
        <v>8.6999999999999993</v>
      </c>
      <c r="J1" s="913" t="s">
        <v>235</v>
      </c>
      <c r="K1" s="1208">
        <v>1</v>
      </c>
      <c r="L1" s="80"/>
      <c r="M1" s="80" t="s">
        <v>339</v>
      </c>
      <c r="N1" s="80"/>
      <c r="O1" s="80"/>
      <c r="P1" s="80"/>
      <c r="Q1" s="80"/>
      <c r="R1" s="80"/>
      <c r="S1" s="80"/>
      <c r="T1" s="80"/>
      <c r="U1" s="80"/>
      <c r="V1" s="80"/>
      <c r="Y1" s="923" t="s">
        <v>444</v>
      </c>
      <c r="Z1" s="925">
        <v>8700</v>
      </c>
      <c r="AA1" s="923" t="s">
        <v>544</v>
      </c>
      <c r="AB1" s="925">
        <v>0</v>
      </c>
      <c r="AC1" s="923" t="s">
        <v>537</v>
      </c>
      <c r="AD1" s="925">
        <v>58</v>
      </c>
    </row>
    <row r="2" spans="1:33" x14ac:dyDescent="0.25">
      <c r="A2" s="863"/>
      <c r="B2" s="1784" t="s">
        <v>340</v>
      </c>
      <c r="C2" s="1787"/>
      <c r="D2" s="1788"/>
      <c r="E2" s="1788"/>
      <c r="F2" s="1788"/>
      <c r="G2" s="1787"/>
      <c r="H2" s="1788"/>
      <c r="I2" s="1208"/>
      <c r="J2" s="1208"/>
      <c r="K2" s="1208"/>
      <c r="L2" s="80"/>
      <c r="M2" s="80"/>
      <c r="N2" s="80"/>
      <c r="O2" s="80"/>
      <c r="P2" s="80"/>
      <c r="Q2" s="80"/>
      <c r="R2" s="80"/>
      <c r="S2" s="80"/>
      <c r="T2" s="80"/>
      <c r="U2" s="80"/>
      <c r="AE2" s="1821"/>
      <c r="AF2" s="1799"/>
      <c r="AG2" s="1799"/>
    </row>
    <row r="3" spans="1:33" x14ac:dyDescent="0.25">
      <c r="A3" s="863"/>
      <c r="B3" s="1785"/>
      <c r="C3" s="1796"/>
      <c r="D3" s="1785"/>
      <c r="E3" s="1785"/>
      <c r="F3" s="1785"/>
      <c r="G3" s="1796"/>
      <c r="H3" s="1785"/>
      <c r="K3" s="890"/>
      <c r="N3" s="80"/>
      <c r="O3" s="80"/>
      <c r="P3" s="80"/>
      <c r="Q3" s="80"/>
      <c r="R3" s="80"/>
      <c r="S3" s="80"/>
      <c r="T3" s="80"/>
      <c r="U3" s="80"/>
      <c r="AE3" s="1799"/>
      <c r="AF3" s="1799"/>
      <c r="AG3" s="1799"/>
    </row>
    <row r="4" spans="1:33" ht="25.5" x14ac:dyDescent="0.2">
      <c r="A4" s="933"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Q4" s="80"/>
      <c r="R4" s="80"/>
    </row>
    <row r="5" spans="1:33" x14ac:dyDescent="0.2">
      <c r="A5" s="876"/>
      <c r="B5" s="1288"/>
      <c r="C5" s="1289"/>
      <c r="D5" s="1290"/>
      <c r="E5" s="1291"/>
      <c r="F5" s="1290"/>
      <c r="G5" s="1290"/>
      <c r="H5" s="1334"/>
      <c r="I5" s="1195"/>
      <c r="J5" s="1198"/>
      <c r="K5" s="1200"/>
      <c r="L5" s="1200"/>
      <c r="R5" s="890"/>
    </row>
    <row r="6" spans="1:33" x14ac:dyDescent="0.25">
      <c r="B6" s="1130" t="s">
        <v>19</v>
      </c>
      <c r="C6" s="947" t="s">
        <v>14</v>
      </c>
      <c r="D6" s="1335">
        <v>450</v>
      </c>
      <c r="E6" s="940">
        <f t="shared" ref="E6:E14" si="0">$I$1</f>
        <v>8.6999999999999993</v>
      </c>
      <c r="F6" s="948">
        <v>1</v>
      </c>
      <c r="G6" s="940">
        <f t="shared" ref="G6:G14" si="1">D6*E6</f>
        <v>3914.9999999999995</v>
      </c>
      <c r="H6" s="943">
        <f t="shared" ref="H6:H14" si="2">G6*F6</f>
        <v>3914.9999999999995</v>
      </c>
      <c r="I6" s="914">
        <f>VLOOKUP(B6,All_Ingredients!$A$1:$F$161,6,FALSE())</f>
        <v>0.8</v>
      </c>
      <c r="J6" s="940">
        <f>VLOOKUP(B6,All_Ingredients!$A$1:$J$161,10,FALSE())</f>
        <v>2.6</v>
      </c>
      <c r="K6" s="945">
        <f t="shared" ref="K6" si="3">(H6/I6)/1000</f>
        <v>4.8937499999999989</v>
      </c>
      <c r="L6" s="945">
        <f t="shared" ref="L6" si="4">K6*J6</f>
        <v>12.723749999999997</v>
      </c>
      <c r="R6" s="890"/>
    </row>
    <row r="7" spans="1:33" x14ac:dyDescent="0.25">
      <c r="B7" s="1130" t="s">
        <v>47</v>
      </c>
      <c r="C7" s="947" t="s">
        <v>14</v>
      </c>
      <c r="D7" s="1335">
        <v>450</v>
      </c>
      <c r="E7" s="940">
        <f t="shared" si="0"/>
        <v>8.6999999999999993</v>
      </c>
      <c r="F7" s="948">
        <v>1</v>
      </c>
      <c r="G7" s="940">
        <f t="shared" si="1"/>
        <v>3914.9999999999995</v>
      </c>
      <c r="H7" s="943">
        <f t="shared" si="2"/>
        <v>3914.9999999999995</v>
      </c>
      <c r="I7" s="914">
        <f>VLOOKUP(B7,All_Ingredients!$A$1:$F$161,6,FALSE())</f>
        <v>0.78</v>
      </c>
      <c r="J7" s="940">
        <f>VLOOKUP(B7,All_Ingredients!$A$1:$J$161,10,FALSE())</f>
        <v>3.7</v>
      </c>
      <c r="K7" s="945">
        <f t="shared" ref="K7:K14" si="5">(H7/I7)/1000</f>
        <v>5.0192307692307683</v>
      </c>
      <c r="L7" s="945">
        <f t="shared" ref="L7:L14" si="6">K7*J7</f>
        <v>18.571153846153845</v>
      </c>
      <c r="R7" s="890"/>
    </row>
    <row r="8" spans="1:33" x14ac:dyDescent="0.25">
      <c r="B8" s="1130" t="s">
        <v>28</v>
      </c>
      <c r="C8" s="947" t="s">
        <v>14</v>
      </c>
      <c r="D8" s="1335">
        <v>80</v>
      </c>
      <c r="E8" s="940">
        <f t="shared" si="0"/>
        <v>8.6999999999999993</v>
      </c>
      <c r="F8" s="948">
        <v>1</v>
      </c>
      <c r="G8" s="940">
        <f t="shared" si="1"/>
        <v>696</v>
      </c>
      <c r="H8" s="943">
        <f t="shared" si="2"/>
        <v>696</v>
      </c>
      <c r="I8" s="914">
        <f>VLOOKUP(B8,All_Ingredients!$A$1:$F$161,6,FALSE())</f>
        <v>0.73</v>
      </c>
      <c r="J8" s="940">
        <f>VLOOKUP(B8,All_Ingredients!$A$1:$J$161,10,FALSE())</f>
        <v>8.5</v>
      </c>
      <c r="K8" s="945">
        <f t="shared" si="5"/>
        <v>0.95342465753424666</v>
      </c>
      <c r="L8" s="945">
        <f t="shared" si="6"/>
        <v>8.1041095890410961</v>
      </c>
      <c r="R8" s="890"/>
    </row>
    <row r="9" spans="1:33" x14ac:dyDescent="0.25">
      <c r="B9" s="1130" t="s">
        <v>30</v>
      </c>
      <c r="C9" s="947" t="s">
        <v>14</v>
      </c>
      <c r="D9" s="1335">
        <v>80</v>
      </c>
      <c r="E9" s="940">
        <f t="shared" si="0"/>
        <v>8.6999999999999993</v>
      </c>
      <c r="F9" s="948">
        <v>1</v>
      </c>
      <c r="G9" s="940">
        <f t="shared" si="1"/>
        <v>696</v>
      </c>
      <c r="H9" s="943">
        <f t="shared" si="2"/>
        <v>696</v>
      </c>
      <c r="I9" s="914">
        <f>VLOOKUP(B9,All_Ingredients!$A$1:$F$161,6,FALSE())</f>
        <v>0.71</v>
      </c>
      <c r="J9" s="940">
        <f>VLOOKUP(B9,All_Ingredients!$A$1:$J$161,10,FALSE())</f>
        <v>8.5</v>
      </c>
      <c r="K9" s="945">
        <f t="shared" si="5"/>
        <v>0.98028169014084521</v>
      </c>
      <c r="L9" s="945">
        <f t="shared" si="6"/>
        <v>8.3323943661971835</v>
      </c>
      <c r="R9" s="890"/>
      <c r="S9" s="80"/>
      <c r="T9" s="80"/>
    </row>
    <row r="10" spans="1:33" ht="28.5" x14ac:dyDescent="0.25">
      <c r="B10" s="1130" t="s">
        <v>32</v>
      </c>
      <c r="C10" s="947" t="s">
        <v>14</v>
      </c>
      <c r="D10" s="1335">
        <v>80</v>
      </c>
      <c r="E10" s="940">
        <f t="shared" si="0"/>
        <v>8.6999999999999993</v>
      </c>
      <c r="F10" s="948">
        <v>1</v>
      </c>
      <c r="G10" s="940">
        <f t="shared" si="1"/>
        <v>696</v>
      </c>
      <c r="H10" s="943">
        <f t="shared" si="2"/>
        <v>696</v>
      </c>
      <c r="I10" s="914">
        <f>VLOOKUP(B10,All_Ingredients!$A$1:$F$161,6,FALSE())</f>
        <v>0.69</v>
      </c>
      <c r="J10" s="940">
        <f>VLOOKUP(B10,All_Ingredients!$A$1:$J$161,10,FALSE())</f>
        <v>4</v>
      </c>
      <c r="K10" s="945">
        <f t="shared" si="5"/>
        <v>1.0086956521739132</v>
      </c>
      <c r="L10" s="945">
        <f t="shared" si="6"/>
        <v>4.0347826086956529</v>
      </c>
      <c r="R10" s="890"/>
      <c r="S10" s="80"/>
      <c r="T10" s="80"/>
    </row>
    <row r="11" spans="1:33" x14ac:dyDescent="0.25">
      <c r="B11" s="1130" t="s">
        <v>50</v>
      </c>
      <c r="C11" s="947" t="s">
        <v>14</v>
      </c>
      <c r="D11" s="1335">
        <v>80</v>
      </c>
      <c r="E11" s="940">
        <f t="shared" si="0"/>
        <v>8.6999999999999993</v>
      </c>
      <c r="F11" s="948">
        <v>1</v>
      </c>
      <c r="G11" s="940">
        <f t="shared" si="1"/>
        <v>696</v>
      </c>
      <c r="H11" s="943">
        <f t="shared" si="2"/>
        <v>696</v>
      </c>
      <c r="I11" s="914">
        <f>VLOOKUP(B11,All_Ingredients!$A$1:$F$161,6,FALSE())</f>
        <v>0.75</v>
      </c>
      <c r="J11" s="940">
        <f>VLOOKUP(B11,All_Ingredients!$A$1:$J$161,10,FALSE())</f>
        <v>20</v>
      </c>
      <c r="K11" s="945">
        <f t="shared" si="5"/>
        <v>0.92800000000000005</v>
      </c>
      <c r="L11" s="945">
        <f t="shared" si="6"/>
        <v>18.560000000000002</v>
      </c>
      <c r="M11" s="80"/>
      <c r="R11" s="890"/>
      <c r="S11" s="80"/>
      <c r="T11" s="80"/>
    </row>
    <row r="12" spans="1:33" x14ac:dyDescent="0.25">
      <c r="B12" s="1130" t="s">
        <v>516</v>
      </c>
      <c r="C12" s="947" t="s">
        <v>14</v>
      </c>
      <c r="D12" s="1335">
        <v>80</v>
      </c>
      <c r="E12" s="940">
        <f t="shared" si="0"/>
        <v>8.6999999999999993</v>
      </c>
      <c r="F12" s="948">
        <v>1</v>
      </c>
      <c r="G12" s="940">
        <f t="shared" si="1"/>
        <v>696</v>
      </c>
      <c r="H12" s="943">
        <f t="shared" si="2"/>
        <v>696</v>
      </c>
      <c r="I12" s="914">
        <f>VLOOKUP(B12,All_Ingredients!$A$1:$F$161,6,FALSE())</f>
        <v>1</v>
      </c>
      <c r="J12" s="940">
        <f>VLOOKUP(B12,All_Ingredients!$A$1:$J$161,10,FALSE())</f>
        <v>10.196078431372548</v>
      </c>
      <c r="K12" s="945">
        <f t="shared" si="5"/>
        <v>0.69599999999999995</v>
      </c>
      <c r="L12" s="945">
        <f t="shared" si="6"/>
        <v>7.0964705882352934</v>
      </c>
      <c r="R12" s="890"/>
      <c r="S12" s="80"/>
      <c r="T12" s="80"/>
      <c r="U12" s="80"/>
      <c r="V12" s="80"/>
      <c r="W12" s="80"/>
    </row>
    <row r="13" spans="1:33" x14ac:dyDescent="0.25">
      <c r="B13" s="1130" t="s">
        <v>93</v>
      </c>
      <c r="C13" s="947" t="s">
        <v>14</v>
      </c>
      <c r="D13" s="940">
        <v>4</v>
      </c>
      <c r="E13" s="940">
        <f t="shared" si="0"/>
        <v>8.6999999999999993</v>
      </c>
      <c r="F13" s="948">
        <v>0.75</v>
      </c>
      <c r="G13" s="940">
        <f t="shared" si="1"/>
        <v>34.799999999999997</v>
      </c>
      <c r="H13" s="943">
        <f t="shared" si="2"/>
        <v>26.099999999999998</v>
      </c>
      <c r="I13" s="914">
        <f>VLOOKUP(B13,All_Ingredients!$A$1:$F$161,6,FALSE())</f>
        <v>1</v>
      </c>
      <c r="J13" s="940">
        <f>VLOOKUP(B13,All_Ingredients!$A$1:$J$161,10,FALSE())</f>
        <v>0.74</v>
      </c>
      <c r="K13" s="945">
        <f t="shared" si="5"/>
        <v>2.6099999999999998E-2</v>
      </c>
      <c r="L13" s="945">
        <f t="shared" si="6"/>
        <v>1.9313999999999998E-2</v>
      </c>
      <c r="R13" s="890"/>
      <c r="S13" s="80"/>
      <c r="T13" s="80"/>
    </row>
    <row r="14" spans="1:33" ht="28.5" x14ac:dyDescent="0.25">
      <c r="B14" s="1130" t="s">
        <v>99</v>
      </c>
      <c r="C14" s="947" t="s">
        <v>14</v>
      </c>
      <c r="D14" s="1040">
        <v>0.5</v>
      </c>
      <c r="E14" s="940">
        <f t="shared" si="0"/>
        <v>8.6999999999999993</v>
      </c>
      <c r="F14" s="948">
        <v>1</v>
      </c>
      <c r="G14" s="940">
        <f t="shared" si="1"/>
        <v>4.3499999999999996</v>
      </c>
      <c r="H14" s="943">
        <f t="shared" si="2"/>
        <v>4.3499999999999996</v>
      </c>
      <c r="I14" s="914">
        <f>VLOOKUP(B14,All_Ingredients!$A$1:$F$161,6,FALSE())</f>
        <v>1</v>
      </c>
      <c r="J14" s="940">
        <f>VLOOKUP(B14,All_Ingredients!$A$1:$J$161,10,FALSE())</f>
        <v>31</v>
      </c>
      <c r="K14" s="945">
        <f t="shared" si="5"/>
        <v>4.3499999999999997E-3</v>
      </c>
      <c r="L14" s="945">
        <f t="shared" si="6"/>
        <v>0.13485</v>
      </c>
      <c r="R14" s="890"/>
      <c r="S14" s="80"/>
      <c r="T14" s="80"/>
    </row>
    <row r="25" spans="18:29" x14ac:dyDescent="0.25">
      <c r="R25" s="1792" t="s">
        <v>341</v>
      </c>
      <c r="S25" s="1787"/>
      <c r="T25" s="1787"/>
      <c r="Z25" s="982" t="s">
        <v>14</v>
      </c>
      <c r="AA25" s="989">
        <v>1</v>
      </c>
      <c r="AB25" s="982" t="s">
        <v>249</v>
      </c>
      <c r="AC25" s="985">
        <f>(S33/S30)*AA25</f>
        <v>8.9168764365888577E-3</v>
      </c>
    </row>
    <row r="26" spans="18:29" x14ac:dyDescent="0.25">
      <c r="R26" s="1792" t="s">
        <v>337</v>
      </c>
      <c r="S26" s="1787"/>
      <c r="T26" s="1787"/>
    </row>
    <row r="27" spans="18:29" x14ac:dyDescent="0.25">
      <c r="R27" s="961" t="s">
        <v>254</v>
      </c>
      <c r="S27" s="962" t="s">
        <v>338</v>
      </c>
      <c r="T27" s="962" t="s">
        <v>257</v>
      </c>
    </row>
    <row r="28" spans="18:29" x14ac:dyDescent="0.25">
      <c r="R28" s="961" t="s">
        <v>263</v>
      </c>
      <c r="S28" s="963">
        <f>T28</f>
        <v>8700</v>
      </c>
      <c r="T28" s="965">
        <f>$Z$1</f>
        <v>8700</v>
      </c>
      <c r="U28" s="685"/>
    </row>
    <row r="29" spans="18:29" x14ac:dyDescent="0.25">
      <c r="R29" s="961" t="s">
        <v>265</v>
      </c>
      <c r="S29" s="965">
        <f>$AB$1</f>
        <v>0</v>
      </c>
      <c r="T29" s="974">
        <f>S29</f>
        <v>0</v>
      </c>
      <c r="U29" s="685"/>
    </row>
    <row r="30" spans="18:29" x14ac:dyDescent="0.25">
      <c r="R30" s="961" t="s">
        <v>257</v>
      </c>
      <c r="S30" s="1293">
        <f>SUM(S28:S29)</f>
        <v>8700</v>
      </c>
      <c r="T30" s="1293">
        <f>S30</f>
        <v>8700</v>
      </c>
      <c r="U30" s="685"/>
    </row>
    <row r="33" spans="18:20" ht="15.75" thickBot="1" x14ac:dyDescent="0.3">
      <c r="R33" s="909" t="s">
        <v>249</v>
      </c>
      <c r="S33" s="548">
        <f>SUM(L6:L14)</f>
        <v>77.576824998323062</v>
      </c>
      <c r="T33" s="594">
        <f>S33</f>
        <v>77.576824998323062</v>
      </c>
    </row>
    <row r="50" spans="1:11" x14ac:dyDescent="0.25">
      <c r="B50" s="958"/>
      <c r="C50" s="1076" t="s">
        <v>233</v>
      </c>
      <c r="D50" s="958" t="s">
        <v>279</v>
      </c>
      <c r="E50" s="80"/>
      <c r="F50" s="80"/>
      <c r="H50" s="890"/>
      <c r="K50" s="890"/>
    </row>
    <row r="51" spans="1:11" x14ac:dyDescent="0.25">
      <c r="B51" s="1027" t="s">
        <v>283</v>
      </c>
      <c r="C51" s="1028">
        <f>10/$K$1</f>
        <v>10</v>
      </c>
      <c r="D51" s="1029">
        <f>$C$1*10</f>
        <v>10000</v>
      </c>
      <c r="E51" s="80"/>
      <c r="F51" s="80"/>
      <c r="H51" s="890"/>
      <c r="K51" s="890"/>
    </row>
    <row r="52" spans="1:11" x14ac:dyDescent="0.25">
      <c r="B52" s="958" t="s">
        <v>257</v>
      </c>
      <c r="C52" s="1243">
        <f>G1</f>
        <v>8.6999999999999993</v>
      </c>
      <c r="D52" s="1100">
        <f>E1</f>
        <v>8700</v>
      </c>
      <c r="E52" s="80"/>
      <c r="F52" s="80"/>
      <c r="H52" s="890"/>
      <c r="K52" s="890"/>
    </row>
    <row r="53" spans="1:11" x14ac:dyDescent="0.25">
      <c r="B53" s="958" t="s">
        <v>284</v>
      </c>
      <c r="C53" s="1101">
        <f>MIN($C$52, $C$51)</f>
        <v>8.6999999999999993</v>
      </c>
      <c r="D53" s="1100">
        <f>(C53*$K$1)*$C$1</f>
        <v>8700</v>
      </c>
      <c r="E53" s="80"/>
      <c r="F53" s="80"/>
      <c r="H53" s="890"/>
      <c r="K53" s="890"/>
    </row>
    <row r="54" spans="1:11" x14ac:dyDescent="0.25">
      <c r="B54" s="958" t="s">
        <v>285</v>
      </c>
      <c r="C54" s="1101">
        <f>MIN(MAX($C$52-C53,0),$C$51)</f>
        <v>0</v>
      </c>
      <c r="D54" s="1100">
        <f>(C54*$K$1)*$C$1</f>
        <v>0</v>
      </c>
      <c r="E54" s="80"/>
      <c r="F54" s="80"/>
      <c r="H54" s="890"/>
      <c r="K54" s="890"/>
    </row>
    <row r="55" spans="1:11" x14ac:dyDescent="0.25">
      <c r="B55" s="958" t="s">
        <v>286</v>
      </c>
      <c r="C55" s="1101">
        <f>MIN(MAX($C$52-C53-C54,0),$C$51)</f>
        <v>0</v>
      </c>
      <c r="D55" s="1100">
        <f>(C55*$K$1)*$C$1</f>
        <v>0</v>
      </c>
      <c r="E55" s="80"/>
      <c r="F55" s="80"/>
      <c r="H55" s="890"/>
      <c r="K55" s="890"/>
    </row>
    <row r="56" spans="1:11" x14ac:dyDescent="0.25">
      <c r="B56" s="80"/>
      <c r="D56" s="890"/>
      <c r="E56" s="80"/>
      <c r="F56" s="80"/>
      <c r="H56" s="890"/>
      <c r="K56" s="890"/>
    </row>
    <row r="57" spans="1:11" x14ac:dyDescent="0.25">
      <c r="B57" s="80"/>
      <c r="D57" s="890"/>
      <c r="E57" s="80"/>
      <c r="F57" s="80"/>
      <c r="H57" s="890"/>
      <c r="K57" s="890"/>
    </row>
    <row r="58" spans="1:11" x14ac:dyDescent="0.25">
      <c r="B58" s="80"/>
      <c r="D58" s="890"/>
      <c r="E58" s="80"/>
      <c r="F58" s="80"/>
      <c r="H58" s="890"/>
      <c r="K58" s="890"/>
    </row>
    <row r="59" spans="1:11" x14ac:dyDescent="0.25">
      <c r="B59" s="80"/>
      <c r="D59" s="890"/>
      <c r="E59" s="80"/>
      <c r="F59" s="80"/>
      <c r="H59" s="890"/>
      <c r="K59" s="890"/>
    </row>
    <row r="60" spans="1:11" x14ac:dyDescent="0.25">
      <c r="B60" s="80"/>
      <c r="D60" s="890"/>
      <c r="E60" s="80"/>
      <c r="F60" s="80"/>
      <c r="H60" s="890"/>
      <c r="K60" s="890"/>
    </row>
    <row r="61" spans="1:11" x14ac:dyDescent="0.25">
      <c r="B61" s="890"/>
      <c r="D61" s="890"/>
      <c r="E61" s="890"/>
      <c r="F61" s="890"/>
      <c r="H61" s="890"/>
      <c r="K61" s="890"/>
    </row>
    <row r="62" spans="1:11" x14ac:dyDescent="0.25">
      <c r="A62" s="867"/>
      <c r="B62" s="1776" t="s">
        <v>761</v>
      </c>
      <c r="C62" s="1777"/>
      <c r="D62" s="1778"/>
      <c r="E62" s="1778"/>
      <c r="F62" s="1778"/>
      <c r="G62" s="1777"/>
      <c r="H62" s="1778"/>
      <c r="K62" s="890"/>
    </row>
    <row r="63" spans="1:11" x14ac:dyDescent="0.25">
      <c r="A63" s="867"/>
      <c r="B63" s="1776" t="s">
        <v>340</v>
      </c>
      <c r="C63" s="1777"/>
      <c r="D63" s="1778"/>
      <c r="E63" s="1778"/>
      <c r="F63" s="1778"/>
      <c r="G63" s="1777"/>
      <c r="H63" s="1778"/>
      <c r="K63" s="890"/>
    </row>
    <row r="64" spans="1:11" ht="38.25" x14ac:dyDescent="0.2">
      <c r="A64" s="889"/>
      <c r="B64" s="1104" t="s">
        <v>241</v>
      </c>
      <c r="C64" s="934" t="s">
        <v>242</v>
      </c>
      <c r="D64" s="1104" t="s">
        <v>231</v>
      </c>
      <c r="E64" s="936" t="s">
        <v>234</v>
      </c>
      <c r="F64" s="936" t="s">
        <v>243</v>
      </c>
      <c r="G64" s="1104" t="s">
        <v>244</v>
      </c>
      <c r="H64" s="936" t="s">
        <v>245</v>
      </c>
      <c r="K64" s="890"/>
    </row>
    <row r="65" spans="1:11" x14ac:dyDescent="0.25">
      <c r="B65" s="1130" t="str">
        <f t="shared" ref="B65:D73" si="7">B6</f>
        <v>Carrot - جزر</v>
      </c>
      <c r="C65" s="947" t="str">
        <f t="shared" si="7"/>
        <v>gm</v>
      </c>
      <c r="D65" s="940">
        <f t="shared" si="7"/>
        <v>450</v>
      </c>
      <c r="E65" s="940">
        <f>$C$52</f>
        <v>8.6999999999999993</v>
      </c>
      <c r="F65" s="948">
        <f t="shared" ref="F65:F73" si="8">F6</f>
        <v>1</v>
      </c>
      <c r="G65" s="940">
        <f t="shared" ref="G65:G73" si="9">D65*E65</f>
        <v>3914.9999999999995</v>
      </c>
      <c r="H65" s="943">
        <f t="shared" ref="H65:H73" si="10">G65*F65</f>
        <v>3914.9999999999995</v>
      </c>
      <c r="K65" s="890"/>
    </row>
    <row r="66" spans="1:11" x14ac:dyDescent="0.25">
      <c r="B66" s="1130" t="str">
        <f t="shared" si="7"/>
        <v>Zucchini - كوسة</v>
      </c>
      <c r="C66" s="947" t="str">
        <f t="shared" si="7"/>
        <v>gm</v>
      </c>
      <c r="D66" s="940">
        <f t="shared" si="7"/>
        <v>450</v>
      </c>
      <c r="E66" s="940">
        <f t="shared" ref="E66:E73" si="11">$C$52</f>
        <v>8.6999999999999993</v>
      </c>
      <c r="F66" s="948">
        <f t="shared" si="8"/>
        <v>1</v>
      </c>
      <c r="G66" s="940">
        <f t="shared" si="9"/>
        <v>3914.9999999999995</v>
      </c>
      <c r="H66" s="943">
        <f t="shared" si="10"/>
        <v>3914.9999999999995</v>
      </c>
      <c r="K66" s="890"/>
    </row>
    <row r="67" spans="1:11" x14ac:dyDescent="0.25">
      <c r="B67" s="1130" t="str">
        <f t="shared" si="7"/>
        <v xml:space="preserve">Red Bell Pepper - فلفل أحمر </v>
      </c>
      <c r="C67" s="947" t="str">
        <f t="shared" si="7"/>
        <v>gm</v>
      </c>
      <c r="D67" s="940">
        <f t="shared" si="7"/>
        <v>80</v>
      </c>
      <c r="E67" s="940">
        <f t="shared" si="11"/>
        <v>8.6999999999999993</v>
      </c>
      <c r="F67" s="948">
        <f t="shared" si="8"/>
        <v>1</v>
      </c>
      <c r="G67" s="940">
        <f t="shared" si="9"/>
        <v>696</v>
      </c>
      <c r="H67" s="943">
        <f t="shared" si="10"/>
        <v>696</v>
      </c>
      <c r="K67" s="890"/>
    </row>
    <row r="68" spans="1:11" x14ac:dyDescent="0.25">
      <c r="B68" s="1130" t="str">
        <f t="shared" si="7"/>
        <v xml:space="preserve">Yellow Bell Pepper - فلفل أصفر </v>
      </c>
      <c r="C68" s="947" t="str">
        <f t="shared" si="7"/>
        <v>gm</v>
      </c>
      <c r="D68" s="940">
        <f t="shared" si="7"/>
        <v>80</v>
      </c>
      <c r="E68" s="940">
        <f t="shared" si="11"/>
        <v>8.6999999999999993</v>
      </c>
      <c r="F68" s="948">
        <f t="shared" si="8"/>
        <v>1</v>
      </c>
      <c r="G68" s="940">
        <f t="shared" si="9"/>
        <v>696</v>
      </c>
      <c r="H68" s="943">
        <f t="shared" si="10"/>
        <v>696</v>
      </c>
      <c r="K68" s="890"/>
    </row>
    <row r="69" spans="1:11" ht="28.5" x14ac:dyDescent="0.25">
      <c r="B69" s="1130" t="str">
        <f t="shared" si="7"/>
        <v>Green Bell Pepper - فلفل أخضر رومى</v>
      </c>
      <c r="C69" s="947" t="str">
        <f t="shared" si="7"/>
        <v>gm</v>
      </c>
      <c r="D69" s="940">
        <f t="shared" si="7"/>
        <v>80</v>
      </c>
      <c r="E69" s="940">
        <f t="shared" si="11"/>
        <v>8.6999999999999993</v>
      </c>
      <c r="F69" s="948">
        <f t="shared" si="8"/>
        <v>1</v>
      </c>
      <c r="G69" s="940">
        <f t="shared" si="9"/>
        <v>696</v>
      </c>
      <c r="H69" s="943">
        <f t="shared" si="10"/>
        <v>696</v>
      </c>
      <c r="K69" s="890"/>
    </row>
    <row r="70" spans="1:11" x14ac:dyDescent="0.25">
      <c r="B70" s="1130" t="str">
        <f t="shared" si="7"/>
        <v>Chinese Cabbage - ملفوف صيني</v>
      </c>
      <c r="C70" s="947" t="str">
        <f t="shared" si="7"/>
        <v>gm</v>
      </c>
      <c r="D70" s="940">
        <f t="shared" si="7"/>
        <v>80</v>
      </c>
      <c r="E70" s="940">
        <f t="shared" si="11"/>
        <v>8.6999999999999993</v>
      </c>
      <c r="F70" s="948">
        <f t="shared" si="8"/>
        <v>1</v>
      </c>
      <c r="G70" s="940">
        <f t="shared" si="9"/>
        <v>696</v>
      </c>
      <c r="H70" s="943">
        <f t="shared" si="10"/>
        <v>696</v>
      </c>
      <c r="K70" s="890"/>
    </row>
    <row r="71" spans="1:11" x14ac:dyDescent="0.25">
      <c r="B71" s="1130" t="str">
        <f t="shared" si="7"/>
        <v>Sweet Corn - ذرة حلوة</v>
      </c>
      <c r="C71" s="947" t="str">
        <f t="shared" si="7"/>
        <v>gm</v>
      </c>
      <c r="D71" s="940">
        <f t="shared" si="7"/>
        <v>80</v>
      </c>
      <c r="E71" s="940">
        <f t="shared" si="11"/>
        <v>8.6999999999999993</v>
      </c>
      <c r="F71" s="948">
        <f t="shared" si="8"/>
        <v>1</v>
      </c>
      <c r="G71" s="940">
        <f t="shared" si="9"/>
        <v>696</v>
      </c>
      <c r="H71" s="943">
        <f t="shared" si="10"/>
        <v>696</v>
      </c>
      <c r="K71" s="890"/>
    </row>
    <row r="72" spans="1:11" x14ac:dyDescent="0.25">
      <c r="B72" s="1130" t="str">
        <f t="shared" si="7"/>
        <v>Salt - ملح</v>
      </c>
      <c r="C72" s="947" t="str">
        <f t="shared" si="7"/>
        <v>gm</v>
      </c>
      <c r="D72" s="940">
        <f t="shared" si="7"/>
        <v>4</v>
      </c>
      <c r="E72" s="940">
        <f t="shared" si="11"/>
        <v>8.6999999999999993</v>
      </c>
      <c r="F72" s="948">
        <f t="shared" si="8"/>
        <v>0.75</v>
      </c>
      <c r="G72" s="940">
        <f t="shared" si="9"/>
        <v>34.799999999999997</v>
      </c>
      <c r="H72" s="943">
        <f t="shared" si="10"/>
        <v>26.099999999999998</v>
      </c>
      <c r="K72" s="890"/>
    </row>
    <row r="73" spans="1:11" ht="28.5" x14ac:dyDescent="0.25">
      <c r="B73" s="1130" t="str">
        <f t="shared" si="7"/>
        <v>Black Pepper Powder - فلفل أسود مطحون</v>
      </c>
      <c r="C73" s="947" t="str">
        <f t="shared" si="7"/>
        <v>gm</v>
      </c>
      <c r="D73" s="1040">
        <f t="shared" si="7"/>
        <v>0.5</v>
      </c>
      <c r="E73" s="940">
        <f t="shared" si="11"/>
        <v>8.6999999999999993</v>
      </c>
      <c r="F73" s="948">
        <f t="shared" si="8"/>
        <v>1</v>
      </c>
      <c r="G73" s="940">
        <f t="shared" si="9"/>
        <v>4.3499999999999996</v>
      </c>
      <c r="H73" s="943">
        <f t="shared" si="10"/>
        <v>4.3499999999999996</v>
      </c>
      <c r="K73" s="890"/>
    </row>
    <row r="74" spans="1:11" ht="15.75" x14ac:dyDescent="0.25">
      <c r="B74" s="1041" t="s">
        <v>684</v>
      </c>
      <c r="C74" s="952"/>
      <c r="D74" s="1043"/>
      <c r="E74" s="1208"/>
      <c r="F74" s="1208"/>
      <c r="G74" s="952"/>
      <c r="H74" s="1043"/>
      <c r="K74" s="890"/>
    </row>
    <row r="75" spans="1:11" ht="20.25" x14ac:dyDescent="0.3">
      <c r="B75" s="1047">
        <f>D52</f>
        <v>8700</v>
      </c>
      <c r="C75" s="1208"/>
      <c r="D75" s="1208"/>
      <c r="E75" s="1208"/>
      <c r="F75" s="1208"/>
      <c r="G75" s="1208"/>
      <c r="H75" s="1043"/>
      <c r="K75" s="890"/>
    </row>
    <row r="76" spans="1:11" ht="12.75" customHeight="1" x14ac:dyDescent="0.25">
      <c r="B76" s="80"/>
      <c r="E76" s="80"/>
      <c r="F76" s="80"/>
    </row>
    <row r="77" spans="1:11" x14ac:dyDescent="0.25">
      <c r="B77" s="80"/>
      <c r="C77" s="80"/>
      <c r="D77" s="225"/>
      <c r="E77" s="80"/>
      <c r="F77" s="80"/>
      <c r="G77" s="80"/>
      <c r="H77" s="80"/>
    </row>
    <row r="78" spans="1:11" ht="18" customHeight="1" x14ac:dyDescent="0.25">
      <c r="A78" s="887"/>
      <c r="B78" s="437"/>
      <c r="C78" s="437"/>
      <c r="D78" s="437"/>
      <c r="E78" s="437"/>
      <c r="F78" s="437"/>
      <c r="G78" s="437"/>
      <c r="H78" s="437"/>
    </row>
    <row r="79" spans="1:11" ht="18" customHeight="1" x14ac:dyDescent="0.25">
      <c r="A79" s="887"/>
      <c r="B79" s="1819"/>
      <c r="C79" s="1819"/>
      <c r="D79" s="1819"/>
      <c r="E79" s="1819"/>
      <c r="F79" s="1819"/>
      <c r="G79" s="1819"/>
      <c r="H79" s="1819"/>
    </row>
    <row r="80" spans="1:11" ht="14.25" customHeight="1" x14ac:dyDescent="0.25">
      <c r="A80" s="887"/>
      <c r="B80" s="1819"/>
      <c r="C80" s="1819"/>
      <c r="D80" s="1819"/>
      <c r="E80" s="1819"/>
      <c r="F80" s="1819"/>
      <c r="G80" s="1819"/>
      <c r="H80" s="1819"/>
    </row>
    <row r="81" spans="1:8" ht="49.5" customHeight="1" x14ac:dyDescent="0.2">
      <c r="A81" s="888"/>
      <c r="B81" s="613"/>
      <c r="C81" s="614"/>
      <c r="D81" s="613"/>
      <c r="E81" s="615"/>
      <c r="F81" s="615"/>
      <c r="G81" s="613"/>
      <c r="H81" s="615"/>
    </row>
    <row r="82" spans="1:8" ht="14.25" customHeight="1" x14ac:dyDescent="0.25">
      <c r="A82" s="887"/>
      <c r="B82" s="616"/>
      <c r="C82" s="616"/>
      <c r="D82" s="621"/>
      <c r="E82" s="622"/>
      <c r="F82" s="618"/>
      <c r="G82" s="619"/>
      <c r="H82" s="620"/>
    </row>
    <row r="83" spans="1:8" ht="14.25" customHeight="1" x14ac:dyDescent="0.25">
      <c r="A83" s="887"/>
      <c r="B83" s="616"/>
      <c r="C83" s="616"/>
      <c r="D83" s="621"/>
      <c r="E83" s="622"/>
      <c r="F83" s="618"/>
      <c r="G83" s="619"/>
      <c r="H83" s="620"/>
    </row>
    <row r="84" spans="1:8" ht="14.25" customHeight="1" x14ac:dyDescent="0.25">
      <c r="A84" s="887"/>
      <c r="B84" s="616"/>
      <c r="C84" s="616"/>
      <c r="D84" s="621"/>
      <c r="E84" s="622"/>
      <c r="F84" s="618"/>
      <c r="G84" s="619"/>
      <c r="H84" s="620"/>
    </row>
    <row r="85" spans="1:8" ht="14.25" customHeight="1" x14ac:dyDescent="0.25">
      <c r="A85" s="887"/>
      <c r="B85" s="616"/>
      <c r="C85" s="616"/>
      <c r="D85" s="621"/>
      <c r="E85" s="622"/>
      <c r="F85" s="618"/>
      <c r="G85" s="619"/>
      <c r="H85" s="620"/>
    </row>
    <row r="86" spans="1:8" ht="14.25" customHeight="1" x14ac:dyDescent="0.25">
      <c r="A86" s="887"/>
      <c r="B86" s="616"/>
      <c r="C86" s="616"/>
      <c r="D86" s="621"/>
      <c r="E86" s="622"/>
      <c r="F86" s="618"/>
      <c r="G86" s="619"/>
      <c r="H86" s="620"/>
    </row>
    <row r="87" spans="1:8" ht="14.25" customHeight="1" x14ac:dyDescent="0.25">
      <c r="A87" s="887"/>
      <c r="B87" s="616"/>
      <c r="C87" s="616"/>
      <c r="D87" s="621"/>
      <c r="E87" s="622"/>
      <c r="F87" s="618"/>
      <c r="G87" s="619"/>
      <c r="H87" s="620"/>
    </row>
    <row r="88" spans="1:8" ht="14.25" customHeight="1" x14ac:dyDescent="0.25">
      <c r="A88" s="887"/>
      <c r="B88" s="616"/>
      <c r="C88" s="616"/>
      <c r="D88" s="621"/>
      <c r="E88" s="622"/>
      <c r="F88" s="618"/>
      <c r="G88" s="619"/>
      <c r="H88" s="620"/>
    </row>
    <row r="89" spans="1:8" ht="14.25" customHeight="1" x14ac:dyDescent="0.25">
      <c r="A89" s="887"/>
      <c r="B89" s="616"/>
      <c r="C89" s="616"/>
      <c r="D89" s="621"/>
      <c r="E89" s="622"/>
      <c r="F89" s="618"/>
      <c r="G89" s="619"/>
      <c r="H89" s="620"/>
    </row>
    <row r="90" spans="1:8" ht="12.75" customHeight="1" x14ac:dyDescent="0.25">
      <c r="A90" s="887"/>
      <c r="B90" s="616"/>
      <c r="C90" s="616"/>
      <c r="D90" s="623"/>
      <c r="E90" s="622"/>
      <c r="F90" s="618"/>
      <c r="G90" s="619"/>
      <c r="H90" s="620"/>
    </row>
    <row r="91" spans="1:8" ht="17.25" customHeight="1" x14ac:dyDescent="0.25">
      <c r="A91" s="887"/>
      <c r="B91" s="452"/>
      <c r="C91" s="437"/>
      <c r="D91" s="437"/>
      <c r="E91" s="431"/>
      <c r="F91" s="431"/>
      <c r="G91" s="437"/>
      <c r="H91" s="437"/>
    </row>
    <row r="92" spans="1:8" ht="20.25" x14ac:dyDescent="0.3">
      <c r="A92" s="887"/>
      <c r="B92" s="453"/>
      <c r="C92" s="431"/>
      <c r="D92" s="431"/>
      <c r="E92" s="431"/>
      <c r="F92" s="431"/>
      <c r="G92" s="431"/>
      <c r="H92" s="437"/>
    </row>
    <row r="93" spans="1:8" ht="18" customHeight="1" x14ac:dyDescent="0.25">
      <c r="A93" s="887"/>
      <c r="B93" s="437"/>
      <c r="C93" s="437"/>
      <c r="D93" s="437"/>
      <c r="E93" s="437"/>
      <c r="F93" s="437"/>
      <c r="G93" s="437"/>
      <c r="H93" s="437"/>
    </row>
    <row r="94" spans="1:8" ht="18" customHeight="1" x14ac:dyDescent="0.25">
      <c r="A94" s="887"/>
      <c r="B94" s="1819"/>
      <c r="C94" s="1820"/>
      <c r="D94" s="1820"/>
      <c r="E94" s="1820"/>
      <c r="F94" s="1820"/>
      <c r="G94" s="1820"/>
      <c r="H94" s="1820"/>
    </row>
    <row r="95" spans="1:8" ht="18" x14ac:dyDescent="0.25">
      <c r="A95" s="887"/>
      <c r="B95" s="1819"/>
      <c r="C95" s="1820"/>
      <c r="D95" s="1820"/>
      <c r="E95" s="1820"/>
      <c r="F95" s="1820"/>
      <c r="G95" s="1820"/>
      <c r="H95" s="1820"/>
    </row>
    <row r="96" spans="1:8" ht="60.75" customHeight="1" x14ac:dyDescent="0.2">
      <c r="A96" s="888"/>
      <c r="B96" s="613"/>
      <c r="C96" s="614"/>
      <c r="D96" s="613"/>
      <c r="E96" s="615"/>
      <c r="F96" s="615"/>
      <c r="G96" s="613"/>
      <c r="H96" s="615"/>
    </row>
    <row r="97" spans="1:8" ht="14.25" customHeight="1" x14ac:dyDescent="0.25">
      <c r="A97" s="887"/>
      <c r="B97" s="616"/>
      <c r="C97" s="616"/>
      <c r="D97" s="616"/>
      <c r="E97" s="617"/>
      <c r="F97" s="618"/>
      <c r="G97" s="619"/>
      <c r="H97" s="620"/>
    </row>
    <row r="98" spans="1:8" ht="14.25" customHeight="1" x14ac:dyDescent="0.25">
      <c r="A98" s="887"/>
      <c r="B98" s="616"/>
      <c r="C98" s="616"/>
      <c r="D98" s="616"/>
      <c r="E98" s="617"/>
      <c r="F98" s="618"/>
      <c r="G98" s="619"/>
      <c r="H98" s="620"/>
    </row>
    <row r="99" spans="1:8" ht="14.25" customHeight="1" x14ac:dyDescent="0.25">
      <c r="A99" s="887"/>
      <c r="B99" s="616"/>
      <c r="C99" s="616"/>
      <c r="D99" s="616"/>
      <c r="E99" s="617"/>
      <c r="F99" s="618"/>
      <c r="G99" s="619"/>
      <c r="H99" s="620"/>
    </row>
    <row r="100" spans="1:8" ht="14.25" customHeight="1" x14ac:dyDescent="0.25">
      <c r="A100" s="887"/>
      <c r="B100" s="616"/>
      <c r="C100" s="616"/>
      <c r="D100" s="616"/>
      <c r="E100" s="617"/>
      <c r="F100" s="618"/>
      <c r="G100" s="619"/>
      <c r="H100" s="620"/>
    </row>
    <row r="101" spans="1:8" ht="14.25" customHeight="1" x14ac:dyDescent="0.25">
      <c r="A101" s="887"/>
      <c r="B101" s="616"/>
      <c r="C101" s="616"/>
      <c r="D101" s="616"/>
      <c r="E101" s="617"/>
      <c r="F101" s="618"/>
      <c r="G101" s="619"/>
      <c r="H101" s="620"/>
    </row>
    <row r="102" spans="1:8" ht="14.25" customHeight="1" x14ac:dyDescent="0.25">
      <c r="A102" s="887"/>
      <c r="B102" s="616"/>
      <c r="C102" s="616"/>
      <c r="D102" s="616"/>
      <c r="E102" s="617"/>
      <c r="F102" s="618"/>
      <c r="G102" s="619"/>
      <c r="H102" s="620"/>
    </row>
    <row r="103" spans="1:8" ht="14.25" customHeight="1" x14ac:dyDescent="0.25">
      <c r="A103" s="887"/>
      <c r="B103" s="616"/>
      <c r="C103" s="616"/>
      <c r="D103" s="616"/>
      <c r="E103" s="617"/>
      <c r="F103" s="618"/>
      <c r="G103" s="619"/>
      <c r="H103" s="620"/>
    </row>
    <row r="104" spans="1:8" ht="14.25" customHeight="1" x14ac:dyDescent="0.25">
      <c r="A104" s="887"/>
      <c r="B104" s="616"/>
      <c r="C104" s="616"/>
      <c r="D104" s="616"/>
      <c r="E104" s="617"/>
      <c r="F104" s="618"/>
      <c r="G104" s="619"/>
      <c r="H104" s="620"/>
    </row>
    <row r="105" spans="1:8" ht="12.75" customHeight="1" x14ac:dyDescent="0.25">
      <c r="A105" s="887"/>
      <c r="B105" s="616"/>
      <c r="C105" s="616"/>
      <c r="D105" s="616"/>
      <c r="E105" s="617"/>
      <c r="F105" s="618"/>
      <c r="G105" s="619"/>
      <c r="H105" s="620"/>
    </row>
  </sheetData>
  <mergeCells count="10">
    <mergeCell ref="AE2:AG3"/>
    <mergeCell ref="B95:H95"/>
    <mergeCell ref="B79:H79"/>
    <mergeCell ref="R26:T26"/>
    <mergeCell ref="B63:H63"/>
    <mergeCell ref="B2:H3"/>
    <mergeCell ref="B94:H94"/>
    <mergeCell ref="R25:T25"/>
    <mergeCell ref="B80:H80"/>
    <mergeCell ref="B62:H62"/>
  </mergeCells>
  <printOptions horizontalCentered="1"/>
  <pageMargins left="0.5" right="0.5" top="1" bottom="0.5" header="0.3" footer="0.511811023622047"/>
  <pageSetup paperSize="9" scale="3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FFF00"/>
    <pageSetUpPr fitToPage="1"/>
  </sheetPr>
  <dimension ref="A1:AG128"/>
  <sheetViews>
    <sheetView topLeftCell="A14" zoomScale="55" zoomScaleNormal="55" workbookViewId="0">
      <selection activeCell="J54" sqref="J54"/>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8.625" style="14" customWidth="1"/>
    <col min="13" max="13" width="8.625" style="14" customWidth="1"/>
    <col min="14" max="14" width="18.625" style="14" customWidth="1"/>
    <col min="15" max="15" width="12.625" style="14" customWidth="1"/>
    <col min="16" max="17" width="4.75" style="14" customWidth="1"/>
    <col min="18" max="18" width="25.875" style="14" customWidth="1"/>
    <col min="19" max="19" width="18.625" style="14" customWidth="1"/>
    <col min="20" max="20" width="12.625" style="14" customWidth="1"/>
    <col min="21" max="24" width="12.5" style="14"/>
    <col min="25" max="30" width="8.625" style="14" customWidth="1"/>
    <col min="31" max="16384" width="12.5" style="14"/>
  </cols>
  <sheetData>
    <row r="1" spans="1:33" x14ac:dyDescent="0.25">
      <c r="B1" s="913" t="s">
        <v>231</v>
      </c>
      <c r="C1" s="914">
        <v>1000</v>
      </c>
      <c r="D1" s="915" t="s">
        <v>232</v>
      </c>
      <c r="E1" s="941">
        <f>S30</f>
        <v>14170</v>
      </c>
      <c r="F1" s="913" t="s">
        <v>233</v>
      </c>
      <c r="G1" s="1126">
        <f>E1/C1</f>
        <v>14.17</v>
      </c>
      <c r="H1" s="913" t="s">
        <v>234</v>
      </c>
      <c r="I1" s="941">
        <f>G1/K1</f>
        <v>14.029702970297029</v>
      </c>
      <c r="J1" s="913" t="s">
        <v>235</v>
      </c>
      <c r="K1" s="1208">
        <v>1.01</v>
      </c>
      <c r="L1" s="913" t="s">
        <v>779</v>
      </c>
      <c r="M1" s="1208" t="s">
        <v>298</v>
      </c>
      <c r="N1" s="913" t="s">
        <v>780</v>
      </c>
      <c r="O1" s="1208">
        <f>27600/30300</f>
        <v>0.91089108910891092</v>
      </c>
      <c r="P1" s="80"/>
      <c r="Q1" s="80"/>
      <c r="R1" s="80"/>
      <c r="S1" s="80"/>
      <c r="T1" s="80"/>
      <c r="U1" s="80"/>
      <c r="V1" s="80"/>
      <c r="Y1" s="923" t="s">
        <v>444</v>
      </c>
      <c r="Z1" s="925">
        <v>14170</v>
      </c>
      <c r="AA1" s="923" t="s">
        <v>544</v>
      </c>
      <c r="AB1" s="925">
        <v>0</v>
      </c>
      <c r="AC1" s="923" t="s">
        <v>537</v>
      </c>
      <c r="AD1" s="925">
        <v>98</v>
      </c>
    </row>
    <row r="2" spans="1:33" ht="15.75" x14ac:dyDescent="0.25">
      <c r="A2" s="863"/>
      <c r="B2" s="1784" t="s">
        <v>342</v>
      </c>
      <c r="C2" s="1787"/>
      <c r="D2" s="1788"/>
      <c r="E2" s="1788"/>
      <c r="F2" s="1788"/>
      <c r="G2" s="1787"/>
      <c r="H2" s="1788"/>
      <c r="I2" s="1287"/>
      <c r="J2" s="1287"/>
      <c r="K2" s="1287"/>
      <c r="L2" s="1208"/>
      <c r="M2" s="1208"/>
      <c r="N2" s="1208"/>
      <c r="O2" s="1208"/>
      <c r="P2" s="80"/>
      <c r="Q2" s="80"/>
      <c r="R2" s="80"/>
      <c r="S2" s="80"/>
      <c r="T2" s="80"/>
      <c r="U2" s="80"/>
      <c r="AE2" s="1821"/>
      <c r="AF2" s="1799"/>
      <c r="AG2" s="1799"/>
    </row>
    <row r="3" spans="1:33" ht="15.75" x14ac:dyDescent="0.25">
      <c r="A3" s="863"/>
      <c r="B3" s="265"/>
      <c r="C3" s="265"/>
      <c r="D3" s="265"/>
      <c r="E3" s="265"/>
      <c r="F3" s="265"/>
      <c r="G3" s="265"/>
      <c r="H3" s="265"/>
      <c r="I3" s="230"/>
      <c r="J3" s="230"/>
      <c r="K3" s="230"/>
      <c r="L3" s="80"/>
      <c r="M3" s="80"/>
      <c r="N3" s="80"/>
      <c r="O3" s="80"/>
      <c r="P3" s="80"/>
      <c r="Q3" s="80"/>
      <c r="R3" s="80"/>
      <c r="S3" s="80"/>
      <c r="T3" s="80"/>
      <c r="U3" s="80"/>
      <c r="AE3" s="1799"/>
      <c r="AF3" s="1799"/>
      <c r="AG3" s="1799"/>
    </row>
    <row r="4" spans="1:33" ht="25.5" x14ac:dyDescent="0.2">
      <c r="A4" s="933"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Q4" s="80"/>
      <c r="R4" s="80"/>
      <c r="S4" s="80"/>
      <c r="T4" s="80"/>
      <c r="U4" s="80"/>
    </row>
    <row r="5" spans="1:33" x14ac:dyDescent="0.2">
      <c r="A5" s="876"/>
      <c r="B5" s="1288"/>
      <c r="C5" s="1289"/>
      <c r="D5" s="1290"/>
      <c r="E5" s="1291"/>
      <c r="F5" s="1290"/>
      <c r="G5" s="1290"/>
      <c r="H5" s="1334"/>
      <c r="I5" s="1195"/>
      <c r="J5" s="1198"/>
      <c r="K5" s="1200"/>
      <c r="L5" s="1200"/>
      <c r="R5" s="890"/>
    </row>
    <row r="6" spans="1:33" x14ac:dyDescent="0.25">
      <c r="B6" s="1130" t="s">
        <v>21</v>
      </c>
      <c r="C6" s="947" t="s">
        <v>14</v>
      </c>
      <c r="D6" s="940">
        <f>1000/O1</f>
        <v>1097.8260869565217</v>
      </c>
      <c r="E6" s="940">
        <f t="shared" ref="E6:E12" si="0">$I$1</f>
        <v>14.029702970297029</v>
      </c>
      <c r="F6" s="948">
        <v>1</v>
      </c>
      <c r="G6" s="940">
        <f t="shared" ref="G6:G12" si="1">D6*E6</f>
        <v>15402.173913043478</v>
      </c>
      <c r="H6" s="943">
        <f t="shared" ref="H6:H12" si="2">G6*F6</f>
        <v>15402.173913043478</v>
      </c>
      <c r="I6" s="914">
        <f>VLOOKUP(B6,All_Ingredients!$A$1:$F$161,6,FALSE())</f>
        <v>0.9</v>
      </c>
      <c r="J6" s="940">
        <f>VLOOKUP(B6,All_Ingredients!$A$1:$J$161,10,FALSE())</f>
        <v>2.2999999999999998</v>
      </c>
      <c r="K6" s="945">
        <f t="shared" ref="K6:K12" si="3">(H6/I6)/1000</f>
        <v>17.113526570048307</v>
      </c>
      <c r="L6" s="945">
        <f t="shared" ref="L6:L12" si="4">K6*J6</f>
        <v>39.361111111111107</v>
      </c>
      <c r="R6" s="890"/>
    </row>
    <row r="7" spans="1:33" x14ac:dyDescent="0.25">
      <c r="B7" s="1130" t="s">
        <v>54</v>
      </c>
      <c r="C7" s="947" t="s">
        <v>14</v>
      </c>
      <c r="D7" s="940">
        <v>10</v>
      </c>
      <c r="E7" s="940">
        <f t="shared" si="0"/>
        <v>14.029702970297029</v>
      </c>
      <c r="F7" s="948">
        <v>1</v>
      </c>
      <c r="G7" s="940">
        <f t="shared" si="1"/>
        <v>140.29702970297029</v>
      </c>
      <c r="H7" s="943">
        <f t="shared" si="2"/>
        <v>140.29702970297029</v>
      </c>
      <c r="I7" s="914">
        <f>VLOOKUP(B7,All_Ingredients!$A$1:$F$161,6,FALSE())</f>
        <v>0.87</v>
      </c>
      <c r="J7" s="940">
        <f>VLOOKUP(B7,All_Ingredients!$A$1:$J$161,10,FALSE())</f>
        <v>7</v>
      </c>
      <c r="K7" s="945">
        <f t="shared" si="3"/>
        <v>0.16126095368157506</v>
      </c>
      <c r="L7" s="945">
        <f t="shared" si="4"/>
        <v>1.1288266757710255</v>
      </c>
      <c r="R7" s="890"/>
    </row>
    <row r="8" spans="1:33" ht="28.5" x14ac:dyDescent="0.25">
      <c r="B8" s="1130" t="s">
        <v>60</v>
      </c>
      <c r="C8" s="947" t="s">
        <v>14</v>
      </c>
      <c r="D8" s="940">
        <v>5</v>
      </c>
      <c r="E8" s="940">
        <f t="shared" si="0"/>
        <v>14.029702970297029</v>
      </c>
      <c r="F8" s="948">
        <v>1</v>
      </c>
      <c r="G8" s="940">
        <f t="shared" si="1"/>
        <v>70.148514851485146</v>
      </c>
      <c r="H8" s="943">
        <f t="shared" si="2"/>
        <v>70.148514851485146</v>
      </c>
      <c r="I8" s="914">
        <f>VLOOKUP(B8,All_Ingredients!$A$1:$F$161,6,FALSE())</f>
        <v>0.94</v>
      </c>
      <c r="J8" s="940">
        <f>VLOOKUP(B8,All_Ingredients!$A$1:$J$161,10,FALSE())</f>
        <v>3.6363636363636367</v>
      </c>
      <c r="K8" s="945">
        <f t="shared" si="3"/>
        <v>7.4626079629239533E-2</v>
      </c>
      <c r="L8" s="945">
        <f t="shared" si="4"/>
        <v>0.27136756228814379</v>
      </c>
      <c r="R8" s="890"/>
    </row>
    <row r="9" spans="1:33" x14ac:dyDescent="0.25">
      <c r="B9" s="1130" t="s">
        <v>152</v>
      </c>
      <c r="C9" s="947" t="s">
        <v>14</v>
      </c>
      <c r="D9" s="940">
        <v>10</v>
      </c>
      <c r="E9" s="940">
        <f t="shared" si="0"/>
        <v>14.029702970297029</v>
      </c>
      <c r="F9" s="948">
        <v>1</v>
      </c>
      <c r="G9" s="940">
        <f t="shared" si="1"/>
        <v>140.29702970297029</v>
      </c>
      <c r="H9" s="943">
        <f t="shared" si="2"/>
        <v>140.29702970297029</v>
      </c>
      <c r="I9" s="914">
        <f>VLOOKUP(B9,All_Ingredients!$A$1:$F$161,6,FALSE())</f>
        <v>1</v>
      </c>
      <c r="J9" s="940">
        <f>VLOOKUP(B9,All_Ingredients!$A$1:$J$161,10,FALSE())</f>
        <v>30</v>
      </c>
      <c r="K9" s="945">
        <f t="shared" si="3"/>
        <v>0.14029702970297028</v>
      </c>
      <c r="L9" s="945">
        <f t="shared" si="4"/>
        <v>4.2089108910891087</v>
      </c>
      <c r="R9" s="890"/>
    </row>
    <row r="10" spans="1:33" x14ac:dyDescent="0.25">
      <c r="B10" s="1130" t="s">
        <v>101</v>
      </c>
      <c r="C10" s="947" t="s">
        <v>14</v>
      </c>
      <c r="D10" s="940">
        <v>2</v>
      </c>
      <c r="E10" s="940">
        <f t="shared" si="0"/>
        <v>14.029702970297029</v>
      </c>
      <c r="F10" s="948">
        <v>0.75</v>
      </c>
      <c r="G10" s="940">
        <f t="shared" si="1"/>
        <v>28.059405940594058</v>
      </c>
      <c r="H10" s="943">
        <f t="shared" si="2"/>
        <v>21.044554455445542</v>
      </c>
      <c r="I10" s="914">
        <f>VLOOKUP(B10,All_Ingredients!$A$1:$F$161,6,FALSE())</f>
        <v>1</v>
      </c>
      <c r="J10" s="940">
        <f>VLOOKUP(B10,All_Ingredients!$A$1:$J$161,10,FALSE())</f>
        <v>47</v>
      </c>
      <c r="K10" s="945">
        <f t="shared" si="3"/>
        <v>2.1044554455445542E-2</v>
      </c>
      <c r="L10" s="945">
        <f t="shared" si="4"/>
        <v>0.98909405940594053</v>
      </c>
      <c r="R10" s="890"/>
    </row>
    <row r="11" spans="1:33" x14ac:dyDescent="0.25">
      <c r="B11" s="1130" t="s">
        <v>93</v>
      </c>
      <c r="C11" s="947" t="s">
        <v>14</v>
      </c>
      <c r="D11" s="940">
        <v>5</v>
      </c>
      <c r="E11" s="940">
        <f t="shared" si="0"/>
        <v>14.029702970297029</v>
      </c>
      <c r="F11" s="948">
        <v>0.75</v>
      </c>
      <c r="G11" s="940">
        <f t="shared" si="1"/>
        <v>70.148514851485146</v>
      </c>
      <c r="H11" s="943">
        <f t="shared" si="2"/>
        <v>52.611386138613859</v>
      </c>
      <c r="I11" s="914">
        <f>VLOOKUP(B11,All_Ingredients!$A$1:$F$161,6,FALSE())</f>
        <v>1</v>
      </c>
      <c r="J11" s="940">
        <f>VLOOKUP(B11,All_Ingredients!$A$1:$J$161,10,FALSE())</f>
        <v>0.74</v>
      </c>
      <c r="K11" s="945">
        <f t="shared" si="3"/>
        <v>5.261138613861386E-2</v>
      </c>
      <c r="L11" s="945">
        <f t="shared" si="4"/>
        <v>3.8932425742574259E-2</v>
      </c>
      <c r="R11" s="890"/>
    </row>
    <row r="12" spans="1:33" x14ac:dyDescent="0.25">
      <c r="B12" s="1130" t="s">
        <v>105</v>
      </c>
      <c r="C12" s="947" t="s">
        <v>14</v>
      </c>
      <c r="D12" s="940">
        <v>1</v>
      </c>
      <c r="E12" s="940">
        <f t="shared" si="0"/>
        <v>14.029702970297029</v>
      </c>
      <c r="F12" s="948">
        <v>0.75</v>
      </c>
      <c r="G12" s="940">
        <f t="shared" si="1"/>
        <v>14.029702970297029</v>
      </c>
      <c r="H12" s="943">
        <f t="shared" si="2"/>
        <v>10.522277227722771</v>
      </c>
      <c r="I12" s="914">
        <f>VLOOKUP(B12,All_Ingredients!$A$1:$F$161,6,FALSE())</f>
        <v>1</v>
      </c>
      <c r="J12" s="940">
        <f>VLOOKUP(B12,All_Ingredients!$A$1:$J$161,10,FALSE())</f>
        <v>15</v>
      </c>
      <c r="K12" s="945">
        <f t="shared" si="3"/>
        <v>1.0522277227722771E-2</v>
      </c>
      <c r="L12" s="945">
        <f t="shared" si="4"/>
        <v>0.15783415841584156</v>
      </c>
      <c r="R12" s="890"/>
    </row>
    <row r="25" spans="18:29" x14ac:dyDescent="0.25">
      <c r="R25" s="1792" t="s">
        <v>344</v>
      </c>
      <c r="S25" s="1787"/>
      <c r="T25" s="1787"/>
      <c r="Z25" s="982" t="s">
        <v>14</v>
      </c>
      <c r="AA25" s="989">
        <v>1</v>
      </c>
      <c r="AB25" s="982" t="s">
        <v>249</v>
      </c>
      <c r="AC25" s="985">
        <f>(S33/S30)*AA25</f>
        <v>3.2573095895429595E-3</v>
      </c>
    </row>
    <row r="26" spans="18:29" x14ac:dyDescent="0.25">
      <c r="R26" s="1074" t="s">
        <v>337</v>
      </c>
      <c r="S26" s="1345"/>
      <c r="T26" s="1345"/>
    </row>
    <row r="27" spans="18:29" x14ac:dyDescent="0.25">
      <c r="R27" s="961" t="s">
        <v>254</v>
      </c>
      <c r="S27" s="962" t="s">
        <v>338</v>
      </c>
      <c r="T27" s="962" t="s">
        <v>257</v>
      </c>
    </row>
    <row r="28" spans="18:29" x14ac:dyDescent="0.25">
      <c r="R28" s="961" t="s">
        <v>263</v>
      </c>
      <c r="S28" s="1170">
        <f>T28</f>
        <v>14170</v>
      </c>
      <c r="T28" s="965">
        <f>$Z$1</f>
        <v>14170</v>
      </c>
      <c r="U28" s="685"/>
    </row>
    <row r="29" spans="18:29" x14ac:dyDescent="0.25">
      <c r="R29" s="961" t="s">
        <v>265</v>
      </c>
      <c r="S29" s="965">
        <f>$AB$1</f>
        <v>0</v>
      </c>
      <c r="T29" s="974">
        <f>S29</f>
        <v>0</v>
      </c>
      <c r="U29" s="685"/>
    </row>
    <row r="30" spans="18:29" x14ac:dyDescent="0.25">
      <c r="R30" s="961" t="s">
        <v>257</v>
      </c>
      <c r="S30" s="1293">
        <f>SUM(S28:S29)</f>
        <v>14170</v>
      </c>
      <c r="T30" s="1293">
        <f>S30</f>
        <v>14170</v>
      </c>
      <c r="U30" s="685"/>
    </row>
    <row r="33" spans="18:20" ht="15.75" thickBot="1" x14ac:dyDescent="0.3">
      <c r="R33" s="909" t="s">
        <v>249</v>
      </c>
      <c r="S33" s="548">
        <f>SUM(L6:L12)</f>
        <v>46.156076883823737</v>
      </c>
      <c r="T33" s="594">
        <f>S33</f>
        <v>46.156076883823737</v>
      </c>
    </row>
    <row r="50" spans="1:11" x14ac:dyDescent="0.25">
      <c r="B50" s="958"/>
      <c r="C50" s="1076" t="s">
        <v>233</v>
      </c>
      <c r="D50" s="958" t="s">
        <v>279</v>
      </c>
      <c r="E50" s="890"/>
      <c r="F50" s="890"/>
      <c r="H50" s="890"/>
      <c r="K50" s="890"/>
    </row>
    <row r="51" spans="1:11" x14ac:dyDescent="0.25">
      <c r="B51" s="1027" t="s">
        <v>283</v>
      </c>
      <c r="C51" s="1028">
        <f>10/$K$1</f>
        <v>9.9009900990099009</v>
      </c>
      <c r="D51" s="1029">
        <f>$C$1*10</f>
        <v>10000</v>
      </c>
      <c r="E51" s="890"/>
      <c r="F51" s="890"/>
      <c r="H51" s="890"/>
      <c r="K51" s="890"/>
    </row>
    <row r="52" spans="1:11" x14ac:dyDescent="0.25">
      <c r="B52" s="958" t="s">
        <v>257</v>
      </c>
      <c r="C52" s="1099">
        <f>G1</f>
        <v>14.17</v>
      </c>
      <c r="D52" s="1100">
        <f>E1</f>
        <v>14170</v>
      </c>
      <c r="E52" s="890"/>
      <c r="F52" s="890"/>
      <c r="H52" s="890"/>
      <c r="K52" s="890"/>
    </row>
    <row r="53" spans="1:11" x14ac:dyDescent="0.25">
      <c r="B53" s="958" t="s">
        <v>284</v>
      </c>
      <c r="C53" s="1101">
        <f>MIN($C$52, $C$51)</f>
        <v>9.9009900990099009</v>
      </c>
      <c r="D53" s="1100">
        <f>(C53*$K$1)*$C$1</f>
        <v>10000</v>
      </c>
      <c r="E53" s="890"/>
      <c r="F53" s="890"/>
      <c r="H53" s="890"/>
      <c r="K53" s="890"/>
    </row>
    <row r="54" spans="1:11" x14ac:dyDescent="0.25">
      <c r="B54" s="958" t="s">
        <v>285</v>
      </c>
      <c r="C54" s="1101">
        <f>MIN($C$52-C53, $C$51)</f>
        <v>4.269009900990099</v>
      </c>
      <c r="D54" s="1100">
        <f>(C54*$K$1)*$C$1</f>
        <v>4311.7</v>
      </c>
      <c r="E54" s="890"/>
      <c r="F54" s="890"/>
      <c r="H54" s="890"/>
      <c r="K54" s="890"/>
    </row>
    <row r="55" spans="1:11" x14ac:dyDescent="0.25">
      <c r="B55" s="958" t="s">
        <v>286</v>
      </c>
      <c r="C55" s="1101">
        <f>MIN($C$52-C53-C54, $C$51)</f>
        <v>0</v>
      </c>
      <c r="D55" s="1100">
        <f>(C55*$K$1)*$C$1</f>
        <v>0</v>
      </c>
      <c r="E55" s="890"/>
      <c r="F55" s="890"/>
      <c r="H55" s="890"/>
      <c r="K55" s="890"/>
    </row>
    <row r="56" spans="1:11" x14ac:dyDescent="0.25">
      <c r="B56" s="958" t="s">
        <v>293</v>
      </c>
      <c r="C56" s="1101">
        <f>MIN($C$52-C53-C54-C55, $C$51)</f>
        <v>0</v>
      </c>
      <c r="D56" s="1100">
        <f>(C56*$K$1)*$C$1</f>
        <v>0</v>
      </c>
      <c r="E56" s="890"/>
      <c r="F56" s="890"/>
      <c r="H56" s="890"/>
      <c r="K56" s="890"/>
    </row>
    <row r="57" spans="1:11" x14ac:dyDescent="0.25">
      <c r="B57" s="958" t="s">
        <v>343</v>
      </c>
      <c r="C57" s="1101">
        <f>MIN($C$52-C53-C54-C55-C56, $C$51)</f>
        <v>0</v>
      </c>
      <c r="D57" s="1100">
        <f>(C57*$K$1)*$C$1</f>
        <v>0</v>
      </c>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867"/>
      <c r="B62" s="1776" t="s">
        <v>577</v>
      </c>
      <c r="C62" s="1777"/>
      <c r="D62" s="1778"/>
      <c r="E62" s="1778"/>
      <c r="F62" s="1778"/>
      <c r="G62" s="1777"/>
      <c r="H62" s="1778"/>
      <c r="K62" s="890"/>
    </row>
    <row r="63" spans="1:11" x14ac:dyDescent="0.25">
      <c r="A63" s="867"/>
      <c r="B63" s="1776" t="s">
        <v>342</v>
      </c>
      <c r="C63" s="1777"/>
      <c r="D63" s="1778"/>
      <c r="E63" s="1778"/>
      <c r="F63" s="1778"/>
      <c r="G63" s="1777"/>
      <c r="H63" s="1778"/>
      <c r="K63" s="890"/>
    </row>
    <row r="64" spans="1:11" ht="38.25" x14ac:dyDescent="0.2">
      <c r="A64" s="889"/>
      <c r="B64" s="1104" t="s">
        <v>241</v>
      </c>
      <c r="C64" s="934" t="s">
        <v>242</v>
      </c>
      <c r="D64" s="1104" t="s">
        <v>231</v>
      </c>
      <c r="E64" s="936" t="s">
        <v>234</v>
      </c>
      <c r="F64" s="936" t="s">
        <v>243</v>
      </c>
      <c r="G64" s="1104" t="s">
        <v>244</v>
      </c>
      <c r="H64" s="936" t="s">
        <v>245</v>
      </c>
      <c r="K64" s="890"/>
    </row>
    <row r="65" spans="1:11" x14ac:dyDescent="0.25">
      <c r="B65" s="1130" t="str">
        <f t="shared" ref="B65:D71" si="5">B6</f>
        <v>Potato - بطاطس</v>
      </c>
      <c r="C65" s="947" t="str">
        <f t="shared" si="5"/>
        <v>gm</v>
      </c>
      <c r="D65" s="940">
        <f t="shared" si="5"/>
        <v>1097.8260869565217</v>
      </c>
      <c r="E65" s="940">
        <f>$C$52</f>
        <v>14.17</v>
      </c>
      <c r="F65" s="948">
        <f t="shared" ref="F65:F71" si="6">F6</f>
        <v>1</v>
      </c>
      <c r="G65" s="940">
        <f t="shared" ref="G65:G71" si="7">D65*E65</f>
        <v>15556.195652173914</v>
      </c>
      <c r="H65" s="943">
        <f t="shared" ref="H65:H71" si="8">G65*F65</f>
        <v>15556.195652173914</v>
      </c>
      <c r="K65" s="890"/>
    </row>
    <row r="66" spans="1:11" x14ac:dyDescent="0.25">
      <c r="B66" s="1130" t="str">
        <f t="shared" si="5"/>
        <v>Ginger - زنجبيل</v>
      </c>
      <c r="C66" s="947" t="str">
        <f t="shared" si="5"/>
        <v>gm</v>
      </c>
      <c r="D66" s="914">
        <f t="shared" si="5"/>
        <v>10</v>
      </c>
      <c r="E66" s="940">
        <f t="shared" ref="E66:E71" si="9">$C$52</f>
        <v>14.17</v>
      </c>
      <c r="F66" s="948">
        <f t="shared" si="6"/>
        <v>1</v>
      </c>
      <c r="G66" s="940">
        <f t="shared" si="7"/>
        <v>141.69999999999999</v>
      </c>
      <c r="H66" s="943">
        <f t="shared" si="8"/>
        <v>141.69999999999999</v>
      </c>
      <c r="K66" s="890"/>
    </row>
    <row r="67" spans="1:11" ht="16.5" customHeight="1" x14ac:dyDescent="0.25">
      <c r="B67" s="1130" t="str">
        <f t="shared" si="5"/>
        <v>Coriander Leaves - كزبرة خضراء</v>
      </c>
      <c r="C67" s="947" t="str">
        <f t="shared" si="5"/>
        <v>gm</v>
      </c>
      <c r="D67" s="914">
        <f t="shared" si="5"/>
        <v>5</v>
      </c>
      <c r="E67" s="940">
        <f t="shared" si="9"/>
        <v>14.17</v>
      </c>
      <c r="F67" s="948">
        <f t="shared" si="6"/>
        <v>1</v>
      </c>
      <c r="G67" s="940">
        <f t="shared" si="7"/>
        <v>70.849999999999994</v>
      </c>
      <c r="H67" s="943">
        <f t="shared" si="8"/>
        <v>70.849999999999994</v>
      </c>
      <c r="K67" s="890"/>
    </row>
    <row r="68" spans="1:11" x14ac:dyDescent="0.25">
      <c r="B68" s="1130" t="str">
        <f t="shared" si="5"/>
        <v>Butter - زبدة</v>
      </c>
      <c r="C68" s="947" t="str">
        <f t="shared" si="5"/>
        <v>gm</v>
      </c>
      <c r="D68" s="914">
        <f t="shared" si="5"/>
        <v>10</v>
      </c>
      <c r="E68" s="940">
        <f t="shared" si="9"/>
        <v>14.17</v>
      </c>
      <c r="F68" s="948">
        <f t="shared" si="6"/>
        <v>1</v>
      </c>
      <c r="G68" s="940">
        <f t="shared" si="7"/>
        <v>141.69999999999999</v>
      </c>
      <c r="H68" s="943">
        <f t="shared" si="8"/>
        <v>141.69999999999999</v>
      </c>
      <c r="K68" s="890"/>
    </row>
    <row r="69" spans="1:11" x14ac:dyDescent="0.25">
      <c r="B69" s="1130" t="str">
        <f t="shared" si="5"/>
        <v>White Pepper - فلفل أبيض</v>
      </c>
      <c r="C69" s="947" t="str">
        <f t="shared" si="5"/>
        <v>gm</v>
      </c>
      <c r="D69" s="914">
        <f t="shared" si="5"/>
        <v>2</v>
      </c>
      <c r="E69" s="940">
        <f t="shared" si="9"/>
        <v>14.17</v>
      </c>
      <c r="F69" s="948">
        <f t="shared" si="6"/>
        <v>0.75</v>
      </c>
      <c r="G69" s="940">
        <f t="shared" si="7"/>
        <v>28.34</v>
      </c>
      <c r="H69" s="943">
        <f t="shared" si="8"/>
        <v>21.254999999999999</v>
      </c>
      <c r="K69" s="890"/>
    </row>
    <row r="70" spans="1:11" x14ac:dyDescent="0.25">
      <c r="B70" s="1130" t="str">
        <f t="shared" si="5"/>
        <v>Salt - ملح</v>
      </c>
      <c r="C70" s="947" t="str">
        <f t="shared" si="5"/>
        <v>gm</v>
      </c>
      <c r="D70" s="914">
        <f t="shared" si="5"/>
        <v>5</v>
      </c>
      <c r="E70" s="940">
        <f t="shared" si="9"/>
        <v>14.17</v>
      </c>
      <c r="F70" s="948">
        <f t="shared" si="6"/>
        <v>0.75</v>
      </c>
      <c r="G70" s="940">
        <f t="shared" si="7"/>
        <v>70.849999999999994</v>
      </c>
      <c r="H70" s="943">
        <f t="shared" si="8"/>
        <v>53.137499999999996</v>
      </c>
      <c r="K70" s="890"/>
    </row>
    <row r="71" spans="1:11" x14ac:dyDescent="0.25">
      <c r="B71" s="1130" t="str">
        <f t="shared" si="5"/>
        <v>Cumin Powder - كمون مطحون</v>
      </c>
      <c r="C71" s="947" t="str">
        <f t="shared" si="5"/>
        <v>gm</v>
      </c>
      <c r="D71" s="914">
        <f t="shared" si="5"/>
        <v>1</v>
      </c>
      <c r="E71" s="940">
        <f t="shared" si="9"/>
        <v>14.17</v>
      </c>
      <c r="F71" s="948">
        <f t="shared" si="6"/>
        <v>0.75</v>
      </c>
      <c r="G71" s="940">
        <f t="shared" si="7"/>
        <v>14.17</v>
      </c>
      <c r="H71" s="943">
        <f t="shared" si="8"/>
        <v>10.6275</v>
      </c>
      <c r="K71" s="890"/>
    </row>
    <row r="72" spans="1:11" ht="15.75" x14ac:dyDescent="0.25">
      <c r="B72" s="1041" t="s">
        <v>683</v>
      </c>
      <c r="C72" s="952"/>
      <c r="D72" s="1043"/>
      <c r="E72" s="1208"/>
      <c r="F72" s="1208"/>
      <c r="G72" s="952"/>
      <c r="H72" s="1043"/>
      <c r="K72" s="890"/>
    </row>
    <row r="73" spans="1:11" ht="20.25" x14ac:dyDescent="0.3">
      <c r="B73" s="1047">
        <f>D52</f>
        <v>14170</v>
      </c>
      <c r="C73" s="1346"/>
      <c r="D73" s="1347"/>
      <c r="E73" s="1208"/>
      <c r="F73" s="1348"/>
      <c r="G73" s="952"/>
      <c r="H73" s="1043"/>
      <c r="K73" s="890"/>
    </row>
    <row r="74" spans="1:11" x14ac:dyDescent="0.25">
      <c r="B74" s="80"/>
      <c r="D74" s="890"/>
      <c r="E74" s="80"/>
      <c r="F74" s="80"/>
      <c r="H74" s="890"/>
      <c r="K74" s="890"/>
    </row>
    <row r="75" spans="1:11" x14ac:dyDescent="0.25">
      <c r="B75" s="80"/>
      <c r="C75" s="80"/>
      <c r="D75" s="80"/>
      <c r="E75" s="80"/>
      <c r="F75" s="80"/>
      <c r="G75" s="80"/>
      <c r="H75" s="80"/>
      <c r="K75" s="890"/>
    </row>
    <row r="76" spans="1:11" ht="18" x14ac:dyDescent="0.25">
      <c r="A76" s="887"/>
      <c r="B76" s="1819"/>
      <c r="C76" s="1820"/>
      <c r="D76" s="1826"/>
      <c r="E76" s="1826"/>
      <c r="F76" s="1826"/>
      <c r="G76" s="1820"/>
      <c r="H76" s="1826"/>
      <c r="K76" s="890"/>
    </row>
    <row r="77" spans="1:11" ht="18" x14ac:dyDescent="0.25">
      <c r="A77" s="887"/>
      <c r="B77" s="1819"/>
      <c r="C77" s="1820"/>
      <c r="D77" s="1826"/>
      <c r="E77" s="1826"/>
      <c r="F77" s="1826"/>
      <c r="G77" s="1820"/>
      <c r="H77" s="1826"/>
      <c r="K77" s="890"/>
    </row>
    <row r="78" spans="1:11" x14ac:dyDescent="0.2">
      <c r="A78" s="888"/>
      <c r="B78" s="613"/>
      <c r="C78" s="614"/>
      <c r="D78" s="613"/>
      <c r="E78" s="615"/>
      <c r="F78" s="615"/>
      <c r="G78" s="613"/>
      <c r="H78" s="615"/>
      <c r="K78" s="890"/>
    </row>
    <row r="79" spans="1:11" x14ac:dyDescent="0.25">
      <c r="A79" s="887"/>
      <c r="B79" s="1336"/>
      <c r="C79" s="616"/>
      <c r="D79" s="1336"/>
      <c r="E79" s="627"/>
      <c r="F79" s="1343"/>
      <c r="G79" s="619"/>
      <c r="H79" s="1344"/>
      <c r="K79" s="890"/>
    </row>
    <row r="80" spans="1:11" x14ac:dyDescent="0.25">
      <c r="A80" s="887"/>
      <c r="B80" s="1336"/>
      <c r="C80" s="616"/>
      <c r="D80" s="1336"/>
      <c r="E80" s="627"/>
      <c r="F80" s="1343"/>
      <c r="G80" s="619"/>
      <c r="H80" s="1344"/>
      <c r="K80" s="890"/>
    </row>
    <row r="81" spans="1:11" x14ac:dyDescent="0.25">
      <c r="A81" s="887"/>
      <c r="B81" s="1336"/>
      <c r="C81" s="616"/>
      <c r="D81" s="1336"/>
      <c r="E81" s="627"/>
      <c r="F81" s="1343"/>
      <c r="G81" s="619"/>
      <c r="H81" s="1344"/>
      <c r="K81" s="890"/>
    </row>
    <row r="82" spans="1:11" x14ac:dyDescent="0.25">
      <c r="A82" s="887"/>
      <c r="B82" s="1336"/>
      <c r="C82" s="616"/>
      <c r="D82" s="1336"/>
      <c r="E82" s="627"/>
      <c r="F82" s="1343"/>
      <c r="G82" s="619"/>
      <c r="H82" s="1344"/>
      <c r="K82" s="890"/>
    </row>
    <row r="83" spans="1:11" x14ac:dyDescent="0.25">
      <c r="A83" s="887"/>
      <c r="B83" s="1336"/>
      <c r="C83" s="616"/>
      <c r="D83" s="1336"/>
      <c r="E83" s="627"/>
      <c r="F83" s="1343"/>
      <c r="G83" s="619"/>
      <c r="H83" s="1344"/>
      <c r="K83" s="890"/>
    </row>
    <row r="84" spans="1:11" x14ac:dyDescent="0.25">
      <c r="A84" s="887"/>
      <c r="B84" s="1336"/>
      <c r="C84" s="616"/>
      <c r="D84" s="1336"/>
      <c r="E84" s="627"/>
      <c r="F84" s="1343"/>
      <c r="G84" s="619"/>
      <c r="H84" s="1344"/>
      <c r="K84" s="890"/>
    </row>
    <row r="85" spans="1:11" x14ac:dyDescent="0.25">
      <c r="A85" s="887"/>
      <c r="B85" s="1336"/>
      <c r="C85" s="616"/>
      <c r="D85" s="1336"/>
      <c r="E85" s="627"/>
      <c r="F85" s="1343"/>
      <c r="G85" s="619"/>
      <c r="H85" s="1344"/>
      <c r="K85" s="890"/>
    </row>
    <row r="86" spans="1:11" ht="15.75" x14ac:dyDescent="0.25">
      <c r="A86" s="887"/>
      <c r="B86" s="1337"/>
      <c r="C86" s="437"/>
      <c r="D86" s="1340"/>
      <c r="E86" s="431"/>
      <c r="F86" s="431"/>
      <c r="G86" s="437"/>
      <c r="H86" s="1340"/>
      <c r="K86" s="890"/>
    </row>
    <row r="87" spans="1:11" ht="20.25" x14ac:dyDescent="0.3">
      <c r="A87" s="887"/>
      <c r="B87" s="1338"/>
      <c r="C87" s="454"/>
      <c r="D87" s="1341"/>
      <c r="E87" s="431"/>
      <c r="F87" s="625"/>
      <c r="G87" s="437"/>
      <c r="H87" s="1340"/>
      <c r="K87" s="890"/>
    </row>
    <row r="88" spans="1:11" x14ac:dyDescent="0.25">
      <c r="A88" s="887"/>
      <c r="B88" s="431"/>
      <c r="C88" s="431"/>
      <c r="D88" s="431"/>
      <c r="E88" s="431"/>
      <c r="F88" s="431"/>
      <c r="G88" s="431"/>
      <c r="H88" s="431"/>
      <c r="K88" s="890"/>
    </row>
    <row r="89" spans="1:11" x14ac:dyDescent="0.25">
      <c r="A89" s="887"/>
      <c r="B89" s="431"/>
      <c r="C89" s="431"/>
      <c r="D89" s="431"/>
      <c r="E89" s="431"/>
      <c r="F89" s="431"/>
      <c r="G89" s="431"/>
      <c r="H89" s="431"/>
      <c r="K89" s="890"/>
    </row>
    <row r="90" spans="1:11" ht="18" x14ac:dyDescent="0.25">
      <c r="A90" s="887"/>
      <c r="B90" s="1819"/>
      <c r="C90" s="1820"/>
      <c r="D90" s="1826"/>
      <c r="E90" s="1826"/>
      <c r="F90" s="1826"/>
      <c r="G90" s="1820"/>
      <c r="H90" s="1826"/>
      <c r="K90" s="890"/>
    </row>
    <row r="91" spans="1:11" ht="18" x14ac:dyDescent="0.25">
      <c r="A91" s="887"/>
      <c r="B91" s="1819"/>
      <c r="C91" s="1820"/>
      <c r="D91" s="1826"/>
      <c r="E91" s="1826"/>
      <c r="F91" s="1826"/>
      <c r="G91" s="1820"/>
      <c r="H91" s="1826"/>
      <c r="K91" s="890"/>
    </row>
    <row r="92" spans="1:11" x14ac:dyDescent="0.2">
      <c r="A92" s="888"/>
      <c r="B92" s="613"/>
      <c r="C92" s="614"/>
      <c r="D92" s="613"/>
      <c r="E92" s="615"/>
      <c r="F92" s="615"/>
      <c r="G92" s="613"/>
      <c r="H92" s="615"/>
      <c r="K92" s="890"/>
    </row>
    <row r="93" spans="1:11" x14ac:dyDescent="0.25">
      <c r="A93" s="887"/>
      <c r="B93" s="1336"/>
      <c r="C93" s="616"/>
      <c r="D93" s="1336"/>
      <c r="E93" s="627"/>
      <c r="F93" s="1343"/>
      <c r="G93" s="619"/>
      <c r="H93" s="1344"/>
      <c r="K93" s="890"/>
    </row>
    <row r="94" spans="1:11" x14ac:dyDescent="0.25">
      <c r="A94" s="887"/>
      <c r="B94" s="1336"/>
      <c r="C94" s="616"/>
      <c r="D94" s="1336"/>
      <c r="E94" s="627"/>
      <c r="F94" s="1343"/>
      <c r="G94" s="619"/>
      <c r="H94" s="1344"/>
      <c r="K94" s="890"/>
    </row>
    <row r="95" spans="1:11" x14ac:dyDescent="0.25">
      <c r="A95" s="887"/>
      <c r="B95" s="1336"/>
      <c r="C95" s="616"/>
      <c r="D95" s="1336"/>
      <c r="E95" s="627"/>
      <c r="F95" s="1343"/>
      <c r="G95" s="619"/>
      <c r="H95" s="1344"/>
      <c r="K95" s="890"/>
    </row>
    <row r="96" spans="1:11" x14ac:dyDescent="0.25">
      <c r="A96" s="887"/>
      <c r="B96" s="1336"/>
      <c r="C96" s="616"/>
      <c r="D96" s="1336"/>
      <c r="E96" s="627"/>
      <c r="F96" s="1343"/>
      <c r="G96" s="619"/>
      <c r="H96" s="1344"/>
      <c r="K96" s="890"/>
    </row>
    <row r="97" spans="1:11" x14ac:dyDescent="0.25">
      <c r="A97" s="887"/>
      <c r="B97" s="1336"/>
      <c r="C97" s="616"/>
      <c r="D97" s="1336"/>
      <c r="E97" s="627"/>
      <c r="F97" s="1343"/>
      <c r="G97" s="619"/>
      <c r="H97" s="1344"/>
      <c r="K97" s="890"/>
    </row>
    <row r="98" spans="1:11" x14ac:dyDescent="0.25">
      <c r="A98" s="887"/>
      <c r="B98" s="1336"/>
      <c r="C98" s="616"/>
      <c r="D98" s="1336"/>
      <c r="E98" s="627"/>
      <c r="F98" s="1343"/>
      <c r="G98" s="619"/>
      <c r="H98" s="1344"/>
      <c r="K98" s="890"/>
    </row>
    <row r="99" spans="1:11" x14ac:dyDescent="0.25">
      <c r="A99" s="887"/>
      <c r="B99" s="1336"/>
      <c r="C99" s="616"/>
      <c r="D99" s="1336"/>
      <c r="E99" s="627"/>
      <c r="F99" s="1343"/>
      <c r="G99" s="619"/>
      <c r="H99" s="1344"/>
      <c r="K99" s="890"/>
    </row>
    <row r="100" spans="1:11" ht="15.75" x14ac:dyDescent="0.25">
      <c r="A100" s="887"/>
      <c r="B100" s="1337"/>
      <c r="C100" s="437"/>
      <c r="D100" s="1340"/>
      <c r="E100" s="431"/>
      <c r="F100" s="431"/>
      <c r="G100" s="437"/>
      <c r="H100" s="1340"/>
      <c r="K100" s="890"/>
    </row>
    <row r="101" spans="1:11" ht="20.25" x14ac:dyDescent="0.3">
      <c r="A101" s="887"/>
      <c r="B101" s="1338"/>
      <c r="C101" s="454"/>
      <c r="D101" s="1341"/>
      <c r="E101" s="431"/>
      <c r="F101" s="625"/>
      <c r="G101" s="437"/>
      <c r="H101" s="1340"/>
      <c r="K101" s="890"/>
    </row>
    <row r="102" spans="1:11" x14ac:dyDescent="0.25">
      <c r="B102" s="890"/>
      <c r="D102" s="890"/>
      <c r="E102" s="890"/>
      <c r="F102" s="890"/>
      <c r="H102" s="890"/>
      <c r="K102" s="890"/>
    </row>
    <row r="103" spans="1:11" x14ac:dyDescent="0.25">
      <c r="B103" s="890"/>
      <c r="D103" s="890"/>
      <c r="E103" s="890"/>
      <c r="F103" s="890"/>
      <c r="H103" s="890"/>
      <c r="K103" s="890"/>
    </row>
    <row r="104" spans="1:11" x14ac:dyDescent="0.25">
      <c r="A104" s="863"/>
      <c r="B104" s="1827" t="s">
        <v>345</v>
      </c>
      <c r="C104" s="1797"/>
      <c r="D104" s="1798"/>
      <c r="E104" s="1798"/>
      <c r="F104" s="1798"/>
      <c r="G104" s="1797"/>
      <c r="H104" s="1798"/>
      <c r="K104" s="890"/>
    </row>
    <row r="105" spans="1:11" x14ac:dyDescent="0.25">
      <c r="A105" s="863"/>
      <c r="B105" s="1776" t="s">
        <v>346</v>
      </c>
      <c r="C105" s="1787"/>
      <c r="D105" s="1788"/>
      <c r="E105" s="1788"/>
      <c r="F105" s="1788"/>
      <c r="G105" s="1787"/>
      <c r="H105" s="1788"/>
      <c r="K105" s="890"/>
    </row>
    <row r="106" spans="1:11" ht="38.25" x14ac:dyDescent="0.2">
      <c r="A106" s="889"/>
      <c r="B106" s="1104" t="s">
        <v>241</v>
      </c>
      <c r="C106" s="934" t="s">
        <v>242</v>
      </c>
      <c r="D106" s="1104" t="s">
        <v>231</v>
      </c>
      <c r="E106" s="936" t="s">
        <v>234</v>
      </c>
      <c r="F106" s="936" t="s">
        <v>243</v>
      </c>
      <c r="G106" s="1104" t="s">
        <v>244</v>
      </c>
      <c r="H106" s="936" t="s">
        <v>245</v>
      </c>
      <c r="K106" s="890"/>
    </row>
    <row r="107" spans="1:11" x14ac:dyDescent="0.25">
      <c r="B107" s="1130" t="str">
        <f t="shared" ref="B107:D113" si="10">B6</f>
        <v>Potato - بطاطس</v>
      </c>
      <c r="C107" s="1252" t="str">
        <f t="shared" si="10"/>
        <v>gm</v>
      </c>
      <c r="D107" s="1130">
        <f t="shared" si="10"/>
        <v>1097.8260869565217</v>
      </c>
      <c r="E107" s="1167">
        <f t="shared" ref="E107:E113" si="11">$C$56</f>
        <v>0</v>
      </c>
      <c r="F107" s="948">
        <f t="shared" ref="F107:F113" si="12">F6</f>
        <v>1</v>
      </c>
      <c r="G107" s="940">
        <f t="shared" ref="G107:G113" si="13">D107*E107</f>
        <v>0</v>
      </c>
      <c r="H107" s="943">
        <f t="shared" ref="H107:H113" si="14">G107*F107</f>
        <v>0</v>
      </c>
      <c r="K107" s="890"/>
    </row>
    <row r="108" spans="1:11" x14ac:dyDescent="0.25">
      <c r="B108" s="1130" t="str">
        <f t="shared" si="10"/>
        <v>Ginger - زنجبيل</v>
      </c>
      <c r="C108" s="1252" t="str">
        <f t="shared" si="10"/>
        <v>gm</v>
      </c>
      <c r="D108" s="1130">
        <f t="shared" si="10"/>
        <v>10</v>
      </c>
      <c r="E108" s="1167">
        <f t="shared" si="11"/>
        <v>0</v>
      </c>
      <c r="F108" s="948">
        <f t="shared" si="12"/>
        <v>1</v>
      </c>
      <c r="G108" s="940">
        <f t="shared" si="13"/>
        <v>0</v>
      </c>
      <c r="H108" s="943">
        <f t="shared" si="14"/>
        <v>0</v>
      </c>
      <c r="K108" s="890"/>
    </row>
    <row r="109" spans="1:11" ht="28.5" x14ac:dyDescent="0.25">
      <c r="B109" s="1130" t="str">
        <f t="shared" si="10"/>
        <v>Coriander Leaves - كزبرة خضراء</v>
      </c>
      <c r="C109" s="1252" t="str">
        <f t="shared" si="10"/>
        <v>gm</v>
      </c>
      <c r="D109" s="1130">
        <f t="shared" si="10"/>
        <v>5</v>
      </c>
      <c r="E109" s="1167">
        <f t="shared" si="11"/>
        <v>0</v>
      </c>
      <c r="F109" s="948">
        <f t="shared" si="12"/>
        <v>1</v>
      </c>
      <c r="G109" s="940">
        <f t="shared" si="13"/>
        <v>0</v>
      </c>
      <c r="H109" s="943">
        <f t="shared" si="14"/>
        <v>0</v>
      </c>
      <c r="K109" s="890"/>
    </row>
    <row r="110" spans="1:11" x14ac:dyDescent="0.25">
      <c r="B110" s="1130" t="str">
        <f t="shared" si="10"/>
        <v>Butter - زبدة</v>
      </c>
      <c r="C110" s="1252" t="str">
        <f t="shared" si="10"/>
        <v>gm</v>
      </c>
      <c r="D110" s="1130">
        <f t="shared" si="10"/>
        <v>10</v>
      </c>
      <c r="E110" s="1167">
        <f t="shared" si="11"/>
        <v>0</v>
      </c>
      <c r="F110" s="948">
        <f t="shared" si="12"/>
        <v>1</v>
      </c>
      <c r="G110" s="940">
        <f t="shared" si="13"/>
        <v>0</v>
      </c>
      <c r="H110" s="943">
        <f t="shared" si="14"/>
        <v>0</v>
      </c>
      <c r="K110" s="890"/>
    </row>
    <row r="111" spans="1:11" x14ac:dyDescent="0.25">
      <c r="B111" s="1130" t="str">
        <f t="shared" si="10"/>
        <v>White Pepper - فلفل أبيض</v>
      </c>
      <c r="C111" s="1252" t="str">
        <f t="shared" si="10"/>
        <v>gm</v>
      </c>
      <c r="D111" s="1130">
        <f t="shared" si="10"/>
        <v>2</v>
      </c>
      <c r="E111" s="1167">
        <f t="shared" si="11"/>
        <v>0</v>
      </c>
      <c r="F111" s="948">
        <f t="shared" si="12"/>
        <v>0.75</v>
      </c>
      <c r="G111" s="940">
        <f t="shared" si="13"/>
        <v>0</v>
      </c>
      <c r="H111" s="943">
        <f t="shared" si="14"/>
        <v>0</v>
      </c>
      <c r="K111" s="890"/>
    </row>
    <row r="112" spans="1:11" x14ac:dyDescent="0.25">
      <c r="B112" s="1130" t="str">
        <f t="shared" si="10"/>
        <v>Salt - ملح</v>
      </c>
      <c r="C112" s="1252" t="str">
        <f t="shared" si="10"/>
        <v>gm</v>
      </c>
      <c r="D112" s="1130">
        <f t="shared" si="10"/>
        <v>5</v>
      </c>
      <c r="E112" s="1167">
        <f t="shared" si="11"/>
        <v>0</v>
      </c>
      <c r="F112" s="948">
        <f t="shared" si="12"/>
        <v>0.75</v>
      </c>
      <c r="G112" s="940">
        <f t="shared" si="13"/>
        <v>0</v>
      </c>
      <c r="H112" s="943">
        <f t="shared" si="14"/>
        <v>0</v>
      </c>
      <c r="K112" s="890"/>
    </row>
    <row r="113" spans="1:11" x14ac:dyDescent="0.25">
      <c r="B113" s="1130" t="str">
        <f t="shared" si="10"/>
        <v>Cumin Powder - كمون مطحون</v>
      </c>
      <c r="C113" s="1252" t="str">
        <f t="shared" si="10"/>
        <v>gm</v>
      </c>
      <c r="D113" s="1130">
        <f t="shared" si="10"/>
        <v>1</v>
      </c>
      <c r="E113" s="1167">
        <f t="shared" si="11"/>
        <v>0</v>
      </c>
      <c r="F113" s="948">
        <f t="shared" si="12"/>
        <v>0.75</v>
      </c>
      <c r="G113" s="940">
        <f t="shared" si="13"/>
        <v>0</v>
      </c>
      <c r="H113" s="943">
        <f t="shared" si="14"/>
        <v>0</v>
      </c>
      <c r="K113" s="890"/>
    </row>
    <row r="114" spans="1:11" ht="15.75" x14ac:dyDescent="0.25">
      <c r="B114" s="1041" t="s">
        <v>683</v>
      </c>
      <c r="C114" s="952"/>
      <c r="D114" s="1043"/>
      <c r="E114" s="1208"/>
      <c r="F114" s="1208"/>
      <c r="G114" s="952"/>
      <c r="H114" s="1043"/>
      <c r="K114" s="890"/>
    </row>
    <row r="115" spans="1:11" ht="20.25" x14ac:dyDescent="0.3">
      <c r="B115" s="1047">
        <f>D56</f>
        <v>0</v>
      </c>
      <c r="C115" s="1346"/>
      <c r="D115" s="1347"/>
      <c r="E115" s="1208"/>
      <c r="F115" s="1348"/>
      <c r="G115" s="952"/>
      <c r="H115" s="1043"/>
      <c r="K115" s="890"/>
    </row>
    <row r="116" spans="1:11" x14ac:dyDescent="0.25">
      <c r="B116" s="890"/>
      <c r="D116" s="890"/>
      <c r="E116" s="890"/>
      <c r="F116" s="890"/>
      <c r="H116" s="890"/>
      <c r="K116" s="890"/>
    </row>
    <row r="117" spans="1:11" x14ac:dyDescent="0.25">
      <c r="A117" s="863"/>
      <c r="B117" s="1827" t="s">
        <v>347</v>
      </c>
      <c r="C117" s="1797"/>
      <c r="D117" s="1798"/>
      <c r="E117" s="1798"/>
      <c r="F117" s="1798"/>
      <c r="G117" s="1797"/>
      <c r="H117" s="1798"/>
      <c r="K117" s="890"/>
    </row>
    <row r="118" spans="1:11" x14ac:dyDescent="0.25">
      <c r="A118" s="863"/>
      <c r="B118" s="1776" t="s">
        <v>348</v>
      </c>
      <c r="C118" s="1787"/>
      <c r="D118" s="1788"/>
      <c r="E118" s="1788"/>
      <c r="F118" s="1788"/>
      <c r="G118" s="1787"/>
      <c r="H118" s="1788"/>
      <c r="K118" s="890"/>
    </row>
    <row r="119" spans="1:11" ht="38.25" x14ac:dyDescent="0.2">
      <c r="A119" s="889"/>
      <c r="B119" s="1104" t="s">
        <v>241</v>
      </c>
      <c r="C119" s="934" t="s">
        <v>242</v>
      </c>
      <c r="D119" s="1104" t="s">
        <v>231</v>
      </c>
      <c r="E119" s="936" t="s">
        <v>234</v>
      </c>
      <c r="F119" s="936" t="s">
        <v>243</v>
      </c>
      <c r="G119" s="1104" t="s">
        <v>244</v>
      </c>
      <c r="H119" s="936" t="s">
        <v>245</v>
      </c>
      <c r="K119" s="890"/>
    </row>
    <row r="120" spans="1:11" x14ac:dyDescent="0.25">
      <c r="B120" s="1130" t="str">
        <f t="shared" ref="B120:D126" si="15">B6</f>
        <v>Potato - بطاطس</v>
      </c>
      <c r="C120" s="1252" t="str">
        <f t="shared" si="15"/>
        <v>gm</v>
      </c>
      <c r="D120" s="1130">
        <f t="shared" si="15"/>
        <v>1097.8260869565217</v>
      </c>
      <c r="E120" s="1167">
        <f t="shared" ref="E120:E126" si="16">$C$57</f>
        <v>0</v>
      </c>
      <c r="F120" s="948">
        <f t="shared" ref="F120:F126" si="17">F6</f>
        <v>1</v>
      </c>
      <c r="G120" s="940">
        <f t="shared" ref="G120:G126" si="18">D120*E120</f>
        <v>0</v>
      </c>
      <c r="H120" s="943">
        <f t="shared" ref="H120:H126" si="19">G120*F120</f>
        <v>0</v>
      </c>
      <c r="K120" s="890"/>
    </row>
    <row r="121" spans="1:11" x14ac:dyDescent="0.25">
      <c r="B121" s="1130" t="str">
        <f t="shared" si="15"/>
        <v>Ginger - زنجبيل</v>
      </c>
      <c r="C121" s="1252" t="str">
        <f t="shared" si="15"/>
        <v>gm</v>
      </c>
      <c r="D121" s="1130">
        <f t="shared" si="15"/>
        <v>10</v>
      </c>
      <c r="E121" s="1167">
        <f t="shared" si="16"/>
        <v>0</v>
      </c>
      <c r="F121" s="948">
        <f t="shared" si="17"/>
        <v>1</v>
      </c>
      <c r="G121" s="940">
        <f t="shared" si="18"/>
        <v>0</v>
      </c>
      <c r="H121" s="943">
        <f t="shared" si="19"/>
        <v>0</v>
      </c>
      <c r="K121" s="890"/>
    </row>
    <row r="122" spans="1:11" ht="28.5" x14ac:dyDescent="0.25">
      <c r="B122" s="1130" t="str">
        <f t="shared" si="15"/>
        <v>Coriander Leaves - كزبرة خضراء</v>
      </c>
      <c r="C122" s="1252" t="str">
        <f t="shared" si="15"/>
        <v>gm</v>
      </c>
      <c r="D122" s="1130">
        <f t="shared" si="15"/>
        <v>5</v>
      </c>
      <c r="E122" s="1167">
        <f t="shared" si="16"/>
        <v>0</v>
      </c>
      <c r="F122" s="948">
        <f t="shared" si="17"/>
        <v>1</v>
      </c>
      <c r="G122" s="940">
        <f t="shared" si="18"/>
        <v>0</v>
      </c>
      <c r="H122" s="943">
        <f t="shared" si="19"/>
        <v>0</v>
      </c>
      <c r="K122" s="890"/>
    </row>
    <row r="123" spans="1:11" x14ac:dyDescent="0.25">
      <c r="B123" s="1130" t="str">
        <f t="shared" si="15"/>
        <v>Butter - زبدة</v>
      </c>
      <c r="C123" s="1252" t="str">
        <f t="shared" si="15"/>
        <v>gm</v>
      </c>
      <c r="D123" s="1130">
        <f t="shared" si="15"/>
        <v>10</v>
      </c>
      <c r="E123" s="1167">
        <f t="shared" si="16"/>
        <v>0</v>
      </c>
      <c r="F123" s="948">
        <f t="shared" si="17"/>
        <v>1</v>
      </c>
      <c r="G123" s="940">
        <f t="shared" si="18"/>
        <v>0</v>
      </c>
      <c r="H123" s="943">
        <f t="shared" si="19"/>
        <v>0</v>
      </c>
      <c r="K123" s="890"/>
    </row>
    <row r="124" spans="1:11" x14ac:dyDescent="0.25">
      <c r="B124" s="1130" t="str">
        <f t="shared" si="15"/>
        <v>White Pepper - فلفل أبيض</v>
      </c>
      <c r="C124" s="1252" t="str">
        <f t="shared" si="15"/>
        <v>gm</v>
      </c>
      <c r="D124" s="1130">
        <f t="shared" si="15"/>
        <v>2</v>
      </c>
      <c r="E124" s="1167">
        <f t="shared" si="16"/>
        <v>0</v>
      </c>
      <c r="F124" s="948">
        <f t="shared" si="17"/>
        <v>0.75</v>
      </c>
      <c r="G124" s="940">
        <f t="shared" si="18"/>
        <v>0</v>
      </c>
      <c r="H124" s="943">
        <f t="shared" si="19"/>
        <v>0</v>
      </c>
      <c r="K124" s="890"/>
    </row>
    <row r="125" spans="1:11" x14ac:dyDescent="0.25">
      <c r="B125" s="1130" t="str">
        <f t="shared" si="15"/>
        <v>Salt - ملح</v>
      </c>
      <c r="C125" s="1252" t="str">
        <f t="shared" si="15"/>
        <v>gm</v>
      </c>
      <c r="D125" s="1130">
        <f t="shared" si="15"/>
        <v>5</v>
      </c>
      <c r="E125" s="1167">
        <f t="shared" si="16"/>
        <v>0</v>
      </c>
      <c r="F125" s="948">
        <f t="shared" si="17"/>
        <v>0.75</v>
      </c>
      <c r="G125" s="940">
        <f t="shared" si="18"/>
        <v>0</v>
      </c>
      <c r="H125" s="943">
        <f t="shared" si="19"/>
        <v>0</v>
      </c>
      <c r="K125" s="890"/>
    </row>
    <row r="126" spans="1:11" x14ac:dyDescent="0.25">
      <c r="B126" s="1130" t="str">
        <f t="shared" si="15"/>
        <v>Cumin Powder - كمون مطحون</v>
      </c>
      <c r="C126" s="1252" t="str">
        <f t="shared" si="15"/>
        <v>gm</v>
      </c>
      <c r="D126" s="1130">
        <f t="shared" si="15"/>
        <v>1</v>
      </c>
      <c r="E126" s="1167">
        <f t="shared" si="16"/>
        <v>0</v>
      </c>
      <c r="F126" s="948">
        <f t="shared" si="17"/>
        <v>0.75</v>
      </c>
      <c r="G126" s="940">
        <f t="shared" si="18"/>
        <v>0</v>
      </c>
      <c r="H126" s="943">
        <f t="shared" si="19"/>
        <v>0</v>
      </c>
      <c r="K126" s="890"/>
    </row>
    <row r="127" spans="1:11" ht="15.75" x14ac:dyDescent="0.25">
      <c r="B127" s="1041" t="s">
        <v>683</v>
      </c>
      <c r="C127" s="952"/>
      <c r="D127" s="1043"/>
      <c r="E127" s="1043"/>
      <c r="F127" s="1043"/>
      <c r="G127" s="952"/>
      <c r="H127" s="1043"/>
      <c r="K127" s="890"/>
    </row>
    <row r="128" spans="1:11" ht="20.25" x14ac:dyDescent="0.3">
      <c r="B128" s="1047">
        <f>D57</f>
        <v>0</v>
      </c>
      <c r="C128" s="952"/>
      <c r="D128" s="1043"/>
      <c r="E128" s="1043"/>
      <c r="F128" s="1043"/>
      <c r="G128" s="952"/>
      <c r="H128" s="1043"/>
      <c r="K128" s="890"/>
    </row>
  </sheetData>
  <mergeCells count="13">
    <mergeCell ref="AE2:AG3"/>
    <mergeCell ref="B118:H118"/>
    <mergeCell ref="B90:H90"/>
    <mergeCell ref="B105:H105"/>
    <mergeCell ref="B77:H77"/>
    <mergeCell ref="B91:H91"/>
    <mergeCell ref="B62:H62"/>
    <mergeCell ref="B2:H2"/>
    <mergeCell ref="B117:H117"/>
    <mergeCell ref="B104:H104"/>
    <mergeCell ref="R25:T25"/>
    <mergeCell ref="B76:H76"/>
    <mergeCell ref="B63:H63"/>
  </mergeCells>
  <printOptions horizontalCentered="1"/>
  <pageMargins left="0.5" right="0.5" top="1" bottom="0.5" header="0.3" footer="0.511811023622047"/>
  <pageSetup paperSize="9" scale="32"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2E75B6"/>
    <pageSetUpPr fitToPage="1"/>
  </sheetPr>
  <dimension ref="A1:AT123"/>
  <sheetViews>
    <sheetView topLeftCell="AC1" zoomScale="70" zoomScaleNormal="70" workbookViewId="0">
      <selection activeCell="AL3" sqref="AL3"/>
    </sheetView>
  </sheetViews>
  <sheetFormatPr defaultColWidth="12.5" defaultRowHeight="15" x14ac:dyDescent="0.25"/>
  <cols>
    <col min="1" max="1" width="24.75" style="61" customWidth="1"/>
    <col min="2" max="2" width="46.125" style="14" customWidth="1"/>
    <col min="3" max="3" width="18.625" style="14" customWidth="1"/>
    <col min="4" max="6" width="25.875" style="14" customWidth="1"/>
    <col min="7" max="7" width="20.75" style="14" bestFit="1" customWidth="1"/>
    <col min="8" max="8" width="25.875" style="14" customWidth="1"/>
    <col min="9" max="10" width="18.625" style="14" customWidth="1"/>
    <col min="11" max="11" width="25.875" style="14" customWidth="1"/>
    <col min="12" max="12" width="12.625" style="14" customWidth="1"/>
    <col min="13" max="14" width="5.2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ustomWidth="1"/>
    <col min="25" max="25" width="8.625" style="14" customWidth="1"/>
    <col min="26" max="29" width="12.625" style="14" customWidth="1"/>
    <col min="30" max="30" width="18.625" style="14" customWidth="1"/>
    <col min="31" max="32" width="12.625" style="14" customWidth="1"/>
    <col min="33" max="35" width="4.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s="168" customFormat="1" ht="25.5" x14ac:dyDescent="0.2">
      <c r="A1" s="865"/>
      <c r="B1" s="913" t="s">
        <v>231</v>
      </c>
      <c r="C1" s="914">
        <v>1000</v>
      </c>
      <c r="D1" s="915" t="s">
        <v>232</v>
      </c>
      <c r="E1" s="941">
        <f>T32</f>
        <v>8275.3846153846243</v>
      </c>
      <c r="F1" s="913" t="s">
        <v>233</v>
      </c>
      <c r="G1" s="914">
        <f>E1/C1</f>
        <v>8.275384615384624</v>
      </c>
      <c r="H1" s="913" t="s">
        <v>234</v>
      </c>
      <c r="I1" s="1040">
        <f>(G1/K1)</f>
        <v>8.275384615384624</v>
      </c>
      <c r="J1" s="919" t="s">
        <v>235</v>
      </c>
      <c r="K1" s="1040">
        <v>1</v>
      </c>
      <c r="L1" s="73"/>
      <c r="M1" s="70"/>
      <c r="N1" s="922"/>
      <c r="O1" s="923" t="s">
        <v>236</v>
      </c>
      <c r="P1" s="914" t="s">
        <v>237</v>
      </c>
      <c r="Q1" s="924" t="s">
        <v>238</v>
      </c>
      <c r="R1" s="914">
        <v>0.59</v>
      </c>
      <c r="S1" s="73"/>
      <c r="T1" s="73"/>
      <c r="W1" s="1129"/>
      <c r="Y1" s="923" t="s">
        <v>444</v>
      </c>
      <c r="Z1" s="925">
        <v>34860</v>
      </c>
      <c r="AA1" s="923" t="s">
        <v>544</v>
      </c>
      <c r="AB1" s="925">
        <v>1000</v>
      </c>
      <c r="AC1" s="923" t="s">
        <v>537</v>
      </c>
      <c r="AD1" s="925">
        <v>240</v>
      </c>
      <c r="AF1" s="170"/>
      <c r="AG1" s="73"/>
      <c r="AI1" s="14"/>
      <c r="AJ1" s="926" t="s">
        <v>250</v>
      </c>
      <c r="AK1" s="926">
        <v>10000</v>
      </c>
      <c r="AL1" s="927" t="s">
        <v>474</v>
      </c>
      <c r="AM1" s="928">
        <f>$S$32</f>
        <v>27584.615384615379</v>
      </c>
      <c r="AN1" s="926" t="s">
        <v>239</v>
      </c>
      <c r="AO1" s="1349">
        <f>($S$32/$R$1)/$AK$1</f>
        <v>4.6753585397653188</v>
      </c>
      <c r="AP1" s="76"/>
      <c r="AS1" s="1129"/>
    </row>
    <row r="2" spans="1:46" ht="15.75" x14ac:dyDescent="0.25">
      <c r="A2" s="863"/>
      <c r="B2" s="1784" t="s">
        <v>43</v>
      </c>
      <c r="C2" s="1797"/>
      <c r="D2" s="1798"/>
      <c r="E2" s="1798"/>
      <c r="F2" s="1798"/>
      <c r="G2" s="1797"/>
      <c r="H2" s="1798"/>
      <c r="I2" s="1797"/>
      <c r="J2" s="1797"/>
      <c r="K2" s="1784"/>
      <c r="L2" s="1828"/>
      <c r="O2" s="80"/>
      <c r="P2" s="80"/>
      <c r="Q2" s="80"/>
      <c r="R2" s="80"/>
      <c r="S2" s="80"/>
      <c r="T2" s="80"/>
      <c r="U2" s="80"/>
      <c r="W2" s="890"/>
      <c r="AC2" s="79"/>
      <c r="AD2" s="79"/>
      <c r="AE2" s="1795"/>
      <c r="AF2" s="1799"/>
      <c r="AG2" s="1799"/>
      <c r="AJ2" s="930"/>
      <c r="AK2" s="1783" t="s">
        <v>350</v>
      </c>
      <c r="AL2" s="1783"/>
      <c r="AM2" s="1783"/>
      <c r="AN2" s="931"/>
      <c r="AO2" s="930"/>
      <c r="AP2" s="81"/>
      <c r="AS2" s="890"/>
    </row>
    <row r="3" spans="1:46" ht="15.75" x14ac:dyDescent="0.25">
      <c r="A3" s="863"/>
      <c r="B3" s="1785"/>
      <c r="C3" s="1796"/>
      <c r="D3" s="1785"/>
      <c r="E3" s="1785"/>
      <c r="F3" s="1785"/>
      <c r="G3" s="1796"/>
      <c r="H3" s="1785"/>
      <c r="I3" s="1796"/>
      <c r="J3" s="1796"/>
      <c r="K3" s="1785"/>
      <c r="L3" s="1796"/>
      <c r="O3" s="80"/>
      <c r="P3" s="80"/>
      <c r="Q3" s="80"/>
      <c r="R3" s="80"/>
      <c r="S3" s="80"/>
      <c r="T3" s="80"/>
      <c r="U3" s="80"/>
      <c r="W3" s="890"/>
      <c r="AC3" s="79"/>
      <c r="AD3" s="79"/>
      <c r="AE3" s="1799"/>
      <c r="AF3" s="1799"/>
      <c r="AG3" s="1799"/>
      <c r="AJ3" s="1354"/>
      <c r="AK3" s="81"/>
      <c r="AL3" s="82"/>
      <c r="AM3" s="82"/>
      <c r="AN3" s="82"/>
      <c r="AO3" s="81"/>
      <c r="AP3" s="81"/>
      <c r="AS3" s="890"/>
    </row>
    <row r="4" spans="1:46" ht="38.25" x14ac:dyDescent="0.2">
      <c r="A4" s="1350" t="s">
        <v>864</v>
      </c>
      <c r="B4" s="923" t="s">
        <v>349</v>
      </c>
      <c r="C4" s="934" t="s">
        <v>242</v>
      </c>
      <c r="D4" s="923" t="s">
        <v>231</v>
      </c>
      <c r="E4" s="935" t="s">
        <v>234</v>
      </c>
      <c r="F4" s="935" t="s">
        <v>243</v>
      </c>
      <c r="G4" s="923" t="s">
        <v>244</v>
      </c>
      <c r="H4" s="936" t="s">
        <v>245</v>
      </c>
      <c r="I4" s="923" t="s">
        <v>246</v>
      </c>
      <c r="J4" s="923" t="s">
        <v>247</v>
      </c>
      <c r="K4" s="923" t="s">
        <v>248</v>
      </c>
      <c r="L4" s="923" t="s">
        <v>249</v>
      </c>
      <c r="O4" s="80"/>
      <c r="P4" s="80"/>
      <c r="Q4" s="80"/>
      <c r="R4" s="80"/>
      <c r="S4" s="80"/>
      <c r="T4" s="890"/>
      <c r="W4" s="890"/>
      <c r="AA4" s="169"/>
      <c r="AB4" s="171"/>
      <c r="AC4" s="169"/>
      <c r="AD4" s="169"/>
      <c r="AE4" s="169"/>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
      <c r="A5" s="937" t="s">
        <v>876</v>
      </c>
      <c r="B5" s="1118" t="s">
        <v>220</v>
      </c>
      <c r="C5" s="947" t="s">
        <v>14</v>
      </c>
      <c r="D5" s="944">
        <f>I51/H51</f>
        <v>5649.8305084745762</v>
      </c>
      <c r="E5" s="941">
        <f>H52</f>
        <v>8.2752191110023947</v>
      </c>
      <c r="F5" s="948">
        <v>1</v>
      </c>
      <c r="G5" s="940">
        <f t="shared" ref="G5:G29" si="0">D5*E5</f>
        <v>46753.585397653187</v>
      </c>
      <c r="H5" s="943">
        <f t="shared" ref="H5:H29" si="1">G5*F5</f>
        <v>46753.585397653187</v>
      </c>
      <c r="I5" s="914">
        <f>VLOOKUP(B5,All_Ingredients!$A$1:$F$161,6,FALSE())</f>
        <v>0.86</v>
      </c>
      <c r="J5" s="940">
        <f>VLOOKUP(B5,All_Ingredients!$A$1:$J$161,10,FALSE())</f>
        <v>17.100000000000001</v>
      </c>
      <c r="K5" s="945">
        <f t="shared" ref="K5" si="2">(H5/I5)/1000</f>
        <v>54.364634183317662</v>
      </c>
      <c r="L5" s="945">
        <f t="shared" ref="L5" si="3">K5*J5</f>
        <v>929.63524453473212</v>
      </c>
      <c r="O5" s="80"/>
      <c r="P5" s="80"/>
      <c r="Q5" s="80"/>
      <c r="R5" s="80"/>
      <c r="S5" s="80"/>
      <c r="T5" s="890"/>
      <c r="W5" s="890"/>
      <c r="AA5" s="73"/>
      <c r="AB5" s="89"/>
      <c r="AC5" s="172"/>
      <c r="AD5" s="90"/>
      <c r="AE5" s="91"/>
      <c r="AJ5" s="1355" t="s">
        <v>220</v>
      </c>
      <c r="AK5" s="951" t="s">
        <v>227</v>
      </c>
      <c r="AL5" s="1356">
        <v>10</v>
      </c>
      <c r="AM5" s="1357">
        <f t="shared" ref="AM5:AM12" si="4">$AO$1</f>
        <v>4.6753585397653188</v>
      </c>
      <c r="AN5" s="1358">
        <v>1</v>
      </c>
      <c r="AO5" s="1356">
        <f t="shared" ref="AO5:AO12" si="5">AL5*AM5</f>
        <v>46.75358539765319</v>
      </c>
      <c r="AP5" s="1359">
        <f t="shared" ref="AP5:AP12" si="6">AO5*AN5</f>
        <v>46.75358539765319</v>
      </c>
      <c r="AQ5" s="952"/>
      <c r="AR5" s="953"/>
      <c r="AS5" s="954"/>
      <c r="AT5" s="955"/>
    </row>
    <row r="6" spans="1:46" x14ac:dyDescent="0.25">
      <c r="A6" s="1351"/>
      <c r="B6" s="1115" t="s">
        <v>152</v>
      </c>
      <c r="C6" s="947" t="s">
        <v>14</v>
      </c>
      <c r="D6" s="914">
        <v>40</v>
      </c>
      <c r="E6" s="1040">
        <f t="shared" ref="E6:E29" si="7">$I$1</f>
        <v>8.275384615384624</v>
      </c>
      <c r="F6" s="948">
        <v>1</v>
      </c>
      <c r="G6" s="940">
        <f t="shared" si="0"/>
        <v>331.01538461538496</v>
      </c>
      <c r="H6" s="943">
        <f t="shared" si="1"/>
        <v>331.01538461538496</v>
      </c>
      <c r="I6" s="914">
        <f>VLOOKUP(B6,All_Ingredients!$A$1:$F$161,6,FALSE())</f>
        <v>1</v>
      </c>
      <c r="J6" s="940">
        <f>VLOOKUP(B6,All_Ingredients!$A$1:$J$161,10,FALSE())</f>
        <v>30</v>
      </c>
      <c r="K6" s="945">
        <f t="shared" ref="K6:K29" si="8">(H6/I6)/1000</f>
        <v>0.33101538461538493</v>
      </c>
      <c r="L6" s="945">
        <f t="shared" ref="L6:L29" si="9">K6*J6</f>
        <v>9.9304615384615484</v>
      </c>
      <c r="R6" s="890"/>
      <c r="T6" s="890"/>
      <c r="W6" s="890"/>
      <c r="AJ6" s="1355" t="s">
        <v>54</v>
      </c>
      <c r="AK6" s="1201" t="s">
        <v>14</v>
      </c>
      <c r="AL6" s="940">
        <v>100</v>
      </c>
      <c r="AM6" s="1357">
        <f t="shared" si="4"/>
        <v>4.6753585397653188</v>
      </c>
      <c r="AN6" s="1358">
        <v>1</v>
      </c>
      <c r="AO6" s="1356">
        <f t="shared" si="5"/>
        <v>467.53585397653188</v>
      </c>
      <c r="AP6" s="1359">
        <f t="shared" si="6"/>
        <v>467.53585397653188</v>
      </c>
      <c r="AQ6" s="955">
        <f>VLOOKUP(AJ6,Marination_Ordering!$A:$J,6,FALSE)</f>
        <v>0.87</v>
      </c>
      <c r="AR6" s="955">
        <f>VLOOKUP(AJ6,Marination_Ordering!$A:$J,10,FALSE)</f>
        <v>7</v>
      </c>
      <c r="AS6" s="954">
        <f>AP6/AQ6</f>
        <v>537.39753330635847</v>
      </c>
      <c r="AT6" s="955">
        <f>AR6*(AS6/1000)</f>
        <v>3.7617827331445088</v>
      </c>
    </row>
    <row r="7" spans="1:46" x14ac:dyDescent="0.25">
      <c r="A7" s="1351" t="s">
        <v>866</v>
      </c>
      <c r="B7" s="1115" t="s">
        <v>12</v>
      </c>
      <c r="C7" s="947" t="s">
        <v>14</v>
      </c>
      <c r="D7" s="914">
        <v>350</v>
      </c>
      <c r="E7" s="1040">
        <f t="shared" si="7"/>
        <v>8.275384615384624</v>
      </c>
      <c r="F7" s="948">
        <v>0.75</v>
      </c>
      <c r="G7" s="940">
        <f t="shared" si="0"/>
        <v>2896.3846153846184</v>
      </c>
      <c r="H7" s="943">
        <f t="shared" si="1"/>
        <v>2172.2884615384637</v>
      </c>
      <c r="I7" s="914">
        <f>VLOOKUP(B7,All_Ingredients!$A$1:$F$161,6,FALSE())</f>
        <v>0.9</v>
      </c>
      <c r="J7" s="940">
        <f>VLOOKUP(B7,All_Ingredients!$A$1:$J$161,10,FALSE())</f>
        <v>3</v>
      </c>
      <c r="K7" s="945">
        <f t="shared" si="8"/>
        <v>2.4136538461538484</v>
      </c>
      <c r="L7" s="945">
        <f t="shared" si="9"/>
        <v>7.2409615384615451</v>
      </c>
      <c r="R7" s="890"/>
      <c r="T7" s="890"/>
      <c r="W7" s="890"/>
      <c r="AJ7" s="1355" t="s">
        <v>706</v>
      </c>
      <c r="AK7" s="1201" t="s">
        <v>14</v>
      </c>
      <c r="AL7" s="940">
        <v>150</v>
      </c>
      <c r="AM7" s="1357">
        <f t="shared" si="4"/>
        <v>4.6753585397653188</v>
      </c>
      <c r="AN7" s="1358">
        <v>1</v>
      </c>
      <c r="AO7" s="1356">
        <f t="shared" si="5"/>
        <v>701.30378096479785</v>
      </c>
      <c r="AP7" s="1359">
        <f t="shared" si="6"/>
        <v>701.30378096479785</v>
      </c>
      <c r="AQ7" s="955">
        <f>VLOOKUP(AJ7,Marination_Ordering!$A:$J,6,FALSE)</f>
        <v>1</v>
      </c>
      <c r="AR7" s="955">
        <f>VLOOKUP(AJ7,Marination_Ordering!$A:$J,10,FALSE)</f>
        <v>10.5</v>
      </c>
      <c r="AS7" s="954">
        <f t="shared" ref="AS7:AS12" si="10">AP7/AQ7</f>
        <v>701.30378096479785</v>
      </c>
      <c r="AT7" s="955">
        <f t="shared" ref="AT7:AT12" si="11">AR7*(AS7/1000)</f>
        <v>7.3636897001303776</v>
      </c>
    </row>
    <row r="8" spans="1:46" x14ac:dyDescent="0.25">
      <c r="A8" s="1351"/>
      <c r="B8" s="1115" t="s">
        <v>163</v>
      </c>
      <c r="C8" s="947" t="s">
        <v>14</v>
      </c>
      <c r="D8" s="914">
        <v>250</v>
      </c>
      <c r="E8" s="1040">
        <f t="shared" si="7"/>
        <v>8.275384615384624</v>
      </c>
      <c r="F8" s="948">
        <v>0.9</v>
      </c>
      <c r="G8" s="940">
        <f t="shared" si="0"/>
        <v>2068.8461538461561</v>
      </c>
      <c r="H8" s="943">
        <f t="shared" si="1"/>
        <v>1861.9615384615406</v>
      </c>
      <c r="I8" s="914">
        <f>VLOOKUP(B8,All_Ingredients!$A$1:$F$161,6,FALSE())</f>
        <v>1</v>
      </c>
      <c r="J8" s="940">
        <f>VLOOKUP(B8,All_Ingredients!$A$1:$J$161,10,FALSE())</f>
        <v>6.6959999999999997</v>
      </c>
      <c r="K8" s="945">
        <f t="shared" si="8"/>
        <v>1.8619615384615407</v>
      </c>
      <c r="L8" s="945">
        <f t="shared" si="9"/>
        <v>12.467694461538477</v>
      </c>
      <c r="R8" s="890"/>
      <c r="T8" s="890"/>
      <c r="W8" s="890"/>
      <c r="AJ8" s="1355" t="s">
        <v>212</v>
      </c>
      <c r="AK8" s="1201" t="s">
        <v>160</v>
      </c>
      <c r="AL8" s="940">
        <v>150</v>
      </c>
      <c r="AM8" s="1357">
        <f t="shared" si="4"/>
        <v>4.6753585397653188</v>
      </c>
      <c r="AN8" s="1358">
        <v>1</v>
      </c>
      <c r="AO8" s="1356">
        <f t="shared" si="5"/>
        <v>701.30378096479785</v>
      </c>
      <c r="AP8" s="1359">
        <f t="shared" si="6"/>
        <v>701.30378096479785</v>
      </c>
      <c r="AQ8" s="955">
        <f>VLOOKUP(AJ8,Marination_Ordering!$A:$J,6,FALSE)</f>
        <v>1</v>
      </c>
      <c r="AR8" s="955">
        <f>VLOOKUP(AJ8,Marination_Ordering!$A:$J,10,FALSE)</f>
        <v>5</v>
      </c>
      <c r="AS8" s="954">
        <f t="shared" si="10"/>
        <v>701.30378096479785</v>
      </c>
      <c r="AT8" s="955">
        <f t="shared" si="11"/>
        <v>3.5065189048239893</v>
      </c>
    </row>
    <row r="9" spans="1:46" x14ac:dyDescent="0.25">
      <c r="A9" s="1351" t="s">
        <v>868</v>
      </c>
      <c r="B9" s="1115" t="s">
        <v>706</v>
      </c>
      <c r="C9" s="947" t="s">
        <v>14</v>
      </c>
      <c r="D9" s="914">
        <v>20</v>
      </c>
      <c r="E9" s="1040">
        <f t="shared" si="7"/>
        <v>8.275384615384624</v>
      </c>
      <c r="F9" s="948">
        <v>1</v>
      </c>
      <c r="G9" s="940">
        <f t="shared" si="0"/>
        <v>165.50769230769248</v>
      </c>
      <c r="H9" s="943">
        <f t="shared" si="1"/>
        <v>165.50769230769248</v>
      </c>
      <c r="I9" s="914">
        <f>VLOOKUP(B9,All_Ingredients!$A$1:$F$161,6,FALSE())</f>
        <v>1</v>
      </c>
      <c r="J9" s="940">
        <f>VLOOKUP(B9,All_Ingredients!$A$1:$J$161,10,FALSE())</f>
        <v>10.5</v>
      </c>
      <c r="K9" s="945">
        <f t="shared" si="8"/>
        <v>0.16550769230769247</v>
      </c>
      <c r="L9" s="945">
        <f t="shared" si="9"/>
        <v>1.7378307692307708</v>
      </c>
      <c r="R9" s="890"/>
      <c r="T9" s="890"/>
      <c r="W9" s="890"/>
      <c r="AJ9" s="1355" t="s">
        <v>208</v>
      </c>
      <c r="AK9" s="951" t="s">
        <v>160</v>
      </c>
      <c r="AL9" s="940">
        <v>100</v>
      </c>
      <c r="AM9" s="1357">
        <f t="shared" si="4"/>
        <v>4.6753585397653188</v>
      </c>
      <c r="AN9" s="1358">
        <v>1</v>
      </c>
      <c r="AO9" s="1356">
        <f t="shared" si="5"/>
        <v>467.53585397653188</v>
      </c>
      <c r="AP9" s="1359">
        <f t="shared" si="6"/>
        <v>467.53585397653188</v>
      </c>
      <c r="AQ9" s="955">
        <f>VLOOKUP(AJ9,Marination_Ordering!$A:$J,6,FALSE)</f>
        <v>1</v>
      </c>
      <c r="AR9" s="955">
        <f>VLOOKUP(AJ9,Marination_Ordering!$A:$J,10,FALSE)</f>
        <v>2.1621621621621623</v>
      </c>
      <c r="AS9" s="954">
        <f t="shared" si="10"/>
        <v>467.53585397653188</v>
      </c>
      <c r="AT9" s="955">
        <f t="shared" si="11"/>
        <v>1.0108883329222311</v>
      </c>
    </row>
    <row r="10" spans="1:46" x14ac:dyDescent="0.25">
      <c r="A10" s="1351" t="s">
        <v>867</v>
      </c>
      <c r="B10" s="1115" t="s">
        <v>54</v>
      </c>
      <c r="C10" s="947" t="s">
        <v>14</v>
      </c>
      <c r="D10" s="914">
        <v>20</v>
      </c>
      <c r="E10" s="1040">
        <f t="shared" si="7"/>
        <v>8.275384615384624</v>
      </c>
      <c r="F10" s="948">
        <v>0.5</v>
      </c>
      <c r="G10" s="940">
        <f t="shared" si="0"/>
        <v>165.50769230769248</v>
      </c>
      <c r="H10" s="943">
        <f t="shared" si="1"/>
        <v>82.75384615384624</v>
      </c>
      <c r="I10" s="914">
        <f>VLOOKUP(B10,All_Ingredients!$A$1:$F$161,6,FALSE())</f>
        <v>0.87</v>
      </c>
      <c r="J10" s="940">
        <f>VLOOKUP(B10,All_Ingredients!$A$1:$J$161,10,FALSE())</f>
        <v>7</v>
      </c>
      <c r="K10" s="945">
        <f t="shared" si="8"/>
        <v>9.5119363395225559E-2</v>
      </c>
      <c r="L10" s="945">
        <f t="shared" si="9"/>
        <v>0.66583554376657894</v>
      </c>
      <c r="R10" s="890"/>
      <c r="T10" s="890"/>
      <c r="W10" s="890"/>
      <c r="AJ10" s="1355" t="s">
        <v>93</v>
      </c>
      <c r="AK10" s="1201" t="s">
        <v>14</v>
      </c>
      <c r="AL10" s="940">
        <v>5</v>
      </c>
      <c r="AM10" s="1357">
        <f t="shared" si="4"/>
        <v>4.6753585397653188</v>
      </c>
      <c r="AN10" s="1358">
        <v>1</v>
      </c>
      <c r="AO10" s="1356">
        <f t="shared" si="5"/>
        <v>23.376792698826595</v>
      </c>
      <c r="AP10" s="1359">
        <f t="shared" si="6"/>
        <v>23.376792698826595</v>
      </c>
      <c r="AQ10" s="955">
        <f>VLOOKUP(AJ10,Marination_Ordering!$A:$J,6,FALSE)</f>
        <v>1</v>
      </c>
      <c r="AR10" s="955">
        <f>VLOOKUP(AJ10,Marination_Ordering!$A:$J,10,FALSE)</f>
        <v>0.74</v>
      </c>
      <c r="AS10" s="954">
        <f t="shared" si="10"/>
        <v>23.376792698826595</v>
      </c>
      <c r="AT10" s="955">
        <f t="shared" si="11"/>
        <v>1.7298826597131681E-2</v>
      </c>
    </row>
    <row r="11" spans="1:46" ht="28.5" x14ac:dyDescent="0.25">
      <c r="A11" s="1351"/>
      <c r="B11" s="1115" t="s">
        <v>107</v>
      </c>
      <c r="C11" s="947" t="s">
        <v>14</v>
      </c>
      <c r="D11" s="914">
        <v>10</v>
      </c>
      <c r="E11" s="1040">
        <f t="shared" si="7"/>
        <v>8.275384615384624</v>
      </c>
      <c r="F11" s="948">
        <v>0.95</v>
      </c>
      <c r="G11" s="940">
        <f t="shared" si="0"/>
        <v>82.75384615384624</v>
      </c>
      <c r="H11" s="943">
        <f t="shared" si="1"/>
        <v>78.616153846153921</v>
      </c>
      <c r="I11" s="914">
        <f>VLOOKUP(B11,All_Ingredients!$A$1:$F$161,6,FALSE())</f>
        <v>1</v>
      </c>
      <c r="J11" s="940">
        <f>VLOOKUP(B11,All_Ingredients!$A$1:$J$161,10,FALSE())</f>
        <v>8</v>
      </c>
      <c r="K11" s="945">
        <f t="shared" si="8"/>
        <v>7.8616153846153919E-2</v>
      </c>
      <c r="L11" s="945">
        <f t="shared" si="9"/>
        <v>0.62892923076923135</v>
      </c>
      <c r="R11" s="890"/>
      <c r="T11" s="890"/>
      <c r="W11" s="890"/>
      <c r="AJ11" s="1355" t="s">
        <v>99</v>
      </c>
      <c r="AK11" s="1201" t="s">
        <v>14</v>
      </c>
      <c r="AL11" s="940">
        <v>5</v>
      </c>
      <c r="AM11" s="1357">
        <f t="shared" si="4"/>
        <v>4.6753585397653188</v>
      </c>
      <c r="AN11" s="1358">
        <v>1</v>
      </c>
      <c r="AO11" s="1356">
        <f t="shared" si="5"/>
        <v>23.376792698826595</v>
      </c>
      <c r="AP11" s="1359">
        <f t="shared" si="6"/>
        <v>23.376792698826595</v>
      </c>
      <c r="AQ11" s="955">
        <f>VLOOKUP(AJ11,Marination_Ordering!$A:$J,6,FALSE)</f>
        <v>1</v>
      </c>
      <c r="AR11" s="955">
        <f>VLOOKUP(AJ11,Marination_Ordering!$A:$J,10,FALSE)</f>
        <v>31</v>
      </c>
      <c r="AS11" s="954">
        <f t="shared" si="10"/>
        <v>23.376792698826595</v>
      </c>
      <c r="AT11" s="955">
        <f t="shared" si="11"/>
        <v>0.72468057366362437</v>
      </c>
    </row>
    <row r="12" spans="1:46" ht="28.5" x14ac:dyDescent="0.25">
      <c r="A12" s="1351"/>
      <c r="B12" s="1115" t="s">
        <v>105</v>
      </c>
      <c r="C12" s="947" t="s">
        <v>14</v>
      </c>
      <c r="D12" s="914">
        <v>5</v>
      </c>
      <c r="E12" s="1040">
        <f t="shared" si="7"/>
        <v>8.275384615384624</v>
      </c>
      <c r="F12" s="948">
        <v>0.95</v>
      </c>
      <c r="G12" s="940">
        <f t="shared" si="0"/>
        <v>41.37692307692312</v>
      </c>
      <c r="H12" s="943">
        <f t="shared" si="1"/>
        <v>39.30807692307696</v>
      </c>
      <c r="I12" s="914">
        <f>VLOOKUP(B12,All_Ingredients!$A$1:$F$161,6,FALSE())</f>
        <v>1</v>
      </c>
      <c r="J12" s="940">
        <f>VLOOKUP(B12,All_Ingredients!$A$1:$J$161,10,FALSE())</f>
        <v>15</v>
      </c>
      <c r="K12" s="945">
        <f t="shared" si="8"/>
        <v>3.9308076923076959E-2</v>
      </c>
      <c r="L12" s="945">
        <f t="shared" si="9"/>
        <v>0.58962115384615443</v>
      </c>
      <c r="R12" s="890"/>
      <c r="T12" s="890"/>
      <c r="W12" s="890"/>
      <c r="AJ12" s="1355" t="s">
        <v>799</v>
      </c>
      <c r="AK12" s="1201" t="s">
        <v>14</v>
      </c>
      <c r="AL12" s="914">
        <v>5</v>
      </c>
      <c r="AM12" s="1357">
        <f t="shared" si="4"/>
        <v>4.6753585397653188</v>
      </c>
      <c r="AN12" s="1358">
        <v>1</v>
      </c>
      <c r="AO12" s="1356">
        <f t="shared" si="5"/>
        <v>23.376792698826595</v>
      </c>
      <c r="AP12" s="1359">
        <f t="shared" si="6"/>
        <v>23.376792698826595</v>
      </c>
      <c r="AQ12" s="955">
        <f>VLOOKUP(AJ12,Marination_Ordering!$A:$J,6,FALSE)</f>
        <v>1</v>
      </c>
      <c r="AR12" s="955">
        <f>VLOOKUP(AJ12,Marination_Ordering!$A:$J,10,FALSE)</f>
        <v>22.5</v>
      </c>
      <c r="AS12" s="954">
        <f t="shared" si="10"/>
        <v>23.376792698826595</v>
      </c>
      <c r="AT12" s="955">
        <f t="shared" si="11"/>
        <v>0.52597783572359835</v>
      </c>
    </row>
    <row r="13" spans="1:46" x14ac:dyDescent="0.25">
      <c r="A13" s="1351"/>
      <c r="B13" s="1115" t="s">
        <v>113</v>
      </c>
      <c r="C13" s="947" t="s">
        <v>14</v>
      </c>
      <c r="D13" s="914">
        <v>3</v>
      </c>
      <c r="E13" s="1040">
        <f t="shared" si="7"/>
        <v>8.275384615384624</v>
      </c>
      <c r="F13" s="948">
        <v>0.6</v>
      </c>
      <c r="G13" s="940">
        <f t="shared" si="0"/>
        <v>24.826153846153872</v>
      </c>
      <c r="H13" s="943">
        <f t="shared" si="1"/>
        <v>14.895692307692322</v>
      </c>
      <c r="I13" s="914">
        <f>VLOOKUP(B13,All_Ingredients!$A$1:$F$161,6,FALSE())</f>
        <v>1</v>
      </c>
      <c r="J13" s="940">
        <f>VLOOKUP(B13,All_Ingredients!$A$1:$J$161,10,FALSE())</f>
        <v>20</v>
      </c>
      <c r="K13" s="945">
        <f t="shared" si="8"/>
        <v>1.4895692307692322E-2</v>
      </c>
      <c r="L13" s="945">
        <f t="shared" si="9"/>
        <v>0.29791384615384642</v>
      </c>
      <c r="R13" s="890"/>
      <c r="T13" s="890"/>
      <c r="W13" s="890"/>
      <c r="AJ13" s="890"/>
      <c r="AK13" s="890"/>
      <c r="AL13" s="890"/>
      <c r="AM13" s="890"/>
      <c r="AN13" s="890"/>
      <c r="AP13" s="890"/>
      <c r="AS13" s="890"/>
    </row>
    <row r="14" spans="1:46" x14ac:dyDescent="0.25">
      <c r="A14" s="1351"/>
      <c r="B14" s="1115" t="s">
        <v>166</v>
      </c>
      <c r="C14" s="947" t="s">
        <v>160</v>
      </c>
      <c r="D14" s="914">
        <v>500</v>
      </c>
      <c r="E14" s="1040">
        <f t="shared" si="7"/>
        <v>8.275384615384624</v>
      </c>
      <c r="F14" s="948">
        <v>1</v>
      </c>
      <c r="G14" s="940">
        <f t="shared" si="0"/>
        <v>4137.6923076923122</v>
      </c>
      <c r="H14" s="943">
        <f t="shared" si="1"/>
        <v>4137.6923076923122</v>
      </c>
      <c r="I14" s="914">
        <f>VLOOKUP(B14,All_Ingredients!$A$1:$F$161,6,FALSE())</f>
        <v>1</v>
      </c>
      <c r="J14" s="940">
        <f>VLOOKUP(B14,All_Ingredients!$A$1:$J$161,10,FALSE())</f>
        <v>12.666666666666666</v>
      </c>
      <c r="K14" s="945">
        <f t="shared" si="8"/>
        <v>4.137692307692312</v>
      </c>
      <c r="L14" s="945">
        <f t="shared" si="9"/>
        <v>52.410769230769283</v>
      </c>
      <c r="R14" s="890"/>
      <c r="T14" s="890"/>
      <c r="W14" s="890"/>
      <c r="AJ14" s="890"/>
      <c r="AK14" s="890"/>
      <c r="AL14" s="890"/>
      <c r="AM14" s="890"/>
      <c r="AN14" s="890"/>
      <c r="AP14" s="890"/>
      <c r="AS14" s="890"/>
    </row>
    <row r="15" spans="1:46" x14ac:dyDescent="0.25">
      <c r="A15" s="1351"/>
      <c r="B15" s="1115" t="s">
        <v>799</v>
      </c>
      <c r="C15" s="947" t="s">
        <v>14</v>
      </c>
      <c r="D15" s="914">
        <v>3</v>
      </c>
      <c r="E15" s="1040">
        <f t="shared" si="7"/>
        <v>8.275384615384624</v>
      </c>
      <c r="F15" s="948">
        <v>1</v>
      </c>
      <c r="G15" s="940">
        <f t="shared" si="0"/>
        <v>24.826153846153872</v>
      </c>
      <c r="H15" s="943">
        <f t="shared" si="1"/>
        <v>24.826153846153872</v>
      </c>
      <c r="I15" s="914">
        <f>VLOOKUP(B15,All_Ingredients!$A$1:$F$161,6,FALSE())</f>
        <v>1</v>
      </c>
      <c r="J15" s="940">
        <f>VLOOKUP(B15,All_Ingredients!$A$1:$J$161,10,FALSE())</f>
        <v>22.5</v>
      </c>
      <c r="K15" s="945">
        <f t="shared" si="8"/>
        <v>2.4826153846153873E-2</v>
      </c>
      <c r="L15" s="945">
        <f t="shared" si="9"/>
        <v>0.55858846153846209</v>
      </c>
      <c r="R15" s="890"/>
      <c r="T15" s="890"/>
      <c r="W15" s="890"/>
      <c r="AJ15" s="890"/>
      <c r="AK15" s="890"/>
      <c r="AL15" s="890"/>
      <c r="AM15" s="890"/>
      <c r="AN15" s="890"/>
      <c r="AP15" s="890"/>
      <c r="AS15" s="890"/>
    </row>
    <row r="16" spans="1:46" x14ac:dyDescent="0.25">
      <c r="A16" s="1351"/>
      <c r="B16" s="1115" t="s">
        <v>93</v>
      </c>
      <c r="C16" s="947" t="s">
        <v>14</v>
      </c>
      <c r="D16" s="914">
        <v>6</v>
      </c>
      <c r="E16" s="1040">
        <f t="shared" si="7"/>
        <v>8.275384615384624</v>
      </c>
      <c r="F16" s="948">
        <v>0.75</v>
      </c>
      <c r="G16" s="940">
        <f t="shared" si="0"/>
        <v>49.652307692307744</v>
      </c>
      <c r="H16" s="943">
        <f t="shared" si="1"/>
        <v>37.239230769230808</v>
      </c>
      <c r="I16" s="914">
        <f>VLOOKUP(B16,All_Ingredients!$A$1:$F$161,6,FALSE())</f>
        <v>1</v>
      </c>
      <c r="J16" s="940">
        <f>VLOOKUP(B16,All_Ingredients!$A$1:$J$161,10,FALSE())</f>
        <v>0.74</v>
      </c>
      <c r="K16" s="945">
        <f t="shared" si="8"/>
        <v>3.7239230769230809E-2</v>
      </c>
      <c r="L16" s="945">
        <f t="shared" si="9"/>
        <v>2.7557030769230797E-2</v>
      </c>
      <c r="R16" s="890"/>
      <c r="T16" s="890"/>
      <c r="W16" s="890"/>
      <c r="AJ16" s="890"/>
      <c r="AK16" s="890"/>
      <c r="AL16" s="890"/>
      <c r="AM16" s="890"/>
      <c r="AN16" s="890"/>
      <c r="AP16" s="890"/>
      <c r="AS16" s="890"/>
    </row>
    <row r="17" spans="1:32" x14ac:dyDescent="0.25">
      <c r="A17" s="1351"/>
      <c r="B17" s="1115" t="s">
        <v>82</v>
      </c>
      <c r="C17" s="947" t="s">
        <v>14</v>
      </c>
      <c r="D17" s="914">
        <v>1</v>
      </c>
      <c r="E17" s="1040">
        <f t="shared" si="7"/>
        <v>8.275384615384624</v>
      </c>
      <c r="F17" s="948">
        <v>0.75</v>
      </c>
      <c r="G17" s="940">
        <f t="shared" si="0"/>
        <v>8.275384615384624</v>
      </c>
      <c r="H17" s="943">
        <f t="shared" si="1"/>
        <v>6.206538461538468</v>
      </c>
      <c r="I17" s="914">
        <f>VLOOKUP(B17,All_Ingredients!$A$1:$F$161,6,FALSE())</f>
        <v>1</v>
      </c>
      <c r="J17" s="940">
        <f>VLOOKUP(B17,All_Ingredients!$A$1:$J$161,10,FALSE())</f>
        <v>147.88732394366198</v>
      </c>
      <c r="K17" s="945">
        <f t="shared" si="8"/>
        <v>6.2065384615384682E-3</v>
      </c>
      <c r="L17" s="945">
        <f t="shared" si="9"/>
        <v>0.91786836403033689</v>
      </c>
      <c r="R17" s="890"/>
      <c r="T17" s="890"/>
      <c r="W17" s="890"/>
    </row>
    <row r="18" spans="1:32" ht="15.75" x14ac:dyDescent="0.25">
      <c r="A18" s="1351"/>
      <c r="B18" s="1115" t="s">
        <v>139</v>
      </c>
      <c r="C18" s="947" t="s">
        <v>14</v>
      </c>
      <c r="D18" s="914">
        <v>7</v>
      </c>
      <c r="E18" s="1040">
        <f t="shared" si="7"/>
        <v>8.275384615384624</v>
      </c>
      <c r="F18" s="948">
        <v>0.75</v>
      </c>
      <c r="G18" s="940">
        <f t="shared" si="0"/>
        <v>57.927692307692368</v>
      </c>
      <c r="H18" s="943">
        <f t="shared" si="1"/>
        <v>43.445769230769272</v>
      </c>
      <c r="I18" s="914">
        <f>VLOOKUP(B18,All_Ingredients!$A$1:$F$161,6,FALSE())</f>
        <v>1</v>
      </c>
      <c r="J18" s="940">
        <f>VLOOKUP(B18,All_Ingredients!$A$1:$J$161,10,FALSE())</f>
        <v>15.277777777777779</v>
      </c>
      <c r="K18" s="945">
        <f t="shared" si="8"/>
        <v>4.3445769230769274E-2</v>
      </c>
      <c r="L18" s="945">
        <f t="shared" si="9"/>
        <v>0.66375480769230844</v>
      </c>
      <c r="M18" s="236"/>
      <c r="N18" s="236"/>
      <c r="R18" s="890"/>
      <c r="T18" s="890"/>
      <c r="W18" s="890"/>
    </row>
    <row r="19" spans="1:32" ht="15.75" x14ac:dyDescent="0.25">
      <c r="A19" s="1351"/>
      <c r="B19" s="1115" t="s">
        <v>707</v>
      </c>
      <c r="C19" s="947" t="s">
        <v>14</v>
      </c>
      <c r="D19" s="914">
        <v>50</v>
      </c>
      <c r="E19" s="1040">
        <f t="shared" si="7"/>
        <v>8.275384615384624</v>
      </c>
      <c r="F19" s="948">
        <v>1</v>
      </c>
      <c r="G19" s="940">
        <f t="shared" si="0"/>
        <v>413.76923076923117</v>
      </c>
      <c r="H19" s="943">
        <f t="shared" si="1"/>
        <v>413.76923076923117</v>
      </c>
      <c r="I19" s="914">
        <f>VLOOKUP(B19,All_Ingredients!$A$1:$F$161,6,FALSE())</f>
        <v>1</v>
      </c>
      <c r="J19" s="940">
        <f>VLOOKUP(B19,All_Ingredients!$A$1:$J$161,10,FALSE())</f>
        <v>40.74074074074074</v>
      </c>
      <c r="K19" s="945">
        <f t="shared" si="8"/>
        <v>0.41376923076923117</v>
      </c>
      <c r="L19" s="945">
        <f t="shared" si="9"/>
        <v>16.857264957264974</v>
      </c>
      <c r="M19" s="237"/>
      <c r="N19" s="237"/>
      <c r="R19" s="890"/>
      <c r="T19" s="890"/>
      <c r="W19" s="890"/>
    </row>
    <row r="20" spans="1:32" ht="15.75" x14ac:dyDescent="0.25">
      <c r="A20" s="1351"/>
      <c r="B20" s="1352" t="s">
        <v>118</v>
      </c>
      <c r="C20" s="947" t="s">
        <v>14</v>
      </c>
      <c r="D20" s="914">
        <v>2</v>
      </c>
      <c r="E20" s="1040">
        <f t="shared" si="7"/>
        <v>8.275384615384624</v>
      </c>
      <c r="F20" s="948">
        <v>1</v>
      </c>
      <c r="G20" s="940">
        <f t="shared" si="0"/>
        <v>16.550769230769248</v>
      </c>
      <c r="H20" s="943">
        <f t="shared" si="1"/>
        <v>16.550769230769248</v>
      </c>
      <c r="I20" s="914">
        <f>VLOOKUP(B20,All_Ingredients!$A$1:$F$161,6,FALSE())</f>
        <v>1</v>
      </c>
      <c r="J20" s="940">
        <f>VLOOKUP(B20,All_Ingredients!$A$1:$J$161,10,FALSE())</f>
        <v>15</v>
      </c>
      <c r="K20" s="945">
        <f t="shared" si="8"/>
        <v>1.6550769230769247E-2</v>
      </c>
      <c r="L20" s="945">
        <f t="shared" si="9"/>
        <v>0.2482615384615387</v>
      </c>
      <c r="M20" s="237"/>
      <c r="N20" s="237"/>
      <c r="R20" s="890"/>
      <c r="S20"/>
      <c r="T20" s="890"/>
      <c r="W20" s="890"/>
    </row>
    <row r="21" spans="1:32" ht="15.75" x14ac:dyDescent="0.25">
      <c r="A21" s="1351"/>
      <c r="B21" s="1115" t="s">
        <v>159</v>
      </c>
      <c r="C21" s="947" t="s">
        <v>160</v>
      </c>
      <c r="D21" s="914">
        <v>100</v>
      </c>
      <c r="E21" s="1040">
        <f t="shared" si="7"/>
        <v>8.275384615384624</v>
      </c>
      <c r="F21" s="948">
        <v>1</v>
      </c>
      <c r="G21" s="940">
        <f t="shared" si="0"/>
        <v>827.53846153846234</v>
      </c>
      <c r="H21" s="943">
        <f t="shared" si="1"/>
        <v>827.53846153846234</v>
      </c>
      <c r="I21" s="914">
        <f>VLOOKUP(B21,All_Ingredients!$A$1:$F$161,6,FALSE())</f>
        <v>1</v>
      </c>
      <c r="J21" s="940">
        <f>VLOOKUP(B21,All_Ingredients!$A$1:$J$161,10,FALSE())</f>
        <v>4.2033333333333331</v>
      </c>
      <c r="K21" s="945">
        <f t="shared" si="8"/>
        <v>0.82753846153846233</v>
      </c>
      <c r="L21" s="945">
        <f t="shared" si="9"/>
        <v>3.4784200000000034</v>
      </c>
      <c r="M21" s="237"/>
      <c r="N21" s="237"/>
      <c r="R21" s="890"/>
      <c r="T21" s="890"/>
      <c r="W21" s="890"/>
    </row>
    <row r="22" spans="1:32" ht="15.75" x14ac:dyDescent="0.25">
      <c r="A22" s="1351" t="s">
        <v>884</v>
      </c>
      <c r="B22" s="1115" t="s">
        <v>34</v>
      </c>
      <c r="C22" s="947" t="s">
        <v>14</v>
      </c>
      <c r="D22" s="914">
        <v>2</v>
      </c>
      <c r="E22" s="1040">
        <f t="shared" si="7"/>
        <v>8.275384615384624</v>
      </c>
      <c r="F22" s="948">
        <v>0.75</v>
      </c>
      <c r="G22" s="940">
        <f t="shared" si="0"/>
        <v>16.550769230769248</v>
      </c>
      <c r="H22" s="943">
        <f t="shared" si="1"/>
        <v>12.413076923076936</v>
      </c>
      <c r="I22" s="914">
        <f>VLOOKUP(B22,All_Ingredients!$A$1:$F$161,6,FALSE())</f>
        <v>0.86</v>
      </c>
      <c r="J22" s="940">
        <f>VLOOKUP(B22,All_Ingredients!$A$1:$J$161,10,FALSE())</f>
        <v>14</v>
      </c>
      <c r="K22" s="945">
        <f t="shared" si="8"/>
        <v>1.4433810375670856E-2</v>
      </c>
      <c r="L22" s="945">
        <f t="shared" si="9"/>
        <v>0.20207334525939197</v>
      </c>
      <c r="M22" s="237"/>
      <c r="N22" s="237"/>
      <c r="R22" s="890"/>
      <c r="T22" s="890"/>
      <c r="W22" s="890"/>
    </row>
    <row r="23" spans="1:32" s="88" customFormat="1" x14ac:dyDescent="0.25">
      <c r="A23" s="1351" t="s">
        <v>880</v>
      </c>
      <c r="B23" s="1118" t="s">
        <v>32</v>
      </c>
      <c r="C23" s="947" t="s">
        <v>14</v>
      </c>
      <c r="D23" s="914">
        <v>50</v>
      </c>
      <c r="E23" s="1040">
        <f t="shared" si="7"/>
        <v>8.275384615384624</v>
      </c>
      <c r="F23" s="948">
        <v>1.75</v>
      </c>
      <c r="G23" s="940">
        <f t="shared" si="0"/>
        <v>413.76923076923117</v>
      </c>
      <c r="H23" s="943">
        <f t="shared" si="1"/>
        <v>724.09615384615449</v>
      </c>
      <c r="I23" s="914">
        <f>VLOOKUP(B23,All_Ingredients!$A$1:$F$161,6,FALSE())</f>
        <v>0.69</v>
      </c>
      <c r="J23" s="940">
        <f>VLOOKUP(B23,All_Ingredients!$A$1:$J$161,10,FALSE())</f>
        <v>4</v>
      </c>
      <c r="K23" s="945">
        <f t="shared" si="8"/>
        <v>1.0494147157190645</v>
      </c>
      <c r="L23" s="945">
        <f t="shared" si="9"/>
        <v>4.1976588628762581</v>
      </c>
      <c r="M23" s="73"/>
      <c r="N23" s="73"/>
    </row>
    <row r="24" spans="1:32" s="88" customFormat="1" x14ac:dyDescent="0.25">
      <c r="A24" s="1351" t="s">
        <v>880</v>
      </c>
      <c r="B24" s="1115" t="s">
        <v>28</v>
      </c>
      <c r="C24" s="947" t="s">
        <v>14</v>
      </c>
      <c r="D24" s="914">
        <v>50</v>
      </c>
      <c r="E24" s="1040">
        <f t="shared" si="7"/>
        <v>8.275384615384624</v>
      </c>
      <c r="F24" s="948">
        <v>0.75</v>
      </c>
      <c r="G24" s="940">
        <f t="shared" si="0"/>
        <v>413.76923076923117</v>
      </c>
      <c r="H24" s="943">
        <f t="shared" si="1"/>
        <v>310.32692307692338</v>
      </c>
      <c r="I24" s="914">
        <f>VLOOKUP(B24,All_Ingredients!$A$1:$F$161,6,FALSE())</f>
        <v>0.73</v>
      </c>
      <c r="J24" s="940">
        <f>VLOOKUP(B24,All_Ingredients!$A$1:$J$161,10,FALSE())</f>
        <v>8.5</v>
      </c>
      <c r="K24" s="945">
        <f t="shared" si="8"/>
        <v>0.42510537407797722</v>
      </c>
      <c r="L24" s="945">
        <f t="shared" si="9"/>
        <v>3.6133956796628062</v>
      </c>
      <c r="M24" s="87"/>
      <c r="N24" s="87"/>
      <c r="O24" s="73"/>
      <c r="P24" s="73"/>
      <c r="Z24" s="632"/>
    </row>
    <row r="25" spans="1:32" s="88" customFormat="1" x14ac:dyDescent="0.25">
      <c r="A25" s="1353" t="s">
        <v>880</v>
      </c>
      <c r="B25" s="1115" t="s">
        <v>30</v>
      </c>
      <c r="C25" s="947" t="s">
        <v>14</v>
      </c>
      <c r="D25" s="938">
        <v>50</v>
      </c>
      <c r="E25" s="1040">
        <f t="shared" si="7"/>
        <v>8.275384615384624</v>
      </c>
      <c r="F25" s="948">
        <v>1</v>
      </c>
      <c r="G25" s="940">
        <f t="shared" si="0"/>
        <v>413.76923076923117</v>
      </c>
      <c r="H25" s="943">
        <f t="shared" si="1"/>
        <v>413.76923076923117</v>
      </c>
      <c r="I25" s="914">
        <f>VLOOKUP(B25,All_Ingredients!$A$1:$F$161,6,FALSE())</f>
        <v>0.71</v>
      </c>
      <c r="J25" s="940">
        <f>VLOOKUP(B25,All_Ingredients!$A$1:$J$161,10,FALSE())</f>
        <v>8.5</v>
      </c>
      <c r="K25" s="945">
        <f t="shared" si="8"/>
        <v>0.58277356446370598</v>
      </c>
      <c r="L25" s="945">
        <f t="shared" si="9"/>
        <v>4.9535752979415006</v>
      </c>
      <c r="M25" s="87"/>
      <c r="N25" s="87"/>
      <c r="O25" s="73"/>
      <c r="P25" s="73"/>
      <c r="R25" s="1779" t="s">
        <v>350</v>
      </c>
      <c r="S25" s="1787"/>
      <c r="T25" s="1788"/>
      <c r="U25" s="1787"/>
      <c r="V25" s="1202"/>
      <c r="W25" s="1360"/>
      <c r="Z25" s="982" t="s">
        <v>252</v>
      </c>
      <c r="AA25" s="989">
        <v>1</v>
      </c>
      <c r="AB25" s="982" t="s">
        <v>249</v>
      </c>
      <c r="AC25" s="985">
        <f>(AA25*AF30)+(AA30*(AB28/R1))</f>
        <v>3.0801569795723686E-2</v>
      </c>
      <c r="AD25" s="14"/>
    </row>
    <row r="26" spans="1:32" s="88" customFormat="1" x14ac:dyDescent="0.2">
      <c r="A26" s="1353"/>
      <c r="B26" s="960" t="s">
        <v>120</v>
      </c>
      <c r="C26" s="947" t="s">
        <v>14</v>
      </c>
      <c r="D26" s="938">
        <v>1</v>
      </c>
      <c r="E26" s="1040">
        <f t="shared" si="7"/>
        <v>8.275384615384624</v>
      </c>
      <c r="F26" s="948">
        <v>0.75</v>
      </c>
      <c r="G26" s="940">
        <f t="shared" si="0"/>
        <v>8.275384615384624</v>
      </c>
      <c r="H26" s="943">
        <f t="shared" si="1"/>
        <v>6.206538461538468</v>
      </c>
      <c r="I26" s="914">
        <f>VLOOKUP(B26,All_Ingredients!$A$1:$F$161,6,FALSE())</f>
        <v>1</v>
      </c>
      <c r="J26" s="940">
        <f>VLOOKUP(B26,All_Ingredients!$A$1:$J$161,10,FALSE())</f>
        <v>15</v>
      </c>
      <c r="K26" s="945">
        <f t="shared" si="8"/>
        <v>6.2065384615384682E-3</v>
      </c>
      <c r="L26" s="945">
        <f t="shared" si="9"/>
        <v>9.3098076923077019E-2</v>
      </c>
      <c r="M26" s="87"/>
      <c r="N26" s="87"/>
      <c r="O26" s="73"/>
      <c r="P26" s="73"/>
      <c r="R26" s="1786" t="s">
        <v>296</v>
      </c>
      <c r="S26" s="1787"/>
      <c r="T26" s="1788"/>
      <c r="U26" s="1787"/>
      <c r="V26" s="1202"/>
      <c r="W26" s="1360"/>
      <c r="Z26" s="14"/>
      <c r="AA26" s="14"/>
      <c r="AB26" s="14"/>
      <c r="AC26" s="14"/>
      <c r="AD26" s="14"/>
    </row>
    <row r="27" spans="1:32" ht="15.75" x14ac:dyDescent="0.25">
      <c r="A27" s="1353"/>
      <c r="B27" s="960" t="s">
        <v>124</v>
      </c>
      <c r="C27" s="947" t="s">
        <v>14</v>
      </c>
      <c r="D27" s="938">
        <v>1</v>
      </c>
      <c r="E27" s="1040">
        <f t="shared" si="7"/>
        <v>8.275384615384624</v>
      </c>
      <c r="F27" s="948">
        <v>0.75</v>
      </c>
      <c r="G27" s="940">
        <f t="shared" si="0"/>
        <v>8.275384615384624</v>
      </c>
      <c r="H27" s="943">
        <f t="shared" si="1"/>
        <v>6.206538461538468</v>
      </c>
      <c r="I27" s="914">
        <f>VLOOKUP(B27,All_Ingredients!$A$1:$F$161,6,FALSE())</f>
        <v>1</v>
      </c>
      <c r="J27" s="940">
        <f>VLOOKUP(B27,All_Ingredients!$A$1:$J$161,10,FALSE())</f>
        <v>37</v>
      </c>
      <c r="K27" s="945">
        <f t="shared" si="8"/>
        <v>6.2065384615384682E-3</v>
      </c>
      <c r="L27" s="945">
        <f t="shared" si="9"/>
        <v>0.22964192307692333</v>
      </c>
      <c r="M27" s="87"/>
      <c r="N27" s="87"/>
      <c r="O27" s="237"/>
      <c r="P27" s="237"/>
      <c r="R27" s="961" t="s">
        <v>254</v>
      </c>
      <c r="S27" s="962" t="s">
        <v>255</v>
      </c>
      <c r="T27" s="961" t="s">
        <v>256</v>
      </c>
      <c r="U27" s="962" t="s">
        <v>262</v>
      </c>
      <c r="V27" s="962" t="s">
        <v>746</v>
      </c>
      <c r="W27" s="961" t="s">
        <v>753</v>
      </c>
      <c r="Z27" s="982" t="s">
        <v>258</v>
      </c>
      <c r="AA27" s="984" t="s">
        <v>311</v>
      </c>
      <c r="AB27" s="982" t="s">
        <v>259</v>
      </c>
      <c r="AC27" s="982" t="s">
        <v>260</v>
      </c>
      <c r="AD27" s="982" t="s">
        <v>261</v>
      </c>
      <c r="AE27" s="984" t="s">
        <v>753</v>
      </c>
      <c r="AF27" s="982" t="s">
        <v>262</v>
      </c>
    </row>
    <row r="28" spans="1:32" ht="15.75" x14ac:dyDescent="0.25">
      <c r="A28" s="1353"/>
      <c r="B28" s="1131" t="s">
        <v>97</v>
      </c>
      <c r="C28" s="947" t="s">
        <v>14</v>
      </c>
      <c r="D28" s="938">
        <v>1</v>
      </c>
      <c r="E28" s="1040">
        <f t="shared" si="7"/>
        <v>8.275384615384624</v>
      </c>
      <c r="F28" s="948">
        <v>0.75</v>
      </c>
      <c r="G28" s="940">
        <f t="shared" si="0"/>
        <v>8.275384615384624</v>
      </c>
      <c r="H28" s="943">
        <f t="shared" si="1"/>
        <v>6.206538461538468</v>
      </c>
      <c r="I28" s="914">
        <f>VLOOKUP(B28,All_Ingredients!$A$1:$F$161,6,FALSE())</f>
        <v>1</v>
      </c>
      <c r="J28" s="940">
        <f>VLOOKUP(B28,All_Ingredients!$A$1:$J$161,10,FALSE())</f>
        <v>38</v>
      </c>
      <c r="K28" s="945">
        <f t="shared" si="8"/>
        <v>6.2065384615384682E-3</v>
      </c>
      <c r="L28" s="945">
        <f t="shared" si="9"/>
        <v>0.23584846153846178</v>
      </c>
      <c r="M28" s="87"/>
      <c r="N28" s="87"/>
      <c r="O28" s="237"/>
      <c r="P28" s="237"/>
      <c r="R28" s="961" t="s">
        <v>263</v>
      </c>
      <c r="S28" s="963">
        <f>U28*S40</f>
        <v>26815.38461538461</v>
      </c>
      <c r="T28" s="964">
        <f>U28*U40</f>
        <v>8044.6153846153929</v>
      </c>
      <c r="U28" s="965">
        <f>$Z$1</f>
        <v>34860</v>
      </c>
      <c r="V28" s="966">
        <f>SUM(AP5:AP13)</f>
        <v>2454.5632333767926</v>
      </c>
      <c r="W28" s="1361">
        <f>H37</f>
        <v>120</v>
      </c>
      <c r="Z28" s="1086"/>
      <c r="AA28" s="987"/>
      <c r="AB28" s="985">
        <f>AA25*$S$40</f>
        <v>0.76923076923076905</v>
      </c>
      <c r="AC28" s="985">
        <f>AA25-AB28</f>
        <v>0.23076923076923095</v>
      </c>
      <c r="AD28" s="989"/>
      <c r="AE28" s="987"/>
      <c r="AF28" s="1088">
        <f>SUM(AB28:AD28)</f>
        <v>1</v>
      </c>
    </row>
    <row r="29" spans="1:32" x14ac:dyDescent="0.25">
      <c r="A29" s="1351"/>
      <c r="B29" s="1131" t="s">
        <v>126</v>
      </c>
      <c r="C29" s="947" t="s">
        <v>14</v>
      </c>
      <c r="D29" s="938">
        <v>1</v>
      </c>
      <c r="E29" s="1040">
        <f t="shared" si="7"/>
        <v>8.275384615384624</v>
      </c>
      <c r="F29" s="948">
        <v>0.75</v>
      </c>
      <c r="G29" s="940">
        <f t="shared" si="0"/>
        <v>8.275384615384624</v>
      </c>
      <c r="H29" s="943">
        <f t="shared" si="1"/>
        <v>6.206538461538468</v>
      </c>
      <c r="I29" s="914">
        <f>VLOOKUP(B29,All_Ingredients!$A$1:$F$161,6,FALSE())</f>
        <v>1</v>
      </c>
      <c r="J29" s="940">
        <f>VLOOKUP(B29,All_Ingredients!$A$1:$J$161,10,FALSE())</f>
        <v>125</v>
      </c>
      <c r="K29" s="945">
        <f t="shared" si="8"/>
        <v>6.2065384615384682E-3</v>
      </c>
      <c r="L29" s="945">
        <f t="shared" si="9"/>
        <v>0.7758173076923085</v>
      </c>
      <c r="M29" s="87"/>
      <c r="N29" s="87"/>
      <c r="R29" s="961" t="s">
        <v>264</v>
      </c>
      <c r="S29" s="968"/>
      <c r="T29" s="967"/>
      <c r="U29" s="963">
        <f>T29</f>
        <v>0</v>
      </c>
      <c r="V29" s="966"/>
      <c r="W29" s="967"/>
      <c r="Z29" s="1086"/>
      <c r="AA29" s="991"/>
      <c r="AB29" s="1089">
        <f>AB28/$AF$28</f>
        <v>0.76923076923076905</v>
      </c>
      <c r="AC29" s="1089">
        <f>AC28/$AF$28</f>
        <v>0.23076923076923095</v>
      </c>
      <c r="AD29" s="1089"/>
      <c r="AE29" s="991"/>
      <c r="AF29" s="1089">
        <f>AF28/$AF$28</f>
        <v>1</v>
      </c>
    </row>
    <row r="30" spans="1:32" x14ac:dyDescent="0.25">
      <c r="B30" s="890"/>
      <c r="D30" s="890"/>
      <c r="E30" s="890"/>
      <c r="F30" s="890"/>
      <c r="H30" s="890"/>
      <c r="K30" s="890"/>
      <c r="R30" s="961" t="s">
        <v>265</v>
      </c>
      <c r="S30" s="1158">
        <f>U30*S40</f>
        <v>769.23076923076906</v>
      </c>
      <c r="T30" s="1362">
        <f>U30*U40</f>
        <v>230.769230769231</v>
      </c>
      <c r="U30" s="965">
        <f>$AB$1</f>
        <v>1000</v>
      </c>
      <c r="V30" s="972"/>
      <c r="W30" s="973"/>
      <c r="Z30" s="982" t="s">
        <v>266</v>
      </c>
      <c r="AA30" s="994">
        <f>V35/(S32/R1)</f>
        <v>3.6170139173656422E-4</v>
      </c>
      <c r="AB30" s="1090">
        <f>S35/(S28)</f>
        <v>3.4667981006745612E-2</v>
      </c>
      <c r="AC30" s="1091">
        <f>T35/T32</f>
        <v>1.4866117666484694E-2</v>
      </c>
      <c r="AD30" s="1091"/>
      <c r="AE30" s="1364">
        <f>W35/U32</f>
        <v>2.3167017032047708E-4</v>
      </c>
      <c r="AF30" s="1092">
        <f>SUMPRODUCT(AB30:AD30,AB29:AD29)+AE30</f>
        <v>3.0329990406236639E-2</v>
      </c>
    </row>
    <row r="31" spans="1:32" x14ac:dyDescent="0.25">
      <c r="B31" s="88"/>
      <c r="C31" s="89"/>
      <c r="D31" s="73"/>
      <c r="E31" s="302"/>
      <c r="F31" s="900"/>
      <c r="H31" s="901"/>
      <c r="I31" s="73"/>
      <c r="J31" s="94"/>
      <c r="K31" s="890"/>
      <c r="R31" s="961" t="s">
        <v>267</v>
      </c>
      <c r="S31" s="959"/>
      <c r="T31" s="967"/>
      <c r="U31" s="966"/>
      <c r="V31" s="966"/>
      <c r="W31" s="967"/>
    </row>
    <row r="32" spans="1:32" x14ac:dyDescent="0.25">
      <c r="B32" s="80"/>
      <c r="C32" s="125"/>
      <c r="D32" s="80"/>
      <c r="E32" s="80"/>
      <c r="F32" s="80"/>
      <c r="G32" s="125"/>
      <c r="H32" s="890"/>
      <c r="K32" s="890"/>
      <c r="R32" s="961" t="s">
        <v>257</v>
      </c>
      <c r="S32" s="966">
        <f>SUM(S28:S30)</f>
        <v>27584.615384615379</v>
      </c>
      <c r="T32" s="967">
        <f>SUM(T28:T30)</f>
        <v>8275.3846153846243</v>
      </c>
      <c r="U32" s="966">
        <f>SUM(U28:U30)</f>
        <v>35860</v>
      </c>
      <c r="V32" s="966">
        <f>SUM(V28:V30)</f>
        <v>2454.5632333767926</v>
      </c>
      <c r="W32" s="1363">
        <f>SUM(W28:W30)</f>
        <v>120</v>
      </c>
    </row>
    <row r="33" spans="2:23" ht="30" x14ac:dyDescent="0.25">
      <c r="B33" s="890"/>
      <c r="D33" s="890"/>
      <c r="E33" s="890"/>
      <c r="F33" s="890"/>
      <c r="H33" s="890"/>
      <c r="K33" s="890"/>
      <c r="R33" s="976" t="s">
        <v>268</v>
      </c>
      <c r="S33" s="959"/>
      <c r="T33" s="960"/>
      <c r="U33" s="959"/>
      <c r="V33" s="959"/>
      <c r="W33" s="960"/>
    </row>
    <row r="34" spans="2:23" x14ac:dyDescent="0.25">
      <c r="B34" s="890"/>
      <c r="D34" s="890"/>
      <c r="E34" s="890"/>
      <c r="F34" s="890"/>
      <c r="H34" s="890"/>
      <c r="K34" s="890"/>
      <c r="R34" s="961" t="s">
        <v>269</v>
      </c>
      <c r="S34" s="959"/>
      <c r="T34" s="967"/>
      <c r="U34" s="959"/>
      <c r="V34" s="959"/>
      <c r="W34" s="960"/>
    </row>
    <row r="35" spans="2:23" ht="15.75" x14ac:dyDescent="0.25">
      <c r="B35" s="1781" t="s">
        <v>622</v>
      </c>
      <c r="C35" s="1782"/>
      <c r="D35" s="1781"/>
      <c r="E35" s="1781"/>
      <c r="F35" s="1781"/>
      <c r="G35" s="1000"/>
      <c r="H35" s="1009"/>
      <c r="I35" s="1010"/>
      <c r="J35" s="1010"/>
      <c r="K35" s="1009"/>
      <c r="L35" s="1010"/>
      <c r="R35" s="977" t="s">
        <v>249</v>
      </c>
      <c r="S35" s="1133">
        <f>$L$5</f>
        <v>929.63524453473212</v>
      </c>
      <c r="T35" s="1134">
        <f>SUM(L6:L29)</f>
        <v>123.02284142772501</v>
      </c>
      <c r="U35" s="1160">
        <f>S35+T35+V35+W35</f>
        <v>1077.8766151771549</v>
      </c>
      <c r="V35" s="978">
        <f>SUM(AT6:AT13)</f>
        <v>16.910836907005464</v>
      </c>
      <c r="W35" s="979">
        <f>L37</f>
        <v>8.3076923076923084</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row>
    <row r="37" spans="2:23" x14ac:dyDescent="0.25">
      <c r="B37" s="1005" t="s">
        <v>666</v>
      </c>
      <c r="C37" s="1006" t="s">
        <v>14</v>
      </c>
      <c r="D37" s="1007">
        <v>0.5</v>
      </c>
      <c r="E37" s="1005">
        <f>$AD$1</f>
        <v>240</v>
      </c>
      <c r="F37" s="1005">
        <f>D37*E37</f>
        <v>120</v>
      </c>
      <c r="G37"/>
      <c r="H37" s="1005">
        <f>F37</f>
        <v>120</v>
      </c>
      <c r="I37" s="1005">
        <f>VLOOKUP(B37,All_Ingredients!$A$1:$F$161,6,FALSE())</f>
        <v>0.65</v>
      </c>
      <c r="J37" s="1005">
        <f>VLOOKUP(B37,All_Ingredients!$A$1:$J$161,10,FALSE())</f>
        <v>45</v>
      </c>
      <c r="K37" s="1005">
        <f>(H37/I37)/1000</f>
        <v>0.18461538461538463</v>
      </c>
      <c r="L37" s="1005">
        <f t="shared" ref="L37" si="12">K37*J37</f>
        <v>8.3076923076923084</v>
      </c>
      <c r="R37" s="890"/>
      <c r="T37" s="890"/>
      <c r="W37" s="890"/>
    </row>
    <row r="38" spans="2:23" x14ac:dyDescent="0.25">
      <c r="B38" s="890"/>
      <c r="D38" s="890"/>
      <c r="E38" s="890"/>
      <c r="F38" s="890"/>
      <c r="H38" s="890"/>
      <c r="K38" s="890"/>
      <c r="R38" s="890"/>
      <c r="T38" s="890"/>
      <c r="W38" s="890"/>
    </row>
    <row r="39" spans="2:23" x14ac:dyDescent="0.25">
      <c r="B39" s="80"/>
      <c r="D39" s="890"/>
      <c r="E39" s="80"/>
      <c r="F39" s="80"/>
      <c r="H39" s="890"/>
      <c r="K39" s="890"/>
      <c r="R39" s="890"/>
      <c r="T39" s="890"/>
      <c r="W39" s="890"/>
    </row>
    <row r="40" spans="2:23" ht="26.25" x14ac:dyDescent="0.25">
      <c r="B40" s="890"/>
      <c r="D40" s="890"/>
      <c r="E40" s="890"/>
      <c r="F40" s="890"/>
      <c r="H40" s="890"/>
      <c r="K40" s="890"/>
      <c r="R40" s="1011" t="s">
        <v>270</v>
      </c>
      <c r="S40" s="1012">
        <v>0.76923076923076905</v>
      </c>
      <c r="T40" s="1011" t="s">
        <v>271</v>
      </c>
      <c r="U40" s="1013">
        <v>0.230769230769231</v>
      </c>
      <c r="V40" s="1014">
        <f>S40+U40</f>
        <v>1</v>
      </c>
      <c r="W40" s="890"/>
    </row>
    <row r="41" spans="2:23" x14ac:dyDescent="0.25">
      <c r="B41" s="890"/>
      <c r="D41" s="890"/>
      <c r="E41" s="890"/>
      <c r="F41" s="890"/>
      <c r="H41" s="890"/>
      <c r="K41" s="890"/>
      <c r="R41" s="890"/>
      <c r="T41" s="890"/>
      <c r="U41" s="123"/>
      <c r="W41" s="890"/>
    </row>
    <row r="42" spans="2:23" x14ac:dyDescent="0.25">
      <c r="B42" s="890"/>
      <c r="D42" s="890"/>
      <c r="E42" s="890"/>
      <c r="F42" s="890"/>
      <c r="H42" s="890"/>
      <c r="K42" s="890"/>
      <c r="R42" s="890"/>
      <c r="T42" s="890"/>
      <c r="W42" s="890"/>
    </row>
    <row r="43" spans="2:23" ht="26.25" x14ac:dyDescent="0.25">
      <c r="B43" s="890"/>
      <c r="D43" s="890"/>
      <c r="E43" s="890"/>
      <c r="F43" s="890"/>
      <c r="H43" s="890"/>
      <c r="K43" s="890"/>
      <c r="Q43" s="1015" t="s">
        <v>272</v>
      </c>
      <c r="R43" s="1011" t="s">
        <v>273</v>
      </c>
      <c r="S43" s="1015" t="s">
        <v>274</v>
      </c>
      <c r="T43" s="1011" t="s">
        <v>275</v>
      </c>
      <c r="U43" s="1015" t="s">
        <v>276</v>
      </c>
      <c r="V43" s="1015" t="s">
        <v>277</v>
      </c>
      <c r="W43" s="1011" t="s">
        <v>278</v>
      </c>
    </row>
    <row r="44" spans="2:23" x14ac:dyDescent="0.25">
      <c r="B44" s="890"/>
      <c r="D44" s="890"/>
      <c r="E44" s="890"/>
      <c r="F44" s="890"/>
      <c r="H44" s="890"/>
      <c r="K44" s="890"/>
      <c r="Q44" s="1023">
        <v>43334</v>
      </c>
      <c r="R44" s="1017">
        <f>D51</f>
        <v>10000</v>
      </c>
      <c r="S44" s="1024">
        <v>1</v>
      </c>
      <c r="T44" s="1025">
        <v>0</v>
      </c>
      <c r="U44" s="1096">
        <f>R44*S44</f>
        <v>10000</v>
      </c>
      <c r="V44" s="1021">
        <f>R44*T44</f>
        <v>0</v>
      </c>
      <c r="W44" s="1026">
        <f>Q44-U44</f>
        <v>33334</v>
      </c>
    </row>
    <row r="50" spans="1:11" x14ac:dyDescent="0.25">
      <c r="B50" s="961"/>
      <c r="C50" s="962" t="s">
        <v>233</v>
      </c>
      <c r="D50" s="961" t="s">
        <v>279</v>
      </c>
      <c r="E50" s="135"/>
      <c r="F50" s="80"/>
      <c r="G50" s="962" t="s">
        <v>280</v>
      </c>
      <c r="H50" s="961" t="s">
        <v>233</v>
      </c>
      <c r="I50" s="962" t="s">
        <v>281</v>
      </c>
      <c r="J50" s="962" t="s">
        <v>282</v>
      </c>
      <c r="K50" s="890"/>
    </row>
    <row r="51" spans="1:11" x14ac:dyDescent="0.25">
      <c r="B51" s="1027" t="s">
        <v>283</v>
      </c>
      <c r="C51" s="1028">
        <f>10/$K$1</f>
        <v>10</v>
      </c>
      <c r="D51" s="1029">
        <f>$C$1*10</f>
        <v>10000</v>
      </c>
      <c r="E51" s="135"/>
      <c r="F51" s="80"/>
      <c r="G51" s="1033" t="s">
        <v>283</v>
      </c>
      <c r="H51" s="1122">
        <v>10</v>
      </c>
      <c r="I51" s="1028">
        <f>J51/$R$1</f>
        <v>56498.305084745763</v>
      </c>
      <c r="J51" s="1028">
        <f>$W$44</f>
        <v>33334</v>
      </c>
      <c r="K51" s="890"/>
    </row>
    <row r="52" spans="1:11" x14ac:dyDescent="0.25">
      <c r="B52" s="958" t="s">
        <v>262</v>
      </c>
      <c r="C52" s="1099">
        <f>$I$1</f>
        <v>8.275384615384624</v>
      </c>
      <c r="D52" s="1100">
        <f>$E$1</f>
        <v>8275.3846153846243</v>
      </c>
      <c r="E52" s="80"/>
      <c r="F52" s="80"/>
      <c r="G52" s="962" t="s">
        <v>262</v>
      </c>
      <c r="H52" s="1052">
        <f>I52/$D$5</f>
        <v>8.2752191110023947</v>
      </c>
      <c r="I52" s="1021">
        <f>J52/$R$1</f>
        <v>46753.585397653187</v>
      </c>
      <c r="J52" s="1030">
        <f>$S$32</f>
        <v>27584.615384615379</v>
      </c>
      <c r="K52" s="890"/>
    </row>
    <row r="53" spans="1:11" x14ac:dyDescent="0.25">
      <c r="B53" s="958" t="s">
        <v>284</v>
      </c>
      <c r="C53" s="1101">
        <f>MIN(C52, C51)</f>
        <v>8.275384615384624</v>
      </c>
      <c r="D53" s="1100">
        <f>(C53*$K$1)*$C$1</f>
        <v>8275.3846153846243</v>
      </c>
      <c r="E53" s="80"/>
      <c r="F53" s="80"/>
      <c r="G53" s="962" t="s">
        <v>284</v>
      </c>
      <c r="H53" s="1035">
        <f>MIN(H52,H51)</f>
        <v>8.2752191110023947</v>
      </c>
      <c r="I53" s="1021">
        <f>J53/$R$1</f>
        <v>46753.585397653187</v>
      </c>
      <c r="J53" s="1021">
        <f>MIN(J52,J51)</f>
        <v>27584.615384615379</v>
      </c>
      <c r="K53" s="89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1036"/>
      <c r="B62" s="1776" t="str">
        <f>"دجاج الفريدو دفعة 1 / " &amp; COUNTIF($C$53:$C$55, "&gt;0")</f>
        <v>دجاج الفريدو دفعة 1 / 1</v>
      </c>
      <c r="C62" s="1800"/>
      <c r="D62" s="1801"/>
      <c r="E62" s="1801"/>
      <c r="F62" s="1801"/>
      <c r="G62" s="1800"/>
      <c r="H62" s="1801"/>
      <c r="K62" s="890"/>
    </row>
    <row r="63" spans="1:11" x14ac:dyDescent="0.25">
      <c r="A63" s="1036"/>
      <c r="B63" s="1776" t="str">
        <f>"Chicken Alfredo 1 / " &amp; COUNTIF(C$53:$C$55, "&gt;0")</f>
        <v>Chicken Alfredo 1 / 1</v>
      </c>
      <c r="C63" s="1777"/>
      <c r="D63" s="1778"/>
      <c r="E63" s="1778"/>
      <c r="F63" s="1778"/>
      <c r="G63" s="1777"/>
      <c r="H63" s="1778"/>
      <c r="K63" s="890"/>
    </row>
    <row r="64" spans="1:11" ht="38.25" x14ac:dyDescent="0.2">
      <c r="A64" s="1350" t="s">
        <v>864</v>
      </c>
      <c r="B64" s="923" t="s">
        <v>241</v>
      </c>
      <c r="C64" s="934" t="s">
        <v>242</v>
      </c>
      <c r="D64" s="923" t="s">
        <v>231</v>
      </c>
      <c r="E64" s="935" t="s">
        <v>234</v>
      </c>
      <c r="F64" s="935" t="s">
        <v>243</v>
      </c>
      <c r="G64" s="923" t="s">
        <v>244</v>
      </c>
      <c r="H64" s="936" t="s">
        <v>245</v>
      </c>
      <c r="K64" s="890"/>
    </row>
    <row r="65" spans="1:11" x14ac:dyDescent="0.2">
      <c r="A65" s="937" t="s">
        <v>876</v>
      </c>
      <c r="B65" s="938" t="str">
        <f t="shared" ref="B65:D89" si="13">B5</f>
        <v>Chicken - دجاج</v>
      </c>
      <c r="C65" s="947" t="str">
        <f t="shared" si="13"/>
        <v>gm</v>
      </c>
      <c r="D65" s="940">
        <f>D5</f>
        <v>5649.8305084745762</v>
      </c>
      <c r="E65" s="1126">
        <f>H53</f>
        <v>8.2752191110023947</v>
      </c>
      <c r="F65" s="948">
        <f t="shared" ref="F65:F89" si="14">F5</f>
        <v>1</v>
      </c>
      <c r="G65" s="940">
        <f t="shared" ref="G65:G89" si="15">D65*E65</f>
        <v>46753.585397653187</v>
      </c>
      <c r="H65" s="943">
        <f t="shared" ref="H65:H89" si="16">G65*F65</f>
        <v>46753.585397653187</v>
      </c>
      <c r="K65" s="890"/>
    </row>
    <row r="66" spans="1:11" x14ac:dyDescent="0.25">
      <c r="A66" s="1351"/>
      <c r="B66" s="938" t="str">
        <f t="shared" si="13"/>
        <v>Butter - زبدة</v>
      </c>
      <c r="C66" s="947" t="str">
        <f t="shared" si="13"/>
        <v>gm</v>
      </c>
      <c r="D66" s="914">
        <f t="shared" si="13"/>
        <v>40</v>
      </c>
      <c r="E66" s="1126">
        <f t="shared" ref="E66:E89" si="17">$C$53</f>
        <v>8.275384615384624</v>
      </c>
      <c r="F66" s="948">
        <f t="shared" si="14"/>
        <v>1</v>
      </c>
      <c r="G66" s="940">
        <f t="shared" si="15"/>
        <v>331.01538461538496</v>
      </c>
      <c r="H66" s="943">
        <f t="shared" si="16"/>
        <v>331.01538461538496</v>
      </c>
      <c r="K66" s="890"/>
    </row>
    <row r="67" spans="1:11" x14ac:dyDescent="0.25">
      <c r="A67" s="1351" t="s">
        <v>866</v>
      </c>
      <c r="B67" s="938" t="str">
        <f t="shared" si="13"/>
        <v>Onion - بصل</v>
      </c>
      <c r="C67" s="947" t="str">
        <f t="shared" si="13"/>
        <v>gm</v>
      </c>
      <c r="D67" s="914">
        <f t="shared" si="13"/>
        <v>350</v>
      </c>
      <c r="E67" s="1126">
        <f t="shared" si="17"/>
        <v>8.275384615384624</v>
      </c>
      <c r="F67" s="948">
        <f t="shared" si="14"/>
        <v>0.75</v>
      </c>
      <c r="G67" s="940">
        <f t="shared" si="15"/>
        <v>2896.3846153846184</v>
      </c>
      <c r="H67" s="943">
        <f t="shared" si="16"/>
        <v>2172.2884615384637</v>
      </c>
      <c r="K67" s="890"/>
    </row>
    <row r="68" spans="1:11" x14ac:dyDescent="0.25">
      <c r="A68" s="1351"/>
      <c r="B68" s="938" t="str">
        <f t="shared" si="13"/>
        <v>Yogurt - زبادي</v>
      </c>
      <c r="C68" s="947" t="str">
        <f t="shared" si="13"/>
        <v>gm</v>
      </c>
      <c r="D68" s="914">
        <f t="shared" si="13"/>
        <v>250</v>
      </c>
      <c r="E68" s="1126">
        <f t="shared" si="17"/>
        <v>8.275384615384624</v>
      </c>
      <c r="F68" s="948">
        <f t="shared" si="14"/>
        <v>0.9</v>
      </c>
      <c r="G68" s="940">
        <f t="shared" si="15"/>
        <v>2068.8461538461561</v>
      </c>
      <c r="H68" s="943">
        <f t="shared" si="16"/>
        <v>1861.9615384615406</v>
      </c>
      <c r="K68" s="890"/>
    </row>
    <row r="69" spans="1:11" x14ac:dyDescent="0.25">
      <c r="A69" s="1351" t="s">
        <v>868</v>
      </c>
      <c r="B69" s="938" t="str">
        <f t="shared" si="13"/>
        <v>Garlic - ثوم مقشر</v>
      </c>
      <c r="C69" s="947" t="str">
        <f t="shared" si="13"/>
        <v>gm</v>
      </c>
      <c r="D69" s="914">
        <f t="shared" si="13"/>
        <v>20</v>
      </c>
      <c r="E69" s="1126">
        <f t="shared" si="17"/>
        <v>8.275384615384624</v>
      </c>
      <c r="F69" s="948">
        <f t="shared" si="14"/>
        <v>1</v>
      </c>
      <c r="G69" s="940">
        <f t="shared" si="15"/>
        <v>165.50769230769248</v>
      </c>
      <c r="H69" s="943">
        <f t="shared" si="16"/>
        <v>165.50769230769248</v>
      </c>
      <c r="K69" s="890"/>
    </row>
    <row r="70" spans="1:11" x14ac:dyDescent="0.25">
      <c r="A70" s="1351" t="s">
        <v>867</v>
      </c>
      <c r="B70" s="938" t="str">
        <f t="shared" si="13"/>
        <v>Ginger - زنجبيل</v>
      </c>
      <c r="C70" s="947" t="str">
        <f t="shared" si="13"/>
        <v>gm</v>
      </c>
      <c r="D70" s="914">
        <f t="shared" si="13"/>
        <v>20</v>
      </c>
      <c r="E70" s="1126">
        <f t="shared" si="17"/>
        <v>8.275384615384624</v>
      </c>
      <c r="F70" s="948">
        <f t="shared" si="14"/>
        <v>0.5</v>
      </c>
      <c r="G70" s="940">
        <f t="shared" si="15"/>
        <v>165.50769230769248</v>
      </c>
      <c r="H70" s="943">
        <f t="shared" si="16"/>
        <v>82.75384615384624</v>
      </c>
      <c r="K70" s="890"/>
    </row>
    <row r="71" spans="1:11" x14ac:dyDescent="0.25">
      <c r="A71" s="1351"/>
      <c r="B71" s="938" t="str">
        <f t="shared" si="13"/>
        <v>Coriander Powder - كزبرة مطحونة</v>
      </c>
      <c r="C71" s="947" t="str">
        <f t="shared" si="13"/>
        <v>gm</v>
      </c>
      <c r="D71" s="914">
        <f t="shared" si="13"/>
        <v>10</v>
      </c>
      <c r="E71" s="1126">
        <f t="shared" si="17"/>
        <v>8.275384615384624</v>
      </c>
      <c r="F71" s="948">
        <f t="shared" si="14"/>
        <v>0.95</v>
      </c>
      <c r="G71" s="940">
        <f t="shared" si="15"/>
        <v>82.75384615384624</v>
      </c>
      <c r="H71" s="943">
        <f t="shared" si="16"/>
        <v>78.616153846153921</v>
      </c>
      <c r="K71" s="890"/>
    </row>
    <row r="72" spans="1:11" x14ac:dyDescent="0.25">
      <c r="A72" s="1351"/>
      <c r="B72" s="938" t="str">
        <f t="shared" si="13"/>
        <v>Cumin Powder - كمون مطحون</v>
      </c>
      <c r="C72" s="947" t="str">
        <f t="shared" si="13"/>
        <v>gm</v>
      </c>
      <c r="D72" s="914">
        <f t="shared" si="13"/>
        <v>5</v>
      </c>
      <c r="E72" s="1126">
        <f t="shared" si="17"/>
        <v>8.275384615384624</v>
      </c>
      <c r="F72" s="948">
        <f t="shared" si="14"/>
        <v>0.95</v>
      </c>
      <c r="G72" s="940">
        <f t="shared" si="15"/>
        <v>41.37692307692312</v>
      </c>
      <c r="H72" s="943">
        <f t="shared" si="16"/>
        <v>39.30807692307696</v>
      </c>
      <c r="K72" s="890"/>
    </row>
    <row r="73" spans="1:11" x14ac:dyDescent="0.25">
      <c r="A73" s="1351"/>
      <c r="B73" s="938" t="str">
        <f t="shared" si="13"/>
        <v>Red Chilli Powder - شطة حمراء مطحونة</v>
      </c>
      <c r="C73" s="947" t="str">
        <f t="shared" si="13"/>
        <v>gm</v>
      </c>
      <c r="D73" s="914">
        <f t="shared" si="13"/>
        <v>3</v>
      </c>
      <c r="E73" s="1126">
        <f t="shared" si="17"/>
        <v>8.275384615384624</v>
      </c>
      <c r="F73" s="948">
        <f t="shared" si="14"/>
        <v>0.6</v>
      </c>
      <c r="G73" s="940">
        <f t="shared" si="15"/>
        <v>24.826153846153872</v>
      </c>
      <c r="H73" s="943">
        <f t="shared" si="16"/>
        <v>14.895692307692322</v>
      </c>
      <c r="K73" s="890"/>
    </row>
    <row r="74" spans="1:11" x14ac:dyDescent="0.25">
      <c r="A74" s="1351"/>
      <c r="B74" s="938" t="str">
        <f t="shared" si="13"/>
        <v>Cooking Cream - كريمة طبخ</v>
      </c>
      <c r="C74" s="947" t="str">
        <f t="shared" si="13"/>
        <v>ml</v>
      </c>
      <c r="D74" s="914">
        <f t="shared" si="13"/>
        <v>500</v>
      </c>
      <c r="E74" s="1126">
        <f t="shared" si="17"/>
        <v>8.275384615384624</v>
      </c>
      <c r="F74" s="948">
        <f t="shared" si="14"/>
        <v>1</v>
      </c>
      <c r="G74" s="940">
        <f t="shared" si="15"/>
        <v>4137.6923076923122</v>
      </c>
      <c r="H74" s="943">
        <f t="shared" si="16"/>
        <v>4137.6923076923122</v>
      </c>
      <c r="K74" s="890"/>
    </row>
    <row r="75" spans="1:11" x14ac:dyDescent="0.25">
      <c r="A75" s="1351"/>
      <c r="B75" s="938" t="str">
        <f t="shared" si="13"/>
        <v>Saffron yellow color powder - لون صفار زعفران بودر</v>
      </c>
      <c r="C75" s="947" t="str">
        <f t="shared" si="13"/>
        <v>gm</v>
      </c>
      <c r="D75" s="914">
        <f t="shared" si="13"/>
        <v>3</v>
      </c>
      <c r="E75" s="1126">
        <f t="shared" si="17"/>
        <v>8.275384615384624</v>
      </c>
      <c r="F75" s="948">
        <f t="shared" si="14"/>
        <v>1</v>
      </c>
      <c r="G75" s="940">
        <f t="shared" si="15"/>
        <v>24.826153846153872</v>
      </c>
      <c r="H75" s="943">
        <f t="shared" si="16"/>
        <v>24.826153846153872</v>
      </c>
      <c r="K75" s="890"/>
    </row>
    <row r="76" spans="1:11" x14ac:dyDescent="0.25">
      <c r="A76" s="1351"/>
      <c r="B76" s="938" t="str">
        <f t="shared" si="13"/>
        <v>Salt - ملح</v>
      </c>
      <c r="C76" s="947" t="str">
        <f t="shared" si="13"/>
        <v>gm</v>
      </c>
      <c r="D76" s="914">
        <f t="shared" si="13"/>
        <v>6</v>
      </c>
      <c r="E76" s="1126">
        <f t="shared" si="17"/>
        <v>8.275384615384624</v>
      </c>
      <c r="F76" s="948">
        <f t="shared" si="14"/>
        <v>0.75</v>
      </c>
      <c r="G76" s="940">
        <f t="shared" si="15"/>
        <v>49.652307692307744</v>
      </c>
      <c r="H76" s="943">
        <f t="shared" si="16"/>
        <v>37.239230769230808</v>
      </c>
      <c r="K76" s="890"/>
    </row>
    <row r="77" spans="1:11" x14ac:dyDescent="0.25">
      <c r="A77" s="1351"/>
      <c r="B77" s="938" t="str">
        <f t="shared" si="13"/>
        <v>Dry Oregano - أوريجانو مجفف</v>
      </c>
      <c r="C77" s="947" t="str">
        <f t="shared" si="13"/>
        <v>gm</v>
      </c>
      <c r="D77" s="914">
        <f t="shared" si="13"/>
        <v>1</v>
      </c>
      <c r="E77" s="1126">
        <f t="shared" si="17"/>
        <v>8.275384615384624</v>
      </c>
      <c r="F77" s="948">
        <f t="shared" si="14"/>
        <v>0.75</v>
      </c>
      <c r="G77" s="940">
        <f t="shared" si="15"/>
        <v>8.275384615384624</v>
      </c>
      <c r="H77" s="943">
        <f t="shared" si="16"/>
        <v>6.206538461538468</v>
      </c>
      <c r="K77" s="890"/>
    </row>
    <row r="78" spans="1:11" x14ac:dyDescent="0.25">
      <c r="A78" s="1351"/>
      <c r="B78" s="938" t="str">
        <f t="shared" si="13"/>
        <v>Maggi Cubes - مكعبات ماجي</v>
      </c>
      <c r="C78" s="947" t="str">
        <f t="shared" si="13"/>
        <v>gm</v>
      </c>
      <c r="D78" s="914">
        <f t="shared" si="13"/>
        <v>7</v>
      </c>
      <c r="E78" s="1126">
        <f t="shared" si="17"/>
        <v>8.275384615384624</v>
      </c>
      <c r="F78" s="948">
        <f t="shared" si="14"/>
        <v>0.75</v>
      </c>
      <c r="G78" s="940">
        <f t="shared" si="15"/>
        <v>57.927692307692368</v>
      </c>
      <c r="H78" s="943">
        <f t="shared" si="16"/>
        <v>43.445769230769272</v>
      </c>
      <c r="K78" s="890"/>
    </row>
    <row r="79" spans="1:11" x14ac:dyDescent="0.25">
      <c r="A79" s="1351"/>
      <c r="B79" s="938" t="str">
        <f t="shared" si="13"/>
        <v>Fresh Coconut - جوز هند طازج</v>
      </c>
      <c r="C79" s="947" t="str">
        <f t="shared" si="13"/>
        <v>gm</v>
      </c>
      <c r="D79" s="914">
        <f t="shared" si="13"/>
        <v>50</v>
      </c>
      <c r="E79" s="1126">
        <f t="shared" si="17"/>
        <v>8.275384615384624</v>
      </c>
      <c r="F79" s="948">
        <f t="shared" si="14"/>
        <v>1</v>
      </c>
      <c r="G79" s="940">
        <f t="shared" si="15"/>
        <v>413.76923076923117</v>
      </c>
      <c r="H79" s="943">
        <f t="shared" si="16"/>
        <v>413.76923076923117</v>
      </c>
      <c r="K79" s="890"/>
    </row>
    <row r="80" spans="1:11" x14ac:dyDescent="0.25">
      <c r="A80" s="1351"/>
      <c r="B80" s="938" t="str">
        <f t="shared" si="13"/>
        <v>Turmeric - كركم</v>
      </c>
      <c r="C80" s="947" t="str">
        <f t="shared" si="13"/>
        <v>gm</v>
      </c>
      <c r="D80" s="914">
        <f t="shared" si="13"/>
        <v>2</v>
      </c>
      <c r="E80" s="1126">
        <f t="shared" si="17"/>
        <v>8.275384615384624</v>
      </c>
      <c r="F80" s="948">
        <f t="shared" si="14"/>
        <v>1</v>
      </c>
      <c r="G80" s="940">
        <f t="shared" si="15"/>
        <v>16.550769230769248</v>
      </c>
      <c r="H80" s="943">
        <f t="shared" si="16"/>
        <v>16.550769230769248</v>
      </c>
      <c r="K80" s="890"/>
    </row>
    <row r="81" spans="1:11" x14ac:dyDescent="0.25">
      <c r="A81" s="1351"/>
      <c r="B81" s="938" t="str">
        <f t="shared" si="13"/>
        <v>Milk - حليب</v>
      </c>
      <c r="C81" s="947" t="str">
        <f t="shared" si="13"/>
        <v>ml</v>
      </c>
      <c r="D81" s="914">
        <f t="shared" si="13"/>
        <v>100</v>
      </c>
      <c r="E81" s="1126">
        <f t="shared" si="17"/>
        <v>8.275384615384624</v>
      </c>
      <c r="F81" s="948">
        <f t="shared" si="14"/>
        <v>1</v>
      </c>
      <c r="G81" s="940">
        <f t="shared" si="15"/>
        <v>827.53846153846234</v>
      </c>
      <c r="H81" s="943">
        <f t="shared" si="16"/>
        <v>827.53846153846234</v>
      </c>
      <c r="K81" s="890"/>
    </row>
    <row r="82" spans="1:11" x14ac:dyDescent="0.25">
      <c r="A82" s="1351" t="s">
        <v>884</v>
      </c>
      <c r="B82" s="938" t="str">
        <f t="shared" si="13"/>
        <v>Green Chilli Pepper - فلفل أخضر حار</v>
      </c>
      <c r="C82" s="947" t="str">
        <f t="shared" si="13"/>
        <v>gm</v>
      </c>
      <c r="D82" s="914">
        <f t="shared" si="13"/>
        <v>2</v>
      </c>
      <c r="E82" s="1126">
        <f t="shared" si="17"/>
        <v>8.275384615384624</v>
      </c>
      <c r="F82" s="948">
        <f t="shared" si="14"/>
        <v>0.75</v>
      </c>
      <c r="G82" s="940">
        <f t="shared" si="15"/>
        <v>16.550769230769248</v>
      </c>
      <c r="H82" s="943">
        <f t="shared" si="16"/>
        <v>12.413076923076936</v>
      </c>
      <c r="K82" s="890"/>
    </row>
    <row r="83" spans="1:11" x14ac:dyDescent="0.25">
      <c r="A83" s="1351" t="s">
        <v>880</v>
      </c>
      <c r="B83" s="938" t="str">
        <f t="shared" si="13"/>
        <v>Green Bell Pepper - فلفل أخضر رومى</v>
      </c>
      <c r="C83" s="947" t="str">
        <f t="shared" si="13"/>
        <v>gm</v>
      </c>
      <c r="D83" s="914">
        <f t="shared" si="13"/>
        <v>50</v>
      </c>
      <c r="E83" s="1126">
        <f t="shared" si="17"/>
        <v>8.275384615384624</v>
      </c>
      <c r="F83" s="948">
        <f t="shared" si="14"/>
        <v>1.75</v>
      </c>
      <c r="G83" s="940">
        <f t="shared" si="15"/>
        <v>413.76923076923117</v>
      </c>
      <c r="H83" s="943">
        <f t="shared" si="16"/>
        <v>724.09615384615449</v>
      </c>
      <c r="K83" s="890"/>
    </row>
    <row r="84" spans="1:11" x14ac:dyDescent="0.25">
      <c r="A84" s="1351" t="s">
        <v>880</v>
      </c>
      <c r="B84" s="938" t="str">
        <f t="shared" si="13"/>
        <v xml:space="preserve">Red Bell Pepper - فلفل أحمر </v>
      </c>
      <c r="C84" s="947" t="str">
        <f t="shared" si="13"/>
        <v>gm</v>
      </c>
      <c r="D84" s="914">
        <f t="shared" si="13"/>
        <v>50</v>
      </c>
      <c r="E84" s="1126">
        <f t="shared" si="17"/>
        <v>8.275384615384624</v>
      </c>
      <c r="F84" s="948">
        <f t="shared" si="14"/>
        <v>0.75</v>
      </c>
      <c r="G84" s="940">
        <f t="shared" si="15"/>
        <v>413.76923076923117</v>
      </c>
      <c r="H84" s="943">
        <f t="shared" si="16"/>
        <v>310.32692307692338</v>
      </c>
      <c r="K84" s="890"/>
    </row>
    <row r="85" spans="1:11" x14ac:dyDescent="0.2">
      <c r="A85" s="1353" t="s">
        <v>880</v>
      </c>
      <c r="B85" s="938" t="str">
        <f t="shared" si="13"/>
        <v xml:space="preserve">Yellow Bell Pepper - فلفل أصفر </v>
      </c>
      <c r="C85" s="947" t="str">
        <f t="shared" si="13"/>
        <v>gm</v>
      </c>
      <c r="D85" s="914">
        <f t="shared" si="13"/>
        <v>50</v>
      </c>
      <c r="E85" s="1126">
        <f t="shared" si="17"/>
        <v>8.275384615384624</v>
      </c>
      <c r="F85" s="948">
        <f t="shared" si="14"/>
        <v>1</v>
      </c>
      <c r="G85" s="940">
        <f t="shared" si="15"/>
        <v>413.76923076923117</v>
      </c>
      <c r="H85" s="943">
        <f t="shared" si="16"/>
        <v>413.76923076923117</v>
      </c>
      <c r="K85" s="890"/>
    </row>
    <row r="86" spans="1:11" x14ac:dyDescent="0.25">
      <c r="A86" s="949"/>
      <c r="B86" s="938" t="str">
        <f t="shared" si="13"/>
        <v>Cinnamon Whole - قرفة أعواد</v>
      </c>
      <c r="C86" s="947" t="str">
        <f t="shared" si="13"/>
        <v>gm</v>
      </c>
      <c r="D86" s="914">
        <f t="shared" si="13"/>
        <v>1</v>
      </c>
      <c r="E86" s="1126">
        <f t="shared" si="17"/>
        <v>8.275384615384624</v>
      </c>
      <c r="F86" s="948">
        <f t="shared" si="14"/>
        <v>0.75</v>
      </c>
      <c r="G86" s="940">
        <f t="shared" si="15"/>
        <v>8.275384615384624</v>
      </c>
      <c r="H86" s="943">
        <f t="shared" si="16"/>
        <v>6.206538461538468</v>
      </c>
      <c r="K86" s="890"/>
    </row>
    <row r="87" spans="1:11" x14ac:dyDescent="0.25">
      <c r="A87" s="949"/>
      <c r="B87" s="938" t="str">
        <f t="shared" si="13"/>
        <v>Cloves Whole - قرنفل حب</v>
      </c>
      <c r="C87" s="947" t="str">
        <f t="shared" si="13"/>
        <v>gm</v>
      </c>
      <c r="D87" s="914">
        <f t="shared" si="13"/>
        <v>1</v>
      </c>
      <c r="E87" s="1126">
        <f t="shared" si="17"/>
        <v>8.275384615384624</v>
      </c>
      <c r="F87" s="948">
        <f t="shared" si="14"/>
        <v>0.75</v>
      </c>
      <c r="G87" s="940">
        <f t="shared" si="15"/>
        <v>8.275384615384624</v>
      </c>
      <c r="H87" s="943">
        <f t="shared" si="16"/>
        <v>6.206538461538468</v>
      </c>
      <c r="K87" s="890"/>
    </row>
    <row r="88" spans="1:11" x14ac:dyDescent="0.25">
      <c r="A88" s="949"/>
      <c r="B88" s="938" t="str">
        <f t="shared" si="13"/>
        <v>Black Pepper Whole - فلفل أسود حب</v>
      </c>
      <c r="C88" s="947" t="str">
        <f t="shared" si="13"/>
        <v>gm</v>
      </c>
      <c r="D88" s="914">
        <f t="shared" si="13"/>
        <v>1</v>
      </c>
      <c r="E88" s="1126">
        <f t="shared" si="17"/>
        <v>8.275384615384624</v>
      </c>
      <c r="F88" s="948">
        <f t="shared" si="14"/>
        <v>0.75</v>
      </c>
      <c r="G88" s="940">
        <f t="shared" si="15"/>
        <v>8.275384615384624</v>
      </c>
      <c r="H88" s="943">
        <f t="shared" si="16"/>
        <v>6.206538461538468</v>
      </c>
      <c r="K88" s="890"/>
    </row>
    <row r="89" spans="1:11" x14ac:dyDescent="0.25">
      <c r="A89" s="949"/>
      <c r="B89" s="938" t="str">
        <f t="shared" si="13"/>
        <v>Cardamom Whole - هيل حب</v>
      </c>
      <c r="C89" s="947" t="str">
        <f t="shared" si="13"/>
        <v>gm</v>
      </c>
      <c r="D89" s="914">
        <f t="shared" si="13"/>
        <v>1</v>
      </c>
      <c r="E89" s="1126">
        <f t="shared" si="17"/>
        <v>8.275384615384624</v>
      </c>
      <c r="F89" s="948">
        <f t="shared" si="14"/>
        <v>0.75</v>
      </c>
      <c r="G89" s="940">
        <f t="shared" si="15"/>
        <v>8.275384615384624</v>
      </c>
      <c r="H89" s="943">
        <f t="shared" si="16"/>
        <v>6.206538461538468</v>
      </c>
      <c r="K89" s="890"/>
    </row>
    <row r="90" spans="1:11" ht="18" x14ac:dyDescent="0.25">
      <c r="A90" s="1070"/>
      <c r="B90" s="1041" t="s">
        <v>287</v>
      </c>
      <c r="C90" s="1042" t="s">
        <v>273</v>
      </c>
      <c r="D90" s="1043"/>
      <c r="E90" s="1044" t="s">
        <v>288</v>
      </c>
      <c r="F90" s="1043"/>
      <c r="G90" s="1045" t="s">
        <v>264</v>
      </c>
      <c r="H90" s="1046" t="s">
        <v>661</v>
      </c>
      <c r="K90" s="890"/>
    </row>
    <row r="91" spans="1:11" ht="20.25" x14ac:dyDescent="0.3">
      <c r="A91" s="1070"/>
      <c r="B91" s="1047">
        <f>$J$53</f>
        <v>27584.615384615379</v>
      </c>
      <c r="C91" s="1048">
        <f>E91+G91</f>
        <v>8275.3846153846243</v>
      </c>
      <c r="D91" s="1049"/>
      <c r="E91" s="1047">
        <f>$D$53*$S$44</f>
        <v>8275.3846153846243</v>
      </c>
      <c r="F91" s="1050"/>
      <c r="G91" s="1048">
        <f>$D$53*$T$44</f>
        <v>0</v>
      </c>
      <c r="H91" s="1047">
        <f>B91+E91</f>
        <v>35860</v>
      </c>
      <c r="K91" s="890"/>
    </row>
    <row r="92" spans="1:11" x14ac:dyDescent="0.25">
      <c r="B92" s="80"/>
      <c r="D92" s="890"/>
      <c r="E92" s="80"/>
      <c r="F92" s="80"/>
      <c r="H92" s="890"/>
      <c r="K92" s="890"/>
    </row>
    <row r="93" spans="1:11" x14ac:dyDescent="0.25">
      <c r="B93" s="80"/>
      <c r="C93" s="80"/>
      <c r="D93" s="80"/>
      <c r="E93" s="80"/>
      <c r="F93" s="80"/>
      <c r="G93" s="80"/>
      <c r="H93" s="80"/>
      <c r="K93" s="890"/>
    </row>
    <row r="94" spans="1:11" x14ac:dyDescent="0.25">
      <c r="A94" s="1036"/>
      <c r="B94" s="1776" t="str">
        <f>"دجاج الفريدو دفعة 2 / " &amp; COUNTIF($C$53:$C$55, "&gt;0")</f>
        <v>دجاج الفريدو دفعة 2 / 1</v>
      </c>
      <c r="C94" s="1800"/>
      <c r="D94" s="1801"/>
      <c r="E94" s="1801"/>
      <c r="F94" s="1801"/>
      <c r="G94" s="1800"/>
      <c r="H94" s="1801"/>
      <c r="K94" s="890"/>
    </row>
    <row r="95" spans="1:11" x14ac:dyDescent="0.25">
      <c r="A95" s="1036"/>
      <c r="B95" s="1776" t="str">
        <f>"Chicken Alfredo 2 / " &amp; COUNTIF(C$53:$C$55, "&gt;0")</f>
        <v>Chicken Alfredo 2 / 1</v>
      </c>
      <c r="C95" s="1777"/>
      <c r="D95" s="1778"/>
      <c r="E95" s="1778"/>
      <c r="F95" s="1778"/>
      <c r="G95" s="1777"/>
      <c r="H95" s="1778"/>
      <c r="K95" s="890"/>
    </row>
    <row r="96" spans="1:11" ht="38.25" x14ac:dyDescent="0.2">
      <c r="A96" s="1350" t="s">
        <v>864</v>
      </c>
      <c r="B96" s="923" t="s">
        <v>241</v>
      </c>
      <c r="C96" s="934" t="s">
        <v>242</v>
      </c>
      <c r="D96" s="923" t="s">
        <v>231</v>
      </c>
      <c r="E96" s="935" t="s">
        <v>234</v>
      </c>
      <c r="F96" s="935" t="s">
        <v>243</v>
      </c>
      <c r="G96" s="923" t="s">
        <v>244</v>
      </c>
      <c r="H96" s="936" t="s">
        <v>245</v>
      </c>
      <c r="K96" s="890"/>
    </row>
    <row r="97" spans="1:11" x14ac:dyDescent="0.2">
      <c r="A97" s="937" t="s">
        <v>876</v>
      </c>
      <c r="B97" s="938" t="str">
        <f t="shared" ref="B97:D121" si="18">B5</f>
        <v>Chicken - دجاج</v>
      </c>
      <c r="C97" s="938" t="str">
        <f t="shared" si="18"/>
        <v>gm</v>
      </c>
      <c r="D97" s="1127">
        <f t="shared" si="18"/>
        <v>5649.8305084745762</v>
      </c>
      <c r="E97" s="1126">
        <f>H54</f>
        <v>0</v>
      </c>
      <c r="F97" s="948">
        <f t="shared" ref="F97:F121" si="19">F5</f>
        <v>1</v>
      </c>
      <c r="G97" s="944">
        <f t="shared" ref="G97:G121" si="20">D97*E97</f>
        <v>0</v>
      </c>
      <c r="H97" s="943">
        <f t="shared" ref="H97:H121" si="21">G97*F97</f>
        <v>0</v>
      </c>
      <c r="K97" s="890"/>
    </row>
    <row r="98" spans="1:11" x14ac:dyDescent="0.25">
      <c r="A98" s="1351"/>
      <c r="B98" s="938" t="str">
        <f t="shared" si="18"/>
        <v>Butter - زبدة</v>
      </c>
      <c r="C98" s="938" t="str">
        <f t="shared" si="18"/>
        <v>gm</v>
      </c>
      <c r="D98" s="938">
        <f t="shared" si="18"/>
        <v>40</v>
      </c>
      <c r="E98" s="1126">
        <f t="shared" ref="E98:E121" si="22">$C$54</f>
        <v>0</v>
      </c>
      <c r="F98" s="948">
        <f t="shared" si="19"/>
        <v>1</v>
      </c>
      <c r="G98" s="944">
        <f t="shared" si="20"/>
        <v>0</v>
      </c>
      <c r="H98" s="943">
        <f t="shared" si="21"/>
        <v>0</v>
      </c>
      <c r="K98" s="890"/>
    </row>
    <row r="99" spans="1:11" x14ac:dyDescent="0.25">
      <c r="A99" s="1351" t="s">
        <v>866</v>
      </c>
      <c r="B99" s="938" t="str">
        <f t="shared" si="18"/>
        <v>Onion - بصل</v>
      </c>
      <c r="C99" s="938" t="str">
        <f t="shared" si="18"/>
        <v>gm</v>
      </c>
      <c r="D99" s="938">
        <f t="shared" si="18"/>
        <v>350</v>
      </c>
      <c r="E99" s="1126">
        <f t="shared" si="22"/>
        <v>0</v>
      </c>
      <c r="F99" s="948">
        <f t="shared" si="19"/>
        <v>0.75</v>
      </c>
      <c r="G99" s="944">
        <f t="shared" si="20"/>
        <v>0</v>
      </c>
      <c r="H99" s="943">
        <f t="shared" si="21"/>
        <v>0</v>
      </c>
      <c r="K99" s="890"/>
    </row>
    <row r="100" spans="1:11" x14ac:dyDescent="0.25">
      <c r="A100" s="1351"/>
      <c r="B100" s="938" t="str">
        <f t="shared" si="18"/>
        <v>Yogurt - زبادي</v>
      </c>
      <c r="C100" s="938" t="str">
        <f t="shared" si="18"/>
        <v>gm</v>
      </c>
      <c r="D100" s="938">
        <f t="shared" si="18"/>
        <v>250</v>
      </c>
      <c r="E100" s="1126">
        <f t="shared" si="22"/>
        <v>0</v>
      </c>
      <c r="F100" s="948">
        <f t="shared" si="19"/>
        <v>0.9</v>
      </c>
      <c r="G100" s="944">
        <f t="shared" si="20"/>
        <v>0</v>
      </c>
      <c r="H100" s="943">
        <f t="shared" si="21"/>
        <v>0</v>
      </c>
      <c r="K100" s="890"/>
    </row>
    <row r="101" spans="1:11" x14ac:dyDescent="0.25">
      <c r="A101" s="1351" t="s">
        <v>868</v>
      </c>
      <c r="B101" s="938" t="str">
        <f t="shared" si="18"/>
        <v>Garlic - ثوم مقشر</v>
      </c>
      <c r="C101" s="938" t="str">
        <f t="shared" si="18"/>
        <v>gm</v>
      </c>
      <c r="D101" s="938">
        <f t="shared" si="18"/>
        <v>20</v>
      </c>
      <c r="E101" s="1126">
        <f t="shared" si="22"/>
        <v>0</v>
      </c>
      <c r="F101" s="948">
        <f t="shared" si="19"/>
        <v>1</v>
      </c>
      <c r="G101" s="944">
        <f t="shared" si="20"/>
        <v>0</v>
      </c>
      <c r="H101" s="943">
        <f t="shared" si="21"/>
        <v>0</v>
      </c>
      <c r="K101" s="890"/>
    </row>
    <row r="102" spans="1:11" x14ac:dyDescent="0.25">
      <c r="A102" s="1351" t="s">
        <v>867</v>
      </c>
      <c r="B102" s="938" t="str">
        <f t="shared" si="18"/>
        <v>Ginger - زنجبيل</v>
      </c>
      <c r="C102" s="938" t="str">
        <f t="shared" si="18"/>
        <v>gm</v>
      </c>
      <c r="D102" s="938">
        <f t="shared" si="18"/>
        <v>20</v>
      </c>
      <c r="E102" s="1126">
        <f t="shared" si="22"/>
        <v>0</v>
      </c>
      <c r="F102" s="948">
        <f t="shared" si="19"/>
        <v>0.5</v>
      </c>
      <c r="G102" s="944">
        <f t="shared" si="20"/>
        <v>0</v>
      </c>
      <c r="H102" s="943">
        <f t="shared" si="21"/>
        <v>0</v>
      </c>
      <c r="K102" s="890"/>
    </row>
    <row r="103" spans="1:11" x14ac:dyDescent="0.25">
      <c r="A103" s="1351"/>
      <c r="B103" s="938" t="str">
        <f t="shared" si="18"/>
        <v>Coriander Powder - كزبرة مطحونة</v>
      </c>
      <c r="C103" s="938" t="str">
        <f t="shared" si="18"/>
        <v>gm</v>
      </c>
      <c r="D103" s="938">
        <f t="shared" si="18"/>
        <v>10</v>
      </c>
      <c r="E103" s="1126">
        <f t="shared" si="22"/>
        <v>0</v>
      </c>
      <c r="F103" s="948">
        <f t="shared" si="19"/>
        <v>0.95</v>
      </c>
      <c r="G103" s="944">
        <f t="shared" si="20"/>
        <v>0</v>
      </c>
      <c r="H103" s="943">
        <f t="shared" si="21"/>
        <v>0</v>
      </c>
      <c r="K103" s="890"/>
    </row>
    <row r="104" spans="1:11" x14ac:dyDescent="0.25">
      <c r="A104" s="1351"/>
      <c r="B104" s="938" t="str">
        <f t="shared" si="18"/>
        <v>Cumin Powder - كمون مطحون</v>
      </c>
      <c r="C104" s="938" t="str">
        <f t="shared" si="18"/>
        <v>gm</v>
      </c>
      <c r="D104" s="938">
        <f t="shared" si="18"/>
        <v>5</v>
      </c>
      <c r="E104" s="1126">
        <f t="shared" si="22"/>
        <v>0</v>
      </c>
      <c r="F104" s="948">
        <f t="shared" si="19"/>
        <v>0.95</v>
      </c>
      <c r="G104" s="944">
        <f t="shared" si="20"/>
        <v>0</v>
      </c>
      <c r="H104" s="943">
        <f t="shared" si="21"/>
        <v>0</v>
      </c>
      <c r="K104" s="890"/>
    </row>
    <row r="105" spans="1:11" x14ac:dyDescent="0.25">
      <c r="A105" s="1351"/>
      <c r="B105" s="938" t="str">
        <f t="shared" si="18"/>
        <v>Red Chilli Powder - شطة حمراء مطحونة</v>
      </c>
      <c r="C105" s="938" t="str">
        <f t="shared" si="18"/>
        <v>gm</v>
      </c>
      <c r="D105" s="938">
        <f t="shared" si="18"/>
        <v>3</v>
      </c>
      <c r="E105" s="1126">
        <f t="shared" si="22"/>
        <v>0</v>
      </c>
      <c r="F105" s="948">
        <f t="shared" si="19"/>
        <v>0.6</v>
      </c>
      <c r="G105" s="944">
        <f t="shared" si="20"/>
        <v>0</v>
      </c>
      <c r="H105" s="943">
        <f t="shared" si="21"/>
        <v>0</v>
      </c>
      <c r="K105" s="890"/>
    </row>
    <row r="106" spans="1:11" x14ac:dyDescent="0.25">
      <c r="A106" s="1351"/>
      <c r="B106" s="938" t="str">
        <f t="shared" si="18"/>
        <v>Cooking Cream - كريمة طبخ</v>
      </c>
      <c r="C106" s="938" t="str">
        <f t="shared" si="18"/>
        <v>ml</v>
      </c>
      <c r="D106" s="938">
        <f t="shared" si="18"/>
        <v>500</v>
      </c>
      <c r="E106" s="1126">
        <f t="shared" si="22"/>
        <v>0</v>
      </c>
      <c r="F106" s="948">
        <f t="shared" si="19"/>
        <v>1</v>
      </c>
      <c r="G106" s="944">
        <f t="shared" si="20"/>
        <v>0</v>
      </c>
      <c r="H106" s="943">
        <f t="shared" si="21"/>
        <v>0</v>
      </c>
      <c r="K106" s="890"/>
    </row>
    <row r="107" spans="1:11" x14ac:dyDescent="0.25">
      <c r="A107" s="1351"/>
      <c r="B107" s="938" t="str">
        <f t="shared" si="18"/>
        <v>Saffron yellow color powder - لون صفار زعفران بودر</v>
      </c>
      <c r="C107" s="938" t="str">
        <f t="shared" si="18"/>
        <v>gm</v>
      </c>
      <c r="D107" s="938">
        <f t="shared" si="18"/>
        <v>3</v>
      </c>
      <c r="E107" s="1126">
        <f t="shared" si="22"/>
        <v>0</v>
      </c>
      <c r="F107" s="948">
        <f t="shared" si="19"/>
        <v>1</v>
      </c>
      <c r="G107" s="944">
        <f t="shared" si="20"/>
        <v>0</v>
      </c>
      <c r="H107" s="943">
        <f t="shared" si="21"/>
        <v>0</v>
      </c>
      <c r="K107" s="890"/>
    </row>
    <row r="108" spans="1:11" x14ac:dyDescent="0.25">
      <c r="A108" s="1351"/>
      <c r="B108" s="938" t="str">
        <f t="shared" si="18"/>
        <v>Salt - ملح</v>
      </c>
      <c r="C108" s="938" t="str">
        <f t="shared" si="18"/>
        <v>gm</v>
      </c>
      <c r="D108" s="938">
        <f t="shared" si="18"/>
        <v>6</v>
      </c>
      <c r="E108" s="1126">
        <f t="shared" si="22"/>
        <v>0</v>
      </c>
      <c r="F108" s="948">
        <f t="shared" si="19"/>
        <v>0.75</v>
      </c>
      <c r="G108" s="944">
        <f t="shared" si="20"/>
        <v>0</v>
      </c>
      <c r="H108" s="943">
        <f t="shared" si="21"/>
        <v>0</v>
      </c>
      <c r="K108" s="890"/>
    </row>
    <row r="109" spans="1:11" x14ac:dyDescent="0.25">
      <c r="A109" s="1351"/>
      <c r="B109" s="938" t="str">
        <f t="shared" si="18"/>
        <v>Dry Oregano - أوريجانو مجفف</v>
      </c>
      <c r="C109" s="938" t="str">
        <f t="shared" si="18"/>
        <v>gm</v>
      </c>
      <c r="D109" s="938">
        <f t="shared" si="18"/>
        <v>1</v>
      </c>
      <c r="E109" s="1126">
        <f t="shared" si="22"/>
        <v>0</v>
      </c>
      <c r="F109" s="948">
        <f t="shared" si="19"/>
        <v>0.75</v>
      </c>
      <c r="G109" s="944">
        <f t="shared" si="20"/>
        <v>0</v>
      </c>
      <c r="H109" s="943">
        <f t="shared" si="21"/>
        <v>0</v>
      </c>
      <c r="K109" s="890"/>
    </row>
    <row r="110" spans="1:11" x14ac:dyDescent="0.25">
      <c r="A110" s="1351"/>
      <c r="B110" s="938" t="str">
        <f t="shared" si="18"/>
        <v>Maggi Cubes - مكعبات ماجي</v>
      </c>
      <c r="C110" s="938" t="str">
        <f t="shared" si="18"/>
        <v>gm</v>
      </c>
      <c r="D110" s="938">
        <f t="shared" si="18"/>
        <v>7</v>
      </c>
      <c r="E110" s="1126">
        <f t="shared" si="22"/>
        <v>0</v>
      </c>
      <c r="F110" s="948">
        <f t="shared" si="19"/>
        <v>0.75</v>
      </c>
      <c r="G110" s="944">
        <f t="shared" si="20"/>
        <v>0</v>
      </c>
      <c r="H110" s="943">
        <f t="shared" si="21"/>
        <v>0</v>
      </c>
      <c r="K110" s="890"/>
    </row>
    <row r="111" spans="1:11" x14ac:dyDescent="0.25">
      <c r="A111" s="1351"/>
      <c r="B111" s="938" t="str">
        <f t="shared" si="18"/>
        <v>Fresh Coconut - جوز هند طازج</v>
      </c>
      <c r="C111" s="938" t="str">
        <f t="shared" si="18"/>
        <v>gm</v>
      </c>
      <c r="D111" s="938">
        <f t="shared" si="18"/>
        <v>50</v>
      </c>
      <c r="E111" s="1126">
        <f t="shared" si="22"/>
        <v>0</v>
      </c>
      <c r="F111" s="948">
        <f t="shared" si="19"/>
        <v>1</v>
      </c>
      <c r="G111" s="944">
        <f t="shared" si="20"/>
        <v>0</v>
      </c>
      <c r="H111" s="943">
        <f t="shared" si="21"/>
        <v>0</v>
      </c>
      <c r="K111" s="890"/>
    </row>
    <row r="112" spans="1:11" x14ac:dyDescent="0.25">
      <c r="A112" s="1351"/>
      <c r="B112" s="938" t="str">
        <f t="shared" si="18"/>
        <v>Turmeric - كركم</v>
      </c>
      <c r="C112" s="938" t="str">
        <f t="shared" si="18"/>
        <v>gm</v>
      </c>
      <c r="D112" s="938">
        <f t="shared" si="18"/>
        <v>2</v>
      </c>
      <c r="E112" s="1126">
        <f t="shared" si="22"/>
        <v>0</v>
      </c>
      <c r="F112" s="948">
        <f t="shared" si="19"/>
        <v>1</v>
      </c>
      <c r="G112" s="944">
        <f t="shared" si="20"/>
        <v>0</v>
      </c>
      <c r="H112" s="943">
        <f t="shared" si="21"/>
        <v>0</v>
      </c>
      <c r="K112" s="890"/>
    </row>
    <row r="113" spans="1:11" x14ac:dyDescent="0.25">
      <c r="A113" s="1351"/>
      <c r="B113" s="938" t="str">
        <f t="shared" si="18"/>
        <v>Milk - حليب</v>
      </c>
      <c r="C113" s="938" t="str">
        <f t="shared" si="18"/>
        <v>ml</v>
      </c>
      <c r="D113" s="938">
        <f t="shared" si="18"/>
        <v>100</v>
      </c>
      <c r="E113" s="1126">
        <f t="shared" si="22"/>
        <v>0</v>
      </c>
      <c r="F113" s="948">
        <f t="shared" si="19"/>
        <v>1</v>
      </c>
      <c r="G113" s="944">
        <f t="shared" si="20"/>
        <v>0</v>
      </c>
      <c r="H113" s="943">
        <f t="shared" si="21"/>
        <v>0</v>
      </c>
      <c r="K113" s="890"/>
    </row>
    <row r="114" spans="1:11" x14ac:dyDescent="0.25">
      <c r="A114" s="1351" t="s">
        <v>884</v>
      </c>
      <c r="B114" s="938" t="str">
        <f t="shared" si="18"/>
        <v>Green Chilli Pepper - فلفل أخضر حار</v>
      </c>
      <c r="C114" s="938" t="str">
        <f t="shared" si="18"/>
        <v>gm</v>
      </c>
      <c r="D114" s="938">
        <f t="shared" si="18"/>
        <v>2</v>
      </c>
      <c r="E114" s="1126">
        <f t="shared" si="22"/>
        <v>0</v>
      </c>
      <c r="F114" s="948">
        <f t="shared" si="19"/>
        <v>0.75</v>
      </c>
      <c r="G114" s="944">
        <f t="shared" si="20"/>
        <v>0</v>
      </c>
      <c r="H114" s="943">
        <f t="shared" si="21"/>
        <v>0</v>
      </c>
      <c r="K114" s="890"/>
    </row>
    <row r="115" spans="1:11" x14ac:dyDescent="0.25">
      <c r="A115" s="1351" t="s">
        <v>880</v>
      </c>
      <c r="B115" s="938" t="str">
        <f t="shared" si="18"/>
        <v>Green Bell Pepper - فلفل أخضر رومى</v>
      </c>
      <c r="C115" s="938" t="str">
        <f t="shared" si="18"/>
        <v>gm</v>
      </c>
      <c r="D115" s="938">
        <f t="shared" si="18"/>
        <v>50</v>
      </c>
      <c r="E115" s="1126">
        <f t="shared" si="22"/>
        <v>0</v>
      </c>
      <c r="F115" s="948">
        <f t="shared" si="19"/>
        <v>1.75</v>
      </c>
      <c r="G115" s="944">
        <f t="shared" si="20"/>
        <v>0</v>
      </c>
      <c r="H115" s="943">
        <f t="shared" si="21"/>
        <v>0</v>
      </c>
      <c r="K115" s="890"/>
    </row>
    <row r="116" spans="1:11" x14ac:dyDescent="0.25">
      <c r="A116" s="1351" t="s">
        <v>880</v>
      </c>
      <c r="B116" s="938" t="str">
        <f t="shared" si="18"/>
        <v xml:space="preserve">Red Bell Pepper - فلفل أحمر </v>
      </c>
      <c r="C116" s="938" t="str">
        <f t="shared" si="18"/>
        <v>gm</v>
      </c>
      <c r="D116" s="938">
        <f t="shared" si="18"/>
        <v>50</v>
      </c>
      <c r="E116" s="1126">
        <f t="shared" si="22"/>
        <v>0</v>
      </c>
      <c r="F116" s="948">
        <f t="shared" si="19"/>
        <v>0.75</v>
      </c>
      <c r="G116" s="944">
        <f t="shared" si="20"/>
        <v>0</v>
      </c>
      <c r="H116" s="943">
        <f t="shared" si="21"/>
        <v>0</v>
      </c>
      <c r="K116" s="890"/>
    </row>
    <row r="117" spans="1:11" x14ac:dyDescent="0.2">
      <c r="A117" s="1353" t="s">
        <v>880</v>
      </c>
      <c r="B117" s="938" t="str">
        <f t="shared" si="18"/>
        <v xml:space="preserve">Yellow Bell Pepper - فلفل أصفر </v>
      </c>
      <c r="C117" s="938" t="str">
        <f t="shared" si="18"/>
        <v>gm</v>
      </c>
      <c r="D117" s="938">
        <f t="shared" si="18"/>
        <v>50</v>
      </c>
      <c r="E117" s="1126">
        <f t="shared" si="22"/>
        <v>0</v>
      </c>
      <c r="F117" s="948">
        <f t="shared" si="19"/>
        <v>1</v>
      </c>
      <c r="G117" s="944">
        <f t="shared" si="20"/>
        <v>0</v>
      </c>
      <c r="H117" s="943">
        <f t="shared" si="21"/>
        <v>0</v>
      </c>
      <c r="K117" s="890"/>
    </row>
    <row r="118" spans="1:11" x14ac:dyDescent="0.25">
      <c r="A118" s="949"/>
      <c r="B118" s="938" t="str">
        <f t="shared" si="18"/>
        <v>Cinnamon Whole - قرفة أعواد</v>
      </c>
      <c r="C118" s="938" t="str">
        <f t="shared" si="18"/>
        <v>gm</v>
      </c>
      <c r="D118" s="938">
        <f t="shared" si="18"/>
        <v>1</v>
      </c>
      <c r="E118" s="1126">
        <f t="shared" si="22"/>
        <v>0</v>
      </c>
      <c r="F118" s="948">
        <f t="shared" si="19"/>
        <v>0.75</v>
      </c>
      <c r="G118" s="944">
        <f t="shared" si="20"/>
        <v>0</v>
      </c>
      <c r="H118" s="943">
        <f t="shared" si="21"/>
        <v>0</v>
      </c>
      <c r="K118" s="890"/>
    </row>
    <row r="119" spans="1:11" x14ac:dyDescent="0.25">
      <c r="A119" s="949"/>
      <c r="B119" s="938" t="str">
        <f t="shared" si="18"/>
        <v>Cloves Whole - قرنفل حب</v>
      </c>
      <c r="C119" s="938" t="str">
        <f t="shared" si="18"/>
        <v>gm</v>
      </c>
      <c r="D119" s="938">
        <f t="shared" si="18"/>
        <v>1</v>
      </c>
      <c r="E119" s="1126">
        <f t="shared" si="22"/>
        <v>0</v>
      </c>
      <c r="F119" s="948">
        <f t="shared" si="19"/>
        <v>0.75</v>
      </c>
      <c r="G119" s="944">
        <f t="shared" si="20"/>
        <v>0</v>
      </c>
      <c r="H119" s="943">
        <f t="shared" si="21"/>
        <v>0</v>
      </c>
      <c r="K119" s="890"/>
    </row>
    <row r="120" spans="1:11" x14ac:dyDescent="0.25">
      <c r="A120" s="949"/>
      <c r="B120" s="938" t="str">
        <f t="shared" si="18"/>
        <v>Black Pepper Whole - فلفل أسود حب</v>
      </c>
      <c r="C120" s="938" t="str">
        <f t="shared" si="18"/>
        <v>gm</v>
      </c>
      <c r="D120" s="938">
        <f t="shared" si="18"/>
        <v>1</v>
      </c>
      <c r="E120" s="1126">
        <f t="shared" si="22"/>
        <v>0</v>
      </c>
      <c r="F120" s="948">
        <f t="shared" si="19"/>
        <v>0.75</v>
      </c>
      <c r="G120" s="944">
        <f t="shared" si="20"/>
        <v>0</v>
      </c>
      <c r="H120" s="943">
        <f t="shared" si="21"/>
        <v>0</v>
      </c>
      <c r="K120" s="890"/>
    </row>
    <row r="121" spans="1:11" x14ac:dyDescent="0.25">
      <c r="A121" s="949"/>
      <c r="B121" s="938" t="str">
        <f t="shared" si="18"/>
        <v>Cardamom Whole - هيل حب</v>
      </c>
      <c r="C121" s="938" t="str">
        <f t="shared" si="18"/>
        <v>gm</v>
      </c>
      <c r="D121" s="938">
        <f t="shared" si="18"/>
        <v>1</v>
      </c>
      <c r="E121" s="1126">
        <f t="shared" si="22"/>
        <v>0</v>
      </c>
      <c r="F121" s="948">
        <f t="shared" si="19"/>
        <v>0.75</v>
      </c>
      <c r="G121" s="944">
        <f t="shared" si="20"/>
        <v>0</v>
      </c>
      <c r="H121" s="943">
        <f t="shared" si="21"/>
        <v>0</v>
      </c>
      <c r="K121" s="890"/>
    </row>
    <row r="122" spans="1:11" ht="20.25" x14ac:dyDescent="0.3">
      <c r="A122" s="1070"/>
      <c r="B122" s="1041" t="s">
        <v>287</v>
      </c>
      <c r="C122" s="1042" t="s">
        <v>273</v>
      </c>
      <c r="D122" s="1043"/>
      <c r="E122" s="1044" t="s">
        <v>288</v>
      </c>
      <c r="F122" s="1043"/>
      <c r="G122" s="1045" t="s">
        <v>264</v>
      </c>
      <c r="H122" s="1046" t="s">
        <v>661</v>
      </c>
      <c r="I122" s="142"/>
      <c r="J122" s="141"/>
      <c r="K122" s="890"/>
    </row>
    <row r="123" spans="1:11" ht="20.25" x14ac:dyDescent="0.3">
      <c r="A123" s="1070"/>
      <c r="B123" s="1047">
        <f>$J$54</f>
        <v>0</v>
      </c>
      <c r="C123" s="1048">
        <f>E123+G123</f>
        <v>0</v>
      </c>
      <c r="D123" s="1049"/>
      <c r="E123" s="1047">
        <f>$D$54*$S$44</f>
        <v>0</v>
      </c>
      <c r="F123" s="1050"/>
      <c r="G123" s="1048">
        <f>$D$54*$T$44</f>
        <v>0</v>
      </c>
      <c r="H123" s="1047">
        <f>B123+E123</f>
        <v>0</v>
      </c>
      <c r="K123" s="890"/>
    </row>
  </sheetData>
  <mergeCells count="12">
    <mergeCell ref="AK2:AM2"/>
    <mergeCell ref="AE2:AG3"/>
    <mergeCell ref="B94:H94"/>
    <mergeCell ref="R26:U26"/>
    <mergeCell ref="R25:U25"/>
    <mergeCell ref="B62:H62"/>
    <mergeCell ref="B95:H95"/>
    <mergeCell ref="K2:K3"/>
    <mergeCell ref="B63:H63"/>
    <mergeCell ref="L2:L3"/>
    <mergeCell ref="B2:J3"/>
    <mergeCell ref="B35:F35"/>
  </mergeCells>
  <printOptions horizontalCentered="1"/>
  <pageMargins left="0.4" right="0.4" top="1" bottom="0.5" header="0.3" footer="0.511811023622047"/>
  <pageSetup paperSize="9" scale="42"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8" tint="-0.249977111117893"/>
    <pageSetUpPr fitToPage="1"/>
  </sheetPr>
  <dimension ref="A1:AE144"/>
  <sheetViews>
    <sheetView topLeftCell="I1" zoomScale="85" zoomScaleNormal="85" workbookViewId="0">
      <selection activeCell="R1" sqref="R1"/>
    </sheetView>
  </sheetViews>
  <sheetFormatPr defaultColWidth="12.5" defaultRowHeight="15" x14ac:dyDescent="0.25"/>
  <cols>
    <col min="1" max="1" width="18.625" style="61" customWidth="1"/>
    <col min="2" max="2" width="25.875" style="14" customWidth="1"/>
    <col min="3" max="3" width="18.625" style="14" customWidth="1"/>
    <col min="4" max="4" width="25.875" style="14" customWidth="1"/>
    <col min="5" max="5" width="25.875" style="190" customWidth="1"/>
    <col min="6"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3" width="30.375" style="14" customWidth="1"/>
    <col min="14" max="14" width="25.875" style="14" customWidth="1"/>
    <col min="15" max="15" width="18.625" style="14" customWidth="1"/>
    <col min="16" max="16" width="12.625" style="14" customWidth="1"/>
    <col min="17" max="17" width="18.625" style="14" customWidth="1"/>
    <col min="18" max="18" width="25.875" style="14" customWidth="1"/>
    <col min="19" max="19" width="18.625" style="14" customWidth="1"/>
    <col min="20" max="20" width="25.875" style="14" customWidth="1"/>
    <col min="21" max="22" width="12.625" style="14" customWidth="1"/>
    <col min="23" max="23" width="25.875" style="14" customWidth="1"/>
    <col min="24" max="24" width="12.5" style="14"/>
    <col min="25" max="25" width="8.625" style="14" customWidth="1"/>
    <col min="26" max="28" width="12.625" style="14" customWidth="1"/>
    <col min="29" max="29" width="12.625" style="395" customWidth="1"/>
    <col min="30" max="30" width="8.625" style="395" customWidth="1"/>
    <col min="31" max="16384" width="12.5" style="14"/>
  </cols>
  <sheetData>
    <row r="1" spans="1:31" s="168" customFormat="1" ht="25.5" x14ac:dyDescent="0.2">
      <c r="A1" s="865"/>
      <c r="B1" s="913" t="s">
        <v>231</v>
      </c>
      <c r="C1" s="914">
        <v>1000</v>
      </c>
      <c r="D1" s="915" t="s">
        <v>232</v>
      </c>
      <c r="E1" s="916">
        <f>$T$32</f>
        <v>13124</v>
      </c>
      <c r="F1" s="1368" t="s">
        <v>233</v>
      </c>
      <c r="G1" s="917">
        <f>E1/C1</f>
        <v>13.124000000000001</v>
      </c>
      <c r="H1" s="913" t="s">
        <v>234</v>
      </c>
      <c r="I1" s="918">
        <f>(G1/K1)</f>
        <v>13.814736842105264</v>
      </c>
      <c r="J1" s="919" t="s">
        <v>235</v>
      </c>
      <c r="K1" s="918">
        <v>0.95</v>
      </c>
      <c r="L1" s="238"/>
      <c r="M1" s="70"/>
      <c r="N1" s="71"/>
      <c r="O1" s="72" t="s">
        <v>236</v>
      </c>
      <c r="P1" s="73"/>
      <c r="Q1" s="74" t="s">
        <v>504</v>
      </c>
      <c r="R1" s="890">
        <v>3</v>
      </c>
      <c r="T1" s="1129"/>
      <c r="W1" s="1129"/>
      <c r="Y1" s="923" t="s">
        <v>444</v>
      </c>
      <c r="Z1" s="925">
        <v>32310</v>
      </c>
      <c r="AA1" s="923" t="s">
        <v>544</v>
      </c>
      <c r="AB1" s="925">
        <v>500</v>
      </c>
      <c r="AC1" s="923" t="s">
        <v>537</v>
      </c>
      <c r="AD1" s="925">
        <v>223</v>
      </c>
    </row>
    <row r="2" spans="1:31" ht="15.75" x14ac:dyDescent="0.25">
      <c r="A2" s="863"/>
      <c r="B2" s="1784" t="s">
        <v>44</v>
      </c>
      <c r="C2" s="1797"/>
      <c r="D2" s="1798"/>
      <c r="E2" s="1829"/>
      <c r="F2" s="1798"/>
      <c r="G2" s="1797"/>
      <c r="H2" s="1798"/>
      <c r="I2" s="921"/>
      <c r="J2" s="921"/>
      <c r="K2" s="921"/>
      <c r="L2" s="78"/>
      <c r="M2" s="80"/>
      <c r="N2" s="80"/>
      <c r="O2" s="80"/>
      <c r="P2" s="80"/>
      <c r="Q2" s="80"/>
      <c r="R2" s="80"/>
      <c r="T2" s="890"/>
      <c r="W2" s="890"/>
      <c r="AC2" s="392"/>
      <c r="AD2" s="392"/>
      <c r="AE2" s="1795"/>
    </row>
    <row r="3" spans="1:31" ht="15.75" x14ac:dyDescent="0.25">
      <c r="A3" s="863"/>
      <c r="B3" s="1785"/>
      <c r="C3" s="1796"/>
      <c r="D3" s="1785"/>
      <c r="E3" s="1785"/>
      <c r="F3" s="1785"/>
      <c r="G3" s="1796"/>
      <c r="H3" s="1785"/>
      <c r="I3" s="78"/>
      <c r="J3" s="78"/>
      <c r="K3" s="78"/>
      <c r="L3" s="78"/>
      <c r="N3" s="890"/>
      <c r="P3" s="80"/>
      <c r="Q3" s="80"/>
      <c r="R3" s="80"/>
      <c r="T3" s="890"/>
      <c r="W3" s="890"/>
      <c r="AC3" s="392"/>
      <c r="AD3" s="392"/>
      <c r="AE3" s="1799"/>
    </row>
    <row r="4" spans="1:31" ht="38.25" x14ac:dyDescent="0.2">
      <c r="A4" s="1350" t="s">
        <v>864</v>
      </c>
      <c r="B4" s="923" t="s">
        <v>241</v>
      </c>
      <c r="C4" s="934" t="s">
        <v>242</v>
      </c>
      <c r="D4" s="923" t="s">
        <v>231</v>
      </c>
      <c r="E4" s="935" t="s">
        <v>234</v>
      </c>
      <c r="F4" s="935" t="s">
        <v>243</v>
      </c>
      <c r="G4" s="923" t="s">
        <v>244</v>
      </c>
      <c r="H4" s="936" t="s">
        <v>245</v>
      </c>
      <c r="I4" s="923" t="s">
        <v>246</v>
      </c>
      <c r="J4" s="923" t="s">
        <v>247</v>
      </c>
      <c r="K4" s="923" t="s">
        <v>248</v>
      </c>
      <c r="L4" s="923" t="s">
        <v>249</v>
      </c>
      <c r="M4" s="80"/>
      <c r="N4" s="80"/>
      <c r="O4" s="80"/>
      <c r="R4" s="890"/>
      <c r="T4" s="890"/>
      <c r="W4" s="890"/>
      <c r="AA4" s="169"/>
      <c r="AB4" s="171"/>
      <c r="AC4" s="391"/>
      <c r="AD4" s="391"/>
      <c r="AE4" s="169"/>
    </row>
    <row r="5" spans="1:31" x14ac:dyDescent="0.2">
      <c r="A5" s="1369"/>
      <c r="B5" s="1118" t="s">
        <v>500</v>
      </c>
      <c r="C5" s="939" t="s">
        <v>14</v>
      </c>
      <c r="D5" s="944">
        <f>I51/H51</f>
        <v>500</v>
      </c>
      <c r="E5" s="1040">
        <f t="shared" ref="E5:E14" si="0">$I$1</f>
        <v>13.814736842105264</v>
      </c>
      <c r="F5" s="942">
        <v>1</v>
      </c>
      <c r="G5" s="940">
        <f t="shared" ref="G5:G14" si="1">D5*E5</f>
        <v>6907.3684210526317</v>
      </c>
      <c r="H5" s="943">
        <f t="shared" ref="H5:H14" si="2">G5*F5</f>
        <v>6907.3684210526317</v>
      </c>
      <c r="I5" s="914">
        <f>VLOOKUP(B5,All_Ingredients!$A$1:$F$161,6,FALSE())</f>
        <v>1</v>
      </c>
      <c r="J5" s="940">
        <f>VLOOKUP(B5,All_Ingredients!$A$1:$J$161,10,FALSE())</f>
        <v>10.208333333333334</v>
      </c>
      <c r="K5" s="945">
        <f>(H5/I5)/1000</f>
        <v>6.9073684210526318</v>
      </c>
      <c r="L5" s="945">
        <f t="shared" ref="L5:L18" si="3">K5*J5</f>
        <v>70.512719298245614</v>
      </c>
      <c r="M5" s="80"/>
      <c r="N5" s="80"/>
      <c r="O5" s="80"/>
      <c r="R5" s="890"/>
      <c r="T5" s="890"/>
      <c r="W5" s="890"/>
      <c r="AA5" s="73"/>
      <c r="AB5" s="89"/>
      <c r="AC5" s="393"/>
      <c r="AD5" s="394"/>
      <c r="AE5" s="91"/>
    </row>
    <row r="6" spans="1:31" x14ac:dyDescent="0.25">
      <c r="A6" s="949"/>
      <c r="B6" s="1115" t="s">
        <v>166</v>
      </c>
      <c r="C6" s="947" t="s">
        <v>160</v>
      </c>
      <c r="D6" s="914">
        <v>600</v>
      </c>
      <c r="E6" s="1040">
        <f t="shared" si="0"/>
        <v>13.814736842105264</v>
      </c>
      <c r="F6" s="948">
        <v>1</v>
      </c>
      <c r="G6" s="940">
        <f t="shared" si="1"/>
        <v>8288.8421052631584</v>
      </c>
      <c r="H6" s="943">
        <f t="shared" si="2"/>
        <v>8288.8421052631584</v>
      </c>
      <c r="I6" s="914">
        <f>VLOOKUP(B6,All_Ingredients!$A$1:$F$161,6,FALSE())</f>
        <v>1</v>
      </c>
      <c r="J6" s="940">
        <f>VLOOKUP(B6,All_Ingredients!$A$1:$J$161,10,FALSE())</f>
        <v>12.666666666666666</v>
      </c>
      <c r="K6" s="945">
        <f>(H6/I6)/1000</f>
        <v>8.2888421052631589</v>
      </c>
      <c r="L6" s="945">
        <f t="shared" si="3"/>
        <v>104.992</v>
      </c>
      <c r="N6" s="890"/>
      <c r="R6" s="890"/>
      <c r="T6" s="890"/>
      <c r="W6" s="890"/>
    </row>
    <row r="7" spans="1:31" x14ac:dyDescent="0.25">
      <c r="A7" s="949"/>
      <c r="B7" s="1115" t="s">
        <v>159</v>
      </c>
      <c r="C7" s="947" t="s">
        <v>160</v>
      </c>
      <c r="D7" s="914">
        <v>600</v>
      </c>
      <c r="E7" s="1040">
        <f t="shared" si="0"/>
        <v>13.814736842105264</v>
      </c>
      <c r="F7" s="948">
        <v>1</v>
      </c>
      <c r="G7" s="940">
        <f t="shared" si="1"/>
        <v>8288.8421052631584</v>
      </c>
      <c r="H7" s="943">
        <f t="shared" si="2"/>
        <v>8288.8421052631584</v>
      </c>
      <c r="I7" s="914">
        <f>VLOOKUP(B7,All_Ingredients!$A$1:$F$161,6,FALSE())</f>
        <v>1</v>
      </c>
      <c r="J7" s="940">
        <f>VLOOKUP(B7,All_Ingredients!$A$1:$J$161,10,FALSE())</f>
        <v>4.2033333333333331</v>
      </c>
      <c r="K7" s="945">
        <f t="shared" ref="K7:K18" si="4">(H7/I7)/1000</f>
        <v>8.2888421052631589</v>
      </c>
      <c r="L7" s="945">
        <f t="shared" si="3"/>
        <v>34.840766315789473</v>
      </c>
      <c r="N7" s="890"/>
      <c r="R7" s="890"/>
      <c r="T7" s="890"/>
      <c r="W7" s="890"/>
    </row>
    <row r="8" spans="1:31" x14ac:dyDescent="0.25">
      <c r="A8" s="949" t="s">
        <v>866</v>
      </c>
      <c r="B8" s="1115" t="s">
        <v>12</v>
      </c>
      <c r="C8" s="947" t="s">
        <v>14</v>
      </c>
      <c r="D8" s="914">
        <v>20</v>
      </c>
      <c r="E8" s="1040">
        <f t="shared" si="0"/>
        <v>13.814736842105264</v>
      </c>
      <c r="F8" s="948">
        <v>1</v>
      </c>
      <c r="G8" s="940">
        <f t="shared" si="1"/>
        <v>276.29473684210529</v>
      </c>
      <c r="H8" s="943">
        <f t="shared" si="2"/>
        <v>276.29473684210529</v>
      </c>
      <c r="I8" s="914">
        <f>VLOOKUP(B8,All_Ingredients!$A$1:$F$161,6,FALSE())</f>
        <v>0.9</v>
      </c>
      <c r="J8" s="940">
        <f>VLOOKUP(B8,All_Ingredients!$A$1:$J$161,10,FALSE())</f>
        <v>3</v>
      </c>
      <c r="K8" s="945">
        <f t="shared" si="4"/>
        <v>0.30699415204678365</v>
      </c>
      <c r="L8" s="945">
        <f t="shared" si="3"/>
        <v>0.92098245614035101</v>
      </c>
      <c r="N8" s="890"/>
      <c r="R8" s="890"/>
      <c r="T8" s="890"/>
      <c r="W8" s="890"/>
    </row>
    <row r="9" spans="1:31" x14ac:dyDescent="0.25">
      <c r="A9" s="949"/>
      <c r="B9" s="1115" t="s">
        <v>139</v>
      </c>
      <c r="C9" s="947" t="s">
        <v>14</v>
      </c>
      <c r="D9" s="914">
        <v>10</v>
      </c>
      <c r="E9" s="1040">
        <f t="shared" si="0"/>
        <v>13.814736842105264</v>
      </c>
      <c r="F9" s="948">
        <v>1</v>
      </c>
      <c r="G9" s="940">
        <f t="shared" si="1"/>
        <v>138.14736842105265</v>
      </c>
      <c r="H9" s="943">
        <f t="shared" si="2"/>
        <v>138.14736842105265</v>
      </c>
      <c r="I9" s="914">
        <f>VLOOKUP(B9,All_Ingredients!$A$1:$F$161,6,FALSE())</f>
        <v>1</v>
      </c>
      <c r="J9" s="940">
        <f>VLOOKUP(B9,All_Ingredients!$A$1:$J$161,10,FALSE())</f>
        <v>15.277777777777779</v>
      </c>
      <c r="K9" s="945">
        <f t="shared" si="4"/>
        <v>0.13814736842105266</v>
      </c>
      <c r="L9" s="945">
        <f t="shared" si="3"/>
        <v>2.1105847953216381</v>
      </c>
      <c r="N9" s="890"/>
      <c r="R9" s="890"/>
      <c r="T9" s="890"/>
      <c r="W9" s="890"/>
    </row>
    <row r="10" spans="1:31" x14ac:dyDescent="0.25">
      <c r="A10" s="949"/>
      <c r="B10" s="1115" t="s">
        <v>101</v>
      </c>
      <c r="C10" s="947" t="s">
        <v>14</v>
      </c>
      <c r="D10" s="914">
        <v>2</v>
      </c>
      <c r="E10" s="1040">
        <f t="shared" si="0"/>
        <v>13.814736842105264</v>
      </c>
      <c r="F10" s="948">
        <v>1</v>
      </c>
      <c r="G10" s="940">
        <f t="shared" si="1"/>
        <v>27.629473684210527</v>
      </c>
      <c r="H10" s="943">
        <f t="shared" si="2"/>
        <v>27.629473684210527</v>
      </c>
      <c r="I10" s="914">
        <f>VLOOKUP(B10,All_Ingredients!$A$1:$F$161,6,FALSE())</f>
        <v>1</v>
      </c>
      <c r="J10" s="940">
        <f>VLOOKUP(B10,All_Ingredients!$A$1:$J$161,10,FALSE())</f>
        <v>47</v>
      </c>
      <c r="K10" s="945">
        <f t="shared" si="4"/>
        <v>2.7629473684210527E-2</v>
      </c>
      <c r="L10" s="945">
        <f t="shared" si="3"/>
        <v>1.2985852631578947</v>
      </c>
      <c r="N10" s="890"/>
      <c r="R10" s="890"/>
      <c r="T10" s="890"/>
      <c r="W10" s="890"/>
    </row>
    <row r="11" spans="1:31" x14ac:dyDescent="0.25">
      <c r="A11" s="949"/>
      <c r="B11" s="1115" t="s">
        <v>93</v>
      </c>
      <c r="C11" s="947" t="s">
        <v>160</v>
      </c>
      <c r="D11" s="914">
        <v>2</v>
      </c>
      <c r="E11" s="1040">
        <f t="shared" si="0"/>
        <v>13.814736842105264</v>
      </c>
      <c r="F11" s="948">
        <v>1</v>
      </c>
      <c r="G11" s="940">
        <f t="shared" si="1"/>
        <v>27.629473684210527</v>
      </c>
      <c r="H11" s="943">
        <f t="shared" si="2"/>
        <v>27.629473684210527</v>
      </c>
      <c r="I11" s="914">
        <f>VLOOKUP(B11,All_Ingredients!$A$1:$F$161,6,FALSE())</f>
        <v>1</v>
      </c>
      <c r="J11" s="940">
        <f>VLOOKUP(B11,All_Ingredients!$A$1:$J$161,10,FALSE())</f>
        <v>0.74</v>
      </c>
      <c r="K11" s="945">
        <f t="shared" si="4"/>
        <v>2.7629473684210527E-2</v>
      </c>
      <c r="L11" s="945">
        <f t="shared" si="3"/>
        <v>2.0445810526315788E-2</v>
      </c>
      <c r="N11" s="890"/>
      <c r="R11" s="890"/>
      <c r="T11" s="890"/>
      <c r="W11" s="890"/>
    </row>
    <row r="12" spans="1:31" x14ac:dyDescent="0.25">
      <c r="A12" s="949"/>
      <c r="B12" s="1115" t="s">
        <v>152</v>
      </c>
      <c r="C12" s="947" t="s">
        <v>14</v>
      </c>
      <c r="D12" s="914">
        <v>20</v>
      </c>
      <c r="E12" s="1040">
        <f t="shared" si="0"/>
        <v>13.814736842105264</v>
      </c>
      <c r="F12" s="948">
        <v>1</v>
      </c>
      <c r="G12" s="940">
        <f t="shared" si="1"/>
        <v>276.29473684210529</v>
      </c>
      <c r="H12" s="943">
        <f t="shared" si="2"/>
        <v>276.29473684210529</v>
      </c>
      <c r="I12" s="914">
        <f>VLOOKUP(B12,All_Ingredients!$A$1:$F$161,6,FALSE())</f>
        <v>1</v>
      </c>
      <c r="J12" s="940">
        <f>VLOOKUP(B12,All_Ingredients!$A$1:$J$161,10,FALSE())</f>
        <v>30</v>
      </c>
      <c r="K12" s="945">
        <f t="shared" si="4"/>
        <v>0.27629473684210532</v>
      </c>
      <c r="L12" s="945">
        <f t="shared" si="3"/>
        <v>8.2888421052631589</v>
      </c>
      <c r="N12" s="890"/>
      <c r="R12" s="890"/>
      <c r="T12" s="890"/>
      <c r="W12" s="890"/>
    </row>
    <row r="13" spans="1:31" x14ac:dyDescent="0.25">
      <c r="A13" s="949"/>
      <c r="B13" s="1115" t="s">
        <v>185</v>
      </c>
      <c r="C13" s="947" t="s">
        <v>14</v>
      </c>
      <c r="D13" s="914">
        <v>15</v>
      </c>
      <c r="E13" s="1040">
        <f t="shared" si="0"/>
        <v>13.814736842105264</v>
      </c>
      <c r="F13" s="948">
        <v>1</v>
      </c>
      <c r="G13" s="940">
        <f t="shared" si="1"/>
        <v>207.22105263157894</v>
      </c>
      <c r="H13" s="943">
        <f t="shared" si="2"/>
        <v>207.22105263157894</v>
      </c>
      <c r="I13" s="914">
        <f>VLOOKUP(B13,All_Ingredients!$A$1:$F$161,6,FALSE())</f>
        <v>1</v>
      </c>
      <c r="J13" s="940">
        <f>VLOOKUP(B13,All_Ingredients!$A$1:$J$161,10,FALSE())</f>
        <v>1.7</v>
      </c>
      <c r="K13" s="945">
        <f t="shared" si="4"/>
        <v>0.20722105263157894</v>
      </c>
      <c r="L13" s="945">
        <f t="shared" si="3"/>
        <v>0.35227578947368421</v>
      </c>
      <c r="N13" s="890"/>
      <c r="R13" s="890"/>
      <c r="T13" s="890"/>
      <c r="W13" s="890"/>
    </row>
    <row r="14" spans="1:31" x14ac:dyDescent="0.25">
      <c r="A14" s="949" t="s">
        <v>868</v>
      </c>
      <c r="B14" s="1115" t="s">
        <v>706</v>
      </c>
      <c r="C14" s="947" t="s">
        <v>14</v>
      </c>
      <c r="D14" s="914">
        <v>20</v>
      </c>
      <c r="E14" s="1040">
        <f t="shared" si="0"/>
        <v>13.814736842105264</v>
      </c>
      <c r="F14" s="948">
        <v>1</v>
      </c>
      <c r="G14" s="940">
        <f t="shared" si="1"/>
        <v>276.29473684210529</v>
      </c>
      <c r="H14" s="943">
        <f t="shared" si="2"/>
        <v>276.29473684210529</v>
      </c>
      <c r="I14" s="914">
        <f>VLOOKUP(B14,All_Ingredients!$A$1:$F$161,6,FALSE())</f>
        <v>1</v>
      </c>
      <c r="J14" s="940">
        <f>VLOOKUP(B14,All_Ingredients!$A$1:$J$161,10,FALSE())</f>
        <v>10.5</v>
      </c>
      <c r="K14" s="945">
        <f t="shared" si="4"/>
        <v>0.27629473684210532</v>
      </c>
      <c r="L14" s="945">
        <f t="shared" si="3"/>
        <v>2.9010947368421056</v>
      </c>
      <c r="N14" s="890"/>
      <c r="R14" s="890"/>
      <c r="T14" s="1129"/>
      <c r="U14" s="266"/>
      <c r="V14" s="217"/>
      <c r="W14" s="890"/>
    </row>
    <row r="15" spans="1:31" x14ac:dyDescent="0.25">
      <c r="A15" s="949"/>
      <c r="B15" s="1115" t="s">
        <v>663</v>
      </c>
      <c r="C15" s="1370"/>
      <c r="D15" s="1208"/>
      <c r="E15" s="1371"/>
      <c r="F15" s="948"/>
      <c r="G15" s="1370"/>
      <c r="H15" s="1043"/>
      <c r="I15" s="914"/>
      <c r="J15" s="940"/>
      <c r="K15" s="945"/>
      <c r="L15" s="945">
        <f t="shared" si="3"/>
        <v>0</v>
      </c>
      <c r="N15" s="890"/>
      <c r="R15" s="890"/>
      <c r="T15" s="890"/>
      <c r="W15" s="890"/>
    </row>
    <row r="16" spans="1:31" x14ac:dyDescent="0.25">
      <c r="A16" s="949"/>
      <c r="B16" s="1372" t="s">
        <v>203</v>
      </c>
      <c r="C16" s="1373" t="s">
        <v>160</v>
      </c>
      <c r="D16" s="1374">
        <v>16000</v>
      </c>
      <c r="E16" s="1374">
        <f>$I$1</f>
        <v>13.814736842105264</v>
      </c>
      <c r="F16" s="1375">
        <v>1</v>
      </c>
      <c r="G16" s="1374">
        <f>D16*E16</f>
        <v>221035.78947368421</v>
      </c>
      <c r="H16" s="1376">
        <f>G16*F16</f>
        <v>221035.78947368421</v>
      </c>
      <c r="I16" s="914">
        <f>VLOOKUP(B16,All_Ingredients!$A$1:$F$161,6,FALSE())</f>
        <v>1</v>
      </c>
      <c r="J16" s="940">
        <f>VLOOKUP(B16,All_Ingredients!$A$1:$J$161,10,FALSE())</f>
        <v>0</v>
      </c>
      <c r="K16" s="945">
        <f>(H16/I16)/1000</f>
        <v>221.03578947368422</v>
      </c>
      <c r="L16" s="945">
        <f>K16*J16</f>
        <v>0</v>
      </c>
      <c r="N16" s="890"/>
      <c r="R16" s="890"/>
      <c r="T16" s="890"/>
      <c r="W16" s="890"/>
    </row>
    <row r="17" spans="1:29" x14ac:dyDescent="0.25">
      <c r="A17" s="949"/>
      <c r="B17" s="1372" t="s">
        <v>93</v>
      </c>
      <c r="C17" s="1373" t="s">
        <v>14</v>
      </c>
      <c r="D17" s="1374">
        <v>19.725373134328358</v>
      </c>
      <c r="E17" s="1374">
        <f>$I$1</f>
        <v>13.814736842105264</v>
      </c>
      <c r="F17" s="1375">
        <v>1</v>
      </c>
      <c r="G17" s="1374">
        <f>D17*E17</f>
        <v>272.50083896307933</v>
      </c>
      <c r="H17" s="1376">
        <f>G17*F17</f>
        <v>272.50083896307933</v>
      </c>
      <c r="I17" s="914">
        <f>VLOOKUP(B17,All_Ingredients!$A$1:$F$161,6,FALSE())</f>
        <v>1</v>
      </c>
      <c r="J17" s="940">
        <f>VLOOKUP(B17,All_Ingredients!$A$1:$J$161,10,FALSE())</f>
        <v>0.74</v>
      </c>
      <c r="K17" s="945">
        <f t="shared" si="4"/>
        <v>0.27250083896307931</v>
      </c>
      <c r="L17" s="945">
        <f t="shared" si="3"/>
        <v>0.20165062083267868</v>
      </c>
      <c r="N17" s="890"/>
      <c r="R17" s="890"/>
      <c r="T17" s="890"/>
      <c r="W17" s="890"/>
    </row>
    <row r="18" spans="1:29" x14ac:dyDescent="0.25">
      <c r="A18" s="949"/>
      <c r="B18" s="1372" t="s">
        <v>211</v>
      </c>
      <c r="C18" s="1373" t="s">
        <v>14</v>
      </c>
      <c r="D18" s="1374">
        <v>9.8626865671641788</v>
      </c>
      <c r="E18" s="1374">
        <f>$I$1</f>
        <v>13.814736842105264</v>
      </c>
      <c r="F18" s="1375">
        <v>1</v>
      </c>
      <c r="G18" s="1374">
        <f>D18*E18</f>
        <v>136.25041948153967</v>
      </c>
      <c r="H18" s="1376">
        <f>G18*F18</f>
        <v>136.25041948153967</v>
      </c>
      <c r="I18" s="914">
        <f>VLOOKUP(B18,All_Ingredients!$A$1:$F$161,6,FALSE())</f>
        <v>1</v>
      </c>
      <c r="J18" s="940">
        <f>VLOOKUP(B18,All_Ingredients!$A$1:$J$161,10,FALSE())</f>
        <v>15.5</v>
      </c>
      <c r="K18" s="945">
        <f t="shared" si="4"/>
        <v>0.13625041948153965</v>
      </c>
      <c r="L18" s="945">
        <f t="shared" si="3"/>
        <v>2.1118815019638646</v>
      </c>
      <c r="N18" s="890"/>
      <c r="R18" s="890"/>
      <c r="T18" s="890"/>
      <c r="W18" s="890"/>
    </row>
    <row r="19" spans="1:29" x14ac:dyDescent="0.25">
      <c r="B19" s="890"/>
      <c r="D19" s="890"/>
      <c r="E19" s="1150"/>
      <c r="F19" s="890"/>
      <c r="H19" s="890"/>
      <c r="K19" s="890"/>
      <c r="L19" s="190"/>
      <c r="N19" s="890"/>
      <c r="R19" s="890"/>
      <c r="T19" s="890"/>
      <c r="W19" s="890"/>
    </row>
    <row r="20" spans="1:29" ht="51.75" x14ac:dyDescent="0.25">
      <c r="B20" s="890"/>
      <c r="D20" s="890"/>
      <c r="E20" s="1150"/>
      <c r="F20" s="890"/>
      <c r="H20" s="890"/>
      <c r="K20" s="890"/>
      <c r="L20" s="190"/>
      <c r="N20" s="1367" t="s">
        <v>662</v>
      </c>
      <c r="R20" s="890"/>
      <c r="T20" s="890"/>
      <c r="W20" s="890"/>
    </row>
    <row r="21" spans="1:29" x14ac:dyDescent="0.25">
      <c r="B21" s="890"/>
      <c r="D21" s="890"/>
      <c r="E21" s="1150"/>
      <c r="F21" s="890"/>
      <c r="H21" s="890"/>
      <c r="K21" s="890"/>
      <c r="N21" s="890"/>
      <c r="R21" s="890"/>
      <c r="T21" s="890"/>
      <c r="W21" s="890"/>
    </row>
    <row r="22" spans="1:29" x14ac:dyDescent="0.25">
      <c r="B22" s="80"/>
      <c r="D22" s="1365"/>
      <c r="E22" s="225"/>
      <c r="F22" s="1366"/>
      <c r="H22" s="890"/>
      <c r="K22" s="890"/>
      <c r="N22" s="890"/>
      <c r="R22" s="890"/>
      <c r="T22" s="890"/>
      <c r="W22" s="890"/>
    </row>
    <row r="23" spans="1:29" x14ac:dyDescent="0.25">
      <c r="B23" s="80"/>
      <c r="D23" s="1365"/>
      <c r="E23" s="225"/>
      <c r="F23" s="1366"/>
      <c r="H23" s="890"/>
      <c r="K23" s="890"/>
      <c r="N23" s="890"/>
      <c r="R23" s="830"/>
      <c r="T23" s="890"/>
      <c r="W23" s="890"/>
    </row>
    <row r="24" spans="1:29" x14ac:dyDescent="0.25">
      <c r="B24" s="80"/>
      <c r="D24" s="1365"/>
      <c r="E24" s="225"/>
      <c r="F24" s="1366"/>
      <c r="H24" s="890"/>
      <c r="K24" s="890"/>
      <c r="N24" s="890"/>
      <c r="R24" s="890"/>
      <c r="T24" s="890"/>
      <c r="W24" s="890"/>
      <c r="Z24" s="597"/>
    </row>
    <row r="25" spans="1:29" x14ac:dyDescent="0.25">
      <c r="B25" s="80"/>
      <c r="D25" s="1365"/>
      <c r="E25" s="225"/>
      <c r="F25" s="80"/>
      <c r="H25" s="890"/>
      <c r="K25" s="890"/>
      <c r="N25" s="135"/>
      <c r="R25" s="1779" t="s">
        <v>865</v>
      </c>
      <c r="S25" s="1787"/>
      <c r="T25" s="1788"/>
      <c r="U25" s="1787"/>
      <c r="W25" s="890"/>
      <c r="Z25" s="982" t="s">
        <v>252</v>
      </c>
      <c r="AA25" s="989">
        <v>1</v>
      </c>
      <c r="AB25" s="982" t="s">
        <v>249</v>
      </c>
      <c r="AC25" s="985">
        <f>(AA25*AC30)</f>
        <v>6.96591980169329E-3</v>
      </c>
    </row>
    <row r="26" spans="1:29" x14ac:dyDescent="0.25">
      <c r="B26" s="890"/>
      <c r="D26" s="890"/>
      <c r="E26" s="1150"/>
      <c r="F26" s="890"/>
      <c r="H26" s="890"/>
      <c r="K26" s="890"/>
      <c r="N26" s="135"/>
      <c r="R26" s="1786" t="s">
        <v>296</v>
      </c>
      <c r="S26" s="1787"/>
      <c r="T26" s="1788"/>
      <c r="U26" s="1787"/>
      <c r="W26" s="890"/>
      <c r="AC26" s="14"/>
    </row>
    <row r="27" spans="1:29" x14ac:dyDescent="0.25">
      <c r="B27" s="890"/>
      <c r="D27" s="890"/>
      <c r="E27" s="1150"/>
      <c r="F27" s="890"/>
      <c r="H27" s="890"/>
      <c r="K27" s="890"/>
      <c r="N27" s="135"/>
      <c r="R27" s="961" t="s">
        <v>254</v>
      </c>
      <c r="S27" s="962" t="s">
        <v>351</v>
      </c>
      <c r="T27" s="961" t="s">
        <v>256</v>
      </c>
      <c r="U27" s="962" t="s">
        <v>262</v>
      </c>
      <c r="W27" s="890"/>
      <c r="Z27" s="982" t="s">
        <v>258</v>
      </c>
      <c r="AA27" s="982" t="s">
        <v>351</v>
      </c>
      <c r="AB27" s="982" t="s">
        <v>260</v>
      </c>
      <c r="AC27" s="982" t="s">
        <v>262</v>
      </c>
    </row>
    <row r="28" spans="1:29" x14ac:dyDescent="0.25">
      <c r="B28" s="890"/>
      <c r="D28" s="890"/>
      <c r="E28" s="1150"/>
      <c r="F28" s="890"/>
      <c r="H28" s="890"/>
      <c r="K28" s="890"/>
      <c r="N28" s="890"/>
      <c r="R28" s="961" t="s">
        <v>263</v>
      </c>
      <c r="S28" s="963">
        <f>U28*S40</f>
        <v>19386</v>
      </c>
      <c r="T28" s="964">
        <f>U28*U40</f>
        <v>12924</v>
      </c>
      <c r="U28" s="965">
        <f>$Z$1</f>
        <v>32310</v>
      </c>
      <c r="W28" s="890"/>
      <c r="Z28" s="1086"/>
      <c r="AA28" s="1087">
        <f>AA25*$S$40</f>
        <v>0.6</v>
      </c>
      <c r="AB28" s="1087">
        <f>AA25*$U$40</f>
        <v>0.4</v>
      </c>
      <c r="AC28" s="1088">
        <f>SUM(AA28:AB28)</f>
        <v>1</v>
      </c>
    </row>
    <row r="29" spans="1:29" x14ac:dyDescent="0.25">
      <c r="B29" s="890"/>
      <c r="D29" s="890"/>
      <c r="E29" s="1150"/>
      <c r="F29" s="890"/>
      <c r="H29" s="890"/>
      <c r="K29" s="890"/>
      <c r="N29" s="890"/>
      <c r="R29" s="961" t="s">
        <v>264</v>
      </c>
      <c r="S29" s="968"/>
      <c r="T29" s="967"/>
      <c r="U29" s="963">
        <f>T29</f>
        <v>0</v>
      </c>
      <c r="W29" s="890"/>
      <c r="Z29" s="1086"/>
      <c r="AA29" s="1378">
        <f>AA28/$AC$28</f>
        <v>0.6</v>
      </c>
      <c r="AB29" s="1378">
        <f>AB28/$AC$28</f>
        <v>0.4</v>
      </c>
      <c r="AC29" s="1379">
        <f>SUM(AA29:AB29)</f>
        <v>1</v>
      </c>
    </row>
    <row r="30" spans="1:29" x14ac:dyDescent="0.25">
      <c r="B30" s="890"/>
      <c r="D30" s="890"/>
      <c r="E30" s="1150"/>
      <c r="F30" s="890"/>
      <c r="H30" s="890"/>
      <c r="K30" s="890"/>
      <c r="N30" s="890"/>
      <c r="R30" s="961" t="s">
        <v>265</v>
      </c>
      <c r="S30" s="963">
        <f>U30*S40</f>
        <v>300</v>
      </c>
      <c r="T30" s="964">
        <f>U30*U40</f>
        <v>200</v>
      </c>
      <c r="U30" s="965">
        <f>$AB$1</f>
        <v>500</v>
      </c>
      <c r="W30" s="890"/>
      <c r="Z30" s="982" t="s">
        <v>266</v>
      </c>
      <c r="AA30" s="1090">
        <f>S35/(S32)</f>
        <v>3.5818713450292399E-3</v>
      </c>
      <c r="AB30" s="1091">
        <f>T35/T32</f>
        <v>1.2041992486689364E-2</v>
      </c>
      <c r="AC30" s="1092">
        <f>SUMPRODUCT(AA29:AB29,AA30:AB30)</f>
        <v>6.96591980169329E-3</v>
      </c>
    </row>
    <row r="31" spans="1:29" x14ac:dyDescent="0.25">
      <c r="B31" s="890"/>
      <c r="D31" s="890"/>
      <c r="E31" s="1150"/>
      <c r="F31" s="890"/>
      <c r="H31" s="890"/>
      <c r="K31" s="890"/>
      <c r="N31" s="890"/>
      <c r="R31" s="961" t="s">
        <v>267</v>
      </c>
      <c r="S31" s="959"/>
      <c r="T31" s="967"/>
      <c r="U31" s="966"/>
      <c r="W31" s="890"/>
      <c r="AC31" s="14"/>
    </row>
    <row r="32" spans="1:29" x14ac:dyDescent="0.25">
      <c r="B32" s="80"/>
      <c r="D32" s="890"/>
      <c r="E32" s="890"/>
      <c r="F32" s="890"/>
      <c r="H32" s="890"/>
      <c r="K32" s="890"/>
      <c r="N32" s="890"/>
      <c r="O32" s="193"/>
      <c r="R32" s="961" t="s">
        <v>257</v>
      </c>
      <c r="S32" s="966">
        <f>SUM(S28:S30)</f>
        <v>19686</v>
      </c>
      <c r="T32" s="967">
        <f>SUM(T28:T30)</f>
        <v>13124</v>
      </c>
      <c r="U32" s="966">
        <f>SUM(U28:U30)</f>
        <v>32810</v>
      </c>
      <c r="W32" s="890"/>
      <c r="AC32" s="14"/>
    </row>
    <row r="33" spans="17:23" ht="30" x14ac:dyDescent="0.25">
      <c r="R33" s="976" t="s">
        <v>268</v>
      </c>
      <c r="S33" s="959"/>
      <c r="T33" s="960"/>
      <c r="U33" s="959"/>
      <c r="W33" s="890"/>
    </row>
    <row r="34" spans="17:23" x14ac:dyDescent="0.25">
      <c r="R34" s="961" t="s">
        <v>269</v>
      </c>
      <c r="S34" s="959"/>
      <c r="T34" s="967"/>
      <c r="U34" s="959"/>
      <c r="W34" s="890"/>
    </row>
    <row r="35" spans="17:23" x14ac:dyDescent="0.25">
      <c r="R35" s="977" t="s">
        <v>249</v>
      </c>
      <c r="S35" s="978">
        <f>$L$5</f>
        <v>70.512719298245614</v>
      </c>
      <c r="T35" s="979">
        <f>SUM(L6:L18)</f>
        <v>158.03910939531121</v>
      </c>
      <c r="U35" s="981">
        <f>S35+T35</f>
        <v>228.55182869355684</v>
      </c>
      <c r="W35" s="890"/>
    </row>
    <row r="36" spans="17:23" x14ac:dyDescent="0.25">
      <c r="R36" s="890"/>
      <c r="T36" s="890"/>
      <c r="W36" s="890"/>
    </row>
    <row r="37" spans="17:23" x14ac:dyDescent="0.25">
      <c r="R37" s="890"/>
      <c r="T37" s="890"/>
      <c r="W37" s="890"/>
    </row>
    <row r="38" spans="17:23" x14ac:dyDescent="0.25">
      <c r="R38" s="890"/>
      <c r="T38" s="890"/>
      <c r="W38" s="890"/>
    </row>
    <row r="39" spans="17:23" x14ac:dyDescent="0.25">
      <c r="R39" s="890"/>
      <c r="T39" s="890"/>
      <c r="W39" s="890"/>
    </row>
    <row r="40" spans="17:23" ht="26.25" x14ac:dyDescent="0.25">
      <c r="R40" s="1011" t="s">
        <v>270</v>
      </c>
      <c r="S40" s="1012">
        <v>0.6</v>
      </c>
      <c r="T40" s="1011" t="s">
        <v>271</v>
      </c>
      <c r="U40" s="1013">
        <v>0.4</v>
      </c>
      <c r="V40" s="1014">
        <f>S40+U40</f>
        <v>1</v>
      </c>
      <c r="W40" s="890"/>
    </row>
    <row r="41" spans="17:23" x14ac:dyDescent="0.25">
      <c r="R41" s="890"/>
      <c r="T41" s="890"/>
      <c r="U41" s="123"/>
      <c r="W41" s="890"/>
    </row>
    <row r="42" spans="17:23" x14ac:dyDescent="0.25">
      <c r="R42" s="890"/>
      <c r="T42" s="890"/>
      <c r="W42" s="890"/>
    </row>
    <row r="43" spans="17:23" ht="26.25" x14ac:dyDescent="0.25">
      <c r="Q43" s="1015" t="s">
        <v>272</v>
      </c>
      <c r="R43" s="1011" t="s">
        <v>273</v>
      </c>
      <c r="S43" s="1015" t="s">
        <v>274</v>
      </c>
      <c r="T43" s="1011" t="s">
        <v>275</v>
      </c>
      <c r="U43" s="1015" t="s">
        <v>276</v>
      </c>
      <c r="V43" s="1015" t="s">
        <v>277</v>
      </c>
      <c r="W43" s="1011" t="s">
        <v>498</v>
      </c>
    </row>
    <row r="44" spans="17:23" x14ac:dyDescent="0.25">
      <c r="Q44" s="1380">
        <v>25000</v>
      </c>
      <c r="R44" s="1017">
        <f>D51</f>
        <v>10000</v>
      </c>
      <c r="S44" s="1024">
        <v>1</v>
      </c>
      <c r="T44" s="1025">
        <v>0</v>
      </c>
      <c r="U44" s="1096">
        <f>R44*S44</f>
        <v>10000</v>
      </c>
      <c r="V44" s="1021">
        <f>R44*T44</f>
        <v>0</v>
      </c>
      <c r="W44" s="1381">
        <f>Q44-U44</f>
        <v>15000</v>
      </c>
    </row>
    <row r="50" spans="1:14" x14ac:dyDescent="0.25">
      <c r="B50" s="961"/>
      <c r="C50" s="962" t="s">
        <v>233</v>
      </c>
      <c r="D50" s="961" t="s">
        <v>279</v>
      </c>
      <c r="E50" s="80"/>
      <c r="F50" s="80"/>
      <c r="G50" s="962" t="s">
        <v>280</v>
      </c>
      <c r="H50" s="961" t="s">
        <v>233</v>
      </c>
      <c r="I50" s="962" t="s">
        <v>497</v>
      </c>
      <c r="J50" s="962" t="s">
        <v>496</v>
      </c>
      <c r="K50" s="890"/>
      <c r="N50" s="890"/>
    </row>
    <row r="51" spans="1:14" x14ac:dyDescent="0.25">
      <c r="B51" s="1027" t="s">
        <v>283</v>
      </c>
      <c r="C51" s="1028">
        <f>10/$K$1</f>
        <v>10.526315789473685</v>
      </c>
      <c r="D51" s="1029">
        <f>$C$1*10</f>
        <v>10000</v>
      </c>
      <c r="E51" s="80"/>
      <c r="F51" s="80"/>
      <c r="G51" s="1033" t="s">
        <v>283</v>
      </c>
      <c r="H51" s="1122">
        <v>10</v>
      </c>
      <c r="I51" s="1028">
        <f>J51/$R$1</f>
        <v>5000</v>
      </c>
      <c r="J51" s="1028">
        <f>$W$44</f>
        <v>15000</v>
      </c>
      <c r="K51" s="890"/>
      <c r="N51" s="890"/>
    </row>
    <row r="52" spans="1:14" x14ac:dyDescent="0.25">
      <c r="B52" s="961" t="s">
        <v>262</v>
      </c>
      <c r="C52" s="1030">
        <f>$I$1</f>
        <v>13.814736842105264</v>
      </c>
      <c r="D52" s="1031">
        <f>$E$1</f>
        <v>13124</v>
      </c>
      <c r="E52" s="80"/>
      <c r="F52" s="80"/>
      <c r="G52" s="962" t="s">
        <v>262</v>
      </c>
      <c r="H52" s="1384">
        <f>I52/$D$5</f>
        <v>13.124000000000001</v>
      </c>
      <c r="I52" s="1021">
        <f>J52/$R$1</f>
        <v>6562</v>
      </c>
      <c r="J52" s="1030">
        <f>$S$32</f>
        <v>19686</v>
      </c>
      <c r="K52" s="890"/>
      <c r="N52" s="890"/>
    </row>
    <row r="53" spans="1:14" x14ac:dyDescent="0.25">
      <c r="B53" s="961" t="s">
        <v>284</v>
      </c>
      <c r="C53" s="1382">
        <f>MIN($C$52, C51)</f>
        <v>10.526315789473685</v>
      </c>
      <c r="D53" s="1031">
        <f>(C53*$K$1)*$C$1</f>
        <v>10000</v>
      </c>
      <c r="E53" s="80"/>
      <c r="F53" s="80"/>
      <c r="G53" s="962" t="s">
        <v>284</v>
      </c>
      <c r="H53" s="1035">
        <f>MIN(H52,H51)</f>
        <v>10</v>
      </c>
      <c r="I53" s="1021">
        <f>J53/$R$1</f>
        <v>5000</v>
      </c>
      <c r="J53" s="1021">
        <f>MIN(J52,J51)</f>
        <v>15000</v>
      </c>
      <c r="K53" s="890"/>
      <c r="N53" s="890"/>
    </row>
    <row r="54" spans="1:14" x14ac:dyDescent="0.25">
      <c r="B54" s="961" t="s">
        <v>285</v>
      </c>
      <c r="C54" s="1383">
        <f>MIN(MAX(C52-C53),C51)</f>
        <v>3.2884210526315787</v>
      </c>
      <c r="D54" s="1031">
        <f>(C54*$K$1)*$C$1</f>
        <v>3123.9999999999995</v>
      </c>
      <c r="E54" s="80"/>
      <c r="F54" s="80"/>
      <c r="G54" s="962" t="s">
        <v>285</v>
      </c>
      <c r="H54" s="1035">
        <f>MIN(MAX(H52-H53),H51)</f>
        <v>3.1240000000000006</v>
      </c>
      <c r="I54" s="1021">
        <f>J54/$R$1</f>
        <v>1562</v>
      </c>
      <c r="J54" s="1021">
        <f>MIN(MAX(J52-J53),J51)</f>
        <v>4686</v>
      </c>
      <c r="K54" s="890"/>
      <c r="N54" s="890"/>
    </row>
    <row r="55" spans="1:14" x14ac:dyDescent="0.25">
      <c r="B55" s="961"/>
      <c r="C55" s="1383">
        <f>MIN(MAX(C52-C53-C54),C51)</f>
        <v>0</v>
      </c>
      <c r="D55" s="1031">
        <f>(C55*$K$1)*$C$1</f>
        <v>0</v>
      </c>
      <c r="E55" s="80"/>
      <c r="F55" s="80"/>
      <c r="G55" s="962" t="s">
        <v>286</v>
      </c>
      <c r="H55" s="1035">
        <f>MIN(MAX(H52-H53-H54),H51)</f>
        <v>0</v>
      </c>
      <c r="I55" s="1021">
        <f>J55/$R$1</f>
        <v>0</v>
      </c>
      <c r="J55" s="1021">
        <f>MIN(MAX(J52-J53-J54),J51)</f>
        <v>0</v>
      </c>
      <c r="K55" s="890"/>
      <c r="N55" s="890"/>
    </row>
    <row r="56" spans="1:14" x14ac:dyDescent="0.25">
      <c r="B56" s="890"/>
      <c r="D56" s="890"/>
      <c r="E56" s="1150"/>
      <c r="F56" s="890"/>
      <c r="H56" s="890"/>
      <c r="K56" s="890"/>
      <c r="N56" s="890"/>
    </row>
    <row r="57" spans="1:14" x14ac:dyDescent="0.25">
      <c r="B57" s="890"/>
      <c r="D57" s="890"/>
      <c r="E57" s="1150"/>
      <c r="F57" s="890"/>
      <c r="H57" s="890"/>
      <c r="K57" s="890"/>
      <c r="N57" s="890"/>
    </row>
    <row r="58" spans="1:14" x14ac:dyDescent="0.25">
      <c r="B58" s="890"/>
      <c r="D58" s="890"/>
      <c r="E58" s="1150"/>
      <c r="F58" s="890"/>
      <c r="H58" s="890"/>
      <c r="K58" s="890"/>
      <c r="N58" s="890"/>
    </row>
    <row r="59" spans="1:14" x14ac:dyDescent="0.25">
      <c r="B59" s="890"/>
      <c r="D59" s="890"/>
      <c r="E59" s="1150"/>
      <c r="F59" s="890"/>
      <c r="H59" s="890"/>
      <c r="K59" s="890"/>
      <c r="N59" s="890"/>
    </row>
    <row r="60" spans="1:14" x14ac:dyDescent="0.25">
      <c r="B60" s="890"/>
      <c r="D60" s="890"/>
      <c r="E60" s="1150"/>
      <c r="F60" s="890"/>
      <c r="H60" s="890"/>
      <c r="K60" s="890"/>
      <c r="N60" s="890"/>
    </row>
    <row r="61" spans="1:14" x14ac:dyDescent="0.25">
      <c r="B61" s="890"/>
      <c r="D61" s="890"/>
      <c r="E61" s="1150"/>
      <c r="F61" s="890"/>
      <c r="H61" s="890"/>
      <c r="K61" s="890"/>
      <c r="N61" s="890"/>
    </row>
    <row r="62" spans="1:14" x14ac:dyDescent="0.25">
      <c r="B62" s="890"/>
      <c r="D62" s="890"/>
      <c r="E62" s="1150"/>
      <c r="F62" s="890"/>
      <c r="H62" s="890"/>
      <c r="K62" s="890"/>
      <c r="N62" s="890"/>
    </row>
    <row r="63" spans="1:14" x14ac:dyDescent="0.25">
      <c r="A63" s="1036"/>
      <c r="B63" s="1776" t="str">
        <f>"مكرونة فيتوتشيني 1 / " &amp; COUNTIF($C$53:$C$55, "&gt;0")</f>
        <v>مكرونة فيتوتشيني 1 / 2</v>
      </c>
      <c r="C63" s="1800"/>
      <c r="D63" s="1801"/>
      <c r="E63" s="1830"/>
      <c r="F63" s="1801"/>
      <c r="G63" s="1800"/>
      <c r="H63" s="1801"/>
      <c r="K63" s="890"/>
      <c r="N63" s="890"/>
    </row>
    <row r="64" spans="1:14" x14ac:dyDescent="0.25">
      <c r="A64" s="1036"/>
      <c r="B64" s="1776" t="str">
        <f>"Fettuccine Pasta Sauce  1 / " &amp; COUNTIF(C$53:$C$55, "&gt;0")</f>
        <v>Fettuccine Pasta Sauce  1 / 2</v>
      </c>
      <c r="C64" s="1777"/>
      <c r="D64" s="1778"/>
      <c r="E64" s="1778"/>
      <c r="F64" s="1778"/>
      <c r="G64" s="1777"/>
      <c r="H64" s="1778"/>
      <c r="K64" s="890"/>
      <c r="N64" s="890"/>
    </row>
    <row r="65" spans="1:14" ht="38.25" x14ac:dyDescent="0.2">
      <c r="A65" s="1350" t="s">
        <v>864</v>
      </c>
      <c r="B65" s="923" t="s">
        <v>241</v>
      </c>
      <c r="C65" s="934" t="s">
        <v>242</v>
      </c>
      <c r="D65" s="923" t="s">
        <v>231</v>
      </c>
      <c r="E65" s="935" t="s">
        <v>234</v>
      </c>
      <c r="F65" s="935" t="s">
        <v>243</v>
      </c>
      <c r="G65" s="923" t="s">
        <v>244</v>
      </c>
      <c r="H65" s="936" t="s">
        <v>245</v>
      </c>
      <c r="K65" s="890"/>
      <c r="N65" s="890"/>
    </row>
    <row r="66" spans="1:14" x14ac:dyDescent="0.25">
      <c r="A66" s="949"/>
      <c r="B66" s="938" t="str">
        <f t="shared" ref="B66:D74" si="5">B5</f>
        <v>Fettuccine Pasta - مكرونة فيتوتشيني</v>
      </c>
      <c r="C66" s="938" t="str">
        <f t="shared" si="5"/>
        <v>gm</v>
      </c>
      <c r="D66" s="1125">
        <f t="shared" si="5"/>
        <v>500</v>
      </c>
      <c r="E66" s="940">
        <f>H53</f>
        <v>10</v>
      </c>
      <c r="F66" s="948">
        <f t="shared" ref="F66:F79" si="6">F5</f>
        <v>1</v>
      </c>
      <c r="G66" s="940">
        <f t="shared" ref="G66:G74" si="7">D66*E66</f>
        <v>5000</v>
      </c>
      <c r="H66" s="943">
        <f t="shared" ref="H66:H74" si="8">G66*F66</f>
        <v>5000</v>
      </c>
      <c r="K66" s="890"/>
      <c r="N66" s="890"/>
    </row>
    <row r="67" spans="1:14" x14ac:dyDescent="0.25">
      <c r="A67" s="949"/>
      <c r="B67" s="938" t="str">
        <f t="shared" si="5"/>
        <v>Cooking Cream - كريمة طبخ</v>
      </c>
      <c r="C67" s="938" t="str">
        <f t="shared" si="5"/>
        <v>ml</v>
      </c>
      <c r="D67" s="938">
        <f t="shared" si="5"/>
        <v>600</v>
      </c>
      <c r="E67" s="940">
        <f t="shared" ref="E67:E79" si="9">$C$53</f>
        <v>10.526315789473685</v>
      </c>
      <c r="F67" s="948">
        <f t="shared" si="6"/>
        <v>1</v>
      </c>
      <c r="G67" s="940">
        <f t="shared" si="7"/>
        <v>6315.7894736842109</v>
      </c>
      <c r="H67" s="943">
        <f t="shared" si="8"/>
        <v>6315.7894736842109</v>
      </c>
      <c r="K67" s="890"/>
      <c r="N67" s="890"/>
    </row>
    <row r="68" spans="1:14" x14ac:dyDescent="0.25">
      <c r="A68" s="949"/>
      <c r="B68" s="938" t="str">
        <f t="shared" si="5"/>
        <v>Milk - حليب</v>
      </c>
      <c r="C68" s="938" t="str">
        <f t="shared" si="5"/>
        <v>ml</v>
      </c>
      <c r="D68" s="938">
        <f t="shared" si="5"/>
        <v>600</v>
      </c>
      <c r="E68" s="940">
        <f t="shared" si="9"/>
        <v>10.526315789473685</v>
      </c>
      <c r="F68" s="948">
        <f t="shared" si="6"/>
        <v>1</v>
      </c>
      <c r="G68" s="940">
        <f t="shared" si="7"/>
        <v>6315.7894736842109</v>
      </c>
      <c r="H68" s="943">
        <f t="shared" si="8"/>
        <v>6315.7894736842109</v>
      </c>
      <c r="K68" s="890"/>
      <c r="N68" s="890"/>
    </row>
    <row r="69" spans="1:14" x14ac:dyDescent="0.25">
      <c r="A69" s="949" t="s">
        <v>866</v>
      </c>
      <c r="B69" s="938" t="str">
        <f t="shared" si="5"/>
        <v>Onion - بصل</v>
      </c>
      <c r="C69" s="938" t="str">
        <f t="shared" si="5"/>
        <v>gm</v>
      </c>
      <c r="D69" s="938">
        <f t="shared" si="5"/>
        <v>20</v>
      </c>
      <c r="E69" s="940">
        <f t="shared" si="9"/>
        <v>10.526315789473685</v>
      </c>
      <c r="F69" s="948">
        <f t="shared" si="6"/>
        <v>1</v>
      </c>
      <c r="G69" s="940">
        <f t="shared" si="7"/>
        <v>210.5263157894737</v>
      </c>
      <c r="H69" s="943">
        <f t="shared" si="8"/>
        <v>210.5263157894737</v>
      </c>
      <c r="K69" s="890"/>
      <c r="N69" s="890"/>
    </row>
    <row r="70" spans="1:14" x14ac:dyDescent="0.25">
      <c r="A70" s="949"/>
      <c r="B70" s="938" t="str">
        <f t="shared" si="5"/>
        <v>Maggi Cubes - مكعبات ماجي</v>
      </c>
      <c r="C70" s="938" t="str">
        <f t="shared" si="5"/>
        <v>gm</v>
      </c>
      <c r="D70" s="938">
        <f t="shared" si="5"/>
        <v>10</v>
      </c>
      <c r="E70" s="940">
        <f t="shared" si="9"/>
        <v>10.526315789473685</v>
      </c>
      <c r="F70" s="948">
        <f t="shared" si="6"/>
        <v>1</v>
      </c>
      <c r="G70" s="940">
        <f t="shared" si="7"/>
        <v>105.26315789473685</v>
      </c>
      <c r="H70" s="943">
        <f t="shared" si="8"/>
        <v>105.26315789473685</v>
      </c>
      <c r="K70" s="890"/>
      <c r="N70" s="890"/>
    </row>
    <row r="71" spans="1:14" x14ac:dyDescent="0.25">
      <c r="A71" s="949"/>
      <c r="B71" s="938" t="str">
        <f t="shared" si="5"/>
        <v>White Pepper - فلفل أبيض</v>
      </c>
      <c r="C71" s="938" t="str">
        <f t="shared" si="5"/>
        <v>gm</v>
      </c>
      <c r="D71" s="938">
        <f t="shared" si="5"/>
        <v>2</v>
      </c>
      <c r="E71" s="940">
        <f t="shared" si="9"/>
        <v>10.526315789473685</v>
      </c>
      <c r="F71" s="948">
        <f t="shared" si="6"/>
        <v>1</v>
      </c>
      <c r="G71" s="940">
        <f t="shared" si="7"/>
        <v>21.05263157894737</v>
      </c>
      <c r="H71" s="943">
        <f t="shared" si="8"/>
        <v>21.05263157894737</v>
      </c>
      <c r="K71" s="890"/>
      <c r="N71" s="890"/>
    </row>
    <row r="72" spans="1:14" x14ac:dyDescent="0.25">
      <c r="A72" s="949"/>
      <c r="B72" s="938" t="str">
        <f t="shared" si="5"/>
        <v>Salt - ملح</v>
      </c>
      <c r="C72" s="938" t="str">
        <f t="shared" si="5"/>
        <v>ml</v>
      </c>
      <c r="D72" s="938">
        <f t="shared" si="5"/>
        <v>2</v>
      </c>
      <c r="E72" s="940">
        <f t="shared" si="9"/>
        <v>10.526315789473685</v>
      </c>
      <c r="F72" s="948">
        <f t="shared" si="6"/>
        <v>1</v>
      </c>
      <c r="G72" s="940">
        <f t="shared" si="7"/>
        <v>21.05263157894737</v>
      </c>
      <c r="H72" s="943">
        <f t="shared" si="8"/>
        <v>21.05263157894737</v>
      </c>
      <c r="K72" s="890"/>
      <c r="N72" s="890"/>
    </row>
    <row r="73" spans="1:14" x14ac:dyDescent="0.25">
      <c r="A73" s="949"/>
      <c r="B73" s="938" t="str">
        <f t="shared" si="5"/>
        <v>Butter - زبدة</v>
      </c>
      <c r="C73" s="938" t="str">
        <f t="shared" si="5"/>
        <v>gm</v>
      </c>
      <c r="D73" s="938">
        <f t="shared" si="5"/>
        <v>20</v>
      </c>
      <c r="E73" s="940">
        <f t="shared" si="9"/>
        <v>10.526315789473685</v>
      </c>
      <c r="F73" s="948">
        <f t="shared" si="6"/>
        <v>1</v>
      </c>
      <c r="G73" s="940">
        <f t="shared" si="7"/>
        <v>210.5263157894737</v>
      </c>
      <c r="H73" s="943">
        <f t="shared" si="8"/>
        <v>210.5263157894737</v>
      </c>
      <c r="K73" s="890"/>
      <c r="N73" s="890"/>
    </row>
    <row r="74" spans="1:14" x14ac:dyDescent="0.25">
      <c r="A74" s="949"/>
      <c r="B74" s="938" t="str">
        <f t="shared" si="5"/>
        <v>Flour - دقيق</v>
      </c>
      <c r="C74" s="938" t="str">
        <f t="shared" si="5"/>
        <v>gm</v>
      </c>
      <c r="D74" s="938">
        <f t="shared" si="5"/>
        <v>15</v>
      </c>
      <c r="E74" s="940">
        <f t="shared" si="9"/>
        <v>10.526315789473685</v>
      </c>
      <c r="F74" s="948">
        <f t="shared" si="6"/>
        <v>1</v>
      </c>
      <c r="G74" s="940">
        <f t="shared" si="7"/>
        <v>157.89473684210526</v>
      </c>
      <c r="H74" s="943">
        <f t="shared" si="8"/>
        <v>157.89473684210526</v>
      </c>
      <c r="K74" s="890"/>
      <c r="N74" s="890"/>
    </row>
    <row r="75" spans="1:14" x14ac:dyDescent="0.25">
      <c r="A75" s="949" t="s">
        <v>868</v>
      </c>
      <c r="B75" s="938" t="str">
        <f t="shared" ref="B75:D79" si="10">B14</f>
        <v>Garlic - ثوم مقشر</v>
      </c>
      <c r="C75" s="938" t="str">
        <f t="shared" si="10"/>
        <v>gm</v>
      </c>
      <c r="D75" s="938">
        <f t="shared" si="10"/>
        <v>20</v>
      </c>
      <c r="E75" s="940">
        <f t="shared" si="9"/>
        <v>10.526315789473685</v>
      </c>
      <c r="F75" s="948">
        <f t="shared" si="6"/>
        <v>1</v>
      </c>
      <c r="G75" s="940">
        <f>D75*E75</f>
        <v>210.5263157894737</v>
      </c>
      <c r="H75" s="943">
        <f>G75*F75</f>
        <v>210.5263157894737</v>
      </c>
      <c r="K75" s="890"/>
      <c r="N75" s="890"/>
    </row>
    <row r="76" spans="1:14" x14ac:dyDescent="0.25">
      <c r="A76" s="949"/>
      <c r="B76" s="938" t="str">
        <f t="shared" si="10"/>
        <v>Boiling</v>
      </c>
      <c r="C76" s="938">
        <f t="shared" si="10"/>
        <v>0</v>
      </c>
      <c r="D76" s="938">
        <f t="shared" si="10"/>
        <v>0</v>
      </c>
      <c r="E76" s="940">
        <f t="shared" si="9"/>
        <v>10.526315789473685</v>
      </c>
      <c r="F76" s="948">
        <f t="shared" si="6"/>
        <v>0</v>
      </c>
      <c r="G76" s="940">
        <f>D76*E76</f>
        <v>0</v>
      </c>
      <c r="H76" s="943">
        <f>G76*F76</f>
        <v>0</v>
      </c>
      <c r="K76" s="890"/>
      <c r="N76" s="890"/>
    </row>
    <row r="77" spans="1:14" x14ac:dyDescent="0.25">
      <c r="A77" s="949"/>
      <c r="B77" s="938" t="str">
        <f t="shared" si="10"/>
        <v>Water - ماء</v>
      </c>
      <c r="C77" s="938" t="str">
        <f t="shared" si="10"/>
        <v>ml</v>
      </c>
      <c r="D77" s="1125">
        <f t="shared" si="10"/>
        <v>16000</v>
      </c>
      <c r="E77" s="940">
        <f t="shared" si="9"/>
        <v>10.526315789473685</v>
      </c>
      <c r="F77" s="948">
        <f t="shared" si="6"/>
        <v>1</v>
      </c>
      <c r="G77" s="940">
        <f>D77*E77</f>
        <v>168421.05263157896</v>
      </c>
      <c r="H77" s="943">
        <f>G77*F77</f>
        <v>168421.05263157896</v>
      </c>
      <c r="K77" s="890"/>
      <c r="N77" s="890"/>
    </row>
    <row r="78" spans="1:14" x14ac:dyDescent="0.25">
      <c r="A78" s="949"/>
      <c r="B78" s="938" t="str">
        <f t="shared" si="10"/>
        <v>Salt - ملح</v>
      </c>
      <c r="C78" s="938" t="str">
        <f t="shared" si="10"/>
        <v>gm</v>
      </c>
      <c r="D78" s="1125">
        <f t="shared" si="10"/>
        <v>19.725373134328358</v>
      </c>
      <c r="E78" s="940">
        <f t="shared" si="9"/>
        <v>10.526315789473685</v>
      </c>
      <c r="F78" s="948">
        <f t="shared" si="6"/>
        <v>1</v>
      </c>
      <c r="G78" s="940">
        <f>D78*E78</f>
        <v>207.63550667714063</v>
      </c>
      <c r="H78" s="943">
        <f>G78*F78</f>
        <v>207.63550667714063</v>
      </c>
      <c r="K78" s="890"/>
      <c r="N78" s="890"/>
    </row>
    <row r="79" spans="1:14" x14ac:dyDescent="0.25">
      <c r="A79" s="949"/>
      <c r="B79" s="938" t="str">
        <f t="shared" si="10"/>
        <v>Olive Oil - زيت زيتون</v>
      </c>
      <c r="C79" s="938" t="str">
        <f t="shared" si="10"/>
        <v>gm</v>
      </c>
      <c r="D79" s="1125">
        <f t="shared" si="10"/>
        <v>9.8626865671641788</v>
      </c>
      <c r="E79" s="940">
        <f t="shared" si="9"/>
        <v>10.526315789473685</v>
      </c>
      <c r="F79" s="948">
        <f t="shared" si="6"/>
        <v>1</v>
      </c>
      <c r="G79" s="940">
        <f>D79*E79</f>
        <v>103.81775333857031</v>
      </c>
      <c r="H79" s="943">
        <f>G79*F79</f>
        <v>103.81775333857031</v>
      </c>
      <c r="K79" s="890"/>
      <c r="N79" s="890"/>
    </row>
    <row r="80" spans="1:14" ht="18" x14ac:dyDescent="0.25">
      <c r="A80" s="1070"/>
      <c r="B80" s="1041" t="s">
        <v>682</v>
      </c>
      <c r="C80" s="1042" t="s">
        <v>273</v>
      </c>
      <c r="D80" s="1043"/>
      <c r="E80" s="1044" t="s">
        <v>288</v>
      </c>
      <c r="F80" s="1043"/>
      <c r="G80" s="1045" t="s">
        <v>264</v>
      </c>
      <c r="H80" s="1046" t="s">
        <v>664</v>
      </c>
      <c r="K80" s="890"/>
      <c r="N80" s="890"/>
    </row>
    <row r="81" spans="1:14" ht="20.25" x14ac:dyDescent="0.3">
      <c r="A81" s="1070"/>
      <c r="B81" s="1047">
        <f>$J$53</f>
        <v>15000</v>
      </c>
      <c r="C81" s="1048">
        <f>E81+G81</f>
        <v>10000</v>
      </c>
      <c r="D81" s="1049"/>
      <c r="E81" s="1047">
        <f>$D$53*$S$44</f>
        <v>10000</v>
      </c>
      <c r="F81" s="1050"/>
      <c r="G81" s="1048">
        <f>$D$53*$T$44</f>
        <v>0</v>
      </c>
      <c r="H81" s="1047">
        <f>B81+E81</f>
        <v>25000</v>
      </c>
      <c r="K81" s="890"/>
      <c r="N81" s="890"/>
    </row>
    <row r="82" spans="1:14" x14ac:dyDescent="0.25">
      <c r="B82" s="80"/>
      <c r="D82" s="890"/>
      <c r="E82" s="225"/>
      <c r="F82" s="80"/>
      <c r="H82" s="890"/>
      <c r="K82" s="890"/>
      <c r="N82" s="890"/>
    </row>
    <row r="83" spans="1:14" x14ac:dyDescent="0.25">
      <c r="A83" s="1036"/>
      <c r="B83" s="1776" t="str">
        <f>"مكرونة فيتوتشيني  2 / " &amp; COUNTIF($C$53:$C$55, "&gt;0")</f>
        <v>مكرونة فيتوتشيني  2 / 2</v>
      </c>
      <c r="C83" s="1800"/>
      <c r="D83" s="1801"/>
      <c r="E83" s="1830"/>
      <c r="F83" s="1801"/>
      <c r="G83" s="1800"/>
      <c r="H83" s="1801"/>
      <c r="K83" s="890"/>
      <c r="N83" s="890"/>
    </row>
    <row r="84" spans="1:14" x14ac:dyDescent="0.25">
      <c r="A84" s="1036"/>
      <c r="B84" s="1776" t="str">
        <f>"Fettuccine Pasta Sauce  2 / " &amp; COUNTIF(C$53:$C$55, "&gt;0")</f>
        <v>Fettuccine Pasta Sauce  2 / 2</v>
      </c>
      <c r="C84" s="1777"/>
      <c r="D84" s="1778"/>
      <c r="E84" s="1778"/>
      <c r="F84" s="1778"/>
      <c r="G84" s="1777"/>
      <c r="H84" s="1778"/>
      <c r="K84" s="890"/>
      <c r="N84" s="890"/>
    </row>
    <row r="85" spans="1:14" ht="38.25" x14ac:dyDescent="0.2">
      <c r="A85" s="1350" t="s">
        <v>864</v>
      </c>
      <c r="B85" s="923" t="s">
        <v>241</v>
      </c>
      <c r="C85" s="934" t="s">
        <v>242</v>
      </c>
      <c r="D85" s="923" t="s">
        <v>231</v>
      </c>
      <c r="E85" s="935" t="s">
        <v>234</v>
      </c>
      <c r="F85" s="935" t="s">
        <v>243</v>
      </c>
      <c r="G85" s="923" t="s">
        <v>244</v>
      </c>
      <c r="H85" s="936" t="s">
        <v>245</v>
      </c>
      <c r="K85" s="890"/>
      <c r="N85" s="890"/>
    </row>
    <row r="86" spans="1:14" x14ac:dyDescent="0.25">
      <c r="A86" s="949"/>
      <c r="B86" s="938" t="str">
        <f t="shared" ref="B86:D96" si="11">B5</f>
        <v>Fettuccine Pasta - مكرونة فيتوتشيني</v>
      </c>
      <c r="C86" s="938" t="str">
        <f t="shared" si="11"/>
        <v>gm</v>
      </c>
      <c r="D86" s="1125">
        <f t="shared" si="11"/>
        <v>500</v>
      </c>
      <c r="E86" s="1040">
        <f>H54</f>
        <v>3.1240000000000006</v>
      </c>
      <c r="F86" s="948">
        <f t="shared" ref="F86:F99" si="12">F5</f>
        <v>1</v>
      </c>
      <c r="G86" s="944">
        <f>D86*E86</f>
        <v>1562.0000000000002</v>
      </c>
      <c r="H86" s="943">
        <f t="shared" ref="H86:H94" si="13">G86*F86</f>
        <v>1562.0000000000002</v>
      </c>
      <c r="K86" s="890"/>
      <c r="N86" s="890"/>
    </row>
    <row r="87" spans="1:14" x14ac:dyDescent="0.25">
      <c r="A87" s="949"/>
      <c r="B87" s="938" t="str">
        <f t="shared" si="11"/>
        <v>Cooking Cream - كريمة طبخ</v>
      </c>
      <c r="C87" s="938" t="str">
        <f t="shared" si="11"/>
        <v>ml</v>
      </c>
      <c r="D87" s="938">
        <f t="shared" si="11"/>
        <v>600</v>
      </c>
      <c r="E87" s="1040">
        <f t="shared" ref="E87:E99" si="14">$C$54</f>
        <v>3.2884210526315787</v>
      </c>
      <c r="F87" s="948">
        <f t="shared" si="12"/>
        <v>1</v>
      </c>
      <c r="G87" s="944">
        <f t="shared" ref="G87:G94" si="15">D87*E87</f>
        <v>1973.0526315789473</v>
      </c>
      <c r="H87" s="943">
        <f t="shared" si="13"/>
        <v>1973.0526315789473</v>
      </c>
      <c r="K87" s="890"/>
      <c r="N87" s="890"/>
    </row>
    <row r="88" spans="1:14" x14ac:dyDescent="0.25">
      <c r="A88" s="949"/>
      <c r="B88" s="938" t="str">
        <f t="shared" si="11"/>
        <v>Milk - حليب</v>
      </c>
      <c r="C88" s="938" t="str">
        <f t="shared" si="11"/>
        <v>ml</v>
      </c>
      <c r="D88" s="938">
        <f t="shared" si="11"/>
        <v>600</v>
      </c>
      <c r="E88" s="1040">
        <f t="shared" si="14"/>
        <v>3.2884210526315787</v>
      </c>
      <c r="F88" s="948">
        <f t="shared" si="12"/>
        <v>1</v>
      </c>
      <c r="G88" s="944">
        <f t="shared" si="15"/>
        <v>1973.0526315789473</v>
      </c>
      <c r="H88" s="943">
        <f t="shared" si="13"/>
        <v>1973.0526315789473</v>
      </c>
      <c r="K88" s="890"/>
      <c r="N88" s="890"/>
    </row>
    <row r="89" spans="1:14" x14ac:dyDescent="0.25">
      <c r="A89" s="949" t="s">
        <v>866</v>
      </c>
      <c r="B89" s="938" t="str">
        <f t="shared" si="11"/>
        <v>Onion - بصل</v>
      </c>
      <c r="C89" s="938" t="str">
        <f t="shared" si="11"/>
        <v>gm</v>
      </c>
      <c r="D89" s="938">
        <f t="shared" si="11"/>
        <v>20</v>
      </c>
      <c r="E89" s="1040">
        <f t="shared" si="14"/>
        <v>3.2884210526315787</v>
      </c>
      <c r="F89" s="948">
        <f t="shared" si="12"/>
        <v>1</v>
      </c>
      <c r="G89" s="944">
        <f t="shared" si="15"/>
        <v>65.768421052631567</v>
      </c>
      <c r="H89" s="943">
        <f t="shared" si="13"/>
        <v>65.768421052631567</v>
      </c>
      <c r="K89" s="890"/>
      <c r="N89" s="890"/>
    </row>
    <row r="90" spans="1:14" x14ac:dyDescent="0.25">
      <c r="A90" s="949"/>
      <c r="B90" s="938" t="str">
        <f t="shared" si="11"/>
        <v>Maggi Cubes - مكعبات ماجي</v>
      </c>
      <c r="C90" s="938" t="str">
        <f t="shared" si="11"/>
        <v>gm</v>
      </c>
      <c r="D90" s="938">
        <f t="shared" si="11"/>
        <v>10</v>
      </c>
      <c r="E90" s="1040">
        <f t="shared" si="14"/>
        <v>3.2884210526315787</v>
      </c>
      <c r="F90" s="948">
        <f t="shared" si="12"/>
        <v>1</v>
      </c>
      <c r="G90" s="944">
        <f t="shared" si="15"/>
        <v>32.884210526315783</v>
      </c>
      <c r="H90" s="943">
        <f t="shared" si="13"/>
        <v>32.884210526315783</v>
      </c>
      <c r="K90" s="890"/>
      <c r="N90" s="890"/>
    </row>
    <row r="91" spans="1:14" x14ac:dyDescent="0.25">
      <c r="A91" s="949"/>
      <c r="B91" s="938" t="str">
        <f t="shared" si="11"/>
        <v>White Pepper - فلفل أبيض</v>
      </c>
      <c r="C91" s="938" t="str">
        <f t="shared" si="11"/>
        <v>gm</v>
      </c>
      <c r="D91" s="938">
        <f t="shared" si="11"/>
        <v>2</v>
      </c>
      <c r="E91" s="1040">
        <f t="shared" si="14"/>
        <v>3.2884210526315787</v>
      </c>
      <c r="F91" s="948">
        <f t="shared" si="12"/>
        <v>1</v>
      </c>
      <c r="G91" s="944">
        <f t="shared" si="15"/>
        <v>6.5768421052631574</v>
      </c>
      <c r="H91" s="943">
        <f t="shared" si="13"/>
        <v>6.5768421052631574</v>
      </c>
      <c r="K91" s="890"/>
      <c r="N91" s="890"/>
    </row>
    <row r="92" spans="1:14" x14ac:dyDescent="0.25">
      <c r="A92" s="949"/>
      <c r="B92" s="938" t="str">
        <f t="shared" si="11"/>
        <v>Salt - ملح</v>
      </c>
      <c r="C92" s="938" t="str">
        <f t="shared" si="11"/>
        <v>ml</v>
      </c>
      <c r="D92" s="938">
        <f t="shared" si="11"/>
        <v>2</v>
      </c>
      <c r="E92" s="1040">
        <f t="shared" si="14"/>
        <v>3.2884210526315787</v>
      </c>
      <c r="F92" s="948">
        <f t="shared" si="12"/>
        <v>1</v>
      </c>
      <c r="G92" s="944">
        <f t="shared" si="15"/>
        <v>6.5768421052631574</v>
      </c>
      <c r="H92" s="943">
        <f t="shared" si="13"/>
        <v>6.5768421052631574</v>
      </c>
      <c r="K92" s="890"/>
      <c r="N92" s="890"/>
    </row>
    <row r="93" spans="1:14" x14ac:dyDescent="0.25">
      <c r="A93" s="949"/>
      <c r="B93" s="938" t="str">
        <f t="shared" si="11"/>
        <v>Butter - زبدة</v>
      </c>
      <c r="C93" s="938" t="str">
        <f t="shared" si="11"/>
        <v>gm</v>
      </c>
      <c r="D93" s="938">
        <f t="shared" si="11"/>
        <v>20</v>
      </c>
      <c r="E93" s="1040">
        <f t="shared" si="14"/>
        <v>3.2884210526315787</v>
      </c>
      <c r="F93" s="948">
        <f t="shared" si="12"/>
        <v>1</v>
      </c>
      <c r="G93" s="944">
        <f t="shared" si="15"/>
        <v>65.768421052631567</v>
      </c>
      <c r="H93" s="943">
        <f t="shared" si="13"/>
        <v>65.768421052631567</v>
      </c>
      <c r="K93" s="890"/>
      <c r="N93" s="890"/>
    </row>
    <row r="94" spans="1:14" x14ac:dyDescent="0.25">
      <c r="A94" s="949"/>
      <c r="B94" s="938" t="str">
        <f t="shared" si="11"/>
        <v>Flour - دقيق</v>
      </c>
      <c r="C94" s="938" t="str">
        <f t="shared" si="11"/>
        <v>gm</v>
      </c>
      <c r="D94" s="938">
        <f t="shared" si="11"/>
        <v>15</v>
      </c>
      <c r="E94" s="1040">
        <f t="shared" si="14"/>
        <v>3.2884210526315787</v>
      </c>
      <c r="F94" s="948">
        <f t="shared" si="12"/>
        <v>1</v>
      </c>
      <c r="G94" s="944">
        <f t="shared" si="15"/>
        <v>49.326315789473682</v>
      </c>
      <c r="H94" s="943">
        <f t="shared" si="13"/>
        <v>49.326315789473682</v>
      </c>
      <c r="K94" s="890"/>
      <c r="N94" s="890"/>
    </row>
    <row r="95" spans="1:14" x14ac:dyDescent="0.25">
      <c r="A95" s="949" t="s">
        <v>868</v>
      </c>
      <c r="B95" s="938" t="str">
        <f t="shared" si="11"/>
        <v>Garlic - ثوم مقشر</v>
      </c>
      <c r="C95" s="938" t="str">
        <f t="shared" si="11"/>
        <v>gm</v>
      </c>
      <c r="D95" s="938">
        <f t="shared" si="11"/>
        <v>20</v>
      </c>
      <c r="E95" s="1040">
        <f t="shared" si="14"/>
        <v>3.2884210526315787</v>
      </c>
      <c r="F95" s="948">
        <f t="shared" si="12"/>
        <v>1</v>
      </c>
      <c r="G95" s="944">
        <f>D95*E95</f>
        <v>65.768421052631567</v>
      </c>
      <c r="H95" s="943">
        <f>G95*F95</f>
        <v>65.768421052631567</v>
      </c>
      <c r="K95" s="890"/>
      <c r="N95" s="890"/>
    </row>
    <row r="96" spans="1:14" x14ac:dyDescent="0.25">
      <c r="A96" s="949"/>
      <c r="B96" s="938" t="str">
        <f t="shared" si="11"/>
        <v>Boiling</v>
      </c>
      <c r="C96" s="938">
        <f t="shared" si="11"/>
        <v>0</v>
      </c>
      <c r="D96" s="938">
        <f t="shared" si="11"/>
        <v>0</v>
      </c>
      <c r="E96" s="1040">
        <f t="shared" si="14"/>
        <v>3.2884210526315787</v>
      </c>
      <c r="F96" s="948">
        <f t="shared" si="12"/>
        <v>0</v>
      </c>
      <c r="G96" s="944">
        <f>D96*E96</f>
        <v>0</v>
      </c>
      <c r="H96" s="943">
        <f>G96*F96</f>
        <v>0</v>
      </c>
      <c r="K96" s="890"/>
      <c r="N96" s="890"/>
    </row>
    <row r="97" spans="1:14" x14ac:dyDescent="0.25">
      <c r="A97" s="949"/>
      <c r="B97" s="938" t="str">
        <f t="shared" ref="B97:D99" si="16">B16</f>
        <v>Water - ماء</v>
      </c>
      <c r="C97" s="938" t="str">
        <f t="shared" si="16"/>
        <v>ml</v>
      </c>
      <c r="D97" s="1127">
        <f t="shared" si="16"/>
        <v>16000</v>
      </c>
      <c r="E97" s="1040">
        <f t="shared" si="14"/>
        <v>3.2884210526315787</v>
      </c>
      <c r="F97" s="948">
        <f t="shared" si="12"/>
        <v>1</v>
      </c>
      <c r="G97" s="944">
        <f>D97*E97</f>
        <v>52614.73684210526</v>
      </c>
      <c r="H97" s="943">
        <f>G97*F97</f>
        <v>52614.73684210526</v>
      </c>
      <c r="K97" s="890"/>
      <c r="N97" s="890"/>
    </row>
    <row r="98" spans="1:14" x14ac:dyDescent="0.25">
      <c r="A98" s="949"/>
      <c r="B98" s="938" t="str">
        <f>B17</f>
        <v>Salt - ملح</v>
      </c>
      <c r="C98" s="938" t="str">
        <f>C17</f>
        <v>gm</v>
      </c>
      <c r="D98" s="1127">
        <f>D17</f>
        <v>19.725373134328358</v>
      </c>
      <c r="E98" s="1040">
        <f t="shared" si="14"/>
        <v>3.2884210526315787</v>
      </c>
      <c r="F98" s="948">
        <f t="shared" si="12"/>
        <v>1</v>
      </c>
      <c r="G98" s="944">
        <f>D98*E98</f>
        <v>64.86533228593872</v>
      </c>
      <c r="H98" s="943">
        <f>G98*F98</f>
        <v>64.86533228593872</v>
      </c>
      <c r="K98" s="890"/>
      <c r="N98" s="890"/>
    </row>
    <row r="99" spans="1:14" x14ac:dyDescent="0.25">
      <c r="A99" s="949"/>
      <c r="B99" s="938" t="str">
        <f t="shared" si="16"/>
        <v>Olive Oil - زيت زيتون</v>
      </c>
      <c r="C99" s="938" t="str">
        <f t="shared" si="16"/>
        <v>gm</v>
      </c>
      <c r="D99" s="1127">
        <f t="shared" si="16"/>
        <v>9.8626865671641788</v>
      </c>
      <c r="E99" s="1040">
        <f t="shared" si="14"/>
        <v>3.2884210526315787</v>
      </c>
      <c r="F99" s="948">
        <f t="shared" si="12"/>
        <v>1</v>
      </c>
      <c r="G99" s="944">
        <f>D99*E99</f>
        <v>32.43266614296936</v>
      </c>
      <c r="H99" s="943">
        <f>G99*F99</f>
        <v>32.43266614296936</v>
      </c>
      <c r="K99" s="890"/>
      <c r="N99" s="890"/>
    </row>
    <row r="100" spans="1:14" ht="18" x14ac:dyDescent="0.25">
      <c r="A100" s="1070"/>
      <c r="B100" s="1041" t="s">
        <v>682</v>
      </c>
      <c r="C100" s="1042" t="s">
        <v>273</v>
      </c>
      <c r="D100" s="1043"/>
      <c r="E100" s="1044" t="s">
        <v>288</v>
      </c>
      <c r="F100" s="1043"/>
      <c r="G100" s="1045" t="s">
        <v>264</v>
      </c>
      <c r="H100" s="1046" t="s">
        <v>664</v>
      </c>
      <c r="K100" s="890"/>
      <c r="N100" s="890"/>
    </row>
    <row r="101" spans="1:14" ht="20.25" x14ac:dyDescent="0.3">
      <c r="A101" s="1070"/>
      <c r="B101" s="1047">
        <f>$J$54</f>
        <v>4686</v>
      </c>
      <c r="C101" s="1048">
        <f>E101+G101</f>
        <v>3123.9999999999995</v>
      </c>
      <c r="D101" s="1049"/>
      <c r="E101" s="1047">
        <f>$D$54*$S$44</f>
        <v>3123.9999999999995</v>
      </c>
      <c r="F101" s="1050"/>
      <c r="G101" s="1048">
        <f>$D$54*$T$44</f>
        <v>0</v>
      </c>
      <c r="H101" s="1047">
        <f>B101+E101</f>
        <v>7810</v>
      </c>
      <c r="K101" s="890"/>
      <c r="N101" s="890"/>
    </row>
    <row r="102" spans="1:14" x14ac:dyDescent="0.25">
      <c r="B102" s="890"/>
      <c r="D102" s="890"/>
      <c r="E102" s="1150"/>
      <c r="F102" s="890"/>
      <c r="H102" s="890"/>
      <c r="K102" s="890"/>
      <c r="N102" s="890"/>
    </row>
    <row r="103" spans="1:14" x14ac:dyDescent="0.25">
      <c r="B103" s="890"/>
      <c r="D103" s="890"/>
      <c r="E103" s="1150"/>
      <c r="F103" s="890"/>
      <c r="H103" s="890"/>
      <c r="K103" s="890"/>
      <c r="N103" s="890"/>
    </row>
    <row r="104" spans="1:14" x14ac:dyDescent="0.25">
      <c r="B104" s="890"/>
      <c r="D104" s="890"/>
      <c r="E104" s="1150"/>
      <c r="F104" s="890"/>
      <c r="H104" s="890"/>
      <c r="K104" s="890"/>
      <c r="N104" s="890"/>
    </row>
    <row r="105" spans="1:14" x14ac:dyDescent="0.25">
      <c r="A105" s="1385"/>
      <c r="B105" s="1776" t="str">
        <f>"مكرونة فيتوتشيني  3 / " &amp; COUNTIF($C$53:$C$55, "&gt;0")</f>
        <v>مكرونة فيتوتشيني  3 / 2</v>
      </c>
      <c r="C105" s="1797"/>
      <c r="D105" s="1798"/>
      <c r="E105" s="1829"/>
      <c r="F105" s="1798"/>
      <c r="G105" s="1797"/>
      <c r="H105" s="1798"/>
      <c r="K105" s="890"/>
      <c r="N105" s="890"/>
    </row>
    <row r="106" spans="1:14" x14ac:dyDescent="0.25">
      <c r="A106" s="1385"/>
      <c r="B106" s="1776" t="str">
        <f>"Fettuccine Pasta Sauce  3 / " &amp; COUNTIF(C$53:$C$55, "&gt;0")</f>
        <v>Fettuccine Pasta Sauce  3 / 2</v>
      </c>
      <c r="C106" s="1787"/>
      <c r="D106" s="1788"/>
      <c r="E106" s="1788"/>
      <c r="F106" s="1788"/>
      <c r="G106" s="1787"/>
      <c r="H106" s="1788"/>
      <c r="K106" s="890"/>
      <c r="N106" s="890"/>
    </row>
    <row r="107" spans="1:14" ht="38.25" x14ac:dyDescent="0.2">
      <c r="A107" s="1350" t="s">
        <v>864</v>
      </c>
      <c r="B107" s="923" t="s">
        <v>241</v>
      </c>
      <c r="C107" s="934" t="s">
        <v>242</v>
      </c>
      <c r="D107" s="923" t="s">
        <v>231</v>
      </c>
      <c r="E107" s="935" t="s">
        <v>234</v>
      </c>
      <c r="F107" s="935" t="s">
        <v>243</v>
      </c>
      <c r="G107" s="923" t="s">
        <v>244</v>
      </c>
      <c r="H107" s="936" t="s">
        <v>245</v>
      </c>
      <c r="K107" s="890"/>
      <c r="N107" s="890"/>
    </row>
    <row r="108" spans="1:14" x14ac:dyDescent="0.25">
      <c r="A108" s="949"/>
      <c r="B108" s="938" t="str">
        <f t="shared" ref="B108:D121" si="17">B5</f>
        <v>Fettuccine Pasta - مكرونة فيتوتشيني</v>
      </c>
      <c r="C108" s="938" t="str">
        <f t="shared" si="17"/>
        <v>gm</v>
      </c>
      <c r="D108" s="1127">
        <f t="shared" si="17"/>
        <v>500</v>
      </c>
      <c r="E108" s="1040">
        <f>H55</f>
        <v>0</v>
      </c>
      <c r="F108" s="948">
        <f t="shared" ref="F108:F121" si="18">F5</f>
        <v>1</v>
      </c>
      <c r="G108" s="944">
        <f t="shared" ref="G108:G113" si="19">D108*E108</f>
        <v>0</v>
      </c>
      <c r="H108" s="943">
        <f t="shared" ref="H108:H113" si="20">G108*F108</f>
        <v>0</v>
      </c>
      <c r="K108" s="890"/>
      <c r="N108" s="890"/>
    </row>
    <row r="109" spans="1:14" x14ac:dyDescent="0.25">
      <c r="A109" s="949"/>
      <c r="B109" s="938" t="str">
        <f t="shared" si="17"/>
        <v>Cooking Cream - كريمة طبخ</v>
      </c>
      <c r="C109" s="938" t="str">
        <f t="shared" si="17"/>
        <v>ml</v>
      </c>
      <c r="D109" s="1127">
        <f t="shared" si="17"/>
        <v>600</v>
      </c>
      <c r="E109" s="1040">
        <f t="shared" ref="E109:E121" si="21">$C$55</f>
        <v>0</v>
      </c>
      <c r="F109" s="948">
        <f t="shared" si="18"/>
        <v>1</v>
      </c>
      <c r="G109" s="944">
        <f t="shared" si="19"/>
        <v>0</v>
      </c>
      <c r="H109" s="943">
        <f t="shared" si="20"/>
        <v>0</v>
      </c>
      <c r="K109" s="890"/>
      <c r="N109" s="890"/>
    </row>
    <row r="110" spans="1:14" x14ac:dyDescent="0.25">
      <c r="A110" s="949"/>
      <c r="B110" s="938" t="str">
        <f t="shared" si="17"/>
        <v>Milk - حليب</v>
      </c>
      <c r="C110" s="938" t="str">
        <f t="shared" si="17"/>
        <v>ml</v>
      </c>
      <c r="D110" s="1127">
        <f t="shared" si="17"/>
        <v>600</v>
      </c>
      <c r="E110" s="1040">
        <f t="shared" si="21"/>
        <v>0</v>
      </c>
      <c r="F110" s="948">
        <f t="shared" si="18"/>
        <v>1</v>
      </c>
      <c r="G110" s="944">
        <f t="shared" si="19"/>
        <v>0</v>
      </c>
      <c r="H110" s="943">
        <f t="shared" si="20"/>
        <v>0</v>
      </c>
      <c r="K110" s="890"/>
      <c r="N110" s="890"/>
    </row>
    <row r="111" spans="1:14" x14ac:dyDescent="0.25">
      <c r="A111" s="949" t="s">
        <v>866</v>
      </c>
      <c r="B111" s="938" t="str">
        <f t="shared" si="17"/>
        <v>Onion - بصل</v>
      </c>
      <c r="C111" s="938" t="str">
        <f t="shared" si="17"/>
        <v>gm</v>
      </c>
      <c r="D111" s="1127">
        <f t="shared" si="17"/>
        <v>20</v>
      </c>
      <c r="E111" s="1040">
        <f t="shared" si="21"/>
        <v>0</v>
      </c>
      <c r="F111" s="948">
        <f t="shared" si="18"/>
        <v>1</v>
      </c>
      <c r="G111" s="944">
        <f t="shared" si="19"/>
        <v>0</v>
      </c>
      <c r="H111" s="943">
        <f t="shared" si="20"/>
        <v>0</v>
      </c>
      <c r="K111" s="890"/>
      <c r="N111" s="890"/>
    </row>
    <row r="112" spans="1:14" x14ac:dyDescent="0.25">
      <c r="A112" s="949"/>
      <c r="B112" s="938" t="str">
        <f t="shared" si="17"/>
        <v>Maggi Cubes - مكعبات ماجي</v>
      </c>
      <c r="C112" s="938" t="str">
        <f t="shared" si="17"/>
        <v>gm</v>
      </c>
      <c r="D112" s="1127">
        <f t="shared" si="17"/>
        <v>10</v>
      </c>
      <c r="E112" s="1040">
        <f t="shared" si="21"/>
        <v>0</v>
      </c>
      <c r="F112" s="948">
        <f t="shared" si="18"/>
        <v>1</v>
      </c>
      <c r="G112" s="944">
        <f t="shared" si="19"/>
        <v>0</v>
      </c>
      <c r="H112" s="943">
        <f t="shared" si="20"/>
        <v>0</v>
      </c>
      <c r="K112" s="890"/>
      <c r="N112" s="890"/>
    </row>
    <row r="113" spans="1:14" x14ac:dyDescent="0.25">
      <c r="A113" s="949"/>
      <c r="B113" s="938" t="str">
        <f t="shared" si="17"/>
        <v>White Pepper - فلفل أبيض</v>
      </c>
      <c r="C113" s="938" t="str">
        <f t="shared" si="17"/>
        <v>gm</v>
      </c>
      <c r="D113" s="1127">
        <f t="shared" si="17"/>
        <v>2</v>
      </c>
      <c r="E113" s="1040">
        <f t="shared" si="21"/>
        <v>0</v>
      </c>
      <c r="F113" s="948">
        <f t="shared" si="18"/>
        <v>1</v>
      </c>
      <c r="G113" s="944">
        <f t="shared" si="19"/>
        <v>0</v>
      </c>
      <c r="H113" s="943">
        <f t="shared" si="20"/>
        <v>0</v>
      </c>
      <c r="K113" s="890"/>
      <c r="N113" s="890"/>
    </row>
    <row r="114" spans="1:14" x14ac:dyDescent="0.25">
      <c r="A114" s="949"/>
      <c r="B114" s="938" t="str">
        <f t="shared" si="17"/>
        <v>Salt - ملح</v>
      </c>
      <c r="C114" s="938" t="str">
        <f t="shared" si="17"/>
        <v>ml</v>
      </c>
      <c r="D114" s="1127">
        <f t="shared" si="17"/>
        <v>2</v>
      </c>
      <c r="E114" s="1040">
        <f t="shared" si="21"/>
        <v>0</v>
      </c>
      <c r="F114" s="948">
        <f t="shared" si="18"/>
        <v>1</v>
      </c>
      <c r="G114" s="944">
        <f t="shared" ref="G114:G121" si="22">D114*E114</f>
        <v>0</v>
      </c>
      <c r="H114" s="943">
        <f t="shared" ref="H114:H121" si="23">G114*F114</f>
        <v>0</v>
      </c>
      <c r="K114" s="890"/>
      <c r="N114" s="890"/>
    </row>
    <row r="115" spans="1:14" x14ac:dyDescent="0.25">
      <c r="A115" s="949"/>
      <c r="B115" s="938" t="str">
        <f t="shared" si="17"/>
        <v>Butter - زبدة</v>
      </c>
      <c r="C115" s="938" t="str">
        <f t="shared" si="17"/>
        <v>gm</v>
      </c>
      <c r="D115" s="1127">
        <f t="shared" si="17"/>
        <v>20</v>
      </c>
      <c r="E115" s="1040">
        <f t="shared" si="21"/>
        <v>0</v>
      </c>
      <c r="F115" s="948">
        <f t="shared" si="18"/>
        <v>1</v>
      </c>
      <c r="G115" s="944">
        <f t="shared" si="22"/>
        <v>0</v>
      </c>
      <c r="H115" s="943">
        <f t="shared" si="23"/>
        <v>0</v>
      </c>
      <c r="K115" s="890"/>
      <c r="N115" s="890"/>
    </row>
    <row r="116" spans="1:14" x14ac:dyDescent="0.25">
      <c r="A116" s="949"/>
      <c r="B116" s="938" t="str">
        <f t="shared" si="17"/>
        <v>Flour - دقيق</v>
      </c>
      <c r="C116" s="938" t="str">
        <f t="shared" si="17"/>
        <v>gm</v>
      </c>
      <c r="D116" s="1127">
        <f t="shared" si="17"/>
        <v>15</v>
      </c>
      <c r="E116" s="1040">
        <f t="shared" si="21"/>
        <v>0</v>
      </c>
      <c r="F116" s="948">
        <f t="shared" si="18"/>
        <v>1</v>
      </c>
      <c r="G116" s="944">
        <f t="shared" si="22"/>
        <v>0</v>
      </c>
      <c r="H116" s="943">
        <f t="shared" si="23"/>
        <v>0</v>
      </c>
      <c r="K116" s="890"/>
      <c r="N116" s="890"/>
    </row>
    <row r="117" spans="1:14" x14ac:dyDescent="0.25">
      <c r="A117" s="949" t="s">
        <v>868</v>
      </c>
      <c r="B117" s="938" t="str">
        <f t="shared" si="17"/>
        <v>Garlic - ثوم مقشر</v>
      </c>
      <c r="C117" s="938" t="str">
        <f t="shared" si="17"/>
        <v>gm</v>
      </c>
      <c r="D117" s="1127">
        <f t="shared" si="17"/>
        <v>20</v>
      </c>
      <c r="E117" s="1040">
        <f t="shared" si="21"/>
        <v>0</v>
      </c>
      <c r="F117" s="948">
        <f t="shared" si="18"/>
        <v>1</v>
      </c>
      <c r="G117" s="944">
        <f t="shared" si="22"/>
        <v>0</v>
      </c>
      <c r="H117" s="943">
        <f t="shared" si="23"/>
        <v>0</v>
      </c>
      <c r="K117" s="890"/>
      <c r="N117" s="890"/>
    </row>
    <row r="118" spans="1:14" x14ac:dyDescent="0.25">
      <c r="A118" s="949"/>
      <c r="B118" s="938" t="str">
        <f t="shared" si="17"/>
        <v>Boiling</v>
      </c>
      <c r="C118" s="938">
        <f t="shared" si="17"/>
        <v>0</v>
      </c>
      <c r="D118" s="1127">
        <f t="shared" si="17"/>
        <v>0</v>
      </c>
      <c r="E118" s="1040">
        <f t="shared" si="21"/>
        <v>0</v>
      </c>
      <c r="F118" s="948">
        <f t="shared" si="18"/>
        <v>0</v>
      </c>
      <c r="G118" s="944">
        <f t="shared" si="22"/>
        <v>0</v>
      </c>
      <c r="H118" s="943">
        <f t="shared" si="23"/>
        <v>0</v>
      </c>
      <c r="K118" s="890"/>
      <c r="N118" s="890"/>
    </row>
    <row r="119" spans="1:14" x14ac:dyDescent="0.25">
      <c r="A119" s="949"/>
      <c r="B119" s="938" t="str">
        <f t="shared" si="17"/>
        <v>Water - ماء</v>
      </c>
      <c r="C119" s="938" t="str">
        <f t="shared" si="17"/>
        <v>ml</v>
      </c>
      <c r="D119" s="1127">
        <f t="shared" si="17"/>
        <v>16000</v>
      </c>
      <c r="E119" s="1040">
        <f t="shared" si="21"/>
        <v>0</v>
      </c>
      <c r="F119" s="948">
        <f t="shared" si="18"/>
        <v>1</v>
      </c>
      <c r="G119" s="944">
        <f t="shared" si="22"/>
        <v>0</v>
      </c>
      <c r="H119" s="943">
        <f t="shared" si="23"/>
        <v>0</v>
      </c>
      <c r="K119" s="890"/>
      <c r="N119" s="890"/>
    </row>
    <row r="120" spans="1:14" x14ac:dyDescent="0.25">
      <c r="A120" s="949"/>
      <c r="B120" s="938" t="str">
        <f t="shared" si="17"/>
        <v>Salt - ملح</v>
      </c>
      <c r="C120" s="938" t="str">
        <f t="shared" si="17"/>
        <v>gm</v>
      </c>
      <c r="D120" s="1127">
        <f t="shared" si="17"/>
        <v>19.725373134328358</v>
      </c>
      <c r="E120" s="1040">
        <f t="shared" si="21"/>
        <v>0</v>
      </c>
      <c r="F120" s="948">
        <f t="shared" si="18"/>
        <v>1</v>
      </c>
      <c r="G120" s="944">
        <f t="shared" si="22"/>
        <v>0</v>
      </c>
      <c r="H120" s="943">
        <f t="shared" si="23"/>
        <v>0</v>
      </c>
      <c r="K120" s="890"/>
      <c r="N120" s="890"/>
    </row>
    <row r="121" spans="1:14" x14ac:dyDescent="0.25">
      <c r="A121" s="949"/>
      <c r="B121" s="938" t="str">
        <f t="shared" si="17"/>
        <v>Olive Oil - زيت زيتون</v>
      </c>
      <c r="C121" s="938" t="str">
        <f t="shared" si="17"/>
        <v>gm</v>
      </c>
      <c r="D121" s="1127">
        <f t="shared" si="17"/>
        <v>9.8626865671641788</v>
      </c>
      <c r="E121" s="1040">
        <f t="shared" si="21"/>
        <v>0</v>
      </c>
      <c r="F121" s="948">
        <f t="shared" si="18"/>
        <v>1</v>
      </c>
      <c r="G121" s="944">
        <f t="shared" si="22"/>
        <v>0</v>
      </c>
      <c r="H121" s="943">
        <f t="shared" si="23"/>
        <v>0</v>
      </c>
      <c r="K121" s="890"/>
      <c r="N121" s="890"/>
    </row>
    <row r="122" spans="1:14" ht="18" x14ac:dyDescent="0.25">
      <c r="A122" s="949"/>
      <c r="B122" s="1041" t="s">
        <v>682</v>
      </c>
      <c r="C122" s="1042" t="s">
        <v>273</v>
      </c>
      <c r="D122" s="1043"/>
      <c r="E122" s="1044" t="s">
        <v>288</v>
      </c>
      <c r="F122" s="1043"/>
      <c r="G122" s="1045" t="s">
        <v>264</v>
      </c>
      <c r="H122" s="1046" t="s">
        <v>661</v>
      </c>
      <c r="K122" s="890"/>
      <c r="N122" s="890"/>
    </row>
    <row r="123" spans="1:14" ht="20.25" x14ac:dyDescent="0.3">
      <c r="A123" s="949"/>
      <c r="B123" s="1047">
        <f>$J$55</f>
        <v>0</v>
      </c>
      <c r="C123" s="1283">
        <f>E123+G123</f>
        <v>0</v>
      </c>
      <c r="D123" s="1043"/>
      <c r="E123" s="1284">
        <f>$D$55*$S$44</f>
        <v>0</v>
      </c>
      <c r="F123" s="1043"/>
      <c r="G123" s="1386">
        <f>$D$55*$T$44</f>
        <v>0</v>
      </c>
      <c r="H123" s="1285">
        <f>B123+E123</f>
        <v>0</v>
      </c>
      <c r="K123" s="890"/>
      <c r="N123" s="890"/>
    </row>
    <row r="124" spans="1:14" x14ac:dyDescent="0.25">
      <c r="B124" s="890"/>
      <c r="D124" s="890"/>
      <c r="E124" s="1150"/>
      <c r="F124" s="890"/>
      <c r="H124" s="890"/>
      <c r="K124" s="890"/>
      <c r="N124" s="890"/>
    </row>
    <row r="125" spans="1:14" x14ac:dyDescent="0.25">
      <c r="B125" s="890"/>
      <c r="D125" s="890"/>
      <c r="E125" s="1150"/>
      <c r="F125" s="890"/>
      <c r="H125" s="890"/>
      <c r="K125" s="890"/>
      <c r="N125" s="890"/>
    </row>
    <row r="126" spans="1:14" x14ac:dyDescent="0.25">
      <c r="A126" s="1385"/>
      <c r="B126" s="1776" t="str">
        <f>"مكرونة فيتوتشيني  4 / " &amp; COUNTIF($C$19:$C$22, "&gt;0")</f>
        <v>مكرونة فيتوتشيني  4 / 0</v>
      </c>
      <c r="C126" s="1797"/>
      <c r="D126" s="1798"/>
      <c r="E126" s="1829"/>
      <c r="F126" s="1798"/>
      <c r="G126" s="1797"/>
      <c r="H126" s="1798"/>
      <c r="K126" s="890"/>
      <c r="N126" s="890"/>
    </row>
    <row r="127" spans="1:14" x14ac:dyDescent="0.25">
      <c r="A127" s="1385"/>
      <c r="B127" s="1776" t="str">
        <f>"Fettuccine Pasta Sauce  4 / " &amp; COUNTIF(C$19:$C$22, "&gt;0")</f>
        <v>Fettuccine Pasta Sauce  4 / 0</v>
      </c>
      <c r="C127" s="1787"/>
      <c r="D127" s="1788"/>
      <c r="E127" s="1788"/>
      <c r="F127" s="1788"/>
      <c r="G127" s="1787"/>
      <c r="H127" s="1788"/>
      <c r="K127" s="890"/>
      <c r="N127" s="890"/>
    </row>
    <row r="128" spans="1:14" ht="38.25" x14ac:dyDescent="0.2">
      <c r="A128" s="1350" t="s">
        <v>864</v>
      </c>
      <c r="B128" s="923" t="s">
        <v>241</v>
      </c>
      <c r="C128" s="934" t="s">
        <v>242</v>
      </c>
      <c r="D128" s="923" t="s">
        <v>231</v>
      </c>
      <c r="E128" s="935" t="s">
        <v>234</v>
      </c>
      <c r="F128" s="935" t="s">
        <v>243</v>
      </c>
      <c r="G128" s="923" t="s">
        <v>244</v>
      </c>
      <c r="H128" s="936" t="s">
        <v>245</v>
      </c>
      <c r="K128" s="890"/>
      <c r="N128" s="890"/>
    </row>
    <row r="129" spans="1:8" x14ac:dyDescent="0.25">
      <c r="A129" s="949"/>
      <c r="B129" s="938" t="str">
        <f t="shared" ref="B129:D142" si="24">B5</f>
        <v>Fettuccine Pasta - مكرونة فيتوتشيني</v>
      </c>
      <c r="C129" s="938" t="str">
        <f t="shared" si="24"/>
        <v>gm</v>
      </c>
      <c r="D129" s="1127">
        <f t="shared" si="24"/>
        <v>500</v>
      </c>
      <c r="E129" s="1040">
        <f>H56</f>
        <v>0</v>
      </c>
      <c r="F129" s="948">
        <f t="shared" ref="F129:F142" si="25">F5</f>
        <v>1</v>
      </c>
      <c r="G129" s="944">
        <f>D129*E129</f>
        <v>0</v>
      </c>
      <c r="H129" s="943">
        <f>G129*F129</f>
        <v>0</v>
      </c>
    </row>
    <row r="130" spans="1:8" x14ac:dyDescent="0.25">
      <c r="A130" s="949"/>
      <c r="B130" s="938" t="str">
        <f t="shared" si="24"/>
        <v>Cooking Cream - كريمة طبخ</v>
      </c>
      <c r="C130" s="938" t="str">
        <f t="shared" si="24"/>
        <v>ml</v>
      </c>
      <c r="D130" s="1127">
        <f t="shared" si="24"/>
        <v>600</v>
      </c>
      <c r="E130" s="1040">
        <f>$C$56</f>
        <v>0</v>
      </c>
      <c r="F130" s="948">
        <f t="shared" si="25"/>
        <v>1</v>
      </c>
      <c r="G130" s="944">
        <f>D130*E130</f>
        <v>0</v>
      </c>
      <c r="H130" s="943">
        <f>G130*F130</f>
        <v>0</v>
      </c>
    </row>
    <row r="131" spans="1:8" x14ac:dyDescent="0.25">
      <c r="A131" s="949"/>
      <c r="B131" s="938" t="str">
        <f t="shared" si="24"/>
        <v>Milk - حليب</v>
      </c>
      <c r="C131" s="938" t="str">
        <f t="shared" si="24"/>
        <v>ml</v>
      </c>
      <c r="D131" s="1127">
        <f t="shared" si="24"/>
        <v>600</v>
      </c>
      <c r="E131" s="1040">
        <f t="shared" ref="E131:E142" si="26">$C$56</f>
        <v>0</v>
      </c>
      <c r="F131" s="948">
        <f t="shared" si="25"/>
        <v>1</v>
      </c>
      <c r="G131" s="944">
        <f>D131*E131</f>
        <v>0</v>
      </c>
      <c r="H131" s="943">
        <f>G131*F131</f>
        <v>0</v>
      </c>
    </row>
    <row r="132" spans="1:8" x14ac:dyDescent="0.25">
      <c r="A132" s="949" t="s">
        <v>866</v>
      </c>
      <c r="B132" s="938" t="str">
        <f t="shared" si="24"/>
        <v>Onion - بصل</v>
      </c>
      <c r="C132" s="938" t="str">
        <f t="shared" si="24"/>
        <v>gm</v>
      </c>
      <c r="D132" s="1127">
        <f t="shared" si="24"/>
        <v>20</v>
      </c>
      <c r="E132" s="1040">
        <f t="shared" si="26"/>
        <v>0</v>
      </c>
      <c r="F132" s="948">
        <f t="shared" si="25"/>
        <v>1</v>
      </c>
      <c r="G132" s="944">
        <f>F25</f>
        <v>0</v>
      </c>
      <c r="H132" s="943">
        <f t="shared" ref="H132:H142" si="27">G132*F132</f>
        <v>0</v>
      </c>
    </row>
    <row r="133" spans="1:8" x14ac:dyDescent="0.25">
      <c r="A133" s="949"/>
      <c r="B133" s="938" t="str">
        <f t="shared" si="24"/>
        <v>Maggi Cubes - مكعبات ماجي</v>
      </c>
      <c r="C133" s="938" t="str">
        <f t="shared" si="24"/>
        <v>gm</v>
      </c>
      <c r="D133" s="1127">
        <f t="shared" si="24"/>
        <v>10</v>
      </c>
      <c r="E133" s="1040">
        <f t="shared" si="26"/>
        <v>0</v>
      </c>
      <c r="F133" s="948">
        <f t="shared" si="25"/>
        <v>1</v>
      </c>
      <c r="G133" s="944">
        <f>D133*E133</f>
        <v>0</v>
      </c>
      <c r="H133" s="943">
        <f t="shared" si="27"/>
        <v>0</v>
      </c>
    </row>
    <row r="134" spans="1:8" x14ac:dyDescent="0.25">
      <c r="A134" s="949"/>
      <c r="B134" s="938" t="str">
        <f t="shared" si="24"/>
        <v>White Pepper - فلفل أبيض</v>
      </c>
      <c r="C134" s="938" t="str">
        <f t="shared" si="24"/>
        <v>gm</v>
      </c>
      <c r="D134" s="1127">
        <f t="shared" si="24"/>
        <v>2</v>
      </c>
      <c r="E134" s="1040">
        <f t="shared" si="26"/>
        <v>0</v>
      </c>
      <c r="F134" s="948">
        <f t="shared" si="25"/>
        <v>1</v>
      </c>
      <c r="G134" s="944">
        <f>D134*E134</f>
        <v>0</v>
      </c>
      <c r="H134" s="943">
        <f t="shared" si="27"/>
        <v>0</v>
      </c>
    </row>
    <row r="135" spans="1:8" x14ac:dyDescent="0.25">
      <c r="A135" s="949"/>
      <c r="B135" s="938" t="str">
        <f t="shared" si="24"/>
        <v>Salt - ملح</v>
      </c>
      <c r="C135" s="938" t="str">
        <f t="shared" si="24"/>
        <v>ml</v>
      </c>
      <c r="D135" s="1127">
        <f t="shared" si="24"/>
        <v>2</v>
      </c>
      <c r="E135" s="1040">
        <f t="shared" si="26"/>
        <v>0</v>
      </c>
      <c r="F135" s="948">
        <f t="shared" si="25"/>
        <v>1</v>
      </c>
      <c r="G135" s="944">
        <f>F52</f>
        <v>0</v>
      </c>
      <c r="H135" s="943">
        <f t="shared" si="27"/>
        <v>0</v>
      </c>
    </row>
    <row r="136" spans="1:8" x14ac:dyDescent="0.25">
      <c r="A136" s="949"/>
      <c r="B136" s="938" t="str">
        <f t="shared" si="24"/>
        <v>Butter - زبدة</v>
      </c>
      <c r="C136" s="938" t="str">
        <f t="shared" si="24"/>
        <v>gm</v>
      </c>
      <c r="D136" s="1127">
        <f t="shared" si="24"/>
        <v>20</v>
      </c>
      <c r="E136" s="1040">
        <f t="shared" si="26"/>
        <v>0</v>
      </c>
      <c r="F136" s="948">
        <f t="shared" si="25"/>
        <v>1</v>
      </c>
      <c r="G136" s="944">
        <f>D136*E136</f>
        <v>0</v>
      </c>
      <c r="H136" s="943">
        <f t="shared" si="27"/>
        <v>0</v>
      </c>
    </row>
    <row r="137" spans="1:8" x14ac:dyDescent="0.25">
      <c r="A137" s="949"/>
      <c r="B137" s="938" t="str">
        <f t="shared" si="24"/>
        <v>Flour - دقيق</v>
      </c>
      <c r="C137" s="938" t="str">
        <f t="shared" si="24"/>
        <v>gm</v>
      </c>
      <c r="D137" s="1127">
        <f t="shared" si="24"/>
        <v>15</v>
      </c>
      <c r="E137" s="1040">
        <f t="shared" si="26"/>
        <v>0</v>
      </c>
      <c r="F137" s="948">
        <f t="shared" si="25"/>
        <v>1</v>
      </c>
      <c r="G137" s="944">
        <f>D137*E137</f>
        <v>0</v>
      </c>
      <c r="H137" s="943">
        <f t="shared" si="27"/>
        <v>0</v>
      </c>
    </row>
    <row r="138" spans="1:8" x14ac:dyDescent="0.25">
      <c r="A138" s="949" t="s">
        <v>868</v>
      </c>
      <c r="B138" s="938" t="str">
        <f t="shared" si="24"/>
        <v>Garlic - ثوم مقشر</v>
      </c>
      <c r="C138" s="938" t="str">
        <f t="shared" si="24"/>
        <v>gm</v>
      </c>
      <c r="D138" s="1127">
        <f t="shared" si="24"/>
        <v>20</v>
      </c>
      <c r="E138" s="1040">
        <f t="shared" si="26"/>
        <v>0</v>
      </c>
      <c r="F138" s="948">
        <f t="shared" si="25"/>
        <v>1</v>
      </c>
      <c r="G138" s="944">
        <f>F55</f>
        <v>0</v>
      </c>
      <c r="H138" s="943">
        <f t="shared" si="27"/>
        <v>0</v>
      </c>
    </row>
    <row r="139" spans="1:8" x14ac:dyDescent="0.25">
      <c r="A139" s="949"/>
      <c r="B139" s="938" t="str">
        <f t="shared" si="24"/>
        <v>Boiling</v>
      </c>
      <c r="C139" s="938">
        <f t="shared" si="24"/>
        <v>0</v>
      </c>
      <c r="D139" s="1127">
        <f t="shared" si="24"/>
        <v>0</v>
      </c>
      <c r="E139" s="1040">
        <f t="shared" si="26"/>
        <v>0</v>
      </c>
      <c r="F139" s="948">
        <f t="shared" si="25"/>
        <v>0</v>
      </c>
      <c r="G139" s="944">
        <f>D139*E139</f>
        <v>0</v>
      </c>
      <c r="H139" s="943">
        <f t="shared" si="27"/>
        <v>0</v>
      </c>
    </row>
    <row r="140" spans="1:8" x14ac:dyDescent="0.25">
      <c r="A140" s="949"/>
      <c r="B140" s="938" t="str">
        <f t="shared" si="24"/>
        <v>Water - ماء</v>
      </c>
      <c r="C140" s="938" t="str">
        <f t="shared" si="24"/>
        <v>ml</v>
      </c>
      <c r="D140" s="1127">
        <f t="shared" si="24"/>
        <v>16000</v>
      </c>
      <c r="E140" s="1040">
        <f t="shared" si="26"/>
        <v>0</v>
      </c>
      <c r="F140" s="948">
        <f t="shared" si="25"/>
        <v>1</v>
      </c>
      <c r="G140" s="944">
        <f>D140*E140</f>
        <v>0</v>
      </c>
      <c r="H140" s="943">
        <f t="shared" si="27"/>
        <v>0</v>
      </c>
    </row>
    <row r="141" spans="1:8" x14ac:dyDescent="0.25">
      <c r="A141" s="949"/>
      <c r="B141" s="938" t="str">
        <f t="shared" si="24"/>
        <v>Salt - ملح</v>
      </c>
      <c r="C141" s="938" t="str">
        <f t="shared" si="24"/>
        <v>gm</v>
      </c>
      <c r="D141" s="1127">
        <f t="shared" si="24"/>
        <v>19.725373134328358</v>
      </c>
      <c r="E141" s="1040">
        <f t="shared" si="26"/>
        <v>0</v>
      </c>
      <c r="F141" s="948">
        <f t="shared" si="25"/>
        <v>1</v>
      </c>
      <c r="G141" s="944">
        <f>F34</f>
        <v>0</v>
      </c>
      <c r="H141" s="943">
        <f t="shared" si="27"/>
        <v>0</v>
      </c>
    </row>
    <row r="142" spans="1:8" x14ac:dyDescent="0.25">
      <c r="A142" s="949"/>
      <c r="B142" s="938" t="str">
        <f t="shared" si="24"/>
        <v>Olive Oil - زيت زيتون</v>
      </c>
      <c r="C142" s="938" t="str">
        <f t="shared" si="24"/>
        <v>gm</v>
      </c>
      <c r="D142" s="1127">
        <f t="shared" si="24"/>
        <v>9.8626865671641788</v>
      </c>
      <c r="E142" s="1040">
        <f t="shared" si="26"/>
        <v>0</v>
      </c>
      <c r="F142" s="948">
        <f t="shared" si="25"/>
        <v>1</v>
      </c>
      <c r="G142" s="944">
        <f>D142*E142</f>
        <v>0</v>
      </c>
      <c r="H142" s="943">
        <f t="shared" si="27"/>
        <v>0</v>
      </c>
    </row>
    <row r="143" spans="1:8" ht="18" x14ac:dyDescent="0.25">
      <c r="A143" s="949"/>
      <c r="B143" s="1041" t="s">
        <v>682</v>
      </c>
      <c r="C143" s="1042" t="s">
        <v>273</v>
      </c>
      <c r="D143" s="1043"/>
      <c r="E143" s="1044" t="s">
        <v>288</v>
      </c>
      <c r="F143" s="1043"/>
      <c r="G143" s="1045" t="s">
        <v>264</v>
      </c>
      <c r="H143" s="1046" t="s">
        <v>661</v>
      </c>
    </row>
    <row r="144" spans="1:8" ht="20.25" x14ac:dyDescent="0.3">
      <c r="A144" s="949"/>
      <c r="B144" s="1047">
        <f>$J$56</f>
        <v>0</v>
      </c>
      <c r="C144" s="1048">
        <f>E144+G144</f>
        <v>0</v>
      </c>
      <c r="D144" s="1054"/>
      <c r="E144" s="1047">
        <f>$D$56*$S$44</f>
        <v>0</v>
      </c>
      <c r="F144" s="1054"/>
      <c r="G144" s="1048">
        <f>$D$56*$T$44</f>
        <v>0</v>
      </c>
      <c r="H144" s="1047">
        <f>B144+E144</f>
        <v>0</v>
      </c>
    </row>
  </sheetData>
  <mergeCells count="12">
    <mergeCell ref="B126:H126"/>
    <mergeCell ref="B127:H127"/>
    <mergeCell ref="B63:H63"/>
    <mergeCell ref="AE2:AE3"/>
    <mergeCell ref="B106:H106"/>
    <mergeCell ref="B84:H84"/>
    <mergeCell ref="R26:U26"/>
    <mergeCell ref="R25:U25"/>
    <mergeCell ref="B64:H64"/>
    <mergeCell ref="B83:H83"/>
    <mergeCell ref="B2:H3"/>
    <mergeCell ref="B105:H105"/>
  </mergeCells>
  <phoneticPr fontId="62" type="noConversion"/>
  <printOptions horizontalCentered="1"/>
  <pageMargins left="0.5" right="0.5" top="1" bottom="0.5" header="0.3" footer="0.511811023622047"/>
  <pageSetup paperSize="9" scale="32"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8" tint="-0.249977111117893"/>
    <pageSetUpPr fitToPage="1"/>
  </sheetPr>
  <dimension ref="A1:AT101"/>
  <sheetViews>
    <sheetView topLeftCell="A56" zoomScale="55" zoomScaleNormal="55" workbookViewId="0">
      <selection activeCell="A96" sqref="A96"/>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5.75" style="14" customWidth="1"/>
    <col min="15" max="15" width="18.625" style="14" customWidth="1"/>
    <col min="16" max="16" width="8.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ol min="25" max="25" width="8.625" style="14" customWidth="1"/>
    <col min="26" max="28" width="12.625" style="14" customWidth="1"/>
    <col min="29" max="30" width="12.625" style="395" customWidth="1"/>
    <col min="31" max="34" width="3.375" style="14" customWidth="1"/>
    <col min="35" max="35" width="18.6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12.625" style="14" customWidth="1"/>
    <col min="47" max="16384" width="12.5" style="14"/>
  </cols>
  <sheetData>
    <row r="1" spans="1:46" ht="25.5" x14ac:dyDescent="0.25">
      <c r="B1" s="913" t="s">
        <v>231</v>
      </c>
      <c r="C1" s="914">
        <v>1000</v>
      </c>
      <c r="D1" s="915" t="s">
        <v>232</v>
      </c>
      <c r="E1" s="941">
        <f>T32</f>
        <v>11408</v>
      </c>
      <c r="F1" s="913" t="s">
        <v>233</v>
      </c>
      <c r="G1" s="914">
        <f>E1/C1</f>
        <v>11.407999999999999</v>
      </c>
      <c r="H1" s="913" t="s">
        <v>234</v>
      </c>
      <c r="I1" s="1143">
        <f>(G1/K1)</f>
        <v>11.407999999999999</v>
      </c>
      <c r="J1" s="919" t="s">
        <v>235</v>
      </c>
      <c r="K1" s="1167">
        <v>1</v>
      </c>
      <c r="L1" s="80"/>
      <c r="M1" s="70"/>
      <c r="N1" s="922"/>
      <c r="O1" s="923" t="s">
        <v>236</v>
      </c>
      <c r="P1" s="914" t="s">
        <v>298</v>
      </c>
      <c r="Q1" s="924" t="s">
        <v>238</v>
      </c>
      <c r="R1" s="914">
        <v>0.54</v>
      </c>
      <c r="T1" s="890"/>
      <c r="W1" s="890"/>
      <c r="Y1" s="923" t="s">
        <v>444</v>
      </c>
      <c r="Z1" s="925">
        <v>28020</v>
      </c>
      <c r="AA1" s="923" t="s">
        <v>544</v>
      </c>
      <c r="AB1" s="925">
        <v>500</v>
      </c>
      <c r="AC1" s="923" t="s">
        <v>537</v>
      </c>
      <c r="AD1" s="925">
        <v>187</v>
      </c>
      <c r="AI1" s="1"/>
      <c r="AJ1" s="926" t="s">
        <v>250</v>
      </c>
      <c r="AK1" s="926">
        <v>10000</v>
      </c>
      <c r="AL1" s="927" t="s">
        <v>494</v>
      </c>
      <c r="AM1" s="928">
        <f>$S$32</f>
        <v>28520</v>
      </c>
      <c r="AN1" s="926" t="s">
        <v>239</v>
      </c>
      <c r="AO1" s="929">
        <f>(($S$32)/$R$1)/$AK$1</f>
        <v>5.2814814814814808</v>
      </c>
      <c r="AP1" s="76"/>
      <c r="AQ1" s="89"/>
      <c r="AR1" s="89"/>
      <c r="AS1" s="891"/>
      <c r="AT1" s="89"/>
    </row>
    <row r="2" spans="1:46" ht="15.75" x14ac:dyDescent="0.25">
      <c r="A2" s="863"/>
      <c r="B2" s="1784" t="s">
        <v>782</v>
      </c>
      <c r="C2" s="1797"/>
      <c r="D2" s="1798"/>
      <c r="E2" s="1798"/>
      <c r="F2" s="1798"/>
      <c r="G2" s="1797"/>
      <c r="H2" s="1798"/>
      <c r="I2" s="1797"/>
      <c r="J2" s="1797"/>
      <c r="K2" s="1156"/>
      <c r="L2" s="1388"/>
      <c r="M2" s="80"/>
      <c r="N2" s="80"/>
      <c r="O2" s="80"/>
      <c r="P2" s="80"/>
      <c r="Q2" s="80"/>
      <c r="R2" s="80"/>
      <c r="T2" s="890"/>
      <c r="W2" s="890"/>
      <c r="AC2" s="14"/>
      <c r="AD2" s="14"/>
      <c r="AI2" s="1"/>
      <c r="AJ2" s="930"/>
      <c r="AK2" s="1783" t="s">
        <v>783</v>
      </c>
      <c r="AL2" s="1783"/>
      <c r="AM2" s="1783"/>
      <c r="AN2" s="931"/>
      <c r="AO2" s="930"/>
      <c r="AP2" s="81"/>
      <c r="AQ2"/>
      <c r="AR2"/>
      <c r="AS2" s="830"/>
      <c r="AT2"/>
    </row>
    <row r="3" spans="1:46" ht="15.75" x14ac:dyDescent="0.25">
      <c r="A3" s="863"/>
      <c r="B3" s="1785"/>
      <c r="C3" s="1796"/>
      <c r="D3" s="1785"/>
      <c r="E3" s="1785"/>
      <c r="F3" s="1785"/>
      <c r="G3" s="1796"/>
      <c r="H3" s="1785"/>
      <c r="I3" s="1796"/>
      <c r="J3" s="1796"/>
      <c r="K3" s="1389"/>
      <c r="L3" s="1390"/>
      <c r="M3" s="80"/>
      <c r="N3" s="80"/>
      <c r="O3" s="80"/>
      <c r="P3" s="80"/>
      <c r="Q3" s="80"/>
      <c r="R3" s="80"/>
      <c r="T3" s="890"/>
      <c r="W3" s="890"/>
      <c r="AC3" s="14"/>
      <c r="AD3" s="14"/>
      <c r="AI3" s="1"/>
      <c r="AJ3" s="81"/>
      <c r="AK3" s="81"/>
      <c r="AL3" s="82"/>
      <c r="AM3" s="82"/>
      <c r="AN3" s="82"/>
      <c r="AO3" s="81"/>
      <c r="AP3" s="81"/>
      <c r="AQ3"/>
      <c r="AR3"/>
      <c r="AS3" s="830"/>
      <c r="AT3"/>
    </row>
    <row r="4" spans="1:46" ht="38.25" x14ac:dyDescent="0.25">
      <c r="A4" s="1350" t="s">
        <v>864</v>
      </c>
      <c r="B4" s="923" t="s">
        <v>241</v>
      </c>
      <c r="C4" s="934" t="s">
        <v>242</v>
      </c>
      <c r="D4" s="923" t="s">
        <v>231</v>
      </c>
      <c r="E4" s="935" t="s">
        <v>234</v>
      </c>
      <c r="F4" s="935" t="s">
        <v>243</v>
      </c>
      <c r="G4" s="923" t="s">
        <v>244</v>
      </c>
      <c r="H4" s="936" t="s">
        <v>245</v>
      </c>
      <c r="I4" s="923" t="s">
        <v>246</v>
      </c>
      <c r="J4" s="923" t="s">
        <v>247</v>
      </c>
      <c r="K4" s="923" t="s">
        <v>248</v>
      </c>
      <c r="L4" s="923" t="s">
        <v>249</v>
      </c>
      <c r="O4" s="80"/>
      <c r="P4" s="80"/>
      <c r="R4" s="890"/>
      <c r="T4" s="890"/>
      <c r="W4" s="890"/>
      <c r="AA4" s="169"/>
      <c r="AC4" s="169"/>
      <c r="AD4" s="171"/>
      <c r="AE4" s="169"/>
      <c r="AF4" s="171"/>
      <c r="AI4" s="1117"/>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937" t="s">
        <v>872</v>
      </c>
      <c r="B5" s="960" t="s">
        <v>225</v>
      </c>
      <c r="C5" s="939" t="s">
        <v>14</v>
      </c>
      <c r="D5" s="944">
        <f>I51/10</f>
        <v>4629.6296296296296</v>
      </c>
      <c r="E5" s="1126">
        <f>H52</f>
        <v>11.407999999999999</v>
      </c>
      <c r="F5" s="948">
        <v>1</v>
      </c>
      <c r="G5" s="940">
        <f t="shared" ref="G5:G17" si="0">D5*E5</f>
        <v>52814.81481481481</v>
      </c>
      <c r="H5" s="943">
        <f>G5*F5</f>
        <v>52814.81481481481</v>
      </c>
      <c r="I5" s="914">
        <f>VLOOKUP(B5,All_Ingredients!$A$1:$F$161,6,FALSE())</f>
        <v>0.47</v>
      </c>
      <c r="J5" s="940">
        <f>VLOOKUP(B5,All_Ingredients!$A$1:$J$161,10,FALSE())</f>
        <v>12</v>
      </c>
      <c r="K5" s="945">
        <f>(H5/I5)/1000</f>
        <v>112.3719464144996</v>
      </c>
      <c r="L5" s="945">
        <f>K5*J5</f>
        <v>1348.4633569739954</v>
      </c>
      <c r="O5" s="80"/>
      <c r="P5" s="80"/>
      <c r="R5" s="890"/>
      <c r="T5" s="890"/>
      <c r="W5" s="890"/>
      <c r="AA5" s="73"/>
      <c r="AC5" s="73"/>
      <c r="AD5" s="89"/>
      <c r="AE5" s="73"/>
      <c r="AF5" s="89"/>
      <c r="AI5" s="1117"/>
      <c r="AJ5" s="1118" t="s">
        <v>225</v>
      </c>
      <c r="AK5" s="951" t="s">
        <v>227</v>
      </c>
      <c r="AL5" s="951">
        <v>10</v>
      </c>
      <c r="AM5" s="918">
        <f>$AO$1</f>
        <v>5.2814814814814808</v>
      </c>
      <c r="AN5" s="948">
        <v>1</v>
      </c>
      <c r="AO5" s="940">
        <f>AL5*AM5</f>
        <v>52.81481481481481</v>
      </c>
      <c r="AP5" s="943">
        <f>AN5*AO5</f>
        <v>52.81481481481481</v>
      </c>
      <c r="AQ5" s="952"/>
      <c r="AR5" s="953"/>
      <c r="AS5" s="954"/>
      <c r="AT5" s="955"/>
    </row>
    <row r="6" spans="1:46" x14ac:dyDescent="0.25">
      <c r="A6" s="949" t="s">
        <v>866</v>
      </c>
      <c r="B6" s="960" t="s">
        <v>12</v>
      </c>
      <c r="C6" s="947" t="s">
        <v>14</v>
      </c>
      <c r="D6" s="914">
        <v>500</v>
      </c>
      <c r="E6" s="1040">
        <f t="shared" ref="E6:E17" si="1">$I$1</f>
        <v>11.407999999999999</v>
      </c>
      <c r="F6" s="948">
        <v>0.95</v>
      </c>
      <c r="G6" s="940">
        <f t="shared" si="0"/>
        <v>5704</v>
      </c>
      <c r="H6" s="943">
        <f t="shared" ref="H6:H17" si="2">G6*F6</f>
        <v>5418.8</v>
      </c>
      <c r="I6" s="914">
        <f>VLOOKUP(B6,All_Ingredients!$A$1:$F$161,6,FALSE())</f>
        <v>0.9</v>
      </c>
      <c r="J6" s="940">
        <f>VLOOKUP(B6,All_Ingredients!$A$1:$J$161,10,FALSE())</f>
        <v>3</v>
      </c>
      <c r="K6" s="945">
        <f t="shared" ref="K6:K17" si="3">(H6/I6)/1000</f>
        <v>6.020888888888889</v>
      </c>
      <c r="L6" s="945">
        <f t="shared" ref="L6:L17" si="4">K6*J6</f>
        <v>18.062666666666665</v>
      </c>
      <c r="R6" s="890"/>
      <c r="T6" s="890"/>
      <c r="W6" s="890"/>
      <c r="AC6" s="14"/>
      <c r="AD6" s="14"/>
      <c r="AI6" s="1117" t="s">
        <v>55</v>
      </c>
      <c r="AJ6" s="1118" t="s">
        <v>54</v>
      </c>
      <c r="AK6" s="951" t="s">
        <v>14</v>
      </c>
      <c r="AL6" s="951">
        <v>200</v>
      </c>
      <c r="AM6" s="918">
        <f t="shared" ref="AM6:AM13" si="5">$AO$1</f>
        <v>5.2814814814814808</v>
      </c>
      <c r="AN6" s="948">
        <v>1</v>
      </c>
      <c r="AO6" s="940">
        <f t="shared" ref="AO6:AO13" si="6">AL6*AM6</f>
        <v>1056.2962962962961</v>
      </c>
      <c r="AP6" s="943">
        <f t="shared" ref="AP6:AP13" si="7">AN6*AO6</f>
        <v>1056.2962962962961</v>
      </c>
      <c r="AQ6" s="955">
        <f>VLOOKUP(AJ6,Marination_Ordering!$A:$J,6,FALSE)</f>
        <v>0.87</v>
      </c>
      <c r="AR6" s="955">
        <f>VLOOKUP(AJ6,Marination_Ordering!$A:$J,10,FALSE)</f>
        <v>7</v>
      </c>
      <c r="AS6" s="954">
        <f>AP6/AQ6</f>
        <v>1214.1336739037886</v>
      </c>
      <c r="AT6" s="955">
        <f>AR6*(AS6/1000)</f>
        <v>8.4989357173265212</v>
      </c>
    </row>
    <row r="7" spans="1:46" x14ac:dyDescent="0.25">
      <c r="A7" s="949" t="s">
        <v>868</v>
      </c>
      <c r="B7" s="960" t="s">
        <v>706</v>
      </c>
      <c r="C7" s="947" t="s">
        <v>14</v>
      </c>
      <c r="D7" s="914">
        <v>40</v>
      </c>
      <c r="E7" s="1040">
        <f t="shared" si="1"/>
        <v>11.407999999999999</v>
      </c>
      <c r="F7" s="948">
        <v>1</v>
      </c>
      <c r="G7" s="940">
        <f t="shared" si="0"/>
        <v>456.32</v>
      </c>
      <c r="H7" s="943">
        <f t="shared" si="2"/>
        <v>456.32</v>
      </c>
      <c r="I7" s="914">
        <f>VLOOKUP(B7,All_Ingredients!$A$1:$F$161,6,FALSE())</f>
        <v>1</v>
      </c>
      <c r="J7" s="940">
        <f>VLOOKUP(B7,All_Ingredients!$A$1:$J$161,10,FALSE())</f>
        <v>10.5</v>
      </c>
      <c r="K7" s="945">
        <f t="shared" si="3"/>
        <v>0.45632</v>
      </c>
      <c r="L7" s="945">
        <f t="shared" si="4"/>
        <v>4.7913600000000001</v>
      </c>
      <c r="R7" s="890"/>
      <c r="T7" s="890"/>
      <c r="W7" s="890"/>
      <c r="AC7" s="14"/>
      <c r="AD7" s="14"/>
      <c r="AI7" s="1117" t="s">
        <v>13</v>
      </c>
      <c r="AJ7" s="1115" t="s">
        <v>706</v>
      </c>
      <c r="AK7" s="951" t="s">
        <v>14</v>
      </c>
      <c r="AL7" s="951">
        <v>150</v>
      </c>
      <c r="AM7" s="918">
        <f t="shared" si="5"/>
        <v>5.2814814814814808</v>
      </c>
      <c r="AN7" s="948">
        <v>1</v>
      </c>
      <c r="AO7" s="940">
        <f t="shared" si="6"/>
        <v>792.22222222222217</v>
      </c>
      <c r="AP7" s="943">
        <f t="shared" si="7"/>
        <v>792.22222222222217</v>
      </c>
      <c r="AQ7" s="955">
        <f>VLOOKUP(AJ7,Marination_Ordering!$A:$J,6,FALSE)</f>
        <v>1</v>
      </c>
      <c r="AR7" s="955">
        <f>VLOOKUP(AJ7,Marination_Ordering!$A:$J,10,FALSE)</f>
        <v>10.5</v>
      </c>
      <c r="AS7" s="954">
        <f t="shared" ref="AS7:AS13" si="8">AP7/AQ7</f>
        <v>792.22222222222217</v>
      </c>
      <c r="AT7" s="955">
        <f t="shared" ref="AT7:AT13" si="9">AR7*(AS7/1000)</f>
        <v>8.3183333333333334</v>
      </c>
    </row>
    <row r="8" spans="1:46" x14ac:dyDescent="0.25">
      <c r="A8" s="949"/>
      <c r="B8" s="960" t="s">
        <v>110</v>
      </c>
      <c r="C8" s="947" t="s">
        <v>14</v>
      </c>
      <c r="D8" s="914">
        <v>11</v>
      </c>
      <c r="E8" s="1040">
        <f t="shared" si="1"/>
        <v>11.407999999999999</v>
      </c>
      <c r="F8" s="948">
        <v>0.75</v>
      </c>
      <c r="G8" s="940">
        <f t="shared" si="0"/>
        <v>125.488</v>
      </c>
      <c r="H8" s="943">
        <f t="shared" si="2"/>
        <v>94.116</v>
      </c>
      <c r="I8" s="914">
        <f>VLOOKUP(B8,All_Ingredients!$A$1:$F$161,6,FALSE())</f>
        <v>1</v>
      </c>
      <c r="J8" s="940">
        <f>VLOOKUP(B8,All_Ingredients!$A$1:$J$161,10,FALSE())</f>
        <v>64.243759177679877</v>
      </c>
      <c r="K8" s="945">
        <f t="shared" si="3"/>
        <v>9.4116000000000005E-2</v>
      </c>
      <c r="L8" s="945">
        <f t="shared" si="4"/>
        <v>6.0463656387665194</v>
      </c>
      <c r="R8" s="890"/>
      <c r="T8" s="890"/>
      <c r="W8" s="890"/>
      <c r="AC8" s="14"/>
      <c r="AD8" s="14"/>
      <c r="AI8" s="1117" t="s">
        <v>204</v>
      </c>
      <c r="AJ8" s="1118" t="s">
        <v>212</v>
      </c>
      <c r="AK8" s="951" t="s">
        <v>160</v>
      </c>
      <c r="AL8" s="951">
        <v>450</v>
      </c>
      <c r="AM8" s="918">
        <f t="shared" si="5"/>
        <v>5.2814814814814808</v>
      </c>
      <c r="AN8" s="948">
        <v>1</v>
      </c>
      <c r="AO8" s="940">
        <f t="shared" si="6"/>
        <v>2376.6666666666665</v>
      </c>
      <c r="AP8" s="943">
        <f t="shared" si="7"/>
        <v>2376.6666666666665</v>
      </c>
      <c r="AQ8" s="955">
        <f>VLOOKUP(AJ8,Marination_Ordering!$A:$J,6,FALSE)</f>
        <v>1</v>
      </c>
      <c r="AR8" s="955">
        <f>VLOOKUP(AJ8,Marination_Ordering!$A:$J,10,FALSE)</f>
        <v>5</v>
      </c>
      <c r="AS8" s="954">
        <f t="shared" si="8"/>
        <v>2376.6666666666665</v>
      </c>
      <c r="AT8" s="955">
        <f t="shared" si="9"/>
        <v>11.883333333333333</v>
      </c>
    </row>
    <row r="9" spans="1:46" x14ac:dyDescent="0.25">
      <c r="A9" s="949"/>
      <c r="B9" s="960" t="s">
        <v>678</v>
      </c>
      <c r="C9" s="947" t="s">
        <v>14</v>
      </c>
      <c r="D9" s="914">
        <v>100</v>
      </c>
      <c r="E9" s="1040">
        <f t="shared" si="1"/>
        <v>11.407999999999999</v>
      </c>
      <c r="F9" s="948">
        <v>1</v>
      </c>
      <c r="G9" s="940">
        <f t="shared" si="0"/>
        <v>1140.8</v>
      </c>
      <c r="H9" s="943">
        <f t="shared" si="2"/>
        <v>1140.8</v>
      </c>
      <c r="I9" s="914">
        <f>VLOOKUP(B9,All_Ingredients!$A$1:$F$161,6,FALSE())</f>
        <v>1</v>
      </c>
      <c r="J9" s="940">
        <f>VLOOKUP(B9,All_Ingredients!$A$1:$J$161,10,FALSE())</f>
        <v>8.1520833333333336</v>
      </c>
      <c r="K9" s="945">
        <f t="shared" si="3"/>
        <v>1.1408</v>
      </c>
      <c r="L9" s="945">
        <f t="shared" si="4"/>
        <v>9.2998966666666671</v>
      </c>
      <c r="R9" s="890"/>
      <c r="T9" s="890"/>
      <c r="W9" s="890"/>
      <c r="AC9" s="14"/>
      <c r="AD9" s="14"/>
      <c r="AI9" s="1117" t="s">
        <v>204</v>
      </c>
      <c r="AJ9" s="1118" t="s">
        <v>208</v>
      </c>
      <c r="AK9" s="951" t="s">
        <v>160</v>
      </c>
      <c r="AL9" s="951">
        <v>100</v>
      </c>
      <c r="AM9" s="918">
        <f t="shared" si="5"/>
        <v>5.2814814814814808</v>
      </c>
      <c r="AN9" s="948">
        <v>1</v>
      </c>
      <c r="AO9" s="940">
        <f t="shared" si="6"/>
        <v>528.14814814814804</v>
      </c>
      <c r="AP9" s="943">
        <f t="shared" si="7"/>
        <v>528.14814814814804</v>
      </c>
      <c r="AQ9" s="955">
        <f>VLOOKUP(AJ9,Marination_Ordering!$A:$J,6,FALSE)</f>
        <v>1</v>
      </c>
      <c r="AR9" s="955">
        <f>VLOOKUP(AJ9,Marination_Ordering!$A:$J,10,FALSE)</f>
        <v>2.1621621621621623</v>
      </c>
      <c r="AS9" s="954">
        <f t="shared" si="8"/>
        <v>528.14814814814804</v>
      </c>
      <c r="AT9" s="955">
        <f t="shared" si="9"/>
        <v>1.1419419419419417</v>
      </c>
    </row>
    <row r="10" spans="1:46" x14ac:dyDescent="0.25">
      <c r="A10" s="949"/>
      <c r="B10" s="960" t="s">
        <v>139</v>
      </c>
      <c r="C10" s="947" t="s">
        <v>14</v>
      </c>
      <c r="D10" s="914">
        <v>15</v>
      </c>
      <c r="E10" s="1040">
        <f t="shared" si="1"/>
        <v>11.407999999999999</v>
      </c>
      <c r="F10" s="948">
        <v>1</v>
      </c>
      <c r="G10" s="940">
        <f t="shared" si="0"/>
        <v>171.12</v>
      </c>
      <c r="H10" s="943">
        <f t="shared" si="2"/>
        <v>171.12</v>
      </c>
      <c r="I10" s="914">
        <f>VLOOKUP(B10,All_Ingredients!$A$1:$F$161,6,FALSE())</f>
        <v>1</v>
      </c>
      <c r="J10" s="940">
        <f>VLOOKUP(B10,All_Ingredients!$A$1:$J$161,10,FALSE())</f>
        <v>15.277777777777779</v>
      </c>
      <c r="K10" s="945">
        <f t="shared" si="3"/>
        <v>0.17111999999999999</v>
      </c>
      <c r="L10" s="945">
        <f t="shared" si="4"/>
        <v>2.6143333333333332</v>
      </c>
      <c r="R10" s="890"/>
      <c r="T10" s="890"/>
      <c r="W10" s="890"/>
      <c r="AC10" s="14"/>
      <c r="AD10" s="14"/>
      <c r="AI10" s="1117" t="s">
        <v>94</v>
      </c>
      <c r="AJ10" s="1118" t="s">
        <v>93</v>
      </c>
      <c r="AK10" s="951" t="s">
        <v>14</v>
      </c>
      <c r="AL10" s="951">
        <v>2</v>
      </c>
      <c r="AM10" s="918">
        <f t="shared" si="5"/>
        <v>5.2814814814814808</v>
      </c>
      <c r="AN10" s="948">
        <v>1</v>
      </c>
      <c r="AO10" s="940">
        <f t="shared" si="6"/>
        <v>10.562962962962962</v>
      </c>
      <c r="AP10" s="943">
        <f t="shared" si="7"/>
        <v>10.562962962962962</v>
      </c>
      <c r="AQ10" s="955">
        <f>VLOOKUP(AJ10,Marination_Ordering!$A:$J,6,FALSE)</f>
        <v>1</v>
      </c>
      <c r="AR10" s="955">
        <f>VLOOKUP(AJ10,Marination_Ordering!$A:$J,10,FALSE)</f>
        <v>0.74</v>
      </c>
      <c r="AS10" s="954">
        <f t="shared" si="8"/>
        <v>10.562962962962962</v>
      </c>
      <c r="AT10" s="955">
        <f t="shared" si="9"/>
        <v>7.816592592592592E-3</v>
      </c>
    </row>
    <row r="11" spans="1:46" ht="25.5" x14ac:dyDescent="0.25">
      <c r="A11" s="949"/>
      <c r="B11" s="960" t="s">
        <v>183</v>
      </c>
      <c r="C11" s="947" t="s">
        <v>14</v>
      </c>
      <c r="D11" s="914">
        <v>50</v>
      </c>
      <c r="E11" s="1040">
        <f t="shared" si="1"/>
        <v>11.407999999999999</v>
      </c>
      <c r="F11" s="948">
        <v>1</v>
      </c>
      <c r="G11" s="940">
        <f t="shared" si="0"/>
        <v>570.4</v>
      </c>
      <c r="H11" s="943">
        <f t="shared" si="2"/>
        <v>570.4</v>
      </c>
      <c r="I11" s="914">
        <f>VLOOKUP(B11,All_Ingredients!$A$1:$F$161,6,FALSE())</f>
        <v>1</v>
      </c>
      <c r="J11" s="940">
        <f>VLOOKUP(B11,All_Ingredients!$A$1:$J$161,10,FALSE())</f>
        <v>17</v>
      </c>
      <c r="K11" s="945">
        <f t="shared" si="3"/>
        <v>0.57040000000000002</v>
      </c>
      <c r="L11" s="945">
        <f t="shared" si="4"/>
        <v>9.6967999999999996</v>
      </c>
      <c r="R11" s="890"/>
      <c r="T11" s="890"/>
      <c r="W11" s="890"/>
      <c r="AC11" s="14"/>
      <c r="AD11" s="14"/>
      <c r="AI11" s="1117" t="s">
        <v>94</v>
      </c>
      <c r="AJ11" s="1118" t="s">
        <v>99</v>
      </c>
      <c r="AK11" s="951" t="s">
        <v>14</v>
      </c>
      <c r="AL11" s="951">
        <v>4</v>
      </c>
      <c r="AM11" s="918">
        <f t="shared" si="5"/>
        <v>5.2814814814814808</v>
      </c>
      <c r="AN11" s="948">
        <v>1</v>
      </c>
      <c r="AO11" s="940">
        <f t="shared" si="6"/>
        <v>21.125925925925923</v>
      </c>
      <c r="AP11" s="943">
        <f t="shared" si="7"/>
        <v>21.125925925925923</v>
      </c>
      <c r="AQ11" s="955">
        <f>VLOOKUP(AJ11,Marination_Ordering!$A:$J,6,FALSE)</f>
        <v>1</v>
      </c>
      <c r="AR11" s="955">
        <f>VLOOKUP(AJ11,Marination_Ordering!$A:$J,10,FALSE)</f>
        <v>31</v>
      </c>
      <c r="AS11" s="954">
        <f t="shared" si="8"/>
        <v>21.125925925925923</v>
      </c>
      <c r="AT11" s="955">
        <f t="shared" si="9"/>
        <v>0.65490370370370365</v>
      </c>
    </row>
    <row r="12" spans="1:46" x14ac:dyDescent="0.25">
      <c r="A12" s="949"/>
      <c r="B12" s="960" t="s">
        <v>166</v>
      </c>
      <c r="C12" s="947" t="s">
        <v>160</v>
      </c>
      <c r="D12" s="914">
        <v>600</v>
      </c>
      <c r="E12" s="1040">
        <f t="shared" si="1"/>
        <v>11.407999999999999</v>
      </c>
      <c r="F12" s="948">
        <v>1</v>
      </c>
      <c r="G12" s="940">
        <f t="shared" si="0"/>
        <v>6844.7999999999993</v>
      </c>
      <c r="H12" s="943">
        <f t="shared" si="2"/>
        <v>6844.7999999999993</v>
      </c>
      <c r="I12" s="914">
        <f>VLOOKUP(B12,All_Ingredients!$A$1:$F$161,6,FALSE())</f>
        <v>1</v>
      </c>
      <c r="J12" s="940">
        <f>VLOOKUP(B12,All_Ingredients!$A$1:$J$161,10,FALSE())</f>
        <v>12.666666666666666</v>
      </c>
      <c r="K12" s="945">
        <f t="shared" si="3"/>
        <v>6.8447999999999993</v>
      </c>
      <c r="L12" s="945">
        <f t="shared" si="4"/>
        <v>86.700799999999987</v>
      </c>
      <c r="R12" s="890"/>
      <c r="T12" s="890"/>
      <c r="W12" s="890"/>
      <c r="AC12" s="14"/>
      <c r="AD12" s="14"/>
      <c r="AI12" s="1117" t="s">
        <v>94</v>
      </c>
      <c r="AJ12" s="1118" t="s">
        <v>105</v>
      </c>
      <c r="AK12" s="951" t="s">
        <v>14</v>
      </c>
      <c r="AL12" s="951">
        <v>35</v>
      </c>
      <c r="AM12" s="918">
        <f t="shared" si="5"/>
        <v>5.2814814814814808</v>
      </c>
      <c r="AN12" s="948">
        <v>1</v>
      </c>
      <c r="AO12" s="940">
        <f t="shared" si="6"/>
        <v>184.85185185185182</v>
      </c>
      <c r="AP12" s="943">
        <f t="shared" si="7"/>
        <v>184.85185185185182</v>
      </c>
      <c r="AQ12" s="955">
        <f>VLOOKUP(AJ12,Marination_Ordering!$A:$J,6,FALSE)</f>
        <v>1</v>
      </c>
      <c r="AR12" s="955">
        <f>VLOOKUP(AJ12,Marination_Ordering!$A:$J,10,FALSE)</f>
        <v>15</v>
      </c>
      <c r="AS12" s="954">
        <f t="shared" si="8"/>
        <v>184.85185185185182</v>
      </c>
      <c r="AT12" s="955">
        <f t="shared" si="9"/>
        <v>2.7727777777777773</v>
      </c>
    </row>
    <row r="13" spans="1:46" x14ac:dyDescent="0.25">
      <c r="A13" s="949"/>
      <c r="B13" s="960" t="s">
        <v>93</v>
      </c>
      <c r="C13" s="947" t="s">
        <v>14</v>
      </c>
      <c r="D13" s="914">
        <v>6</v>
      </c>
      <c r="E13" s="1040">
        <f t="shared" si="1"/>
        <v>11.407999999999999</v>
      </c>
      <c r="F13" s="948">
        <v>0.75</v>
      </c>
      <c r="G13" s="940">
        <f t="shared" si="0"/>
        <v>68.447999999999993</v>
      </c>
      <c r="H13" s="943">
        <f t="shared" si="2"/>
        <v>51.335999999999999</v>
      </c>
      <c r="I13" s="914">
        <f>VLOOKUP(B13,All_Ingredients!$A$1:$F$161,6,FALSE())</f>
        <v>1</v>
      </c>
      <c r="J13" s="940">
        <f>VLOOKUP(B13,All_Ingredients!$A$1:$J$161,10,FALSE())</f>
        <v>0.74</v>
      </c>
      <c r="K13" s="945">
        <f t="shared" si="3"/>
        <v>5.1336E-2</v>
      </c>
      <c r="L13" s="945">
        <f t="shared" si="4"/>
        <v>3.7988639999999997E-2</v>
      </c>
      <c r="R13" s="890"/>
      <c r="T13" s="890"/>
      <c r="W13" s="890"/>
      <c r="AC13" s="14"/>
      <c r="AD13" s="14"/>
      <c r="AI13" s="1117" t="s">
        <v>190</v>
      </c>
      <c r="AJ13" s="1118" t="s">
        <v>202</v>
      </c>
      <c r="AK13" s="951" t="s">
        <v>14</v>
      </c>
      <c r="AL13" s="951">
        <v>250</v>
      </c>
      <c r="AM13" s="918">
        <f t="shared" si="5"/>
        <v>5.2814814814814808</v>
      </c>
      <c r="AN13" s="948">
        <v>1</v>
      </c>
      <c r="AO13" s="940">
        <f t="shared" si="6"/>
        <v>1320.3703703703702</v>
      </c>
      <c r="AP13" s="943">
        <f t="shared" si="7"/>
        <v>1320.3703703703702</v>
      </c>
      <c r="AQ13" s="955">
        <f>VLOOKUP(AJ13,Marination_Ordering!$A:$J,6,FALSE)</f>
        <v>1</v>
      </c>
      <c r="AR13" s="955">
        <f>VLOOKUP(AJ13,Marination_Ordering!$A:$J,10,FALSE)</f>
        <v>11.243386243386244</v>
      </c>
      <c r="AS13" s="954">
        <f t="shared" si="8"/>
        <v>1320.3703703703702</v>
      </c>
      <c r="AT13" s="955">
        <f t="shared" si="9"/>
        <v>14.84543405839702</v>
      </c>
    </row>
    <row r="14" spans="1:46" ht="29.25" x14ac:dyDescent="0.25">
      <c r="A14" s="949"/>
      <c r="B14" s="960" t="s">
        <v>99</v>
      </c>
      <c r="C14" s="947" t="s">
        <v>14</v>
      </c>
      <c r="D14" s="914">
        <v>8</v>
      </c>
      <c r="E14" s="1040">
        <f t="shared" si="1"/>
        <v>11.407999999999999</v>
      </c>
      <c r="F14" s="948">
        <v>0.75</v>
      </c>
      <c r="G14" s="940">
        <f t="shared" si="0"/>
        <v>91.263999999999996</v>
      </c>
      <c r="H14" s="943">
        <f t="shared" si="2"/>
        <v>68.447999999999993</v>
      </c>
      <c r="I14" s="914">
        <f>VLOOKUP(B14,All_Ingredients!$A$1:$F$161,6,FALSE())</f>
        <v>1</v>
      </c>
      <c r="J14" s="940">
        <f>VLOOKUP(B14,All_Ingredients!$A$1:$J$161,10,FALSE())</f>
        <v>31</v>
      </c>
      <c r="K14" s="945">
        <f t="shared" si="3"/>
        <v>6.8447999999999995E-2</v>
      </c>
      <c r="L14" s="945">
        <f t="shared" si="4"/>
        <v>2.1218879999999998</v>
      </c>
      <c r="R14" s="890"/>
      <c r="T14" s="890"/>
      <c r="W14" s="890"/>
      <c r="AC14" s="14"/>
      <c r="AD14" s="14"/>
      <c r="AJ14" s="890"/>
      <c r="AK14" s="890"/>
      <c r="AL14" s="890"/>
      <c r="AM14" s="890"/>
      <c r="AN14" s="890"/>
      <c r="AP14" s="890"/>
      <c r="AS14" s="890"/>
    </row>
    <row r="15" spans="1:46" x14ac:dyDescent="0.25">
      <c r="A15" s="949"/>
      <c r="B15" s="960" t="s">
        <v>187</v>
      </c>
      <c r="C15" s="947" t="s">
        <v>14</v>
      </c>
      <c r="D15" s="914">
        <v>90</v>
      </c>
      <c r="E15" s="1040">
        <f t="shared" si="1"/>
        <v>11.407999999999999</v>
      </c>
      <c r="F15" s="948">
        <v>1</v>
      </c>
      <c r="G15" s="940">
        <f t="shared" si="0"/>
        <v>1026.72</v>
      </c>
      <c r="H15" s="943">
        <f t="shared" si="2"/>
        <v>1026.72</v>
      </c>
      <c r="I15" s="914">
        <f>VLOOKUP(B15,All_Ingredients!$A$1:$F$161,6,FALSE())</f>
        <v>0.9</v>
      </c>
      <c r="J15" s="940">
        <f>VLOOKUP(B15,All_Ingredients!$A$1:$J$161,10,FALSE())</f>
        <v>2.3199999999999998</v>
      </c>
      <c r="K15" s="945">
        <f t="shared" si="3"/>
        <v>1.1408</v>
      </c>
      <c r="L15" s="945">
        <f t="shared" si="4"/>
        <v>2.6466560000000001</v>
      </c>
      <c r="R15" s="890"/>
      <c r="T15" s="890"/>
      <c r="W15" s="890"/>
      <c r="AC15" s="14"/>
      <c r="AD15" s="14"/>
      <c r="AJ15" s="890"/>
      <c r="AK15" s="890"/>
      <c r="AL15" s="890"/>
      <c r="AM15" s="890"/>
      <c r="AN15" s="890"/>
      <c r="AP15" s="890"/>
      <c r="AS15" s="890"/>
    </row>
    <row r="16" spans="1:46" x14ac:dyDescent="0.25">
      <c r="A16" s="949"/>
      <c r="B16" s="960" t="s">
        <v>152</v>
      </c>
      <c r="C16" s="947" t="s">
        <v>14</v>
      </c>
      <c r="D16" s="914">
        <v>30</v>
      </c>
      <c r="E16" s="1040">
        <f t="shared" si="1"/>
        <v>11.407999999999999</v>
      </c>
      <c r="F16" s="948">
        <v>1</v>
      </c>
      <c r="G16" s="940">
        <f t="shared" si="0"/>
        <v>342.24</v>
      </c>
      <c r="H16" s="943">
        <f t="shared" si="2"/>
        <v>342.24</v>
      </c>
      <c r="I16" s="914">
        <f>VLOOKUP(B16,All_Ingredients!$A$1:$F$161,6,FALSE())</f>
        <v>1</v>
      </c>
      <c r="J16" s="940">
        <f>VLOOKUP(B16,All_Ingredients!$A$1:$J$161,10,FALSE())</f>
        <v>30</v>
      </c>
      <c r="K16" s="945">
        <f t="shared" si="3"/>
        <v>0.34223999999999999</v>
      </c>
      <c r="L16" s="945">
        <f t="shared" si="4"/>
        <v>10.267199999999999</v>
      </c>
      <c r="R16" s="890"/>
      <c r="T16" s="890"/>
      <c r="W16" s="890"/>
      <c r="AC16" s="14"/>
      <c r="AD16" s="14"/>
      <c r="AJ16" s="890"/>
      <c r="AK16" s="890"/>
      <c r="AL16" s="890"/>
      <c r="AM16" s="890"/>
      <c r="AN16" s="890"/>
      <c r="AP16" s="890"/>
      <c r="AS16" s="890"/>
    </row>
    <row r="17" spans="1:30" x14ac:dyDescent="0.25">
      <c r="A17" s="949"/>
      <c r="B17" s="960" t="s">
        <v>203</v>
      </c>
      <c r="C17" s="947" t="s">
        <v>160</v>
      </c>
      <c r="D17" s="914">
        <v>500</v>
      </c>
      <c r="E17" s="1040">
        <f t="shared" si="1"/>
        <v>11.407999999999999</v>
      </c>
      <c r="F17" s="948">
        <v>0.75</v>
      </c>
      <c r="G17" s="940">
        <f t="shared" si="0"/>
        <v>5704</v>
      </c>
      <c r="H17" s="943">
        <f t="shared" si="2"/>
        <v>4278</v>
      </c>
      <c r="I17" s="914">
        <f>VLOOKUP(B17,All_Ingredients!$A$1:$F$161,6,FALSE())</f>
        <v>1</v>
      </c>
      <c r="J17" s="940">
        <f>VLOOKUP(B17,All_Ingredients!$A$1:$J$161,10,FALSE())</f>
        <v>0</v>
      </c>
      <c r="K17" s="945">
        <f t="shared" si="3"/>
        <v>4.2779999999999996</v>
      </c>
      <c r="L17" s="945">
        <f t="shared" si="4"/>
        <v>0</v>
      </c>
      <c r="R17" s="890"/>
      <c r="T17" s="890"/>
      <c r="W17" s="890"/>
      <c r="AC17" s="14"/>
      <c r="AD17" s="14"/>
    </row>
    <row r="18" spans="1:30" x14ac:dyDescent="0.25">
      <c r="B18" s="80"/>
      <c r="C18" s="125"/>
      <c r="D18" s="80"/>
      <c r="E18" s="80"/>
      <c r="F18" s="80"/>
      <c r="G18" s="125"/>
      <c r="H18" s="890"/>
      <c r="K18" s="890"/>
      <c r="L18" s="190"/>
      <c r="R18" s="890"/>
      <c r="T18" s="890"/>
      <c r="W18" s="890"/>
      <c r="AC18" s="14"/>
      <c r="AD18" s="14"/>
    </row>
    <row r="19" spans="1:30" x14ac:dyDescent="0.25">
      <c r="B19" s="890"/>
      <c r="D19" s="890"/>
      <c r="E19" s="890"/>
      <c r="F19" s="890"/>
      <c r="H19" s="890"/>
      <c r="K19" s="890"/>
      <c r="L19" s="190"/>
      <c r="R19" s="890"/>
      <c r="T19" s="890"/>
      <c r="W19" s="890"/>
      <c r="AC19" s="14"/>
      <c r="AD19" s="14"/>
    </row>
    <row r="20" spans="1:30" x14ac:dyDescent="0.25">
      <c r="B20" s="890"/>
      <c r="D20" s="890"/>
      <c r="E20" s="890"/>
      <c r="F20" s="890"/>
      <c r="H20" s="890"/>
      <c r="K20" s="890"/>
      <c r="L20" s="190"/>
      <c r="R20" s="890"/>
      <c r="T20" s="890"/>
      <c r="W20" s="890"/>
      <c r="AC20" s="14"/>
      <c r="AD20" s="14"/>
    </row>
    <row r="21" spans="1:30" x14ac:dyDescent="0.25">
      <c r="B21" s="890"/>
      <c r="D21" s="890"/>
      <c r="E21" s="890"/>
      <c r="F21" s="890"/>
      <c r="H21" s="890"/>
      <c r="K21" s="890"/>
      <c r="L21" s="190"/>
      <c r="R21" s="890"/>
      <c r="T21" s="890"/>
      <c r="W21" s="890"/>
      <c r="AC21" s="14"/>
      <c r="AD21" s="14"/>
    </row>
    <row r="22" spans="1:30" x14ac:dyDescent="0.25">
      <c r="B22" s="890"/>
      <c r="D22" s="890"/>
      <c r="E22" s="890"/>
      <c r="F22" s="890"/>
      <c r="H22" s="890"/>
      <c r="K22" s="890"/>
      <c r="L22" s="190"/>
      <c r="R22" s="890"/>
      <c r="T22" s="1387"/>
      <c r="W22" s="890"/>
      <c r="AC22" s="14"/>
      <c r="AD22" s="14"/>
    </row>
    <row r="23" spans="1:30" x14ac:dyDescent="0.25">
      <c r="B23" s="890"/>
      <c r="D23" s="890"/>
      <c r="E23" s="890"/>
      <c r="F23" s="890"/>
      <c r="H23" s="890"/>
      <c r="K23" s="890"/>
      <c r="L23" s="190"/>
      <c r="R23" s="890"/>
      <c r="T23" s="890"/>
      <c r="W23" s="890"/>
      <c r="AC23" s="14"/>
      <c r="AD23" s="14"/>
    </row>
    <row r="24" spans="1:30" x14ac:dyDescent="0.25">
      <c r="B24" s="890"/>
      <c r="D24" s="890"/>
      <c r="E24" s="890"/>
      <c r="F24" s="890"/>
      <c r="H24" s="890"/>
      <c r="K24" s="890"/>
      <c r="L24" s="190"/>
      <c r="R24" s="890"/>
      <c r="T24" s="890"/>
      <c r="W24" s="890"/>
      <c r="Z24" s="597"/>
      <c r="AC24" s="14"/>
      <c r="AD24" s="14"/>
    </row>
    <row r="25" spans="1:30" x14ac:dyDescent="0.25">
      <c r="B25" s="80"/>
      <c r="D25" s="890"/>
      <c r="E25" s="80"/>
      <c r="F25" s="80"/>
      <c r="H25" s="890"/>
      <c r="K25" s="80"/>
      <c r="L25" s="190"/>
      <c r="R25" s="1779" t="s">
        <v>783</v>
      </c>
      <c r="S25" s="1787"/>
      <c r="T25" s="1788"/>
      <c r="U25" s="1787"/>
      <c r="V25" s="952"/>
      <c r="W25" s="890"/>
      <c r="Z25" s="982" t="s">
        <v>252</v>
      </c>
      <c r="AA25" s="989">
        <v>1</v>
      </c>
      <c r="AB25" s="982" t="s">
        <v>249</v>
      </c>
      <c r="AC25" s="985">
        <f>AD30*AA25</f>
        <v>4.7304020500221006E-2</v>
      </c>
      <c r="AD25" s="14"/>
    </row>
    <row r="26" spans="1:30" x14ac:dyDescent="0.25">
      <c r="B26" s="80"/>
      <c r="D26" s="890"/>
      <c r="E26" s="80"/>
      <c r="F26" s="80"/>
      <c r="H26" s="890"/>
      <c r="K26" s="890"/>
      <c r="L26" s="190"/>
      <c r="Q26"/>
      <c r="R26" s="1786" t="s">
        <v>296</v>
      </c>
      <c r="S26" s="1787"/>
      <c r="T26" s="1788"/>
      <c r="U26" s="1787"/>
      <c r="V26" s="952"/>
      <c r="W26" s="890"/>
      <c r="AC26" s="14"/>
      <c r="AD26" s="14"/>
    </row>
    <row r="27" spans="1:30" x14ac:dyDescent="0.25">
      <c r="B27" s="890"/>
      <c r="D27" s="890"/>
      <c r="E27" s="890"/>
      <c r="F27" s="890"/>
      <c r="H27" s="890"/>
      <c r="K27" s="890"/>
      <c r="Q27"/>
      <c r="R27" s="961" t="s">
        <v>254</v>
      </c>
      <c r="S27" s="962" t="s">
        <v>460</v>
      </c>
      <c r="T27" s="961" t="s">
        <v>256</v>
      </c>
      <c r="U27" s="962" t="s">
        <v>257</v>
      </c>
      <c r="V27" s="962" t="s">
        <v>753</v>
      </c>
      <c r="W27" s="890"/>
      <c r="Z27" s="982" t="s">
        <v>258</v>
      </c>
      <c r="AA27" s="982" t="s">
        <v>259</v>
      </c>
      <c r="AB27" s="982" t="s">
        <v>260</v>
      </c>
      <c r="AC27" s="984" t="s">
        <v>753</v>
      </c>
      <c r="AD27" s="982" t="s">
        <v>262</v>
      </c>
    </row>
    <row r="28" spans="1:30" x14ac:dyDescent="0.25">
      <c r="B28" s="890"/>
      <c r="D28" s="890"/>
      <c r="E28" s="890"/>
      <c r="F28" s="890"/>
      <c r="H28" s="890"/>
      <c r="K28" s="890"/>
      <c r="Q28"/>
      <c r="R28" s="961" t="s">
        <v>263</v>
      </c>
      <c r="S28" s="1391">
        <f>$Z$1</f>
        <v>28020</v>
      </c>
      <c r="T28" s="1392"/>
      <c r="U28" s="975">
        <f>S28/S40</f>
        <v>28020</v>
      </c>
      <c r="V28" s="966">
        <f>H37</f>
        <v>13.090000000000002</v>
      </c>
      <c r="W28" s="890"/>
      <c r="Z28" s="1086"/>
      <c r="AA28" s="985">
        <f>AA25*$S$40</f>
        <v>1</v>
      </c>
      <c r="AB28" s="985">
        <f>AA25-AA28</f>
        <v>0</v>
      </c>
      <c r="AC28" s="987"/>
      <c r="AD28" s="1088">
        <f>SUM(AA28:AC28)</f>
        <v>1</v>
      </c>
    </row>
    <row r="29" spans="1:30" x14ac:dyDescent="0.25">
      <c r="B29" s="890"/>
      <c r="D29" s="890"/>
      <c r="E29" s="890"/>
      <c r="F29" s="890"/>
      <c r="H29" s="890"/>
      <c r="K29" s="890"/>
      <c r="Q29"/>
      <c r="R29" s="961" t="s">
        <v>264</v>
      </c>
      <c r="S29" s="959"/>
      <c r="T29" s="967">
        <f>S28*0.4</f>
        <v>11208</v>
      </c>
      <c r="U29" s="975">
        <f>T29</f>
        <v>11208</v>
      </c>
      <c r="V29" s="966"/>
      <c r="W29" s="890"/>
      <c r="Z29" s="1086"/>
      <c r="AA29" s="1139">
        <f>AA28/$AD$28</f>
        <v>1</v>
      </c>
      <c r="AB29" s="1089">
        <f>AB28/$AD$28</f>
        <v>0</v>
      </c>
      <c r="AC29" s="991"/>
      <c r="AD29" s="1089">
        <f>AD28/$AD$28</f>
        <v>1</v>
      </c>
    </row>
    <row r="30" spans="1:30" x14ac:dyDescent="0.25">
      <c r="B30" s="80"/>
      <c r="D30" s="890"/>
      <c r="E30" s="80"/>
      <c r="F30" s="890"/>
      <c r="H30" s="890"/>
      <c r="K30" s="890"/>
      <c r="Q30"/>
      <c r="R30" s="961" t="s">
        <v>265</v>
      </c>
      <c r="S30" s="1393">
        <f>$AB$1</f>
        <v>500</v>
      </c>
      <c r="T30" s="1132">
        <f>(S30*0.4)</f>
        <v>200</v>
      </c>
      <c r="U30" s="974">
        <f>S30/S40</f>
        <v>500</v>
      </c>
      <c r="V30" s="972"/>
      <c r="W30" s="890"/>
      <c r="Z30" s="982" t="s">
        <v>266</v>
      </c>
      <c r="AA30" s="1090">
        <f>S35/(S32)</f>
        <v>4.7281323877068564E-2</v>
      </c>
      <c r="AB30" s="1091">
        <f>T35/T32</f>
        <v>3.5777193465491926E-3</v>
      </c>
      <c r="AC30" s="995">
        <f>V35/U32</f>
        <v>2.2696623152443635E-5</v>
      </c>
      <c r="AD30" s="1092">
        <f>SUMPRODUCT(AA30:AB30,AA29:AB29)+AC30</f>
        <v>4.7304020500221006E-2</v>
      </c>
    </row>
    <row r="31" spans="1:30" x14ac:dyDescent="0.25">
      <c r="B31" s="80"/>
      <c r="D31" s="890"/>
      <c r="E31" s="80"/>
      <c r="F31" s="890"/>
      <c r="H31" s="890"/>
      <c r="K31" s="890"/>
      <c r="Q31"/>
      <c r="R31" s="961" t="s">
        <v>267</v>
      </c>
      <c r="S31" s="959"/>
      <c r="T31" s="967"/>
      <c r="U31" s="966"/>
      <c r="V31" s="966"/>
      <c r="W31" s="890"/>
    </row>
    <row r="32" spans="1:30" x14ac:dyDescent="0.25">
      <c r="B32" s="80"/>
      <c r="D32" s="890"/>
      <c r="E32" s="80"/>
      <c r="F32" s="890"/>
      <c r="H32" s="890"/>
      <c r="K32" s="890"/>
      <c r="Q32"/>
      <c r="R32" s="961" t="s">
        <v>257</v>
      </c>
      <c r="S32" s="966">
        <f>SUM(S28:S30)</f>
        <v>28520</v>
      </c>
      <c r="T32" s="967">
        <f>SUM(T28:T30)</f>
        <v>11408</v>
      </c>
      <c r="U32" s="966">
        <f>SUM(S32:T32)</f>
        <v>39928</v>
      </c>
      <c r="V32" s="966">
        <f>SUM(V28:V30)</f>
        <v>13.090000000000002</v>
      </c>
      <c r="W32" s="890"/>
    </row>
    <row r="33" spans="2:23" ht="30" x14ac:dyDescent="0.25">
      <c r="B33" s="80"/>
      <c r="D33" s="890"/>
      <c r="E33" s="80"/>
      <c r="F33" s="890"/>
      <c r="H33" s="890"/>
      <c r="K33" s="890"/>
      <c r="Q33"/>
      <c r="R33" s="976" t="s">
        <v>268</v>
      </c>
      <c r="S33" s="959"/>
      <c r="T33" s="960">
        <f>F45</f>
        <v>0</v>
      </c>
      <c r="U33" s="959"/>
      <c r="V33" s="959"/>
      <c r="W33" s="890"/>
    </row>
    <row r="34" spans="2:23" x14ac:dyDescent="0.25">
      <c r="B34" s="80"/>
      <c r="D34" s="890"/>
      <c r="E34" s="80"/>
      <c r="F34" s="890"/>
      <c r="H34" s="890"/>
      <c r="K34" s="890"/>
      <c r="Q34"/>
      <c r="R34" s="961" t="s">
        <v>269</v>
      </c>
      <c r="S34" s="959"/>
      <c r="T34" s="967">
        <f>T33-(T28+T29)</f>
        <v>-11208</v>
      </c>
      <c r="U34" s="959"/>
      <c r="V34" s="959"/>
      <c r="W34" s="890"/>
    </row>
    <row r="35" spans="2:23" ht="15.75" x14ac:dyDescent="0.25">
      <c r="B35" s="1781" t="s">
        <v>789</v>
      </c>
      <c r="C35" s="1782"/>
      <c r="D35" s="1781"/>
      <c r="E35" s="1781"/>
      <c r="F35" s="1781"/>
      <c r="G35" s="1000"/>
      <c r="H35" s="1009"/>
      <c r="I35" s="1010"/>
      <c r="J35" s="1010"/>
      <c r="K35" s="1009"/>
      <c r="L35" s="1010"/>
      <c r="Q35"/>
      <c r="R35" s="977" t="s">
        <v>249</v>
      </c>
      <c r="S35" s="978">
        <f>$L$5</f>
        <v>1348.4633569739954</v>
      </c>
      <c r="T35" s="979">
        <f>SUM(L6:L10)</f>
        <v>40.81462230543319</v>
      </c>
      <c r="U35" s="978">
        <f>S35+T35+V35+W35</f>
        <v>1390.1842100486592</v>
      </c>
      <c r="V35" s="1136">
        <f>L37</f>
        <v>0.9062307692307694</v>
      </c>
      <c r="W35" s="890"/>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Q36"/>
      <c r="R36" s="830"/>
      <c r="S36"/>
      <c r="T36" s="830"/>
      <c r="U36"/>
      <c r="W36" s="890"/>
    </row>
    <row r="37" spans="2:23" x14ac:dyDescent="0.25">
      <c r="B37" s="1005" t="s">
        <v>666</v>
      </c>
      <c r="C37" s="1006" t="s">
        <v>14</v>
      </c>
      <c r="D37" s="1007">
        <v>7.0000000000000007E-2</v>
      </c>
      <c r="E37" s="1005">
        <f>$AD$1</f>
        <v>187</v>
      </c>
      <c r="F37" s="1005">
        <f>D37*E37</f>
        <v>13.090000000000002</v>
      </c>
      <c r="G37"/>
      <c r="H37" s="1005">
        <f>F37</f>
        <v>13.090000000000002</v>
      </c>
      <c r="I37" s="1005">
        <f>VLOOKUP(B37,All_Ingredients!$A$1:$F$161,6,FALSE())</f>
        <v>0.65</v>
      </c>
      <c r="J37" s="1005">
        <f>VLOOKUP(B37,All_Ingredients!$A$1:$J$161,10,FALSE())</f>
        <v>45</v>
      </c>
      <c r="K37" s="1005">
        <f>(H37/I37)/1000</f>
        <v>2.0138461538461543E-2</v>
      </c>
      <c r="L37" s="1005">
        <f t="shared" ref="L37" si="10">K37*J37</f>
        <v>0.9062307692307694</v>
      </c>
      <c r="Q37"/>
      <c r="R37" s="830"/>
      <c r="S37"/>
      <c r="T37" s="830"/>
      <c r="U37"/>
      <c r="W37" s="890"/>
    </row>
    <row r="38" spans="2:23" x14ac:dyDescent="0.25">
      <c r="B38" s="80"/>
      <c r="D38" s="890"/>
      <c r="E38" s="80"/>
      <c r="F38" s="80"/>
      <c r="H38" s="890"/>
      <c r="K38" s="890"/>
      <c r="Q38"/>
      <c r="R38" s="830"/>
      <c r="S38"/>
      <c r="T38" s="830"/>
      <c r="U38"/>
      <c r="W38" s="890"/>
    </row>
    <row r="39" spans="2:23" x14ac:dyDescent="0.25">
      <c r="B39" s="80"/>
      <c r="D39" s="890"/>
      <c r="E39" s="80"/>
      <c r="F39" s="80"/>
      <c r="H39" s="890"/>
      <c r="K39" s="890"/>
      <c r="Q39"/>
      <c r="R39" s="830"/>
      <c r="S39"/>
      <c r="T39" s="830"/>
      <c r="U39"/>
      <c r="W39" s="890"/>
    </row>
    <row r="40" spans="2:23" ht="23.25" x14ac:dyDescent="0.25">
      <c r="B40" s="80"/>
      <c r="D40" s="890"/>
      <c r="E40" s="80"/>
      <c r="F40" s="80"/>
      <c r="H40" s="890"/>
      <c r="K40" s="890"/>
      <c r="R40" s="1394" t="s">
        <v>270</v>
      </c>
      <c r="S40" s="1093">
        <v>1</v>
      </c>
      <c r="T40" s="1395" t="s">
        <v>271</v>
      </c>
      <c r="U40" s="1093">
        <v>0</v>
      </c>
      <c r="V40" s="1014">
        <f>S40+U40</f>
        <v>1</v>
      </c>
      <c r="W40" s="890"/>
    </row>
    <row r="41" spans="2:23" x14ac:dyDescent="0.25">
      <c r="B41" s="80"/>
      <c r="D41" s="890"/>
      <c r="E41" s="80"/>
      <c r="F41" s="80"/>
      <c r="H41" s="890"/>
      <c r="K41" s="890"/>
      <c r="R41" s="890"/>
      <c r="T41" s="890"/>
      <c r="U41" s="123"/>
      <c r="W41" s="890"/>
    </row>
    <row r="42" spans="2:23" x14ac:dyDescent="0.25">
      <c r="B42" s="80"/>
      <c r="D42" s="890"/>
      <c r="E42" s="80"/>
      <c r="F42" s="80"/>
      <c r="H42" s="890"/>
      <c r="K42" s="890"/>
      <c r="R42" s="890"/>
      <c r="T42" s="890"/>
      <c r="W42" s="890"/>
    </row>
    <row r="43" spans="2:23" ht="26.25" x14ac:dyDescent="0.25">
      <c r="B43" s="80"/>
      <c r="D43" s="890"/>
      <c r="E43" s="80"/>
      <c r="F43" s="80"/>
      <c r="H43" s="890"/>
      <c r="K43" s="890"/>
      <c r="Q43" s="1015" t="s">
        <v>272</v>
      </c>
      <c r="R43" s="1011" t="s">
        <v>273</v>
      </c>
      <c r="S43" s="1015" t="s">
        <v>274</v>
      </c>
      <c r="T43" s="1011" t="s">
        <v>275</v>
      </c>
      <c r="U43" s="1015" t="s">
        <v>276</v>
      </c>
      <c r="V43" s="1015" t="s">
        <v>277</v>
      </c>
      <c r="W43" s="1011" t="s">
        <v>278</v>
      </c>
    </row>
    <row r="44" spans="2:23" x14ac:dyDescent="0.25">
      <c r="B44" s="80"/>
      <c r="D44" s="890"/>
      <c r="E44" s="80"/>
      <c r="F44" s="80"/>
      <c r="H44" s="890"/>
      <c r="K44" s="890"/>
      <c r="Q44" s="1023">
        <v>25000</v>
      </c>
      <c r="R44" s="1017">
        <f>D51</f>
        <v>10000</v>
      </c>
      <c r="S44" s="1024">
        <v>0</v>
      </c>
      <c r="T44" s="1025">
        <v>1</v>
      </c>
      <c r="U44" s="1096">
        <f>R44*S44</f>
        <v>0</v>
      </c>
      <c r="V44" s="1021">
        <f>R44*T44</f>
        <v>10000</v>
      </c>
      <c r="W44" s="1026">
        <f>Q44-U44</f>
        <v>25000</v>
      </c>
    </row>
    <row r="50" spans="1:11" x14ac:dyDescent="0.25">
      <c r="B50" s="961"/>
      <c r="C50" s="962" t="s">
        <v>233</v>
      </c>
      <c r="D50" s="961" t="s">
        <v>279</v>
      </c>
      <c r="E50" s="135"/>
      <c r="F50" s="80"/>
      <c r="G50" s="962" t="s">
        <v>280</v>
      </c>
      <c r="H50" s="961" t="s">
        <v>233</v>
      </c>
      <c r="I50" s="962" t="s">
        <v>281</v>
      </c>
      <c r="J50" s="962" t="s">
        <v>282</v>
      </c>
      <c r="K50" s="890"/>
    </row>
    <row r="51" spans="1:11" x14ac:dyDescent="0.25">
      <c r="B51" s="1027" t="s">
        <v>283</v>
      </c>
      <c r="C51" s="1028">
        <f>10/$K$1</f>
        <v>10</v>
      </c>
      <c r="D51" s="1029">
        <f>$C$1*10</f>
        <v>10000</v>
      </c>
      <c r="E51" s="135"/>
      <c r="F51" s="80"/>
      <c r="G51" s="1033" t="s">
        <v>283</v>
      </c>
      <c r="H51" s="1122">
        <f>I51/$D$5</f>
        <v>10</v>
      </c>
      <c r="I51" s="1028">
        <f>J51/$R$1</f>
        <v>46296.296296296292</v>
      </c>
      <c r="J51" s="1028">
        <f>$W$44</f>
        <v>25000</v>
      </c>
      <c r="K51" s="890"/>
    </row>
    <row r="52" spans="1:11" x14ac:dyDescent="0.25">
      <c r="B52" s="958" t="s">
        <v>262</v>
      </c>
      <c r="C52" s="1099">
        <f>$I$1</f>
        <v>11.407999999999999</v>
      </c>
      <c r="D52" s="1100">
        <f>$E$1</f>
        <v>11408</v>
      </c>
      <c r="E52" s="80"/>
      <c r="F52" s="80"/>
      <c r="G52" s="962" t="s">
        <v>262</v>
      </c>
      <c r="H52" s="1052">
        <f>I52/$D$5</f>
        <v>11.407999999999999</v>
      </c>
      <c r="I52" s="1021">
        <f>J52/$R$1</f>
        <v>52814.81481481481</v>
      </c>
      <c r="J52" s="1030">
        <f>$S$32</f>
        <v>28520</v>
      </c>
      <c r="K52" s="890"/>
    </row>
    <row r="53" spans="1:11" x14ac:dyDescent="0.25">
      <c r="B53" s="958" t="s">
        <v>284</v>
      </c>
      <c r="C53" s="1101">
        <f>MIN(C52, C51)</f>
        <v>10</v>
      </c>
      <c r="D53" s="1100">
        <f>(C53*$K$1)*$C$1</f>
        <v>10000</v>
      </c>
      <c r="E53" s="80"/>
      <c r="F53" s="80"/>
      <c r="G53" s="962" t="s">
        <v>284</v>
      </c>
      <c r="H53" s="1035">
        <f>MIN(H52,H51)</f>
        <v>10</v>
      </c>
      <c r="I53" s="1021">
        <f>J53/$R$1</f>
        <v>46296.296296296292</v>
      </c>
      <c r="J53" s="1021">
        <f>MIN(J52,J51)</f>
        <v>25000</v>
      </c>
      <c r="K53" s="890"/>
    </row>
    <row r="54" spans="1:11" x14ac:dyDescent="0.25">
      <c r="B54" s="958" t="s">
        <v>285</v>
      </c>
      <c r="C54" s="1101">
        <f>MIN(MAX(C52-C53,0),C51)</f>
        <v>1.4079999999999995</v>
      </c>
      <c r="D54" s="1100">
        <f>(C54*$K$1)*$C$1</f>
        <v>1407.9999999999995</v>
      </c>
      <c r="E54" s="80"/>
      <c r="F54" s="80"/>
      <c r="G54" s="962" t="s">
        <v>285</v>
      </c>
      <c r="H54" s="1035">
        <f>MIN(MAX(H52-H53),H51)</f>
        <v>1.4079999999999995</v>
      </c>
      <c r="I54" s="1021">
        <f>J54/$R$1</f>
        <v>6518.5185185185182</v>
      </c>
      <c r="J54" s="1021">
        <f>MIN(MAX(J52-J53),J51)</f>
        <v>3520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80"/>
      <c r="D56" s="890"/>
      <c r="E56" s="80"/>
      <c r="F56" s="80"/>
      <c r="H56" s="890"/>
      <c r="K56" s="890"/>
    </row>
    <row r="57" spans="1:11" x14ac:dyDescent="0.25">
      <c r="B57" s="80"/>
      <c r="D57" s="890"/>
      <c r="E57" s="80"/>
      <c r="F57" s="80"/>
      <c r="H57" s="890"/>
      <c r="K57" s="890"/>
    </row>
    <row r="58" spans="1:11" x14ac:dyDescent="0.25">
      <c r="B58" s="80"/>
      <c r="D58" s="890"/>
      <c r="E58" s="80"/>
      <c r="F58" s="80"/>
      <c r="H58" s="890"/>
      <c r="K58" s="890"/>
    </row>
    <row r="59" spans="1:11" x14ac:dyDescent="0.25">
      <c r="B59" s="80"/>
      <c r="D59" s="890"/>
      <c r="E59" s="80"/>
      <c r="F59" s="80"/>
      <c r="H59" s="890"/>
      <c r="K59" s="890"/>
    </row>
    <row r="60" spans="1:11" x14ac:dyDescent="0.25">
      <c r="B60" s="80"/>
      <c r="D60" s="890"/>
      <c r="E60" s="80"/>
      <c r="F60" s="80"/>
      <c r="H60" s="890"/>
      <c r="K60" s="890"/>
    </row>
    <row r="61" spans="1:11" x14ac:dyDescent="0.25">
      <c r="B61" s="80"/>
      <c r="D61" s="890"/>
      <c r="E61" s="80"/>
      <c r="F61" s="80"/>
      <c r="H61" s="890"/>
      <c r="K61" s="890"/>
    </row>
    <row r="62" spans="1:11" x14ac:dyDescent="0.25">
      <c r="A62" s="1036"/>
      <c r="B62" s="1776" t="str">
        <f>" سمك بلانكويت 1 / " &amp; COUNTIF($C$53:$C$55, "&gt;0")</f>
        <v xml:space="preserve"> سمك بلانكويت 1 / 2</v>
      </c>
      <c r="C62" s="1800"/>
      <c r="D62" s="1801"/>
      <c r="E62" s="1801"/>
      <c r="F62" s="1801"/>
      <c r="G62" s="1800"/>
      <c r="H62" s="1801"/>
      <c r="K62" s="890"/>
    </row>
    <row r="63" spans="1:11" x14ac:dyDescent="0.25">
      <c r="A63" s="1036"/>
      <c r="B63" s="1776" t="str">
        <f>"  Blankwet Fish  1 / " &amp; COUNTIF($C$53:$C$55, "&gt;0")</f>
        <v xml:space="preserve">  Blankwet Fish  1 / 2</v>
      </c>
      <c r="C63" s="1777"/>
      <c r="D63" s="1778"/>
      <c r="E63" s="1778"/>
      <c r="F63" s="1778"/>
      <c r="G63" s="1777"/>
      <c r="H63" s="1778"/>
      <c r="K63" s="890"/>
    </row>
    <row r="64" spans="1:11" ht="38.25" x14ac:dyDescent="0.2">
      <c r="A64" s="1350" t="s">
        <v>864</v>
      </c>
      <c r="B64" s="923" t="s">
        <v>241</v>
      </c>
      <c r="C64" s="934" t="s">
        <v>242</v>
      </c>
      <c r="D64" s="923" t="s">
        <v>231</v>
      </c>
      <c r="E64" s="935" t="s">
        <v>234</v>
      </c>
      <c r="F64" s="935" t="s">
        <v>243</v>
      </c>
      <c r="G64" s="923" t="s">
        <v>244</v>
      </c>
      <c r="H64" s="936" t="s">
        <v>245</v>
      </c>
      <c r="K64" s="890"/>
    </row>
    <row r="65" spans="1:11" x14ac:dyDescent="0.2">
      <c r="A65" s="937" t="s">
        <v>872</v>
      </c>
      <c r="B65" s="951" t="str">
        <f t="shared" ref="B65:D77" si="11">B5</f>
        <v>Fillet Fish - سمك فيليه</v>
      </c>
      <c r="C65" s="947" t="str">
        <f t="shared" si="11"/>
        <v>gm</v>
      </c>
      <c r="D65" s="943">
        <f t="shared" si="11"/>
        <v>4629.6296296296296</v>
      </c>
      <c r="E65" s="918">
        <f>H53</f>
        <v>10</v>
      </c>
      <c r="F65" s="948">
        <f t="shared" ref="F65:F77" si="12">F5</f>
        <v>1</v>
      </c>
      <c r="G65" s="940">
        <f t="shared" ref="G65:G77" si="13">D65*E65</f>
        <v>46296.296296296292</v>
      </c>
      <c r="H65" s="943">
        <f t="shared" ref="H65:H77" si="14">G65*F65</f>
        <v>46296.296296296292</v>
      </c>
      <c r="K65" s="890"/>
    </row>
    <row r="66" spans="1:11" x14ac:dyDescent="0.25">
      <c r="A66" s="949" t="s">
        <v>866</v>
      </c>
      <c r="B66" s="951" t="str">
        <f t="shared" si="11"/>
        <v>Onion - بصل</v>
      </c>
      <c r="C66" s="947" t="str">
        <f t="shared" si="11"/>
        <v>gm</v>
      </c>
      <c r="D66" s="951">
        <f t="shared" si="11"/>
        <v>500</v>
      </c>
      <c r="E66" s="918">
        <f t="shared" ref="E66:E77" si="15">$C$53</f>
        <v>10</v>
      </c>
      <c r="F66" s="948">
        <f t="shared" si="12"/>
        <v>0.95</v>
      </c>
      <c r="G66" s="940">
        <f t="shared" si="13"/>
        <v>5000</v>
      </c>
      <c r="H66" s="943">
        <f t="shared" si="14"/>
        <v>4750</v>
      </c>
      <c r="K66" s="890"/>
    </row>
    <row r="67" spans="1:11" x14ac:dyDescent="0.25">
      <c r="A67" s="949" t="s">
        <v>868</v>
      </c>
      <c r="B67" s="951" t="str">
        <f t="shared" si="11"/>
        <v>Garlic - ثوم مقشر</v>
      </c>
      <c r="C67" s="947" t="str">
        <f t="shared" si="11"/>
        <v>gm</v>
      </c>
      <c r="D67" s="951">
        <f t="shared" si="11"/>
        <v>40</v>
      </c>
      <c r="E67" s="918">
        <f t="shared" si="15"/>
        <v>10</v>
      </c>
      <c r="F67" s="948">
        <f t="shared" si="12"/>
        <v>1</v>
      </c>
      <c r="G67" s="940">
        <f t="shared" si="13"/>
        <v>400</v>
      </c>
      <c r="H67" s="943">
        <f t="shared" si="14"/>
        <v>400</v>
      </c>
      <c r="K67" s="890"/>
    </row>
    <row r="68" spans="1:11" x14ac:dyDescent="0.25">
      <c r="A68" s="949"/>
      <c r="B68" s="951" t="str">
        <f t="shared" si="11"/>
        <v>Paprika Powder - بابريكا مطحون</v>
      </c>
      <c r="C68" s="947" t="str">
        <f t="shared" si="11"/>
        <v>gm</v>
      </c>
      <c r="D68" s="951">
        <f t="shared" si="11"/>
        <v>11</v>
      </c>
      <c r="E68" s="918">
        <f t="shared" si="15"/>
        <v>10</v>
      </c>
      <c r="F68" s="948">
        <f t="shared" si="12"/>
        <v>0.75</v>
      </c>
      <c r="G68" s="940">
        <f t="shared" si="13"/>
        <v>110</v>
      </c>
      <c r="H68" s="943">
        <f t="shared" si="14"/>
        <v>82.5</v>
      </c>
      <c r="K68" s="890"/>
    </row>
    <row r="69" spans="1:11" x14ac:dyDescent="0.25">
      <c r="A69" s="949"/>
      <c r="B69" s="951" t="str">
        <f t="shared" si="11"/>
        <v>Tomato Paste - صلصة طماطم</v>
      </c>
      <c r="C69" s="947" t="str">
        <f t="shared" si="11"/>
        <v>gm</v>
      </c>
      <c r="D69" s="951">
        <f t="shared" si="11"/>
        <v>100</v>
      </c>
      <c r="E69" s="918">
        <f t="shared" si="15"/>
        <v>10</v>
      </c>
      <c r="F69" s="948">
        <f t="shared" si="12"/>
        <v>1</v>
      </c>
      <c r="G69" s="940">
        <f t="shared" si="13"/>
        <v>1000</v>
      </c>
      <c r="H69" s="943">
        <f t="shared" si="14"/>
        <v>1000</v>
      </c>
      <c r="K69" s="890"/>
    </row>
    <row r="70" spans="1:11" x14ac:dyDescent="0.25">
      <c r="A70" s="949"/>
      <c r="B70" s="951" t="str">
        <f t="shared" si="11"/>
        <v>Maggi Cubes - مكعبات ماجي</v>
      </c>
      <c r="C70" s="947" t="str">
        <f t="shared" si="11"/>
        <v>gm</v>
      </c>
      <c r="D70" s="951">
        <f t="shared" si="11"/>
        <v>15</v>
      </c>
      <c r="E70" s="918">
        <f t="shared" si="15"/>
        <v>10</v>
      </c>
      <c r="F70" s="948">
        <f t="shared" si="12"/>
        <v>1</v>
      </c>
      <c r="G70" s="940">
        <f t="shared" si="13"/>
        <v>150</v>
      </c>
      <c r="H70" s="943">
        <f t="shared" si="14"/>
        <v>150</v>
      </c>
      <c r="K70" s="890"/>
    </row>
    <row r="71" spans="1:11" x14ac:dyDescent="0.25">
      <c r="A71" s="949"/>
      <c r="B71" s="951" t="str">
        <f t="shared" si="11"/>
        <v>Honey - عسل</v>
      </c>
      <c r="C71" s="947" t="str">
        <f t="shared" si="11"/>
        <v>gm</v>
      </c>
      <c r="D71" s="951">
        <f t="shared" si="11"/>
        <v>50</v>
      </c>
      <c r="E71" s="918">
        <f t="shared" si="15"/>
        <v>10</v>
      </c>
      <c r="F71" s="948">
        <f t="shared" si="12"/>
        <v>1</v>
      </c>
      <c r="G71" s="940">
        <f t="shared" si="13"/>
        <v>500</v>
      </c>
      <c r="H71" s="943">
        <f t="shared" si="14"/>
        <v>500</v>
      </c>
      <c r="K71" s="890"/>
    </row>
    <row r="72" spans="1:11" x14ac:dyDescent="0.25">
      <c r="A72" s="949"/>
      <c r="B72" s="951" t="str">
        <f t="shared" si="11"/>
        <v>Cooking Cream - كريمة طبخ</v>
      </c>
      <c r="C72" s="947" t="str">
        <f t="shared" si="11"/>
        <v>ml</v>
      </c>
      <c r="D72" s="951">
        <f t="shared" si="11"/>
        <v>600</v>
      </c>
      <c r="E72" s="918">
        <f t="shared" si="15"/>
        <v>10</v>
      </c>
      <c r="F72" s="948">
        <f t="shared" si="12"/>
        <v>1</v>
      </c>
      <c r="G72" s="940">
        <f t="shared" si="13"/>
        <v>6000</v>
      </c>
      <c r="H72" s="943">
        <f t="shared" si="14"/>
        <v>6000</v>
      </c>
      <c r="K72" s="890"/>
    </row>
    <row r="73" spans="1:11" x14ac:dyDescent="0.25">
      <c r="A73" s="949"/>
      <c r="B73" s="951" t="str">
        <f t="shared" si="11"/>
        <v>Salt - ملح</v>
      </c>
      <c r="C73" s="947" t="str">
        <f t="shared" si="11"/>
        <v>gm</v>
      </c>
      <c r="D73" s="951">
        <f t="shared" si="11"/>
        <v>6</v>
      </c>
      <c r="E73" s="918">
        <f t="shared" si="15"/>
        <v>10</v>
      </c>
      <c r="F73" s="948">
        <f t="shared" si="12"/>
        <v>0.75</v>
      </c>
      <c r="G73" s="940">
        <f t="shared" si="13"/>
        <v>60</v>
      </c>
      <c r="H73" s="943">
        <f t="shared" si="14"/>
        <v>45</v>
      </c>
      <c r="K73" s="890"/>
    </row>
    <row r="74" spans="1:11" ht="28.5" x14ac:dyDescent="0.25">
      <c r="A74" s="949"/>
      <c r="B74" s="951" t="str">
        <f t="shared" si="11"/>
        <v>Black Pepper Powder - فلفل أسود مطحون</v>
      </c>
      <c r="C74" s="947" t="str">
        <f t="shared" si="11"/>
        <v>gm</v>
      </c>
      <c r="D74" s="951">
        <f t="shared" si="11"/>
        <v>8</v>
      </c>
      <c r="E74" s="918">
        <f t="shared" si="15"/>
        <v>10</v>
      </c>
      <c r="F74" s="948">
        <f t="shared" si="12"/>
        <v>0.75</v>
      </c>
      <c r="G74" s="940">
        <f t="shared" si="13"/>
        <v>80</v>
      </c>
      <c r="H74" s="943">
        <f t="shared" si="14"/>
        <v>60</v>
      </c>
      <c r="K74" s="890"/>
    </row>
    <row r="75" spans="1:11" x14ac:dyDescent="0.25">
      <c r="A75" s="949"/>
      <c r="B75" s="951" t="str">
        <f t="shared" si="11"/>
        <v>Corn Starch - نشا ذرة</v>
      </c>
      <c r="C75" s="947" t="str">
        <f t="shared" si="11"/>
        <v>gm</v>
      </c>
      <c r="D75" s="951">
        <f t="shared" si="11"/>
        <v>90</v>
      </c>
      <c r="E75" s="918">
        <f t="shared" si="15"/>
        <v>10</v>
      </c>
      <c r="F75" s="948">
        <f t="shared" si="12"/>
        <v>1</v>
      </c>
      <c r="G75" s="940">
        <f t="shared" si="13"/>
        <v>900</v>
      </c>
      <c r="H75" s="943">
        <f t="shared" si="14"/>
        <v>900</v>
      </c>
      <c r="K75" s="890"/>
    </row>
    <row r="76" spans="1:11" x14ac:dyDescent="0.25">
      <c r="A76" s="949"/>
      <c r="B76" s="951" t="str">
        <f t="shared" si="11"/>
        <v>Butter - زبدة</v>
      </c>
      <c r="C76" s="947" t="str">
        <f t="shared" si="11"/>
        <v>gm</v>
      </c>
      <c r="D76" s="951">
        <f t="shared" si="11"/>
        <v>30</v>
      </c>
      <c r="E76" s="918">
        <f t="shared" si="15"/>
        <v>10</v>
      </c>
      <c r="F76" s="948">
        <f t="shared" si="12"/>
        <v>1</v>
      </c>
      <c r="G76" s="940">
        <f t="shared" si="13"/>
        <v>300</v>
      </c>
      <c r="H76" s="943">
        <f t="shared" si="14"/>
        <v>300</v>
      </c>
      <c r="K76" s="890"/>
    </row>
    <row r="77" spans="1:11" x14ac:dyDescent="0.25">
      <c r="A77" s="949"/>
      <c r="B77" s="951" t="str">
        <f t="shared" si="11"/>
        <v>Water - ماء</v>
      </c>
      <c r="C77" s="947" t="str">
        <f t="shared" si="11"/>
        <v>ml</v>
      </c>
      <c r="D77" s="951">
        <f t="shared" si="11"/>
        <v>500</v>
      </c>
      <c r="E77" s="918">
        <f t="shared" si="15"/>
        <v>10</v>
      </c>
      <c r="F77" s="948">
        <f t="shared" si="12"/>
        <v>0.75</v>
      </c>
      <c r="G77" s="940">
        <f t="shared" si="13"/>
        <v>5000</v>
      </c>
      <c r="H77" s="943">
        <f t="shared" si="14"/>
        <v>3750</v>
      </c>
      <c r="K77" s="890"/>
    </row>
    <row r="78" spans="1:11" ht="18" x14ac:dyDescent="0.25">
      <c r="A78" s="1070"/>
      <c r="B78" s="1041" t="s">
        <v>287</v>
      </c>
      <c r="C78" s="1042" t="s">
        <v>273</v>
      </c>
      <c r="D78" s="1043"/>
      <c r="E78" s="1044" t="s">
        <v>288</v>
      </c>
      <c r="F78" s="1043"/>
      <c r="G78" s="1045" t="s">
        <v>264</v>
      </c>
      <c r="H78" s="1046" t="s">
        <v>661</v>
      </c>
      <c r="K78" s="890"/>
    </row>
    <row r="79" spans="1:11" ht="20.25" x14ac:dyDescent="0.3">
      <c r="A79" s="1070"/>
      <c r="B79" s="1047">
        <f>$J$53</f>
        <v>25000</v>
      </c>
      <c r="C79" s="1048">
        <f>E79+G79</f>
        <v>10000</v>
      </c>
      <c r="D79" s="1049"/>
      <c r="E79" s="1047">
        <f>$D$53*$S$44</f>
        <v>0</v>
      </c>
      <c r="F79" s="1050"/>
      <c r="G79" s="1048">
        <f>$D$53*$T$44</f>
        <v>10000</v>
      </c>
      <c r="H79" s="1047">
        <f>B79+E79</f>
        <v>25000</v>
      </c>
      <c r="K79" s="890"/>
    </row>
    <row r="80" spans="1:11" x14ac:dyDescent="0.25">
      <c r="B80" s="80"/>
      <c r="D80" s="890"/>
      <c r="E80" s="80"/>
      <c r="F80" s="80"/>
      <c r="H80" s="890"/>
      <c r="K80" s="890"/>
    </row>
    <row r="81" spans="1:11" x14ac:dyDescent="0.25">
      <c r="B81" s="80"/>
      <c r="C81" s="80"/>
      <c r="D81" s="80"/>
      <c r="E81" s="80"/>
      <c r="F81" s="80"/>
      <c r="G81" s="80"/>
      <c r="H81" s="80"/>
      <c r="K81" s="890"/>
    </row>
    <row r="82" spans="1:11" x14ac:dyDescent="0.25">
      <c r="B82" s="80"/>
      <c r="C82" s="80"/>
      <c r="D82" s="80"/>
      <c r="E82" s="80"/>
      <c r="F82" s="80"/>
      <c r="G82" s="80"/>
      <c r="H82" s="80"/>
      <c r="K82" s="890"/>
    </row>
    <row r="83" spans="1:11" x14ac:dyDescent="0.25">
      <c r="B83" s="80"/>
      <c r="C83" s="80"/>
      <c r="D83" s="80"/>
      <c r="E83" s="80"/>
      <c r="F83" s="80"/>
      <c r="G83" s="80"/>
      <c r="H83" s="80"/>
      <c r="K83" s="890"/>
    </row>
    <row r="84" spans="1:11" x14ac:dyDescent="0.25">
      <c r="A84" s="1036"/>
      <c r="B84" s="1776" t="str">
        <f>" سمك بلانكويت 2 / " &amp; COUNTIF($C$53:$C$55, "&gt;0")</f>
        <v xml:space="preserve"> سمك بلانكويت 2 / 2</v>
      </c>
      <c r="C84" s="1800"/>
      <c r="D84" s="1801"/>
      <c r="E84" s="1801"/>
      <c r="F84" s="1801"/>
      <c r="G84" s="1800"/>
      <c r="H84" s="1801"/>
      <c r="K84" s="890"/>
    </row>
    <row r="85" spans="1:11" x14ac:dyDescent="0.25">
      <c r="A85" s="1036"/>
      <c r="B85" s="1776" t="str">
        <f>"  Blankwet Fish  2 / " &amp; COUNTIF($C$53:$C$55, "&gt;0")</f>
        <v xml:space="preserve">  Blankwet Fish  2 / 2</v>
      </c>
      <c r="C85" s="1777"/>
      <c r="D85" s="1778"/>
      <c r="E85" s="1778"/>
      <c r="F85" s="1778"/>
      <c r="G85" s="1777"/>
      <c r="H85" s="1778"/>
      <c r="K85" s="890"/>
    </row>
    <row r="86" spans="1:11" ht="38.25" x14ac:dyDescent="0.2">
      <c r="A86" s="1350" t="s">
        <v>864</v>
      </c>
      <c r="B86" s="923" t="s">
        <v>241</v>
      </c>
      <c r="C86" s="934" t="s">
        <v>242</v>
      </c>
      <c r="D86" s="923" t="s">
        <v>231</v>
      </c>
      <c r="E86" s="935" t="s">
        <v>234</v>
      </c>
      <c r="F86" s="935" t="s">
        <v>243</v>
      </c>
      <c r="G86" s="923" t="s">
        <v>244</v>
      </c>
      <c r="H86" s="936" t="s">
        <v>245</v>
      </c>
      <c r="K86" s="890"/>
    </row>
    <row r="87" spans="1:11" x14ac:dyDescent="0.2">
      <c r="A87" s="937" t="s">
        <v>872</v>
      </c>
      <c r="B87" s="951" t="str">
        <f t="shared" ref="B87:D99" si="16">B5</f>
        <v>Fillet Fish - سمك فيليه</v>
      </c>
      <c r="C87" s="947" t="str">
        <f t="shared" si="16"/>
        <v>gm</v>
      </c>
      <c r="D87" s="943">
        <f t="shared" si="16"/>
        <v>4629.6296296296296</v>
      </c>
      <c r="E87" s="918">
        <f>H54</f>
        <v>1.4079999999999995</v>
      </c>
      <c r="F87" s="948">
        <f t="shared" ref="F87:F99" si="17">F5</f>
        <v>1</v>
      </c>
      <c r="G87" s="940">
        <f t="shared" ref="G87:G99" si="18">D87*E87</f>
        <v>6518.5185185185164</v>
      </c>
      <c r="H87" s="943">
        <f t="shared" ref="H87:H99" si="19">G87*F87</f>
        <v>6518.5185185185164</v>
      </c>
      <c r="K87" s="890"/>
    </row>
    <row r="88" spans="1:11" x14ac:dyDescent="0.25">
      <c r="A88" s="949" t="s">
        <v>866</v>
      </c>
      <c r="B88" s="951" t="str">
        <f t="shared" si="16"/>
        <v>Onion - بصل</v>
      </c>
      <c r="C88" s="947" t="str">
        <f t="shared" si="16"/>
        <v>gm</v>
      </c>
      <c r="D88" s="951">
        <f t="shared" si="16"/>
        <v>500</v>
      </c>
      <c r="E88" s="918">
        <f t="shared" ref="E88:E99" si="20">$C$54</f>
        <v>1.4079999999999995</v>
      </c>
      <c r="F88" s="948">
        <f t="shared" si="17"/>
        <v>0.95</v>
      </c>
      <c r="G88" s="940">
        <f t="shared" si="18"/>
        <v>703.99999999999977</v>
      </c>
      <c r="H88" s="943">
        <f t="shared" si="19"/>
        <v>668.79999999999973</v>
      </c>
      <c r="K88" s="890"/>
    </row>
    <row r="89" spans="1:11" x14ac:dyDescent="0.25">
      <c r="A89" s="949" t="s">
        <v>868</v>
      </c>
      <c r="B89" s="951" t="str">
        <f t="shared" si="16"/>
        <v>Garlic - ثوم مقشر</v>
      </c>
      <c r="C89" s="947" t="str">
        <f t="shared" si="16"/>
        <v>gm</v>
      </c>
      <c r="D89" s="951">
        <f t="shared" si="16"/>
        <v>40</v>
      </c>
      <c r="E89" s="918">
        <f t="shared" si="20"/>
        <v>1.4079999999999995</v>
      </c>
      <c r="F89" s="948">
        <f t="shared" si="17"/>
        <v>1</v>
      </c>
      <c r="G89" s="940">
        <f t="shared" si="18"/>
        <v>56.319999999999979</v>
      </c>
      <c r="H89" s="943">
        <f t="shared" si="19"/>
        <v>56.319999999999979</v>
      </c>
      <c r="K89" s="890"/>
    </row>
    <row r="90" spans="1:11" x14ac:dyDescent="0.25">
      <c r="A90" s="949"/>
      <c r="B90" s="951" t="str">
        <f t="shared" si="16"/>
        <v>Paprika Powder - بابريكا مطحون</v>
      </c>
      <c r="C90" s="947" t="str">
        <f t="shared" si="16"/>
        <v>gm</v>
      </c>
      <c r="D90" s="951">
        <f t="shared" si="16"/>
        <v>11</v>
      </c>
      <c r="E90" s="918">
        <f t="shared" si="20"/>
        <v>1.4079999999999995</v>
      </c>
      <c r="F90" s="948">
        <f t="shared" si="17"/>
        <v>0.75</v>
      </c>
      <c r="G90" s="940">
        <f t="shared" si="18"/>
        <v>15.487999999999994</v>
      </c>
      <c r="H90" s="943">
        <f t="shared" si="19"/>
        <v>11.615999999999996</v>
      </c>
      <c r="K90" s="890"/>
    </row>
    <row r="91" spans="1:11" x14ac:dyDescent="0.25">
      <c r="A91" s="949"/>
      <c r="B91" s="951" t="str">
        <f t="shared" si="16"/>
        <v>Tomato Paste - صلصة طماطم</v>
      </c>
      <c r="C91" s="947" t="str">
        <f t="shared" si="16"/>
        <v>gm</v>
      </c>
      <c r="D91" s="951">
        <f t="shared" si="16"/>
        <v>100</v>
      </c>
      <c r="E91" s="918">
        <f t="shared" si="20"/>
        <v>1.4079999999999995</v>
      </c>
      <c r="F91" s="948">
        <f t="shared" si="17"/>
        <v>1</v>
      </c>
      <c r="G91" s="940">
        <f t="shared" si="18"/>
        <v>140.79999999999995</v>
      </c>
      <c r="H91" s="943">
        <f t="shared" si="19"/>
        <v>140.79999999999995</v>
      </c>
      <c r="K91" s="890"/>
    </row>
    <row r="92" spans="1:11" x14ac:dyDescent="0.25">
      <c r="A92" s="949"/>
      <c r="B92" s="951" t="str">
        <f t="shared" si="16"/>
        <v>Maggi Cubes - مكعبات ماجي</v>
      </c>
      <c r="C92" s="947" t="str">
        <f t="shared" si="16"/>
        <v>gm</v>
      </c>
      <c r="D92" s="951">
        <f t="shared" si="16"/>
        <v>15</v>
      </c>
      <c r="E92" s="918">
        <f t="shared" si="20"/>
        <v>1.4079999999999995</v>
      </c>
      <c r="F92" s="948">
        <f t="shared" si="17"/>
        <v>1</v>
      </c>
      <c r="G92" s="940">
        <f t="shared" si="18"/>
        <v>21.11999999999999</v>
      </c>
      <c r="H92" s="943">
        <f t="shared" si="19"/>
        <v>21.11999999999999</v>
      </c>
      <c r="K92" s="890"/>
    </row>
    <row r="93" spans="1:11" x14ac:dyDescent="0.25">
      <c r="A93" s="949"/>
      <c r="B93" s="951" t="str">
        <f t="shared" si="16"/>
        <v>Honey - عسل</v>
      </c>
      <c r="C93" s="947" t="str">
        <f t="shared" si="16"/>
        <v>gm</v>
      </c>
      <c r="D93" s="951">
        <f t="shared" si="16"/>
        <v>50</v>
      </c>
      <c r="E93" s="918">
        <f t="shared" si="20"/>
        <v>1.4079999999999995</v>
      </c>
      <c r="F93" s="948">
        <f t="shared" si="17"/>
        <v>1</v>
      </c>
      <c r="G93" s="940">
        <f t="shared" si="18"/>
        <v>70.399999999999977</v>
      </c>
      <c r="H93" s="943">
        <f t="shared" si="19"/>
        <v>70.399999999999977</v>
      </c>
      <c r="K93" s="890"/>
    </row>
    <row r="94" spans="1:11" x14ac:dyDescent="0.25">
      <c r="A94" s="949"/>
      <c r="B94" s="951" t="str">
        <f t="shared" si="16"/>
        <v>Cooking Cream - كريمة طبخ</v>
      </c>
      <c r="C94" s="947" t="str">
        <f t="shared" si="16"/>
        <v>ml</v>
      </c>
      <c r="D94" s="951">
        <f t="shared" si="16"/>
        <v>600</v>
      </c>
      <c r="E94" s="918">
        <f t="shared" si="20"/>
        <v>1.4079999999999995</v>
      </c>
      <c r="F94" s="948">
        <f t="shared" si="17"/>
        <v>1</v>
      </c>
      <c r="G94" s="940">
        <f t="shared" si="18"/>
        <v>844.79999999999973</v>
      </c>
      <c r="H94" s="943">
        <f t="shared" si="19"/>
        <v>844.79999999999973</v>
      </c>
      <c r="K94" s="890"/>
    </row>
    <row r="95" spans="1:11" x14ac:dyDescent="0.25">
      <c r="A95" s="949"/>
      <c r="B95" s="951" t="str">
        <f t="shared" si="16"/>
        <v>Salt - ملح</v>
      </c>
      <c r="C95" s="947" t="str">
        <f t="shared" si="16"/>
        <v>gm</v>
      </c>
      <c r="D95" s="951">
        <f t="shared" si="16"/>
        <v>6</v>
      </c>
      <c r="E95" s="918">
        <f t="shared" si="20"/>
        <v>1.4079999999999995</v>
      </c>
      <c r="F95" s="948">
        <f t="shared" si="17"/>
        <v>0.75</v>
      </c>
      <c r="G95" s="940">
        <f t="shared" si="18"/>
        <v>8.4479999999999968</v>
      </c>
      <c r="H95" s="943">
        <f t="shared" si="19"/>
        <v>6.3359999999999976</v>
      </c>
      <c r="K95" s="890"/>
    </row>
    <row r="96" spans="1:11" ht="28.5" x14ac:dyDescent="0.25">
      <c r="A96" s="949"/>
      <c r="B96" s="951" t="str">
        <f t="shared" si="16"/>
        <v>Black Pepper Powder - فلفل أسود مطحون</v>
      </c>
      <c r="C96" s="947" t="str">
        <f t="shared" si="16"/>
        <v>gm</v>
      </c>
      <c r="D96" s="951">
        <f t="shared" si="16"/>
        <v>8</v>
      </c>
      <c r="E96" s="918">
        <f t="shared" si="20"/>
        <v>1.4079999999999995</v>
      </c>
      <c r="F96" s="948">
        <f t="shared" si="17"/>
        <v>0.75</v>
      </c>
      <c r="G96" s="940">
        <f t="shared" si="18"/>
        <v>11.263999999999996</v>
      </c>
      <c r="H96" s="943">
        <f t="shared" si="19"/>
        <v>8.4479999999999968</v>
      </c>
      <c r="K96" s="890"/>
    </row>
    <row r="97" spans="1:11" x14ac:dyDescent="0.25">
      <c r="A97" s="949"/>
      <c r="B97" s="951" t="str">
        <f t="shared" si="16"/>
        <v>Corn Starch - نشا ذرة</v>
      </c>
      <c r="C97" s="947" t="str">
        <f t="shared" si="16"/>
        <v>gm</v>
      </c>
      <c r="D97" s="951">
        <f t="shared" si="16"/>
        <v>90</v>
      </c>
      <c r="E97" s="918">
        <f t="shared" si="20"/>
        <v>1.4079999999999995</v>
      </c>
      <c r="F97" s="948">
        <f t="shared" si="17"/>
        <v>1</v>
      </c>
      <c r="G97" s="940">
        <f t="shared" si="18"/>
        <v>126.71999999999996</v>
      </c>
      <c r="H97" s="943">
        <f t="shared" si="19"/>
        <v>126.71999999999996</v>
      </c>
      <c r="K97" s="890"/>
    </row>
    <row r="98" spans="1:11" x14ac:dyDescent="0.25">
      <c r="A98" s="949"/>
      <c r="B98" s="951" t="str">
        <f t="shared" si="16"/>
        <v>Butter - زبدة</v>
      </c>
      <c r="C98" s="947" t="str">
        <f t="shared" si="16"/>
        <v>gm</v>
      </c>
      <c r="D98" s="951">
        <f t="shared" si="16"/>
        <v>30</v>
      </c>
      <c r="E98" s="918">
        <f t="shared" si="20"/>
        <v>1.4079999999999995</v>
      </c>
      <c r="F98" s="948">
        <f t="shared" si="17"/>
        <v>1</v>
      </c>
      <c r="G98" s="940">
        <f t="shared" si="18"/>
        <v>42.239999999999981</v>
      </c>
      <c r="H98" s="943">
        <f t="shared" si="19"/>
        <v>42.239999999999981</v>
      </c>
      <c r="K98" s="890"/>
    </row>
    <row r="99" spans="1:11" x14ac:dyDescent="0.25">
      <c r="A99" s="949"/>
      <c r="B99" s="951" t="str">
        <f t="shared" si="16"/>
        <v>Water - ماء</v>
      </c>
      <c r="C99" s="947" t="str">
        <f t="shared" si="16"/>
        <v>ml</v>
      </c>
      <c r="D99" s="951">
        <f t="shared" si="16"/>
        <v>500</v>
      </c>
      <c r="E99" s="918">
        <f t="shared" si="20"/>
        <v>1.4079999999999995</v>
      </c>
      <c r="F99" s="948">
        <f t="shared" si="17"/>
        <v>0.75</v>
      </c>
      <c r="G99" s="940">
        <f t="shared" si="18"/>
        <v>703.99999999999977</v>
      </c>
      <c r="H99" s="943">
        <f t="shared" si="19"/>
        <v>527.99999999999977</v>
      </c>
      <c r="K99" s="890"/>
    </row>
    <row r="100" spans="1:11" ht="18" x14ac:dyDescent="0.25">
      <c r="A100" s="1070"/>
      <c r="B100" s="1041" t="s">
        <v>287</v>
      </c>
      <c r="C100" s="1042" t="s">
        <v>273</v>
      </c>
      <c r="D100" s="1043"/>
      <c r="E100" s="1044" t="s">
        <v>288</v>
      </c>
      <c r="F100" s="1043"/>
      <c r="G100" s="1045" t="s">
        <v>264</v>
      </c>
      <c r="H100" s="1046" t="s">
        <v>661</v>
      </c>
      <c r="I100" s="73"/>
      <c r="J100" s="94"/>
      <c r="K100" s="890"/>
    </row>
    <row r="101" spans="1:11" ht="20.25" x14ac:dyDescent="0.3">
      <c r="A101" s="1070"/>
      <c r="B101" s="1047">
        <f>$J$54</f>
        <v>3520</v>
      </c>
      <c r="C101" s="1048">
        <f>E101+G101</f>
        <v>1407.9999999999995</v>
      </c>
      <c r="D101" s="1049"/>
      <c r="E101" s="1047">
        <f>$D$54*$S$44</f>
        <v>0</v>
      </c>
      <c r="F101" s="1050"/>
      <c r="G101" s="1048">
        <f>$D$54*$T$44</f>
        <v>1407.9999999999995</v>
      </c>
      <c r="H101" s="1047">
        <f>B101+E101</f>
        <v>3520</v>
      </c>
      <c r="K101" s="890"/>
    </row>
  </sheetData>
  <mergeCells count="9">
    <mergeCell ref="AK2:AM2"/>
    <mergeCell ref="B85:H85"/>
    <mergeCell ref="B2:J3"/>
    <mergeCell ref="B84:H84"/>
    <mergeCell ref="R26:U26"/>
    <mergeCell ref="R25:U25"/>
    <mergeCell ref="B62:H62"/>
    <mergeCell ref="B63:H63"/>
    <mergeCell ref="B35:F35"/>
  </mergeCells>
  <printOptions horizontalCentered="1"/>
  <pageMargins left="0.4" right="0.4" top="1" bottom="0.5" header="0.3" footer="0.511811023622047"/>
  <pageSetup paperSize="9" scale="42" orientation="landscape"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2E75B6"/>
    <pageSetUpPr fitToPage="1"/>
  </sheetPr>
  <dimension ref="A1:AT121"/>
  <sheetViews>
    <sheetView topLeftCell="A93" zoomScale="70" zoomScaleNormal="70" workbookViewId="0">
      <selection activeCell="A96" sqref="A96"/>
    </sheetView>
  </sheetViews>
  <sheetFormatPr defaultColWidth="12.5" defaultRowHeight="15" x14ac:dyDescent="0.25"/>
  <cols>
    <col min="1" max="1" width="18.625" style="61" customWidth="1"/>
    <col min="2" max="2" width="25.875" style="14" customWidth="1"/>
    <col min="3" max="3" width="18.625" style="14" customWidth="1"/>
    <col min="4" max="4" width="25.875" style="14" customWidth="1"/>
    <col min="5" max="5" width="25.875" style="190" customWidth="1"/>
    <col min="6"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4.37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2.875" style="14" customWidth="1"/>
    <col min="25" max="25" width="8.625" style="14" customWidth="1"/>
    <col min="26" max="29" width="12.625" style="14" customWidth="1"/>
    <col min="30" max="30" width="18.625" style="14" customWidth="1"/>
    <col min="31" max="32" width="12.625" style="14" customWidth="1"/>
    <col min="33" max="34" width="4.25" style="14" customWidth="1"/>
    <col min="35" max="35" width="18.6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s="168" customFormat="1" ht="25.5" x14ac:dyDescent="0.25">
      <c r="A1" s="865"/>
      <c r="B1" s="913" t="s">
        <v>231</v>
      </c>
      <c r="C1" s="914">
        <v>1000</v>
      </c>
      <c r="D1" s="915" t="s">
        <v>232</v>
      </c>
      <c r="E1" s="916">
        <f>$T$32</f>
        <v>11682.564102564107</v>
      </c>
      <c r="F1" s="1368" t="s">
        <v>233</v>
      </c>
      <c r="G1" s="917">
        <f>E1/1000</f>
        <v>11.682564102564108</v>
      </c>
      <c r="H1" s="913" t="s">
        <v>234</v>
      </c>
      <c r="I1" s="918">
        <f>(G1/K1)</f>
        <v>12.297435897435903</v>
      </c>
      <c r="J1" s="919" t="s">
        <v>235</v>
      </c>
      <c r="K1" s="918">
        <v>0.95</v>
      </c>
      <c r="L1" s="238"/>
      <c r="M1" s="148"/>
      <c r="N1" s="1064"/>
      <c r="O1" s="923" t="s">
        <v>236</v>
      </c>
      <c r="P1" s="914" t="s">
        <v>237</v>
      </c>
      <c r="Q1" s="924" t="s">
        <v>238</v>
      </c>
      <c r="R1" s="914">
        <v>0.59</v>
      </c>
      <c r="T1" s="1129"/>
      <c r="W1" s="1129"/>
      <c r="Y1" s="923" t="s">
        <v>444</v>
      </c>
      <c r="Z1" s="925">
        <v>19710</v>
      </c>
      <c r="AA1" s="923" t="s">
        <v>544</v>
      </c>
      <c r="AB1" s="925">
        <v>1000</v>
      </c>
      <c r="AC1" s="923" t="s">
        <v>537</v>
      </c>
      <c r="AD1" s="925">
        <v>140</v>
      </c>
      <c r="AF1" s="170"/>
      <c r="AG1" s="73"/>
      <c r="AI1" s="61"/>
      <c r="AJ1" s="926" t="s">
        <v>250</v>
      </c>
      <c r="AK1" s="926">
        <v>10000</v>
      </c>
      <c r="AL1" s="927" t="s">
        <v>474</v>
      </c>
      <c r="AM1" s="928">
        <f>$S$32</f>
        <v>15930.769230769227</v>
      </c>
      <c r="AN1" s="926" t="s">
        <v>239</v>
      </c>
      <c r="AO1" s="1349">
        <f>($S$32/$R$1)/$AK$1</f>
        <v>2.7001303780964796</v>
      </c>
      <c r="AP1" s="76"/>
      <c r="AS1" s="1129"/>
    </row>
    <row r="2" spans="1:46" ht="15.75" x14ac:dyDescent="0.25">
      <c r="A2" s="863"/>
      <c r="B2" s="921"/>
      <c r="C2" s="921"/>
      <c r="D2" s="921"/>
      <c r="E2" s="921"/>
      <c r="F2" s="1784" t="s">
        <v>46</v>
      </c>
      <c r="G2" s="921"/>
      <c r="H2" s="921"/>
      <c r="I2" s="921"/>
      <c r="J2" s="921"/>
      <c r="K2" s="921"/>
      <c r="L2" s="78"/>
      <c r="M2" s="79"/>
      <c r="N2" s="79"/>
      <c r="O2" s="80"/>
      <c r="P2" s="80"/>
      <c r="Q2" s="80"/>
      <c r="R2" s="80"/>
      <c r="T2" s="890"/>
      <c r="W2" s="890"/>
      <c r="AC2" s="79"/>
      <c r="AD2" s="79"/>
      <c r="AE2" s="1795"/>
      <c r="AF2" s="1799"/>
      <c r="AG2" s="1799"/>
      <c r="AI2" s="61"/>
      <c r="AJ2" s="930"/>
      <c r="AK2" s="1783" t="s">
        <v>353</v>
      </c>
      <c r="AL2" s="1783"/>
      <c r="AM2" s="1783"/>
      <c r="AN2" s="931"/>
      <c r="AO2" s="930"/>
      <c r="AP2" s="81"/>
      <c r="AS2" s="890"/>
    </row>
    <row r="3" spans="1:46" ht="15.75" x14ac:dyDescent="0.25">
      <c r="A3" s="863"/>
      <c r="B3" s="78"/>
      <c r="C3" s="78"/>
      <c r="D3" s="78"/>
      <c r="E3" s="78"/>
      <c r="F3" s="1785"/>
      <c r="G3" s="78"/>
      <c r="H3" s="78"/>
      <c r="I3" s="78"/>
      <c r="J3" s="78"/>
      <c r="K3" s="78"/>
      <c r="L3" s="78"/>
      <c r="M3" s="79"/>
      <c r="N3" s="79"/>
      <c r="O3" s="80"/>
      <c r="P3" s="80"/>
      <c r="Q3" s="80"/>
      <c r="R3" s="80"/>
      <c r="T3" s="890"/>
      <c r="W3" s="890"/>
      <c r="AC3" s="79"/>
      <c r="AD3" s="79"/>
      <c r="AE3" s="1799"/>
      <c r="AF3" s="1799"/>
      <c r="AG3" s="1799"/>
      <c r="AI3" s="61"/>
      <c r="AJ3" s="81"/>
      <c r="AK3" s="81"/>
      <c r="AL3" s="82"/>
      <c r="AM3" s="82"/>
      <c r="AN3" s="82"/>
      <c r="AO3" s="81"/>
      <c r="AP3" s="81"/>
      <c r="AS3" s="890"/>
    </row>
    <row r="4" spans="1:46" ht="38.25" x14ac:dyDescent="0.25">
      <c r="A4" s="1350" t="s">
        <v>864</v>
      </c>
      <c r="B4" s="923" t="s">
        <v>241</v>
      </c>
      <c r="C4" s="934" t="s">
        <v>242</v>
      </c>
      <c r="D4" s="923" t="s">
        <v>231</v>
      </c>
      <c r="E4" s="935" t="s">
        <v>234</v>
      </c>
      <c r="F4" s="935" t="s">
        <v>243</v>
      </c>
      <c r="G4" s="923" t="s">
        <v>244</v>
      </c>
      <c r="H4" s="936" t="s">
        <v>245</v>
      </c>
      <c r="I4" s="923" t="s">
        <v>246</v>
      </c>
      <c r="J4" s="923" t="s">
        <v>247</v>
      </c>
      <c r="K4" s="923" t="s">
        <v>248</v>
      </c>
      <c r="L4" s="923" t="s">
        <v>249</v>
      </c>
      <c r="M4" s="235"/>
      <c r="N4" s="235"/>
      <c r="O4" s="80"/>
      <c r="P4" s="80"/>
      <c r="Q4" s="80"/>
      <c r="R4" s="80"/>
      <c r="T4" s="890"/>
      <c r="W4" s="890"/>
      <c r="AC4" s="169"/>
      <c r="AD4" s="171"/>
      <c r="AE4" s="169"/>
      <c r="AF4" s="169"/>
      <c r="AG4" s="169"/>
      <c r="AI4" s="949"/>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1369" t="s">
        <v>872</v>
      </c>
      <c r="B5" s="1118" t="s">
        <v>220</v>
      </c>
      <c r="C5" s="939" t="s">
        <v>14</v>
      </c>
      <c r="D5" s="944">
        <f>I51/10</f>
        <v>2311.3713405238827</v>
      </c>
      <c r="E5" s="941">
        <f>H52</f>
        <v>11.681941065707264</v>
      </c>
      <c r="F5" s="942">
        <v>1</v>
      </c>
      <c r="G5" s="940">
        <f t="shared" ref="G5:G28" si="0">D5*E5</f>
        <v>27001.303780964794</v>
      </c>
      <c r="H5" s="943">
        <f t="shared" ref="H5:H28" si="1">G5*F5</f>
        <v>27001.303780964794</v>
      </c>
      <c r="I5" s="914">
        <f>VLOOKUP(B5,All_Ingredients!$A$1:$F$161,6,FALSE())</f>
        <v>0.86</v>
      </c>
      <c r="J5" s="940">
        <f>VLOOKUP(B5,All_Ingredients!$A$1:$J$161,10,FALSE())</f>
        <v>17.100000000000001</v>
      </c>
      <c r="K5" s="945">
        <f t="shared" ref="K5" si="2">(H5/I5)/1000</f>
        <v>31.396864861586973</v>
      </c>
      <c r="L5" s="945">
        <f t="shared" ref="L5" si="3">K5*J5</f>
        <v>536.8863891331373</v>
      </c>
      <c r="M5" s="87"/>
      <c r="N5" s="87"/>
      <c r="O5" s="80"/>
      <c r="P5" s="80"/>
      <c r="Q5" s="80"/>
      <c r="R5" s="80"/>
      <c r="T5" s="890"/>
      <c r="W5" s="890"/>
      <c r="AC5" s="73"/>
      <c r="AD5" s="89"/>
      <c r="AE5" s="172"/>
      <c r="AF5" s="90"/>
      <c r="AG5" s="91"/>
      <c r="AI5" s="949"/>
      <c r="AJ5" s="938" t="s">
        <v>220</v>
      </c>
      <c r="AK5" s="951" t="s">
        <v>227</v>
      </c>
      <c r="AL5" s="914">
        <v>10</v>
      </c>
      <c r="AM5" s="1040">
        <f t="shared" ref="AM5:AM16" si="4">$AO$1</f>
        <v>2.7001303780964796</v>
      </c>
      <c r="AN5" s="948">
        <v>1</v>
      </c>
      <c r="AO5" s="940">
        <f t="shared" ref="AO5:AO16" si="5">AL5*AM5</f>
        <v>27.001303780964797</v>
      </c>
      <c r="AP5" s="943">
        <f t="shared" ref="AP5:AP16" si="6">AO5*AN5</f>
        <v>27.001303780964797</v>
      </c>
      <c r="AQ5" s="952"/>
      <c r="AR5" s="953"/>
      <c r="AS5" s="954"/>
      <c r="AT5" s="955"/>
    </row>
    <row r="6" spans="1:46" x14ac:dyDescent="0.25">
      <c r="A6" s="949"/>
      <c r="B6" s="938" t="s">
        <v>131</v>
      </c>
      <c r="C6" s="947" t="s">
        <v>14</v>
      </c>
      <c r="D6" s="914">
        <v>2</v>
      </c>
      <c r="E6" s="1040">
        <f t="shared" ref="E6:E28" si="7">$I$1</f>
        <v>12.297435897435903</v>
      </c>
      <c r="F6" s="948">
        <v>1</v>
      </c>
      <c r="G6" s="940">
        <f t="shared" si="0"/>
        <v>24.594871794871807</v>
      </c>
      <c r="H6" s="943">
        <f t="shared" si="1"/>
        <v>24.594871794871807</v>
      </c>
      <c r="I6" s="914">
        <f>VLOOKUP(B6,All_Ingredients!$A$1:$F$161,6,FALSE())</f>
        <v>1</v>
      </c>
      <c r="J6" s="940">
        <f>VLOOKUP(B6,All_Ingredients!$A$1:$J$161,10,FALSE())</f>
        <v>10</v>
      </c>
      <c r="K6" s="945">
        <f t="shared" ref="K6:K28" si="8">(H6/I6)/1000</f>
        <v>2.4594871794871808E-2</v>
      </c>
      <c r="L6" s="945">
        <f t="shared" ref="L6:L28" si="9">K6*J6</f>
        <v>0.24594871794871809</v>
      </c>
      <c r="M6" s="87"/>
      <c r="N6" s="87"/>
      <c r="R6" s="890"/>
      <c r="T6" s="890"/>
      <c r="W6" s="890"/>
      <c r="AI6" s="949" t="s">
        <v>55</v>
      </c>
      <c r="AJ6" s="938" t="s">
        <v>54</v>
      </c>
      <c r="AK6" s="951" t="s">
        <v>14</v>
      </c>
      <c r="AL6" s="914">
        <v>100</v>
      </c>
      <c r="AM6" s="1040">
        <f t="shared" si="4"/>
        <v>2.7001303780964796</v>
      </c>
      <c r="AN6" s="948">
        <v>1</v>
      </c>
      <c r="AO6" s="940">
        <f t="shared" si="5"/>
        <v>270.01303780964798</v>
      </c>
      <c r="AP6" s="943">
        <f t="shared" si="6"/>
        <v>270.01303780964798</v>
      </c>
      <c r="AQ6" s="955">
        <f>VLOOKUP(AJ6,Marination_Ordering!$A:$J,6,FALSE)</f>
        <v>0.87</v>
      </c>
      <c r="AR6" s="955">
        <f>VLOOKUP(AJ6,Marination_Ordering!$A:$J,10,FALSE)</f>
        <v>7</v>
      </c>
      <c r="AS6" s="954">
        <f>AP6/AQ6</f>
        <v>310.35981357430802</v>
      </c>
      <c r="AT6" s="955">
        <f>AR6*(AS6/1000)</f>
        <v>2.1725186950201563</v>
      </c>
    </row>
    <row r="7" spans="1:46" x14ac:dyDescent="0.25">
      <c r="A7" s="949"/>
      <c r="B7" s="938" t="s">
        <v>103</v>
      </c>
      <c r="C7" s="947" t="s">
        <v>14</v>
      </c>
      <c r="D7" s="914">
        <v>1</v>
      </c>
      <c r="E7" s="1040">
        <f t="shared" si="7"/>
        <v>12.297435897435903</v>
      </c>
      <c r="F7" s="948">
        <v>1</v>
      </c>
      <c r="G7" s="940">
        <f t="shared" si="0"/>
        <v>12.297435897435903</v>
      </c>
      <c r="H7" s="943">
        <f t="shared" si="1"/>
        <v>12.297435897435903</v>
      </c>
      <c r="I7" s="914">
        <f>VLOOKUP(B7,All_Ingredients!$A$1:$F$161,6,FALSE())</f>
        <v>1</v>
      </c>
      <c r="J7" s="940">
        <f>VLOOKUP(B7,All_Ingredients!$A$1:$J$161,10,FALSE())</f>
        <v>19</v>
      </c>
      <c r="K7" s="945">
        <f t="shared" si="8"/>
        <v>1.2297435897435904E-2</v>
      </c>
      <c r="L7" s="945">
        <f t="shared" si="9"/>
        <v>0.23365128205128219</v>
      </c>
      <c r="M7" s="87"/>
      <c r="N7" s="87"/>
      <c r="R7" s="890"/>
      <c r="T7" s="890"/>
      <c r="W7" s="890"/>
      <c r="AI7" s="949" t="s">
        <v>13</v>
      </c>
      <c r="AJ7" s="938" t="s">
        <v>706</v>
      </c>
      <c r="AK7" s="951" t="s">
        <v>14</v>
      </c>
      <c r="AL7" s="914">
        <v>100</v>
      </c>
      <c r="AM7" s="1040">
        <f t="shared" si="4"/>
        <v>2.7001303780964796</v>
      </c>
      <c r="AN7" s="948">
        <v>1</v>
      </c>
      <c r="AO7" s="940">
        <f t="shared" si="5"/>
        <v>270.01303780964798</v>
      </c>
      <c r="AP7" s="943">
        <f t="shared" si="6"/>
        <v>270.01303780964798</v>
      </c>
      <c r="AQ7" s="955">
        <f>VLOOKUP(AJ7,Marination_Ordering!$A:$J,6,FALSE)</f>
        <v>1</v>
      </c>
      <c r="AR7" s="955">
        <f>VLOOKUP(AJ7,Marination_Ordering!$A:$J,10,FALSE)</f>
        <v>10.5</v>
      </c>
      <c r="AS7" s="954">
        <f t="shared" ref="AS7:AS16" si="10">AP7/AQ7</f>
        <v>270.01303780964798</v>
      </c>
      <c r="AT7" s="955">
        <f t="shared" ref="AT7:AT16" si="11">AR7*(AS7/1000)</f>
        <v>2.8351368970013038</v>
      </c>
    </row>
    <row r="8" spans="1:46" x14ac:dyDescent="0.25">
      <c r="A8" s="949"/>
      <c r="B8" s="938" t="s">
        <v>126</v>
      </c>
      <c r="C8" s="947" t="s">
        <v>14</v>
      </c>
      <c r="D8" s="914">
        <v>1</v>
      </c>
      <c r="E8" s="1040">
        <f t="shared" si="7"/>
        <v>12.297435897435903</v>
      </c>
      <c r="F8" s="948">
        <v>1</v>
      </c>
      <c r="G8" s="940">
        <f t="shared" si="0"/>
        <v>12.297435897435903</v>
      </c>
      <c r="H8" s="943">
        <f t="shared" si="1"/>
        <v>12.297435897435903</v>
      </c>
      <c r="I8" s="914">
        <f>VLOOKUP(B8,All_Ingredients!$A$1:$F$161,6,FALSE())</f>
        <v>1</v>
      </c>
      <c r="J8" s="940">
        <f>VLOOKUP(B8,All_Ingredients!$A$1:$J$161,10,FALSE())</f>
        <v>125</v>
      </c>
      <c r="K8" s="945">
        <f t="shared" si="8"/>
        <v>1.2297435897435904E-2</v>
      </c>
      <c r="L8" s="945">
        <f t="shared" si="9"/>
        <v>1.5371794871794879</v>
      </c>
      <c r="M8" s="87"/>
      <c r="N8" s="87"/>
      <c r="R8" s="890"/>
      <c r="T8" s="890"/>
      <c r="W8" s="890"/>
      <c r="AI8" s="949" t="s">
        <v>204</v>
      </c>
      <c r="AJ8" s="938" t="s">
        <v>212</v>
      </c>
      <c r="AK8" s="951" t="s">
        <v>160</v>
      </c>
      <c r="AL8" s="914">
        <v>200</v>
      </c>
      <c r="AM8" s="1040">
        <f t="shared" si="4"/>
        <v>2.7001303780964796</v>
      </c>
      <c r="AN8" s="948">
        <v>1</v>
      </c>
      <c r="AO8" s="940">
        <f t="shared" si="5"/>
        <v>540.02607561929597</v>
      </c>
      <c r="AP8" s="943">
        <f t="shared" si="6"/>
        <v>540.02607561929597</v>
      </c>
      <c r="AQ8" s="955">
        <f>VLOOKUP(AJ8,Marination_Ordering!$A:$J,6,FALSE)</f>
        <v>1</v>
      </c>
      <c r="AR8" s="955">
        <f>VLOOKUP(AJ8,Marination_Ordering!$A:$J,10,FALSE)</f>
        <v>5</v>
      </c>
      <c r="AS8" s="954">
        <f t="shared" si="10"/>
        <v>540.02607561929597</v>
      </c>
      <c r="AT8" s="955">
        <f t="shared" si="11"/>
        <v>2.7001303780964796</v>
      </c>
    </row>
    <row r="9" spans="1:46" x14ac:dyDescent="0.25">
      <c r="A9" s="949"/>
      <c r="B9" s="938" t="s">
        <v>122</v>
      </c>
      <c r="C9" s="947" t="s">
        <v>14</v>
      </c>
      <c r="D9" s="914">
        <v>1</v>
      </c>
      <c r="E9" s="1040">
        <f t="shared" si="7"/>
        <v>12.297435897435903</v>
      </c>
      <c r="F9" s="948">
        <v>1</v>
      </c>
      <c r="G9" s="940">
        <f t="shared" si="0"/>
        <v>12.297435897435903</v>
      </c>
      <c r="H9" s="943">
        <f t="shared" si="1"/>
        <v>12.297435897435903</v>
      </c>
      <c r="I9" s="914">
        <f>VLOOKUP(B9,All_Ingredients!$A$1:$F$161,6,FALSE())</f>
        <v>1</v>
      </c>
      <c r="J9" s="940">
        <f>VLOOKUP(B9,All_Ingredients!$A$1:$J$161,10,FALSE())</f>
        <v>14</v>
      </c>
      <c r="K9" s="945">
        <f t="shared" si="8"/>
        <v>1.2297435897435904E-2</v>
      </c>
      <c r="L9" s="945">
        <f t="shared" si="9"/>
        <v>0.17216410256410267</v>
      </c>
      <c r="M9" s="87"/>
      <c r="N9" s="87"/>
      <c r="R9" s="890"/>
      <c r="T9" s="890"/>
      <c r="W9" s="890"/>
      <c r="AI9" s="949" t="s">
        <v>204</v>
      </c>
      <c r="AJ9" s="938" t="s">
        <v>208</v>
      </c>
      <c r="AK9" s="951" t="s">
        <v>160</v>
      </c>
      <c r="AL9" s="914">
        <v>80</v>
      </c>
      <c r="AM9" s="1040">
        <f t="shared" si="4"/>
        <v>2.7001303780964796</v>
      </c>
      <c r="AN9" s="948">
        <v>1</v>
      </c>
      <c r="AO9" s="940">
        <f t="shared" si="5"/>
        <v>216.01043024771838</v>
      </c>
      <c r="AP9" s="943">
        <f t="shared" si="6"/>
        <v>216.01043024771838</v>
      </c>
      <c r="AQ9" s="955">
        <f>VLOOKUP(AJ9,Marination_Ordering!$A:$J,6,FALSE)</f>
        <v>1</v>
      </c>
      <c r="AR9" s="955">
        <f>VLOOKUP(AJ9,Marination_Ordering!$A:$J,10,FALSE)</f>
        <v>2.1621621621621623</v>
      </c>
      <c r="AS9" s="954">
        <f t="shared" si="10"/>
        <v>216.01043024771838</v>
      </c>
      <c r="AT9" s="955">
        <f t="shared" si="11"/>
        <v>0.46704957891398569</v>
      </c>
    </row>
    <row r="10" spans="1:46" x14ac:dyDescent="0.25">
      <c r="A10" s="949" t="s">
        <v>881</v>
      </c>
      <c r="B10" s="938" t="s">
        <v>12</v>
      </c>
      <c r="C10" s="947" t="s">
        <v>14</v>
      </c>
      <c r="D10" s="914">
        <v>350</v>
      </c>
      <c r="E10" s="1040">
        <f t="shared" si="7"/>
        <v>12.297435897435903</v>
      </c>
      <c r="F10" s="948">
        <v>0.95</v>
      </c>
      <c r="G10" s="940">
        <f t="shared" si="0"/>
        <v>4304.1025641025662</v>
      </c>
      <c r="H10" s="943">
        <f t="shared" si="1"/>
        <v>4088.8974358974378</v>
      </c>
      <c r="I10" s="914">
        <f>VLOOKUP(B10,All_Ingredients!$A$1:$F$161,6,FALSE())</f>
        <v>0.9</v>
      </c>
      <c r="J10" s="940">
        <f>VLOOKUP(B10,All_Ingredients!$A$1:$J$161,10,FALSE())</f>
        <v>3</v>
      </c>
      <c r="K10" s="945">
        <f t="shared" si="8"/>
        <v>4.5432193732193751</v>
      </c>
      <c r="L10" s="945">
        <f t="shared" si="9"/>
        <v>13.629658119658124</v>
      </c>
      <c r="M10" s="87"/>
      <c r="N10" s="87"/>
      <c r="R10" s="890"/>
      <c r="T10" s="890"/>
      <c r="W10" s="890"/>
      <c r="AI10" s="949" t="s">
        <v>94</v>
      </c>
      <c r="AJ10" s="938" t="s">
        <v>93</v>
      </c>
      <c r="AK10" s="951" t="s">
        <v>14</v>
      </c>
      <c r="AL10" s="914">
        <v>2</v>
      </c>
      <c r="AM10" s="1040">
        <f t="shared" si="4"/>
        <v>2.7001303780964796</v>
      </c>
      <c r="AN10" s="948">
        <v>1</v>
      </c>
      <c r="AO10" s="940">
        <f t="shared" si="5"/>
        <v>5.4002607561929592</v>
      </c>
      <c r="AP10" s="943">
        <f t="shared" si="6"/>
        <v>5.4002607561929592</v>
      </c>
      <c r="AQ10" s="955">
        <f>VLOOKUP(AJ10,Marination_Ordering!$A:$J,6,FALSE)</f>
        <v>1</v>
      </c>
      <c r="AR10" s="955">
        <f>VLOOKUP(AJ10,Marination_Ordering!$A:$J,10,FALSE)</f>
        <v>0.74</v>
      </c>
      <c r="AS10" s="954">
        <f t="shared" si="10"/>
        <v>5.4002607561929592</v>
      </c>
      <c r="AT10" s="955">
        <f t="shared" si="11"/>
        <v>3.9961929595827899E-3</v>
      </c>
    </row>
    <row r="11" spans="1:46" ht="25.5" x14ac:dyDescent="0.25">
      <c r="A11" s="949"/>
      <c r="B11" s="938" t="s">
        <v>174</v>
      </c>
      <c r="C11" s="947" t="s">
        <v>160</v>
      </c>
      <c r="D11" s="914">
        <v>300</v>
      </c>
      <c r="E11" s="1040">
        <f t="shared" si="7"/>
        <v>12.297435897435903</v>
      </c>
      <c r="F11" s="948">
        <v>0.9</v>
      </c>
      <c r="G11" s="940">
        <f t="shared" si="0"/>
        <v>3689.2307692307709</v>
      </c>
      <c r="H11" s="943">
        <f t="shared" si="1"/>
        <v>3320.3076923076937</v>
      </c>
      <c r="I11" s="914">
        <f>VLOOKUP(B11,All_Ingredients!$A$1:$F$161,6,FALSE())</f>
        <v>1</v>
      </c>
      <c r="J11" s="940">
        <f>VLOOKUP(B11,All_Ingredients!$A$1:$J$161,10,FALSE())</f>
        <v>9.8958333333333339</v>
      </c>
      <c r="K11" s="945">
        <f t="shared" si="8"/>
        <v>3.320307692307694</v>
      </c>
      <c r="L11" s="945">
        <f t="shared" si="9"/>
        <v>32.857211538461556</v>
      </c>
      <c r="M11" s="87"/>
      <c r="N11" s="87"/>
      <c r="R11" s="890"/>
      <c r="T11" s="890"/>
      <c r="W11" s="890"/>
      <c r="AI11" s="949" t="s">
        <v>94</v>
      </c>
      <c r="AJ11" s="938" t="s">
        <v>99</v>
      </c>
      <c r="AK11" s="951" t="s">
        <v>14</v>
      </c>
      <c r="AL11" s="914">
        <v>5</v>
      </c>
      <c r="AM11" s="1040">
        <f t="shared" si="4"/>
        <v>2.7001303780964796</v>
      </c>
      <c r="AN11" s="948">
        <v>1</v>
      </c>
      <c r="AO11" s="940">
        <f t="shared" si="5"/>
        <v>13.500651890482398</v>
      </c>
      <c r="AP11" s="943">
        <f t="shared" si="6"/>
        <v>13.500651890482398</v>
      </c>
      <c r="AQ11" s="955">
        <f>VLOOKUP(AJ11,Marination_Ordering!$A:$J,6,FALSE)</f>
        <v>1</v>
      </c>
      <c r="AR11" s="955">
        <f>VLOOKUP(AJ11,Marination_Ordering!$A:$J,10,FALSE)</f>
        <v>31</v>
      </c>
      <c r="AS11" s="954">
        <f t="shared" si="10"/>
        <v>13.500651890482398</v>
      </c>
      <c r="AT11" s="955">
        <f t="shared" si="11"/>
        <v>0.41852020860495437</v>
      </c>
    </row>
    <row r="12" spans="1:46" x14ac:dyDescent="0.25">
      <c r="A12" s="949"/>
      <c r="B12" s="938" t="s">
        <v>707</v>
      </c>
      <c r="C12" s="947" t="s">
        <v>14</v>
      </c>
      <c r="D12" s="914">
        <v>200</v>
      </c>
      <c r="E12" s="1040">
        <f t="shared" si="7"/>
        <v>12.297435897435903</v>
      </c>
      <c r="F12" s="948">
        <v>0.8</v>
      </c>
      <c r="G12" s="940">
        <f t="shared" si="0"/>
        <v>2459.4871794871806</v>
      </c>
      <c r="H12" s="943">
        <f t="shared" si="1"/>
        <v>1967.5897435897446</v>
      </c>
      <c r="I12" s="914">
        <f>VLOOKUP(B12,All_Ingredients!$A$1:$F$161,6,FALSE())</f>
        <v>1</v>
      </c>
      <c r="J12" s="940">
        <f>VLOOKUP(B12,All_Ingredients!$A$1:$J$161,10,FALSE())</f>
        <v>40.74074074074074</v>
      </c>
      <c r="K12" s="945">
        <f t="shared" si="8"/>
        <v>1.9675897435897445</v>
      </c>
      <c r="L12" s="945">
        <f t="shared" si="9"/>
        <v>80.161063627730329</v>
      </c>
      <c r="M12" s="87"/>
      <c r="N12" s="87"/>
      <c r="R12" s="890"/>
      <c r="T12" s="890"/>
      <c r="W12" s="890"/>
      <c r="AI12" s="949" t="s">
        <v>213</v>
      </c>
      <c r="AJ12" s="938" t="s">
        <v>214</v>
      </c>
      <c r="AK12" s="951" t="s">
        <v>14</v>
      </c>
      <c r="AL12" s="914">
        <v>3</v>
      </c>
      <c r="AM12" s="1040">
        <f t="shared" si="4"/>
        <v>2.7001303780964796</v>
      </c>
      <c r="AN12" s="948">
        <v>1</v>
      </c>
      <c r="AO12" s="940">
        <f t="shared" si="5"/>
        <v>8.1003911342894384</v>
      </c>
      <c r="AP12" s="943">
        <f t="shared" si="6"/>
        <v>8.1003911342894384</v>
      </c>
      <c r="AQ12" s="955">
        <f>VLOOKUP(AJ12,Marination_Ordering!$A:$J,6,FALSE)</f>
        <v>1</v>
      </c>
      <c r="AR12" s="955">
        <f>VLOOKUP(AJ12,Marination_Ordering!$A:$J,10,FALSE)</f>
        <v>35</v>
      </c>
      <c r="AS12" s="954">
        <f t="shared" si="10"/>
        <v>8.1003911342894384</v>
      </c>
      <c r="AT12" s="955">
        <f t="shared" si="11"/>
        <v>0.28351368970013036</v>
      </c>
    </row>
    <row r="13" spans="1:46" x14ac:dyDescent="0.25">
      <c r="A13" s="949" t="s">
        <v>868</v>
      </c>
      <c r="B13" s="938" t="s">
        <v>706</v>
      </c>
      <c r="C13" s="947" t="s">
        <v>14</v>
      </c>
      <c r="D13" s="914">
        <v>25</v>
      </c>
      <c r="E13" s="1040">
        <f t="shared" si="7"/>
        <v>12.297435897435903</v>
      </c>
      <c r="F13" s="948">
        <v>0.95</v>
      </c>
      <c r="G13" s="940">
        <f t="shared" si="0"/>
        <v>307.43589743589757</v>
      </c>
      <c r="H13" s="943">
        <f t="shared" si="1"/>
        <v>292.06410256410265</v>
      </c>
      <c r="I13" s="914">
        <f>VLOOKUP(B13,All_Ingredients!$A$1:$F$161,6,FALSE())</f>
        <v>1</v>
      </c>
      <c r="J13" s="940">
        <f>VLOOKUP(B13,All_Ingredients!$A$1:$J$161,10,FALSE())</f>
        <v>10.5</v>
      </c>
      <c r="K13" s="945">
        <f t="shared" si="8"/>
        <v>0.29206410256410265</v>
      </c>
      <c r="L13" s="945">
        <f t="shared" si="9"/>
        <v>3.0666730769230779</v>
      </c>
      <c r="M13" s="87"/>
      <c r="N13" s="87"/>
      <c r="R13" s="890"/>
      <c r="T13" s="890"/>
      <c r="W13" s="890"/>
      <c r="AI13" s="949" t="s">
        <v>153</v>
      </c>
      <c r="AJ13" s="938" t="s">
        <v>174</v>
      </c>
      <c r="AK13" s="951" t="s">
        <v>160</v>
      </c>
      <c r="AL13" s="914">
        <v>100</v>
      </c>
      <c r="AM13" s="1040">
        <f t="shared" si="4"/>
        <v>2.7001303780964796</v>
      </c>
      <c r="AN13" s="948">
        <v>1</v>
      </c>
      <c r="AO13" s="940">
        <f t="shared" si="5"/>
        <v>270.01303780964798</v>
      </c>
      <c r="AP13" s="943">
        <f t="shared" si="6"/>
        <v>270.01303780964798</v>
      </c>
      <c r="AQ13" s="955">
        <f>VLOOKUP(AJ13,Marination_Ordering!$A:$J,6,FALSE)</f>
        <v>1</v>
      </c>
      <c r="AR13" s="955">
        <f>VLOOKUP(AJ13,Marination_Ordering!$A:$J,10,FALSE)</f>
        <v>9.8958333333333339</v>
      </c>
      <c r="AS13" s="954">
        <f t="shared" si="10"/>
        <v>270.01303780964798</v>
      </c>
      <c r="AT13" s="955">
        <f t="shared" si="11"/>
        <v>2.672004019991308</v>
      </c>
    </row>
    <row r="14" spans="1:46" ht="25.5" x14ac:dyDescent="0.25">
      <c r="A14" s="949"/>
      <c r="B14" s="938" t="s">
        <v>115</v>
      </c>
      <c r="C14" s="947" t="s">
        <v>14</v>
      </c>
      <c r="D14" s="914">
        <v>10</v>
      </c>
      <c r="E14" s="1040">
        <f t="shared" si="7"/>
        <v>12.297435897435903</v>
      </c>
      <c r="F14" s="948">
        <v>0.75</v>
      </c>
      <c r="G14" s="940">
        <f t="shared" si="0"/>
        <v>122.97435897435903</v>
      </c>
      <c r="H14" s="943">
        <f t="shared" si="1"/>
        <v>92.230769230769283</v>
      </c>
      <c r="I14" s="914">
        <f>VLOOKUP(B14,All_Ingredients!$A$1:$F$161,6,FALSE())</f>
        <v>1</v>
      </c>
      <c r="J14" s="940">
        <f>VLOOKUP(B14,All_Ingredients!$A$1:$J$161,10,FALSE())</f>
        <v>14.5</v>
      </c>
      <c r="K14" s="945">
        <f t="shared" si="8"/>
        <v>9.2230769230769283E-2</v>
      </c>
      <c r="L14" s="945">
        <f t="shared" si="9"/>
        <v>1.3373461538461546</v>
      </c>
      <c r="M14" s="87"/>
      <c r="N14" s="87"/>
      <c r="R14" s="890"/>
      <c r="T14" s="890"/>
      <c r="W14" s="890"/>
      <c r="AI14" s="949" t="s">
        <v>94</v>
      </c>
      <c r="AJ14" s="938" t="s">
        <v>105</v>
      </c>
      <c r="AK14" s="951" t="s">
        <v>14</v>
      </c>
      <c r="AL14" s="914">
        <v>25</v>
      </c>
      <c r="AM14" s="1040">
        <f t="shared" si="4"/>
        <v>2.7001303780964796</v>
      </c>
      <c r="AN14" s="948">
        <v>1</v>
      </c>
      <c r="AO14" s="940">
        <f t="shared" si="5"/>
        <v>67.503259452411996</v>
      </c>
      <c r="AP14" s="943">
        <f t="shared" si="6"/>
        <v>67.503259452411996</v>
      </c>
      <c r="AQ14" s="955">
        <f>VLOOKUP(AJ14,Marination_Ordering!$A:$J,6,FALSE)</f>
        <v>1</v>
      </c>
      <c r="AR14" s="955">
        <f>VLOOKUP(AJ14,Marination_Ordering!$A:$J,10,FALSE)</f>
        <v>15</v>
      </c>
      <c r="AS14" s="954">
        <f t="shared" si="10"/>
        <v>67.503259452411996</v>
      </c>
      <c r="AT14" s="955">
        <f t="shared" si="11"/>
        <v>1.0125488917861798</v>
      </c>
    </row>
    <row r="15" spans="1:46" x14ac:dyDescent="0.25">
      <c r="A15" s="949"/>
      <c r="B15" s="938" t="s">
        <v>214</v>
      </c>
      <c r="C15" s="947" t="s">
        <v>14</v>
      </c>
      <c r="D15" s="914">
        <v>2</v>
      </c>
      <c r="E15" s="1040">
        <f t="shared" si="7"/>
        <v>12.297435897435903</v>
      </c>
      <c r="F15" s="948">
        <v>1</v>
      </c>
      <c r="G15" s="940">
        <f t="shared" si="0"/>
        <v>24.594871794871807</v>
      </c>
      <c r="H15" s="943">
        <f t="shared" si="1"/>
        <v>24.594871794871807</v>
      </c>
      <c r="I15" s="914">
        <f>VLOOKUP(B15,All_Ingredients!$A$1:$F$161,6,FALSE())</f>
        <v>1</v>
      </c>
      <c r="J15" s="940">
        <f>VLOOKUP(B15,All_Ingredients!$A$1:$J$161,10,FALSE())</f>
        <v>35</v>
      </c>
      <c r="K15" s="945">
        <f t="shared" si="8"/>
        <v>2.4594871794871808E-2</v>
      </c>
      <c r="L15" s="945">
        <f t="shared" si="9"/>
        <v>0.86082051282051331</v>
      </c>
      <c r="M15" s="87"/>
      <c r="N15" s="87"/>
      <c r="R15" s="890"/>
      <c r="T15" s="890"/>
      <c r="W15" s="890"/>
      <c r="AI15" s="949" t="s">
        <v>94</v>
      </c>
      <c r="AJ15" s="938" t="s">
        <v>108</v>
      </c>
      <c r="AK15" s="951" t="s">
        <v>14</v>
      </c>
      <c r="AL15" s="914">
        <v>50</v>
      </c>
      <c r="AM15" s="1040">
        <f t="shared" si="4"/>
        <v>2.7001303780964796</v>
      </c>
      <c r="AN15" s="948">
        <v>1</v>
      </c>
      <c r="AO15" s="940">
        <f t="shared" si="5"/>
        <v>135.00651890482399</v>
      </c>
      <c r="AP15" s="943">
        <f t="shared" si="6"/>
        <v>135.00651890482399</v>
      </c>
      <c r="AQ15" s="955">
        <f>VLOOKUP(AJ15,Marination_Ordering!$A:$J,6,FALSE)</f>
        <v>1</v>
      </c>
      <c r="AR15" s="955">
        <f>VLOOKUP(AJ15,Marination_Ordering!$A:$J,10,FALSE)</f>
        <v>26.5</v>
      </c>
      <c r="AS15" s="954">
        <f t="shared" si="10"/>
        <v>135.00651890482399</v>
      </c>
      <c r="AT15" s="955">
        <f t="shared" si="11"/>
        <v>3.5776727509778357</v>
      </c>
    </row>
    <row r="16" spans="1:46" ht="25.5" x14ac:dyDescent="0.25">
      <c r="A16" s="949"/>
      <c r="B16" s="938" t="s">
        <v>93</v>
      </c>
      <c r="C16" s="947" t="s">
        <v>14</v>
      </c>
      <c r="D16" s="914">
        <v>11</v>
      </c>
      <c r="E16" s="1040">
        <f t="shared" si="7"/>
        <v>12.297435897435903</v>
      </c>
      <c r="F16" s="948">
        <v>0.75</v>
      </c>
      <c r="G16" s="940">
        <f t="shared" si="0"/>
        <v>135.27179487179495</v>
      </c>
      <c r="H16" s="943">
        <f t="shared" si="1"/>
        <v>101.45384615384621</v>
      </c>
      <c r="I16" s="914">
        <f>VLOOKUP(B16,All_Ingredients!$A$1:$F$161,6,FALSE())</f>
        <v>1</v>
      </c>
      <c r="J16" s="940">
        <f>VLOOKUP(B16,All_Ingredients!$A$1:$J$161,10,FALSE())</f>
        <v>0.74</v>
      </c>
      <c r="K16" s="945">
        <f t="shared" si="8"/>
        <v>0.10145384615384621</v>
      </c>
      <c r="L16" s="945">
        <f t="shared" si="9"/>
        <v>7.5075846153846201E-2</v>
      </c>
      <c r="M16" s="87"/>
      <c r="N16" s="87"/>
      <c r="R16" s="890"/>
      <c r="T16" s="890"/>
      <c r="W16" s="890"/>
      <c r="AI16" s="949" t="s">
        <v>213</v>
      </c>
      <c r="AJ16" s="938" t="s">
        <v>799</v>
      </c>
      <c r="AK16" s="951" t="s">
        <v>14</v>
      </c>
      <c r="AL16" s="914">
        <v>5</v>
      </c>
      <c r="AM16" s="1040">
        <f t="shared" si="4"/>
        <v>2.7001303780964796</v>
      </c>
      <c r="AN16" s="948">
        <v>1</v>
      </c>
      <c r="AO16" s="940">
        <f t="shared" si="5"/>
        <v>13.500651890482398</v>
      </c>
      <c r="AP16" s="943">
        <f t="shared" si="6"/>
        <v>13.500651890482398</v>
      </c>
      <c r="AQ16" s="955">
        <f>VLOOKUP(AJ16,Marination_Ordering!$A:$J,6,FALSE)</f>
        <v>1</v>
      </c>
      <c r="AR16" s="955">
        <f>VLOOKUP(AJ16,Marination_Ordering!$A:$J,10,FALSE)</f>
        <v>22.5</v>
      </c>
      <c r="AS16" s="954">
        <f t="shared" si="10"/>
        <v>13.500651890482398</v>
      </c>
      <c r="AT16" s="955">
        <f t="shared" si="11"/>
        <v>0.30376466753585396</v>
      </c>
    </row>
    <row r="17" spans="1:32" x14ac:dyDescent="0.25">
      <c r="A17" s="949"/>
      <c r="B17" s="938" t="s">
        <v>203</v>
      </c>
      <c r="C17" s="947" t="s">
        <v>160</v>
      </c>
      <c r="D17" s="914">
        <v>500</v>
      </c>
      <c r="E17" s="1040">
        <f t="shared" si="7"/>
        <v>12.297435897435903</v>
      </c>
      <c r="F17" s="948">
        <v>0.75</v>
      </c>
      <c r="G17" s="940">
        <f t="shared" si="0"/>
        <v>6148.7179487179519</v>
      </c>
      <c r="H17" s="943">
        <f t="shared" si="1"/>
        <v>4611.5384615384637</v>
      </c>
      <c r="I17" s="914">
        <f>VLOOKUP(B17,All_Ingredients!$A$1:$F$161,6,FALSE())</f>
        <v>1</v>
      </c>
      <c r="J17" s="940">
        <f>VLOOKUP(B17,All_Ingredients!$A$1:$J$161,10,FALSE())</f>
        <v>0</v>
      </c>
      <c r="K17" s="945">
        <f t="shared" si="8"/>
        <v>4.6115384615384638</v>
      </c>
      <c r="L17" s="945">
        <f t="shared" si="9"/>
        <v>0</v>
      </c>
      <c r="M17" s="87"/>
      <c r="N17" s="87"/>
      <c r="R17" s="890"/>
      <c r="T17" s="890"/>
      <c r="W17" s="890"/>
    </row>
    <row r="18" spans="1:32" x14ac:dyDescent="0.25">
      <c r="A18" s="949" t="s">
        <v>884</v>
      </c>
      <c r="B18" s="938" t="s">
        <v>75</v>
      </c>
      <c r="C18" s="947" t="s">
        <v>14</v>
      </c>
      <c r="D18" s="914">
        <v>3</v>
      </c>
      <c r="E18" s="1040">
        <f t="shared" si="7"/>
        <v>12.297435897435903</v>
      </c>
      <c r="F18" s="948">
        <v>1</v>
      </c>
      <c r="G18" s="940">
        <f t="shared" si="0"/>
        <v>36.89230769230771</v>
      </c>
      <c r="H18" s="943">
        <f t="shared" si="1"/>
        <v>36.89230769230771</v>
      </c>
      <c r="I18" s="914">
        <f>VLOOKUP(B18,All_Ingredients!$A$1:$F$161,6,FALSE())</f>
        <v>0.6</v>
      </c>
      <c r="J18" s="940">
        <f>VLOOKUP(B18,All_Ingredients!$A$1:$J$161,10,FALSE())</f>
        <v>90</v>
      </c>
      <c r="K18" s="945">
        <f t="shared" si="8"/>
        <v>6.1487179487179515E-2</v>
      </c>
      <c r="L18" s="945">
        <f t="shared" si="9"/>
        <v>5.5338461538461567</v>
      </c>
      <c r="M18" s="87"/>
      <c r="N18" s="87"/>
      <c r="R18" s="890"/>
      <c r="T18" s="890"/>
      <c r="W18" s="890"/>
    </row>
    <row r="19" spans="1:32" x14ac:dyDescent="0.25">
      <c r="A19" s="949" t="s">
        <v>869</v>
      </c>
      <c r="B19" s="938" t="s">
        <v>60</v>
      </c>
      <c r="C19" s="947" t="s">
        <v>14</v>
      </c>
      <c r="D19" s="914">
        <v>10</v>
      </c>
      <c r="E19" s="1040">
        <f t="shared" si="7"/>
        <v>12.297435897435903</v>
      </c>
      <c r="F19" s="948">
        <v>1</v>
      </c>
      <c r="G19" s="940">
        <f t="shared" si="0"/>
        <v>122.97435897435903</v>
      </c>
      <c r="H19" s="943">
        <f t="shared" si="1"/>
        <v>122.97435897435903</v>
      </c>
      <c r="I19" s="914">
        <f>VLOOKUP(B19,All_Ingredients!$A$1:$F$161,6,FALSE())</f>
        <v>0.94</v>
      </c>
      <c r="J19" s="940">
        <f>VLOOKUP(B19,All_Ingredients!$A$1:$J$161,10,FALSE())</f>
        <v>3.6363636363636367</v>
      </c>
      <c r="K19" s="945">
        <f t="shared" si="8"/>
        <v>0.13082378614293516</v>
      </c>
      <c r="L19" s="945">
        <f t="shared" si="9"/>
        <v>0.47572285870158243</v>
      </c>
      <c r="M19" s="87"/>
      <c r="N19" s="87"/>
      <c r="R19" s="890"/>
      <c r="T19" s="890"/>
      <c r="W19" s="890"/>
    </row>
    <row r="20" spans="1:32" x14ac:dyDescent="0.25">
      <c r="A20" s="949"/>
      <c r="B20" s="938" t="s">
        <v>152</v>
      </c>
      <c r="C20" s="947" t="s">
        <v>14</v>
      </c>
      <c r="D20" s="914">
        <v>50</v>
      </c>
      <c r="E20" s="1040">
        <f t="shared" si="7"/>
        <v>12.297435897435903</v>
      </c>
      <c r="F20" s="948">
        <v>1</v>
      </c>
      <c r="G20" s="940">
        <f t="shared" si="0"/>
        <v>614.87179487179515</v>
      </c>
      <c r="H20" s="943">
        <f t="shared" si="1"/>
        <v>614.87179487179515</v>
      </c>
      <c r="I20" s="914">
        <f>VLOOKUP(B20,All_Ingredients!$A$1:$F$161,6,FALSE())</f>
        <v>1</v>
      </c>
      <c r="J20" s="940">
        <f>VLOOKUP(B20,All_Ingredients!$A$1:$J$161,10,FALSE())</f>
        <v>30</v>
      </c>
      <c r="K20" s="945">
        <f t="shared" si="8"/>
        <v>0.61487179487179511</v>
      </c>
      <c r="L20" s="945">
        <f t="shared" si="9"/>
        <v>18.446153846153852</v>
      </c>
      <c r="M20" s="87"/>
      <c r="N20" s="87"/>
      <c r="R20" s="890"/>
      <c r="T20" s="890"/>
      <c r="W20" s="890"/>
    </row>
    <row r="21" spans="1:32" x14ac:dyDescent="0.25">
      <c r="A21" s="949"/>
      <c r="B21" s="938" t="s">
        <v>124</v>
      </c>
      <c r="C21" s="947" t="s">
        <v>14</v>
      </c>
      <c r="D21" s="914">
        <v>1</v>
      </c>
      <c r="E21" s="1040">
        <f t="shared" si="7"/>
        <v>12.297435897435903</v>
      </c>
      <c r="F21" s="948">
        <v>1</v>
      </c>
      <c r="G21" s="940">
        <f t="shared" si="0"/>
        <v>12.297435897435903</v>
      </c>
      <c r="H21" s="943">
        <f t="shared" si="1"/>
        <v>12.297435897435903</v>
      </c>
      <c r="I21" s="914">
        <f>VLOOKUP(B21,All_Ingredients!$A$1:$F$161,6,FALSE())</f>
        <v>1</v>
      </c>
      <c r="J21" s="940">
        <f>VLOOKUP(B21,All_Ingredients!$A$1:$J$161,10,FALSE())</f>
        <v>37</v>
      </c>
      <c r="K21" s="945">
        <f t="shared" si="8"/>
        <v>1.2297435897435904E-2</v>
      </c>
      <c r="L21" s="945">
        <f t="shared" si="9"/>
        <v>0.45500512820512845</v>
      </c>
      <c r="M21" s="87"/>
      <c r="N21" s="87"/>
      <c r="R21" s="890"/>
      <c r="T21" s="890"/>
      <c r="W21" s="890"/>
    </row>
    <row r="22" spans="1:32" x14ac:dyDescent="0.25">
      <c r="A22" s="949"/>
      <c r="B22" s="938" t="s">
        <v>107</v>
      </c>
      <c r="C22" s="947" t="s">
        <v>14</v>
      </c>
      <c r="D22" s="914">
        <v>15</v>
      </c>
      <c r="E22" s="1040">
        <f t="shared" si="7"/>
        <v>12.297435897435903</v>
      </c>
      <c r="F22" s="948">
        <v>1</v>
      </c>
      <c r="G22" s="940">
        <f t="shared" si="0"/>
        <v>184.46153846153857</v>
      </c>
      <c r="H22" s="943">
        <f t="shared" si="1"/>
        <v>184.46153846153857</v>
      </c>
      <c r="I22" s="914">
        <f>VLOOKUP(B22,All_Ingredients!$A$1:$F$161,6,FALSE())</f>
        <v>1</v>
      </c>
      <c r="J22" s="940">
        <f>VLOOKUP(B22,All_Ingredients!$A$1:$J$161,10,FALSE())</f>
        <v>8</v>
      </c>
      <c r="K22" s="945">
        <f t="shared" si="8"/>
        <v>0.18446153846153857</v>
      </c>
      <c r="L22" s="945">
        <f t="shared" si="9"/>
        <v>1.4756923076923085</v>
      </c>
      <c r="M22" s="87"/>
      <c r="N22" s="87"/>
      <c r="R22" s="890"/>
      <c r="T22" s="890"/>
      <c r="W22" s="890"/>
    </row>
    <row r="23" spans="1:32" x14ac:dyDescent="0.25">
      <c r="A23" s="949"/>
      <c r="B23" s="938" t="s">
        <v>105</v>
      </c>
      <c r="C23" s="947" t="s">
        <v>14</v>
      </c>
      <c r="D23" s="914">
        <v>2</v>
      </c>
      <c r="E23" s="1040">
        <f t="shared" si="7"/>
        <v>12.297435897435903</v>
      </c>
      <c r="F23" s="948">
        <v>1</v>
      </c>
      <c r="G23" s="940">
        <f t="shared" si="0"/>
        <v>24.594871794871807</v>
      </c>
      <c r="H23" s="943">
        <f t="shared" si="1"/>
        <v>24.594871794871807</v>
      </c>
      <c r="I23" s="914">
        <f>VLOOKUP(B23,All_Ingredients!$A$1:$F$161,6,FALSE())</f>
        <v>1</v>
      </c>
      <c r="J23" s="940">
        <f>VLOOKUP(B23,All_Ingredients!$A$1:$J$161,10,FALSE())</f>
        <v>15</v>
      </c>
      <c r="K23" s="945">
        <f t="shared" si="8"/>
        <v>2.4594871794871808E-2</v>
      </c>
      <c r="L23" s="945">
        <f t="shared" si="9"/>
        <v>0.36892307692307713</v>
      </c>
      <c r="M23" s="87"/>
      <c r="N23" s="87"/>
      <c r="R23" s="890"/>
      <c r="T23" s="890"/>
      <c r="W23" s="890"/>
    </row>
    <row r="24" spans="1:32" x14ac:dyDescent="0.25">
      <c r="A24" s="949"/>
      <c r="B24" s="938" t="s">
        <v>118</v>
      </c>
      <c r="C24" s="947" t="s">
        <v>14</v>
      </c>
      <c r="D24" s="914">
        <v>1</v>
      </c>
      <c r="E24" s="1040">
        <f t="shared" si="7"/>
        <v>12.297435897435903</v>
      </c>
      <c r="F24" s="948">
        <v>1</v>
      </c>
      <c r="G24" s="940">
        <f t="shared" si="0"/>
        <v>12.297435897435903</v>
      </c>
      <c r="H24" s="943">
        <f t="shared" si="1"/>
        <v>12.297435897435903</v>
      </c>
      <c r="I24" s="914">
        <f>VLOOKUP(B24,All_Ingredients!$A$1:$F$161,6,FALSE())</f>
        <v>1</v>
      </c>
      <c r="J24" s="940">
        <f>VLOOKUP(B24,All_Ingredients!$A$1:$J$161,10,FALSE())</f>
        <v>15</v>
      </c>
      <c r="K24" s="945">
        <f t="shared" si="8"/>
        <v>1.2297435897435904E-2</v>
      </c>
      <c r="L24" s="945">
        <f t="shared" si="9"/>
        <v>0.18446153846153857</v>
      </c>
      <c r="M24" s="87"/>
      <c r="N24" s="87"/>
      <c r="R24" s="890"/>
      <c r="T24" s="890"/>
      <c r="W24" s="890"/>
      <c r="Z24" s="597"/>
    </row>
    <row r="25" spans="1:32" x14ac:dyDescent="0.25">
      <c r="A25" s="949"/>
      <c r="B25" s="938" t="s">
        <v>212</v>
      </c>
      <c r="C25" s="947" t="s">
        <v>160</v>
      </c>
      <c r="D25" s="914">
        <v>20</v>
      </c>
      <c r="E25" s="1040">
        <f t="shared" si="7"/>
        <v>12.297435897435903</v>
      </c>
      <c r="F25" s="948">
        <v>1</v>
      </c>
      <c r="G25" s="940">
        <f t="shared" si="0"/>
        <v>245.94871794871807</v>
      </c>
      <c r="H25" s="943">
        <f t="shared" si="1"/>
        <v>245.94871794871807</v>
      </c>
      <c r="I25" s="914">
        <f>VLOOKUP(B25,All_Ingredients!$A$1:$F$161,6,FALSE())</f>
        <v>1</v>
      </c>
      <c r="J25" s="940">
        <f>VLOOKUP(B25,All_Ingredients!$A$1:$J$161,10,FALSE())</f>
        <v>5</v>
      </c>
      <c r="K25" s="945">
        <f t="shared" si="8"/>
        <v>0.24594871794871806</v>
      </c>
      <c r="L25" s="945">
        <f t="shared" si="9"/>
        <v>1.2297435897435902</v>
      </c>
      <c r="R25" s="1779" t="s">
        <v>353</v>
      </c>
      <c r="S25" s="1787"/>
      <c r="T25" s="1788"/>
      <c r="U25" s="1787"/>
      <c r="V25" s="956"/>
      <c r="W25" s="1043"/>
      <c r="Z25" s="982" t="s">
        <v>252</v>
      </c>
      <c r="AA25" s="989">
        <v>1</v>
      </c>
      <c r="AB25" s="982" t="s">
        <v>249</v>
      </c>
      <c r="AC25" s="1397">
        <f>(AA25*(4/3))*AF30+(AA30*(AB28/R1))</f>
        <v>3.4816389031290217E-2</v>
      </c>
    </row>
    <row r="26" spans="1:32" x14ac:dyDescent="0.25">
      <c r="A26" s="949"/>
      <c r="B26" s="938" t="s">
        <v>129</v>
      </c>
      <c r="C26" s="947" t="s">
        <v>14</v>
      </c>
      <c r="D26" s="914">
        <v>1</v>
      </c>
      <c r="E26" s="1040">
        <f t="shared" si="7"/>
        <v>12.297435897435903</v>
      </c>
      <c r="F26" s="948">
        <v>1</v>
      </c>
      <c r="G26" s="940">
        <f t="shared" si="0"/>
        <v>12.297435897435903</v>
      </c>
      <c r="H26" s="943">
        <f t="shared" si="1"/>
        <v>12.297435897435903</v>
      </c>
      <c r="I26" s="914">
        <f>VLOOKUP(B26,All_Ingredients!$A$1:$F$161,6,FALSE())</f>
        <v>1</v>
      </c>
      <c r="J26" s="940">
        <f>VLOOKUP(B26,All_Ingredients!$A$1:$J$161,10,FALSE())</f>
        <v>31.5</v>
      </c>
      <c r="K26" s="945">
        <f t="shared" si="8"/>
        <v>1.2297435897435904E-2</v>
      </c>
      <c r="L26" s="945">
        <f t="shared" si="9"/>
        <v>0.38736923076923097</v>
      </c>
      <c r="R26" s="1786" t="s">
        <v>253</v>
      </c>
      <c r="S26" s="1787"/>
      <c r="T26" s="1788"/>
      <c r="U26" s="1787"/>
      <c r="V26" s="956"/>
      <c r="W26" s="1043"/>
    </row>
    <row r="27" spans="1:32" x14ac:dyDescent="0.25">
      <c r="A27" s="949"/>
      <c r="B27" s="938" t="s">
        <v>198</v>
      </c>
      <c r="C27" s="1157" t="s">
        <v>160</v>
      </c>
      <c r="D27" s="914">
        <v>20</v>
      </c>
      <c r="E27" s="1040">
        <f t="shared" si="7"/>
        <v>12.297435897435903</v>
      </c>
      <c r="F27" s="948">
        <v>1</v>
      </c>
      <c r="G27" s="940">
        <f t="shared" si="0"/>
        <v>245.94871794871807</v>
      </c>
      <c r="H27" s="943">
        <f t="shared" si="1"/>
        <v>245.94871794871807</v>
      </c>
      <c r="I27" s="914">
        <f>VLOOKUP(B27,All_Ingredients!$A$1:$F$161,6,FALSE())</f>
        <v>1</v>
      </c>
      <c r="J27" s="940">
        <f>VLOOKUP(B27,All_Ingredients!$A$1:$J$161,10,FALSE())</f>
        <v>3.25</v>
      </c>
      <c r="K27" s="945">
        <f t="shared" si="8"/>
        <v>0.24594871794871806</v>
      </c>
      <c r="L27" s="945">
        <f t="shared" si="9"/>
        <v>0.79933333333333367</v>
      </c>
      <c r="R27" s="961" t="s">
        <v>254</v>
      </c>
      <c r="S27" s="962" t="s">
        <v>255</v>
      </c>
      <c r="T27" s="961" t="s">
        <v>256</v>
      </c>
      <c r="U27" s="962" t="s">
        <v>262</v>
      </c>
      <c r="V27" s="962" t="s">
        <v>746</v>
      </c>
      <c r="W27" s="961" t="s">
        <v>753</v>
      </c>
      <c r="Z27" s="982" t="s">
        <v>258</v>
      </c>
      <c r="AA27" s="984" t="s">
        <v>311</v>
      </c>
      <c r="AB27" s="982" t="s">
        <v>259</v>
      </c>
      <c r="AC27" s="982" t="s">
        <v>260</v>
      </c>
      <c r="AD27" s="982" t="s">
        <v>261</v>
      </c>
      <c r="AE27" s="984" t="s">
        <v>753</v>
      </c>
      <c r="AF27" s="982" t="s">
        <v>262</v>
      </c>
    </row>
    <row r="28" spans="1:32" x14ac:dyDescent="0.25">
      <c r="A28" s="949"/>
      <c r="B28" s="938" t="s">
        <v>183</v>
      </c>
      <c r="C28" s="947" t="s">
        <v>14</v>
      </c>
      <c r="D28" s="914">
        <v>20</v>
      </c>
      <c r="E28" s="1040">
        <f t="shared" si="7"/>
        <v>12.297435897435903</v>
      </c>
      <c r="F28" s="948">
        <v>1</v>
      </c>
      <c r="G28" s="940">
        <f t="shared" si="0"/>
        <v>245.94871794871807</v>
      </c>
      <c r="H28" s="943">
        <f t="shared" si="1"/>
        <v>245.94871794871807</v>
      </c>
      <c r="I28" s="914">
        <f>VLOOKUP(B28,All_Ingredients!$A$1:$F$161,6,FALSE())</f>
        <v>1</v>
      </c>
      <c r="J28" s="940">
        <f>VLOOKUP(B28,All_Ingredients!$A$1:$J$161,10,FALSE())</f>
        <v>17</v>
      </c>
      <c r="K28" s="945">
        <f t="shared" si="8"/>
        <v>0.24594871794871806</v>
      </c>
      <c r="L28" s="945">
        <f t="shared" si="9"/>
        <v>4.181128205128207</v>
      </c>
      <c r="R28" s="961" t="s">
        <v>263</v>
      </c>
      <c r="S28" s="963">
        <f>U28*S40</f>
        <v>15161.538461538457</v>
      </c>
      <c r="T28" s="964">
        <f>U28*U40</f>
        <v>4548.4615384615427</v>
      </c>
      <c r="U28" s="965">
        <f>$Z$1</f>
        <v>19710</v>
      </c>
      <c r="V28" s="966">
        <f>SUM(AP5:AP13)</f>
        <v>1620.0782268578878</v>
      </c>
      <c r="W28" s="967">
        <f>H37</f>
        <v>0</v>
      </c>
      <c r="Z28" s="1086"/>
      <c r="AA28" s="987"/>
      <c r="AB28" s="985">
        <f>AA25*$S$40</f>
        <v>0.76923076923076905</v>
      </c>
      <c r="AC28" s="985">
        <f>AA25*U40</f>
        <v>0.230769230769231</v>
      </c>
      <c r="AD28" s="989">
        <f>AA25*(1/3)</f>
        <v>0.33333333333333331</v>
      </c>
      <c r="AE28" s="987"/>
      <c r="AF28" s="1088">
        <f>SUM(AB28:AD28)</f>
        <v>1.3333333333333333</v>
      </c>
    </row>
    <row r="29" spans="1:32" x14ac:dyDescent="0.25">
      <c r="B29" s="890"/>
      <c r="D29" s="890"/>
      <c r="E29" s="1150"/>
      <c r="F29" s="890"/>
      <c r="H29" s="890"/>
      <c r="K29" s="890"/>
      <c r="L29" s="190"/>
      <c r="R29" s="961" t="s">
        <v>264</v>
      </c>
      <c r="S29" s="968"/>
      <c r="T29" s="967">
        <f>U28*(1/3)</f>
        <v>6570</v>
      </c>
      <c r="U29" s="963">
        <f>T29</f>
        <v>6570</v>
      </c>
      <c r="V29" s="966"/>
      <c r="W29" s="967"/>
      <c r="Z29" s="1086"/>
      <c r="AA29" s="991"/>
      <c r="AB29" s="1089">
        <f>AB28/$AF$28</f>
        <v>0.57692307692307687</v>
      </c>
      <c r="AC29" s="1089">
        <f>AC28/$AF$28</f>
        <v>0.17307692307692327</v>
      </c>
      <c r="AD29" s="1089">
        <f>AD28/$AF$28</f>
        <v>0.25</v>
      </c>
      <c r="AE29" s="991"/>
      <c r="AF29" s="1089">
        <f>AF28/$AF$28</f>
        <v>1</v>
      </c>
    </row>
    <row r="30" spans="1:32" x14ac:dyDescent="0.25">
      <c r="B30" s="890"/>
      <c r="D30" s="890"/>
      <c r="E30" s="1150"/>
      <c r="F30" s="890"/>
      <c r="H30" s="890"/>
      <c r="K30" s="890"/>
      <c r="L30" s="190"/>
      <c r="R30" s="961" t="s">
        <v>265</v>
      </c>
      <c r="S30" s="1158">
        <f>U30*S40</f>
        <v>769.23076923076906</v>
      </c>
      <c r="T30" s="1362">
        <f>(U30*U40)+(U30*(1/3))</f>
        <v>564.10256410256432</v>
      </c>
      <c r="U30" s="965">
        <f>$AB$1</f>
        <v>1000</v>
      </c>
      <c r="V30" s="972"/>
      <c r="W30" s="973"/>
      <c r="Z30" s="982" t="s">
        <v>266</v>
      </c>
      <c r="AA30" s="1398">
        <f>V35/(S32/R1)</f>
        <v>6.0911340074557333E-4</v>
      </c>
      <c r="AB30" s="1090">
        <f>S35/(S32)</f>
        <v>3.3701221915648415E-2</v>
      </c>
      <c r="AC30" s="1091">
        <f>T35/T32</f>
        <v>1.4355938496197505E-2</v>
      </c>
      <c r="AD30" s="1091">
        <f>T35/T32</f>
        <v>1.4355938496197505E-2</v>
      </c>
      <c r="AE30" s="995">
        <f>W35/U32</f>
        <v>0</v>
      </c>
      <c r="AF30" s="1399">
        <f>SUMPRODUCT(AB30:AD30,AB29:AD29)</f>
        <v>2.5516678930496112E-2</v>
      </c>
    </row>
    <row r="31" spans="1:32" x14ac:dyDescent="0.25">
      <c r="B31" s="890"/>
      <c r="D31" s="890"/>
      <c r="E31" s="1150"/>
      <c r="F31" s="890"/>
      <c r="H31" s="890"/>
      <c r="K31" s="890"/>
      <c r="R31" s="961" t="s">
        <v>267</v>
      </c>
      <c r="S31" s="959"/>
      <c r="T31" s="967"/>
      <c r="U31" s="966"/>
      <c r="V31" s="966"/>
      <c r="W31" s="967"/>
    </row>
    <row r="32" spans="1:32" x14ac:dyDescent="0.25">
      <c r="B32" s="890"/>
      <c r="D32" s="890"/>
      <c r="E32" s="1150"/>
      <c r="F32" s="890"/>
      <c r="H32" s="890"/>
      <c r="K32" s="890"/>
      <c r="O32" s="193"/>
      <c r="R32" s="961" t="s">
        <v>257</v>
      </c>
      <c r="S32" s="966">
        <f>SUM(S28:S30)</f>
        <v>15930.769230769227</v>
      </c>
      <c r="T32" s="967">
        <f>SUM(T28:T30)</f>
        <v>11682.564102564107</v>
      </c>
      <c r="U32" s="1396">
        <f>SUM(S32:T32)</f>
        <v>27613.333333333336</v>
      </c>
      <c r="V32" s="966"/>
      <c r="W32" s="967">
        <f>SUM(W28:W30)</f>
        <v>0</v>
      </c>
    </row>
    <row r="33" spans="17:23" ht="30" x14ac:dyDescent="0.25">
      <c r="R33" s="976" t="s">
        <v>268</v>
      </c>
      <c r="S33" s="959"/>
      <c r="T33" s="960"/>
      <c r="U33" s="959"/>
      <c r="V33" s="959"/>
      <c r="W33" s="960"/>
    </row>
    <row r="34" spans="17:23" x14ac:dyDescent="0.25">
      <c r="R34" s="961" t="s">
        <v>269</v>
      </c>
      <c r="S34" s="959"/>
      <c r="T34" s="967"/>
      <c r="U34" s="959"/>
      <c r="V34" s="959"/>
      <c r="W34" s="960"/>
    </row>
    <row r="35" spans="17:23" x14ac:dyDescent="0.25">
      <c r="R35" s="977" t="s">
        <v>249</v>
      </c>
      <c r="S35" s="978">
        <f>$L$5</f>
        <v>536.8863891331373</v>
      </c>
      <c r="T35" s="979">
        <f>SUM(L6:L28)</f>
        <v>167.71417173429512</v>
      </c>
      <c r="U35" s="978">
        <f>S35+T35+V35</f>
        <v>721.04741683802024</v>
      </c>
      <c r="V35" s="978">
        <f>SUM(AT6:AT16)</f>
        <v>16.446855970587773</v>
      </c>
      <c r="W35" s="979">
        <f>I36</f>
        <v>0</v>
      </c>
    </row>
    <row r="36" spans="17:23" x14ac:dyDescent="0.25">
      <c r="R36" s="890"/>
      <c r="T36" s="890"/>
      <c r="W36" s="890"/>
    </row>
    <row r="37" spans="17:23" x14ac:dyDescent="0.25">
      <c r="R37" s="890"/>
      <c r="T37" s="890"/>
      <c r="W37" s="890"/>
    </row>
    <row r="38" spans="17:23" x14ac:dyDescent="0.25">
      <c r="R38" s="890"/>
      <c r="T38" s="890"/>
      <c r="W38" s="890"/>
    </row>
    <row r="39" spans="17:23" x14ac:dyDescent="0.25">
      <c r="R39" s="890"/>
      <c r="T39" s="890"/>
      <c r="W39" s="890"/>
    </row>
    <row r="40" spans="17:23" ht="26.25" x14ac:dyDescent="0.25">
      <c r="R40" s="1011" t="s">
        <v>270</v>
      </c>
      <c r="S40" s="1012">
        <v>0.76923076923076905</v>
      </c>
      <c r="T40" s="1011" t="s">
        <v>271</v>
      </c>
      <c r="U40" s="1013">
        <v>0.230769230769231</v>
      </c>
      <c r="V40" s="1014">
        <f>S40+U40</f>
        <v>1</v>
      </c>
      <c r="W40" s="890"/>
    </row>
    <row r="41" spans="17:23" x14ac:dyDescent="0.25">
      <c r="R41" s="890"/>
      <c r="T41" s="890"/>
      <c r="U41" s="123"/>
      <c r="W41" s="890"/>
    </row>
    <row r="42" spans="17:23" x14ac:dyDescent="0.25">
      <c r="R42" s="890"/>
      <c r="T42" s="890"/>
      <c r="W42" s="890"/>
    </row>
    <row r="43" spans="17:23" ht="26.25" x14ac:dyDescent="0.25">
      <c r="Q43" s="1015" t="s">
        <v>272</v>
      </c>
      <c r="R43" s="1011" t="s">
        <v>273</v>
      </c>
      <c r="S43" s="1015" t="s">
        <v>274</v>
      </c>
      <c r="T43" s="1011" t="s">
        <v>275</v>
      </c>
      <c r="U43" s="1015" t="s">
        <v>276</v>
      </c>
      <c r="V43" s="1015" t="s">
        <v>277</v>
      </c>
      <c r="W43" s="1011" t="s">
        <v>278</v>
      </c>
    </row>
    <row r="44" spans="17:23" x14ac:dyDescent="0.25">
      <c r="Q44" s="1016">
        <v>17728</v>
      </c>
      <c r="R44" s="1017">
        <f>D51</f>
        <v>10000</v>
      </c>
      <c r="S44" s="1018">
        <v>0.40909090909090912</v>
      </c>
      <c r="T44" s="1019">
        <v>0.59090909090909094</v>
      </c>
      <c r="U44" s="1096">
        <f>R44*S44</f>
        <v>4090.909090909091</v>
      </c>
      <c r="V44" s="1021">
        <f>R44*T44</f>
        <v>5909.090909090909</v>
      </c>
      <c r="W44" s="1026">
        <f>Q44-U44</f>
        <v>13637.090909090908</v>
      </c>
    </row>
    <row r="50" spans="1:11" x14ac:dyDescent="0.25">
      <c r="B50" s="961"/>
      <c r="C50" s="962" t="s">
        <v>233</v>
      </c>
      <c r="D50" s="961" t="s">
        <v>279</v>
      </c>
      <c r="E50" s="135"/>
      <c r="F50" s="80"/>
      <c r="G50" s="962" t="s">
        <v>280</v>
      </c>
      <c r="H50" s="961" t="s">
        <v>233</v>
      </c>
      <c r="I50" s="962" t="s">
        <v>281</v>
      </c>
      <c r="J50" s="962" t="s">
        <v>282</v>
      </c>
      <c r="K50" s="890"/>
    </row>
    <row r="51" spans="1:11" x14ac:dyDescent="0.25">
      <c r="B51" s="1027" t="s">
        <v>283</v>
      </c>
      <c r="C51" s="1028">
        <f>10/$K$1</f>
        <v>10.526315789473685</v>
      </c>
      <c r="D51" s="1029">
        <f>$C$1*10</f>
        <v>10000</v>
      </c>
      <c r="E51" s="135"/>
      <c r="F51" s="80"/>
      <c r="G51" s="1033" t="s">
        <v>283</v>
      </c>
      <c r="H51" s="1122">
        <f>I51/$D$5</f>
        <v>10</v>
      </c>
      <c r="I51" s="1028">
        <f>J51/$R$1</f>
        <v>23113.713405238828</v>
      </c>
      <c r="J51" s="1028">
        <f>$W$44</f>
        <v>13637.090909090908</v>
      </c>
      <c r="K51" s="890"/>
    </row>
    <row r="52" spans="1:11" x14ac:dyDescent="0.25">
      <c r="B52" s="958" t="s">
        <v>262</v>
      </c>
      <c r="C52" s="1099">
        <f>$I$1</f>
        <v>12.297435897435903</v>
      </c>
      <c r="D52" s="1100">
        <f>$E$1</f>
        <v>11682.564102564107</v>
      </c>
      <c r="E52" s="80"/>
      <c r="F52" s="80"/>
      <c r="G52" s="962" t="s">
        <v>262</v>
      </c>
      <c r="H52" s="1052">
        <f>I52/$D$5</f>
        <v>11.681941065707264</v>
      </c>
      <c r="I52" s="1021">
        <f>J52/$R$1</f>
        <v>27001.303780964794</v>
      </c>
      <c r="J52" s="1030">
        <f>$S$32</f>
        <v>15930.769230769227</v>
      </c>
      <c r="K52" s="890"/>
    </row>
    <row r="53" spans="1:11" x14ac:dyDescent="0.25">
      <c r="B53" s="958" t="s">
        <v>284</v>
      </c>
      <c r="C53" s="1101">
        <f>MIN(C52, C51)</f>
        <v>10.526315789473685</v>
      </c>
      <c r="D53" s="1100">
        <f>(C53*$K$1)*$C$1</f>
        <v>10000</v>
      </c>
      <c r="E53" s="80"/>
      <c r="F53" s="80"/>
      <c r="G53" s="962" t="s">
        <v>284</v>
      </c>
      <c r="H53" s="1035">
        <f>MIN(H52,H51)</f>
        <v>10</v>
      </c>
      <c r="I53" s="1021">
        <f>J53/$R$1</f>
        <v>23113.713405238828</v>
      </c>
      <c r="J53" s="1021">
        <f>MIN(J52,J51)</f>
        <v>13637.090909090908</v>
      </c>
      <c r="K53" s="890"/>
    </row>
    <row r="54" spans="1:11" x14ac:dyDescent="0.25">
      <c r="B54" s="958" t="s">
        <v>285</v>
      </c>
      <c r="C54" s="1746">
        <f>MIN(MAX(C52-C53,0),C51)</f>
        <v>1.7711201079622185</v>
      </c>
      <c r="D54" s="1100">
        <f>(C54*$K$1)*$C$1</f>
        <v>1682.5641025641075</v>
      </c>
      <c r="E54" s="80"/>
      <c r="F54" s="80"/>
      <c r="G54" s="962" t="s">
        <v>285</v>
      </c>
      <c r="H54" s="1035">
        <f>MIN(MAX(H52-H53),H51)</f>
        <v>1.6819410657072638</v>
      </c>
      <c r="I54" s="1021">
        <f>J54/$R$1</f>
        <v>3887.5903757259643</v>
      </c>
      <c r="J54" s="1021">
        <f>MIN(MAX(J52-J53),J51)</f>
        <v>2293.6783216783188</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890"/>
      <c r="D56" s="890"/>
      <c r="E56" s="1150"/>
      <c r="F56" s="890"/>
      <c r="H56" s="890"/>
      <c r="K56" s="890"/>
    </row>
    <row r="57" spans="1:11" x14ac:dyDescent="0.25">
      <c r="B57" s="890"/>
      <c r="D57" s="890"/>
      <c r="E57" s="1150"/>
      <c r="F57" s="890"/>
      <c r="H57" s="890"/>
      <c r="K57" s="890"/>
    </row>
    <row r="58" spans="1:11" x14ac:dyDescent="0.25">
      <c r="B58" s="890"/>
      <c r="D58" s="890"/>
      <c r="E58" s="1150"/>
      <c r="F58" s="890"/>
      <c r="H58" s="890"/>
      <c r="K58" s="890"/>
    </row>
    <row r="59" spans="1:11" x14ac:dyDescent="0.25">
      <c r="B59" s="890"/>
      <c r="D59" s="890"/>
      <c r="E59" s="1150"/>
      <c r="F59" s="890"/>
      <c r="H59" s="890"/>
      <c r="K59" s="890"/>
    </row>
    <row r="60" spans="1:11" x14ac:dyDescent="0.25">
      <c r="B60" s="890"/>
      <c r="D60" s="890"/>
      <c r="E60" s="1150"/>
      <c r="F60" s="890"/>
      <c r="H60" s="890"/>
      <c r="K60" s="890"/>
    </row>
    <row r="61" spans="1:11" x14ac:dyDescent="0.25">
      <c r="B61" s="890"/>
      <c r="D61" s="890"/>
      <c r="E61" s="1150"/>
      <c r="F61" s="890"/>
      <c r="H61" s="890"/>
      <c r="K61" s="890"/>
    </row>
    <row r="62" spans="1:11" x14ac:dyDescent="0.25">
      <c r="A62" s="1036"/>
      <c r="B62" s="1776" t="str">
        <f>"دجاج بكريمة جوز الهند 1 / " &amp; COUNTIF($C$53:$C$55, "&gt;0")</f>
        <v>دجاج بكريمة جوز الهند 1 / 2</v>
      </c>
      <c r="C62" s="1800"/>
      <c r="D62" s="1801"/>
      <c r="E62" s="1830"/>
      <c r="F62" s="1801"/>
      <c r="G62" s="1800"/>
      <c r="H62" s="1801"/>
      <c r="K62" s="890"/>
    </row>
    <row r="63" spans="1:11" x14ac:dyDescent="0.25">
      <c r="A63" s="1036"/>
      <c r="B63" s="1776" t="str">
        <f>"Coconut Chicken  1 / " &amp; COUNTIF(C$53:$C$55, "&gt;0")</f>
        <v>Coconut Chicken  1 / 2</v>
      </c>
      <c r="C63" s="1777"/>
      <c r="D63" s="1778"/>
      <c r="E63" s="1778"/>
      <c r="F63" s="1778"/>
      <c r="G63" s="1777"/>
      <c r="H63" s="1778"/>
      <c r="K63" s="890"/>
    </row>
    <row r="64" spans="1:11" ht="38.25" x14ac:dyDescent="0.2">
      <c r="A64" s="1350" t="s">
        <v>864</v>
      </c>
      <c r="B64" s="923" t="s">
        <v>241</v>
      </c>
      <c r="C64" s="934" t="s">
        <v>242</v>
      </c>
      <c r="D64" s="923" t="s">
        <v>231</v>
      </c>
      <c r="E64" s="935" t="s">
        <v>234</v>
      </c>
      <c r="F64" s="935" t="s">
        <v>243</v>
      </c>
      <c r="G64" s="923" t="s">
        <v>244</v>
      </c>
      <c r="H64" s="936" t="s">
        <v>245</v>
      </c>
      <c r="K64" s="890"/>
    </row>
    <row r="65" spans="1:11" x14ac:dyDescent="0.2">
      <c r="A65" s="1369" t="s">
        <v>872</v>
      </c>
      <c r="B65" s="938" t="str">
        <f t="shared" ref="B65:B88" si="12">B5</f>
        <v>Chicken - دجاج</v>
      </c>
      <c r="C65" s="938" t="str">
        <f t="shared" ref="C65:D88" si="13">C5</f>
        <v>gm</v>
      </c>
      <c r="D65" s="1125">
        <f>D5</f>
        <v>2311.3713405238827</v>
      </c>
      <c r="E65" s="940">
        <f>H53</f>
        <v>10</v>
      </c>
      <c r="F65" s="948">
        <f t="shared" ref="F65:F88" si="14">F5</f>
        <v>1</v>
      </c>
      <c r="G65" s="940">
        <f t="shared" ref="G65:G88" si="15">D65*E65</f>
        <v>23113.713405238828</v>
      </c>
      <c r="H65" s="943">
        <f t="shared" ref="H65:H88" si="16">G65*F65</f>
        <v>23113.713405238828</v>
      </c>
      <c r="K65" s="890"/>
    </row>
    <row r="66" spans="1:11" x14ac:dyDescent="0.25">
      <c r="A66" s="949"/>
      <c r="B66" s="938" t="str">
        <f t="shared" si="12"/>
        <v>Fennel Seeds - شمر حب</v>
      </c>
      <c r="C66" s="938" t="str">
        <f t="shared" si="13"/>
        <v>gm</v>
      </c>
      <c r="D66" s="938">
        <f t="shared" si="13"/>
        <v>2</v>
      </c>
      <c r="E66" s="940">
        <f t="shared" ref="E66:E88" si="17">$C$53</f>
        <v>10.526315789473685</v>
      </c>
      <c r="F66" s="948">
        <f t="shared" si="14"/>
        <v>1</v>
      </c>
      <c r="G66" s="940">
        <f t="shared" si="15"/>
        <v>21.05263157894737</v>
      </c>
      <c r="H66" s="943">
        <f t="shared" si="16"/>
        <v>21.05263157894737</v>
      </c>
      <c r="K66" s="890"/>
    </row>
    <row r="67" spans="1:11" x14ac:dyDescent="0.25">
      <c r="A67" s="949"/>
      <c r="B67" s="938" t="str">
        <f t="shared" si="12"/>
        <v>Cumin Whole - كمون حب</v>
      </c>
      <c r="C67" s="938" t="str">
        <f t="shared" si="13"/>
        <v>gm</v>
      </c>
      <c r="D67" s="938">
        <f t="shared" si="13"/>
        <v>1</v>
      </c>
      <c r="E67" s="940">
        <f t="shared" si="17"/>
        <v>10.526315789473685</v>
      </c>
      <c r="F67" s="948">
        <f t="shared" si="14"/>
        <v>1</v>
      </c>
      <c r="G67" s="940">
        <f t="shared" si="15"/>
        <v>10.526315789473685</v>
      </c>
      <c r="H67" s="943">
        <f t="shared" si="16"/>
        <v>10.526315789473685</v>
      </c>
      <c r="K67" s="890"/>
    </row>
    <row r="68" spans="1:11" x14ac:dyDescent="0.25">
      <c r="A68" s="949"/>
      <c r="B68" s="938" t="str">
        <f t="shared" si="12"/>
        <v>Cardamom Whole - هيل حب</v>
      </c>
      <c r="C68" s="938" t="str">
        <f t="shared" si="13"/>
        <v>gm</v>
      </c>
      <c r="D68" s="938">
        <f t="shared" si="13"/>
        <v>1</v>
      </c>
      <c r="E68" s="940">
        <f t="shared" si="17"/>
        <v>10.526315789473685</v>
      </c>
      <c r="F68" s="948">
        <f t="shared" si="14"/>
        <v>1</v>
      </c>
      <c r="G68" s="940">
        <f t="shared" si="15"/>
        <v>10.526315789473685</v>
      </c>
      <c r="H68" s="943">
        <f t="shared" si="16"/>
        <v>10.526315789473685</v>
      </c>
      <c r="K68" s="890"/>
    </row>
    <row r="69" spans="1:11" x14ac:dyDescent="0.25">
      <c r="A69" s="949"/>
      <c r="B69" s="938" t="str">
        <f t="shared" si="12"/>
        <v>Cinnamon Powder - قرفة مطحونة</v>
      </c>
      <c r="C69" s="938" t="str">
        <f t="shared" si="13"/>
        <v>gm</v>
      </c>
      <c r="D69" s="938">
        <f t="shared" si="13"/>
        <v>1</v>
      </c>
      <c r="E69" s="940">
        <f t="shared" si="17"/>
        <v>10.526315789473685</v>
      </c>
      <c r="F69" s="948">
        <f t="shared" si="14"/>
        <v>1</v>
      </c>
      <c r="G69" s="940">
        <f t="shared" si="15"/>
        <v>10.526315789473685</v>
      </c>
      <c r="H69" s="943">
        <f t="shared" si="16"/>
        <v>10.526315789473685</v>
      </c>
      <c r="K69" s="890"/>
    </row>
    <row r="70" spans="1:11" x14ac:dyDescent="0.25">
      <c r="A70" s="949" t="s">
        <v>881</v>
      </c>
      <c r="B70" s="938" t="str">
        <f t="shared" si="12"/>
        <v>Onion - بصل</v>
      </c>
      <c r="C70" s="938" t="str">
        <f t="shared" si="13"/>
        <v>gm</v>
      </c>
      <c r="D70" s="938">
        <f t="shared" si="13"/>
        <v>350</v>
      </c>
      <c r="E70" s="940">
        <f t="shared" si="17"/>
        <v>10.526315789473685</v>
      </c>
      <c r="F70" s="948">
        <f t="shared" si="14"/>
        <v>0.95</v>
      </c>
      <c r="G70" s="940">
        <f t="shared" si="15"/>
        <v>3684.2105263157896</v>
      </c>
      <c r="H70" s="943">
        <f t="shared" si="16"/>
        <v>3500</v>
      </c>
      <c r="K70" s="890"/>
    </row>
    <row r="71" spans="1:11" x14ac:dyDescent="0.25">
      <c r="A71" s="949"/>
      <c r="B71" s="938" t="str">
        <f t="shared" si="12"/>
        <v>Coconut Milk - حليب جوز الهند</v>
      </c>
      <c r="C71" s="938" t="str">
        <f t="shared" si="13"/>
        <v>ml</v>
      </c>
      <c r="D71" s="938">
        <f t="shared" si="13"/>
        <v>300</v>
      </c>
      <c r="E71" s="940">
        <f t="shared" si="17"/>
        <v>10.526315789473685</v>
      </c>
      <c r="F71" s="948">
        <f t="shared" si="14"/>
        <v>0.9</v>
      </c>
      <c r="G71" s="940">
        <f t="shared" si="15"/>
        <v>3157.8947368421054</v>
      </c>
      <c r="H71" s="943">
        <f t="shared" si="16"/>
        <v>2842.105263157895</v>
      </c>
      <c r="K71" s="890"/>
    </row>
    <row r="72" spans="1:11" x14ac:dyDescent="0.25">
      <c r="A72" s="949"/>
      <c r="B72" s="938" t="str">
        <f t="shared" si="12"/>
        <v>Fresh Coconut - جوز هند طازج</v>
      </c>
      <c r="C72" s="938" t="str">
        <f t="shared" si="13"/>
        <v>gm</v>
      </c>
      <c r="D72" s="938">
        <f t="shared" si="13"/>
        <v>200</v>
      </c>
      <c r="E72" s="940">
        <f t="shared" si="17"/>
        <v>10.526315789473685</v>
      </c>
      <c r="F72" s="948">
        <f t="shared" si="14"/>
        <v>0.8</v>
      </c>
      <c r="G72" s="940">
        <f t="shared" si="15"/>
        <v>2105.2631578947371</v>
      </c>
      <c r="H72" s="943">
        <f t="shared" si="16"/>
        <v>1684.2105263157898</v>
      </c>
      <c r="K72" s="890"/>
    </row>
    <row r="73" spans="1:11" x14ac:dyDescent="0.25">
      <c r="A73" s="949" t="s">
        <v>868</v>
      </c>
      <c r="B73" s="938" t="str">
        <f t="shared" si="12"/>
        <v>Garlic - ثوم مقشر</v>
      </c>
      <c r="C73" s="938" t="str">
        <f t="shared" si="13"/>
        <v>gm</v>
      </c>
      <c r="D73" s="938">
        <f t="shared" si="13"/>
        <v>25</v>
      </c>
      <c r="E73" s="940">
        <f t="shared" si="17"/>
        <v>10.526315789473685</v>
      </c>
      <c r="F73" s="948">
        <f t="shared" si="14"/>
        <v>0.95</v>
      </c>
      <c r="G73" s="940">
        <f t="shared" si="15"/>
        <v>263.15789473684214</v>
      </c>
      <c r="H73" s="943">
        <f t="shared" si="16"/>
        <v>250.00000000000003</v>
      </c>
      <c r="K73" s="890"/>
    </row>
    <row r="74" spans="1:11" ht="25.5" x14ac:dyDescent="0.25">
      <c r="A74" s="949"/>
      <c r="B74" s="938" t="str">
        <f t="shared" si="12"/>
        <v>Kashmiri Red Chilli Whole - فلفل كشميري أحمر كامل</v>
      </c>
      <c r="C74" s="938" t="str">
        <f t="shared" si="13"/>
        <v>gm</v>
      </c>
      <c r="D74" s="938">
        <f t="shared" si="13"/>
        <v>10</v>
      </c>
      <c r="E74" s="940">
        <f t="shared" si="17"/>
        <v>10.526315789473685</v>
      </c>
      <c r="F74" s="948">
        <f t="shared" si="14"/>
        <v>0.75</v>
      </c>
      <c r="G74" s="940">
        <f t="shared" si="15"/>
        <v>105.26315789473685</v>
      </c>
      <c r="H74" s="943">
        <f t="shared" si="16"/>
        <v>78.94736842105263</v>
      </c>
      <c r="K74" s="890"/>
    </row>
    <row r="75" spans="1:11" x14ac:dyDescent="0.25">
      <c r="A75" s="949"/>
      <c r="B75" s="938" t="str">
        <f t="shared" si="12"/>
        <v>Orange Color - لون برتقالي</v>
      </c>
      <c r="C75" s="938" t="str">
        <f t="shared" si="13"/>
        <v>gm</v>
      </c>
      <c r="D75" s="938">
        <f t="shared" si="13"/>
        <v>2</v>
      </c>
      <c r="E75" s="940">
        <f t="shared" si="17"/>
        <v>10.526315789473685</v>
      </c>
      <c r="F75" s="948">
        <f t="shared" si="14"/>
        <v>1</v>
      </c>
      <c r="G75" s="940">
        <f t="shared" si="15"/>
        <v>21.05263157894737</v>
      </c>
      <c r="H75" s="943">
        <f t="shared" si="16"/>
        <v>21.05263157894737</v>
      </c>
      <c r="K75" s="890"/>
    </row>
    <row r="76" spans="1:11" x14ac:dyDescent="0.25">
      <c r="A76" s="949"/>
      <c r="B76" s="938" t="str">
        <f t="shared" si="12"/>
        <v>Salt - ملح</v>
      </c>
      <c r="C76" s="938" t="str">
        <f t="shared" si="13"/>
        <v>gm</v>
      </c>
      <c r="D76" s="938">
        <f t="shared" si="13"/>
        <v>11</v>
      </c>
      <c r="E76" s="940">
        <f t="shared" si="17"/>
        <v>10.526315789473685</v>
      </c>
      <c r="F76" s="948">
        <f t="shared" si="14"/>
        <v>0.75</v>
      </c>
      <c r="G76" s="940">
        <f t="shared" si="15"/>
        <v>115.78947368421053</v>
      </c>
      <c r="H76" s="943">
        <f t="shared" si="16"/>
        <v>86.842105263157904</v>
      </c>
      <c r="K76" s="890"/>
    </row>
    <row r="77" spans="1:11" x14ac:dyDescent="0.25">
      <c r="A77" s="949"/>
      <c r="B77" s="938" t="str">
        <f t="shared" si="12"/>
        <v>Water - ماء</v>
      </c>
      <c r="C77" s="938" t="str">
        <f t="shared" si="13"/>
        <v>ml</v>
      </c>
      <c r="D77" s="938">
        <f t="shared" si="13"/>
        <v>500</v>
      </c>
      <c r="E77" s="940">
        <f t="shared" si="17"/>
        <v>10.526315789473685</v>
      </c>
      <c r="F77" s="948">
        <f t="shared" si="14"/>
        <v>0.75</v>
      </c>
      <c r="G77" s="940">
        <f t="shared" si="15"/>
        <v>5263.1578947368425</v>
      </c>
      <c r="H77" s="943">
        <f t="shared" si="16"/>
        <v>3947.3684210526317</v>
      </c>
      <c r="K77" s="890"/>
    </row>
    <row r="78" spans="1:11" x14ac:dyDescent="0.25">
      <c r="A78" s="949" t="s">
        <v>884</v>
      </c>
      <c r="B78" s="938" t="str">
        <f t="shared" si="12"/>
        <v>Curry Leaves - أوراق الكاري</v>
      </c>
      <c r="C78" s="938" t="str">
        <f t="shared" si="13"/>
        <v>gm</v>
      </c>
      <c r="D78" s="938">
        <f t="shared" si="13"/>
        <v>3</v>
      </c>
      <c r="E78" s="940">
        <f t="shared" si="17"/>
        <v>10.526315789473685</v>
      </c>
      <c r="F78" s="948">
        <f t="shared" si="14"/>
        <v>1</v>
      </c>
      <c r="G78" s="940">
        <f t="shared" si="15"/>
        <v>31.578947368421055</v>
      </c>
      <c r="H78" s="943">
        <f t="shared" si="16"/>
        <v>31.578947368421055</v>
      </c>
      <c r="K78" s="890"/>
    </row>
    <row r="79" spans="1:11" x14ac:dyDescent="0.25">
      <c r="A79" s="949" t="s">
        <v>869</v>
      </c>
      <c r="B79" s="938" t="str">
        <f t="shared" si="12"/>
        <v>Coriander Leaves - كزبرة خضراء</v>
      </c>
      <c r="C79" s="938" t="str">
        <f t="shared" si="13"/>
        <v>gm</v>
      </c>
      <c r="D79" s="938">
        <f t="shared" si="13"/>
        <v>10</v>
      </c>
      <c r="E79" s="940">
        <f t="shared" si="17"/>
        <v>10.526315789473685</v>
      </c>
      <c r="F79" s="948">
        <f t="shared" si="14"/>
        <v>1</v>
      </c>
      <c r="G79" s="940">
        <f t="shared" si="15"/>
        <v>105.26315789473685</v>
      </c>
      <c r="H79" s="943">
        <f t="shared" si="16"/>
        <v>105.26315789473685</v>
      </c>
      <c r="K79" s="890"/>
    </row>
    <row r="80" spans="1:11" x14ac:dyDescent="0.25">
      <c r="A80" s="949"/>
      <c r="B80" s="938" t="str">
        <f t="shared" si="12"/>
        <v>Butter - زبدة</v>
      </c>
      <c r="C80" s="938" t="str">
        <f t="shared" si="13"/>
        <v>gm</v>
      </c>
      <c r="D80" s="938">
        <f t="shared" si="13"/>
        <v>50</v>
      </c>
      <c r="E80" s="940">
        <f t="shared" si="17"/>
        <v>10.526315789473685</v>
      </c>
      <c r="F80" s="948">
        <f t="shared" si="14"/>
        <v>1</v>
      </c>
      <c r="G80" s="940">
        <f t="shared" si="15"/>
        <v>526.31578947368428</v>
      </c>
      <c r="H80" s="943">
        <f t="shared" si="16"/>
        <v>526.31578947368428</v>
      </c>
      <c r="K80" s="890"/>
    </row>
    <row r="81" spans="1:11" x14ac:dyDescent="0.25">
      <c r="A81" s="949"/>
      <c r="B81" s="938" t="str">
        <f t="shared" si="12"/>
        <v>Cloves Whole - قرنفل حب</v>
      </c>
      <c r="C81" s="938" t="str">
        <f t="shared" si="13"/>
        <v>gm</v>
      </c>
      <c r="D81" s="938">
        <f t="shared" si="13"/>
        <v>1</v>
      </c>
      <c r="E81" s="940">
        <f t="shared" si="17"/>
        <v>10.526315789473685</v>
      </c>
      <c r="F81" s="948">
        <f t="shared" si="14"/>
        <v>1</v>
      </c>
      <c r="G81" s="940">
        <f t="shared" si="15"/>
        <v>10.526315789473685</v>
      </c>
      <c r="H81" s="943">
        <f t="shared" si="16"/>
        <v>10.526315789473685</v>
      </c>
      <c r="K81" s="890"/>
    </row>
    <row r="82" spans="1:11" x14ac:dyDescent="0.25">
      <c r="A82" s="949"/>
      <c r="B82" s="938" t="str">
        <f t="shared" si="12"/>
        <v>Coriander Powder - كزبرة مطحونة</v>
      </c>
      <c r="C82" s="938" t="str">
        <f t="shared" si="13"/>
        <v>gm</v>
      </c>
      <c r="D82" s="938">
        <f t="shared" si="13"/>
        <v>15</v>
      </c>
      <c r="E82" s="940">
        <f t="shared" si="17"/>
        <v>10.526315789473685</v>
      </c>
      <c r="F82" s="948">
        <f t="shared" si="14"/>
        <v>1</v>
      </c>
      <c r="G82" s="940">
        <f t="shared" si="15"/>
        <v>157.89473684210526</v>
      </c>
      <c r="H82" s="943">
        <f t="shared" si="16"/>
        <v>157.89473684210526</v>
      </c>
      <c r="K82" s="890"/>
    </row>
    <row r="83" spans="1:11" x14ac:dyDescent="0.25">
      <c r="A83" s="949"/>
      <c r="B83" s="938" t="str">
        <f t="shared" si="12"/>
        <v>Cumin Powder - كمون مطحون</v>
      </c>
      <c r="C83" s="938" t="str">
        <f t="shared" si="13"/>
        <v>gm</v>
      </c>
      <c r="D83" s="938">
        <f t="shared" si="13"/>
        <v>2</v>
      </c>
      <c r="E83" s="940">
        <f t="shared" si="17"/>
        <v>10.526315789473685</v>
      </c>
      <c r="F83" s="948">
        <f t="shared" si="14"/>
        <v>1</v>
      </c>
      <c r="G83" s="940">
        <f t="shared" si="15"/>
        <v>21.05263157894737</v>
      </c>
      <c r="H83" s="943">
        <f t="shared" si="16"/>
        <v>21.05263157894737</v>
      </c>
      <c r="K83" s="890"/>
    </row>
    <row r="84" spans="1:11" x14ac:dyDescent="0.25">
      <c r="A84" s="949"/>
      <c r="B84" s="938" t="str">
        <f t="shared" si="12"/>
        <v>Turmeric - كركم</v>
      </c>
      <c r="C84" s="938" t="str">
        <f t="shared" si="13"/>
        <v>gm</v>
      </c>
      <c r="D84" s="938">
        <f t="shared" si="13"/>
        <v>1</v>
      </c>
      <c r="E84" s="940">
        <f t="shared" si="17"/>
        <v>10.526315789473685</v>
      </c>
      <c r="F84" s="948">
        <f t="shared" si="14"/>
        <v>1</v>
      </c>
      <c r="G84" s="940">
        <f t="shared" si="15"/>
        <v>10.526315789473685</v>
      </c>
      <c r="H84" s="943">
        <f t="shared" si="16"/>
        <v>10.526315789473685</v>
      </c>
      <c r="K84" s="890"/>
    </row>
    <row r="85" spans="1:11" x14ac:dyDescent="0.25">
      <c r="A85" s="949"/>
      <c r="B85" s="938" t="str">
        <f t="shared" si="12"/>
        <v>Lemon Juice - عصير ليمون</v>
      </c>
      <c r="C85" s="938" t="str">
        <f t="shared" si="13"/>
        <v>ml</v>
      </c>
      <c r="D85" s="938">
        <f t="shared" si="13"/>
        <v>20</v>
      </c>
      <c r="E85" s="940">
        <f t="shared" si="17"/>
        <v>10.526315789473685</v>
      </c>
      <c r="F85" s="948">
        <f t="shared" si="14"/>
        <v>1</v>
      </c>
      <c r="G85" s="940">
        <f t="shared" si="15"/>
        <v>210.5263157894737</v>
      </c>
      <c r="H85" s="943">
        <f t="shared" si="16"/>
        <v>210.5263157894737</v>
      </c>
      <c r="K85" s="890"/>
    </row>
    <row r="86" spans="1:11" x14ac:dyDescent="0.25">
      <c r="A86" s="949"/>
      <c r="B86" s="938" t="str">
        <f t="shared" si="12"/>
        <v>Star Anise - ينسون نجمي</v>
      </c>
      <c r="C86" s="938" t="str">
        <f t="shared" si="13"/>
        <v>gm</v>
      </c>
      <c r="D86" s="938">
        <f t="shared" si="13"/>
        <v>1</v>
      </c>
      <c r="E86" s="940">
        <f t="shared" si="17"/>
        <v>10.526315789473685</v>
      </c>
      <c r="F86" s="948">
        <f t="shared" si="14"/>
        <v>1</v>
      </c>
      <c r="G86" s="940">
        <f t="shared" si="15"/>
        <v>10.526315789473685</v>
      </c>
      <c r="H86" s="943">
        <f t="shared" si="16"/>
        <v>10.526315789473685</v>
      </c>
      <c r="K86" s="890"/>
    </row>
    <row r="87" spans="1:11" x14ac:dyDescent="0.25">
      <c r="A87" s="949"/>
      <c r="B87" s="938" t="str">
        <f t="shared" si="12"/>
        <v>Tomato Ketchup - كاتشب طماطم</v>
      </c>
      <c r="C87" s="938" t="str">
        <f t="shared" si="13"/>
        <v>ml</v>
      </c>
      <c r="D87" s="938">
        <f t="shared" si="13"/>
        <v>20</v>
      </c>
      <c r="E87" s="940">
        <f t="shared" si="17"/>
        <v>10.526315789473685</v>
      </c>
      <c r="F87" s="948">
        <f t="shared" si="14"/>
        <v>1</v>
      </c>
      <c r="G87" s="940">
        <f t="shared" si="15"/>
        <v>210.5263157894737</v>
      </c>
      <c r="H87" s="943">
        <f t="shared" si="16"/>
        <v>210.5263157894737</v>
      </c>
      <c r="K87" s="890"/>
    </row>
    <row r="88" spans="1:11" x14ac:dyDescent="0.25">
      <c r="A88" s="949"/>
      <c r="B88" s="938" t="str">
        <f t="shared" si="12"/>
        <v>Honey - عسل</v>
      </c>
      <c r="C88" s="938" t="str">
        <f t="shared" si="13"/>
        <v>gm</v>
      </c>
      <c r="D88" s="938">
        <f t="shared" si="13"/>
        <v>20</v>
      </c>
      <c r="E88" s="940">
        <f t="shared" si="17"/>
        <v>10.526315789473685</v>
      </c>
      <c r="F88" s="948">
        <f t="shared" si="14"/>
        <v>1</v>
      </c>
      <c r="G88" s="940">
        <f t="shared" si="15"/>
        <v>210.5263157894737</v>
      </c>
      <c r="H88" s="943">
        <f t="shared" si="16"/>
        <v>210.5263157894737</v>
      </c>
      <c r="K88" s="890"/>
    </row>
    <row r="89" spans="1:11" ht="18" x14ac:dyDescent="0.25">
      <c r="A89" s="1070"/>
      <c r="B89" s="1041" t="s">
        <v>287</v>
      </c>
      <c r="C89" s="1042" t="s">
        <v>273</v>
      </c>
      <c r="D89" s="1043"/>
      <c r="E89" s="1044" t="s">
        <v>288</v>
      </c>
      <c r="F89" s="1043"/>
      <c r="G89" s="1045" t="s">
        <v>264</v>
      </c>
      <c r="H89" s="1046" t="s">
        <v>661</v>
      </c>
      <c r="K89" s="890"/>
    </row>
    <row r="90" spans="1:11" ht="20.25" x14ac:dyDescent="0.3">
      <c r="A90" s="1070"/>
      <c r="B90" s="1047">
        <f>$J$53</f>
        <v>13637.090909090908</v>
      </c>
      <c r="C90" s="1048">
        <f>E90+G90</f>
        <v>10000</v>
      </c>
      <c r="D90" s="1049"/>
      <c r="E90" s="1047">
        <f>$D$53*$S$44</f>
        <v>4090.909090909091</v>
      </c>
      <c r="F90" s="1050"/>
      <c r="G90" s="1048">
        <f>$D$53*$T$44</f>
        <v>5909.090909090909</v>
      </c>
      <c r="H90" s="1047">
        <f>B90+E90</f>
        <v>17728</v>
      </c>
      <c r="K90" s="890"/>
    </row>
    <row r="91" spans="1:11" x14ac:dyDescent="0.25">
      <c r="B91" s="890"/>
      <c r="D91" s="890"/>
      <c r="E91" s="1150"/>
      <c r="F91" s="890"/>
      <c r="H91" s="890"/>
      <c r="K91" s="890"/>
    </row>
    <row r="92" spans="1:11" x14ac:dyDescent="0.25">
      <c r="B92" s="890"/>
      <c r="D92" s="890"/>
      <c r="E92" s="1150"/>
      <c r="F92" s="890"/>
      <c r="H92" s="890"/>
      <c r="K92" s="890"/>
    </row>
    <row r="93" spans="1:11" x14ac:dyDescent="0.25">
      <c r="A93" s="1036"/>
      <c r="B93" s="1776" t="str">
        <f>"دجاج بكريمة جوز الهند  2 / " &amp; COUNTIF($C$53:$C$55, "&gt;0")</f>
        <v>دجاج بكريمة جوز الهند  2 / 2</v>
      </c>
      <c r="C93" s="1800"/>
      <c r="D93" s="1801"/>
      <c r="E93" s="1830"/>
      <c r="F93" s="1801"/>
      <c r="G93" s="1800"/>
      <c r="H93" s="1801"/>
      <c r="K93" s="890"/>
    </row>
    <row r="94" spans="1:11" x14ac:dyDescent="0.25">
      <c r="A94" s="1036"/>
      <c r="B94" s="1776" t="str">
        <f>"Coconut Chicken  2 / " &amp; COUNTIF(C$53:$C$55, "&gt;0")</f>
        <v>Coconut Chicken  2 / 2</v>
      </c>
      <c r="C94" s="1777"/>
      <c r="D94" s="1778"/>
      <c r="E94" s="1778"/>
      <c r="F94" s="1778"/>
      <c r="G94" s="1777"/>
      <c r="H94" s="1778"/>
      <c r="K94" s="890"/>
    </row>
    <row r="95" spans="1:11" ht="38.25" x14ac:dyDescent="0.2">
      <c r="A95" s="1350" t="s">
        <v>864</v>
      </c>
      <c r="B95" s="923" t="s">
        <v>241</v>
      </c>
      <c r="C95" s="934" t="s">
        <v>242</v>
      </c>
      <c r="D95" s="923" t="s">
        <v>231</v>
      </c>
      <c r="E95" s="935" t="s">
        <v>234</v>
      </c>
      <c r="F95" s="935" t="s">
        <v>243</v>
      </c>
      <c r="G95" s="923" t="s">
        <v>244</v>
      </c>
      <c r="H95" s="936" t="s">
        <v>245</v>
      </c>
      <c r="K95" s="890"/>
    </row>
    <row r="96" spans="1:11" x14ac:dyDescent="0.2">
      <c r="A96" s="1369" t="s">
        <v>872</v>
      </c>
      <c r="B96" s="938" t="str">
        <f t="shared" ref="B96:D119" si="18">B5</f>
        <v>Chicken - دجاج</v>
      </c>
      <c r="C96" s="938" t="str">
        <f t="shared" si="18"/>
        <v>gm</v>
      </c>
      <c r="D96" s="1125">
        <f t="shared" si="18"/>
        <v>2311.3713405238827</v>
      </c>
      <c r="E96" s="1040">
        <f>H54</f>
        <v>1.6819410657072638</v>
      </c>
      <c r="F96" s="948">
        <f t="shared" ref="F96:F119" si="19">F5</f>
        <v>1</v>
      </c>
      <c r="G96" s="944">
        <f t="shared" ref="G96:G119" si="20">D96*E96</f>
        <v>3887.5903757259662</v>
      </c>
      <c r="H96" s="943">
        <f t="shared" ref="H96:H119" si="21">G96*F96</f>
        <v>3887.5903757259662</v>
      </c>
      <c r="K96" s="890"/>
    </row>
    <row r="97" spans="1:11" x14ac:dyDescent="0.25">
      <c r="A97" s="949"/>
      <c r="B97" s="938" t="str">
        <f t="shared" si="18"/>
        <v>Fennel Seeds - شمر حب</v>
      </c>
      <c r="C97" s="938" t="str">
        <f t="shared" si="18"/>
        <v>gm</v>
      </c>
      <c r="D97" s="938">
        <f t="shared" si="18"/>
        <v>2</v>
      </c>
      <c r="E97" s="1040">
        <f t="shared" ref="E97:E119" si="22">$C$54</f>
        <v>1.7711201079622185</v>
      </c>
      <c r="F97" s="948">
        <f t="shared" si="19"/>
        <v>1</v>
      </c>
      <c r="G97" s="944">
        <f t="shared" si="20"/>
        <v>3.5422402159244371</v>
      </c>
      <c r="H97" s="943">
        <f t="shared" si="21"/>
        <v>3.5422402159244371</v>
      </c>
      <c r="K97" s="890"/>
    </row>
    <row r="98" spans="1:11" x14ac:dyDescent="0.25">
      <c r="A98" s="949"/>
      <c r="B98" s="938" t="str">
        <f t="shared" si="18"/>
        <v>Cumin Whole - كمون حب</v>
      </c>
      <c r="C98" s="938" t="str">
        <f t="shared" si="18"/>
        <v>gm</v>
      </c>
      <c r="D98" s="938">
        <f t="shared" si="18"/>
        <v>1</v>
      </c>
      <c r="E98" s="1040">
        <f t="shared" si="22"/>
        <v>1.7711201079622185</v>
      </c>
      <c r="F98" s="948">
        <f t="shared" si="19"/>
        <v>1</v>
      </c>
      <c r="G98" s="944">
        <f t="shared" si="20"/>
        <v>1.7711201079622185</v>
      </c>
      <c r="H98" s="943">
        <f t="shared" si="21"/>
        <v>1.7711201079622185</v>
      </c>
      <c r="K98" s="890"/>
    </row>
    <row r="99" spans="1:11" x14ac:dyDescent="0.25">
      <c r="A99" s="949"/>
      <c r="B99" s="938" t="str">
        <f t="shared" si="18"/>
        <v>Cardamom Whole - هيل حب</v>
      </c>
      <c r="C99" s="938" t="str">
        <f t="shared" si="18"/>
        <v>gm</v>
      </c>
      <c r="D99" s="938">
        <f t="shared" si="18"/>
        <v>1</v>
      </c>
      <c r="E99" s="1040">
        <f t="shared" si="22"/>
        <v>1.7711201079622185</v>
      </c>
      <c r="F99" s="948">
        <f t="shared" si="19"/>
        <v>1</v>
      </c>
      <c r="G99" s="944">
        <f t="shared" si="20"/>
        <v>1.7711201079622185</v>
      </c>
      <c r="H99" s="943">
        <f t="shared" si="21"/>
        <v>1.7711201079622185</v>
      </c>
      <c r="K99" s="890"/>
    </row>
    <row r="100" spans="1:11" x14ac:dyDescent="0.25">
      <c r="A100" s="949"/>
      <c r="B100" s="938" t="str">
        <f t="shared" si="18"/>
        <v>Cinnamon Powder - قرفة مطحونة</v>
      </c>
      <c r="C100" s="938" t="str">
        <f t="shared" si="18"/>
        <v>gm</v>
      </c>
      <c r="D100" s="938">
        <f t="shared" si="18"/>
        <v>1</v>
      </c>
      <c r="E100" s="1040">
        <f t="shared" si="22"/>
        <v>1.7711201079622185</v>
      </c>
      <c r="F100" s="948">
        <f t="shared" si="19"/>
        <v>1</v>
      </c>
      <c r="G100" s="944">
        <f t="shared" si="20"/>
        <v>1.7711201079622185</v>
      </c>
      <c r="H100" s="943">
        <f t="shared" si="21"/>
        <v>1.7711201079622185</v>
      </c>
      <c r="K100" s="890"/>
    </row>
    <row r="101" spans="1:11" x14ac:dyDescent="0.25">
      <c r="A101" s="949" t="s">
        <v>881</v>
      </c>
      <c r="B101" s="938" t="str">
        <f t="shared" si="18"/>
        <v>Onion - بصل</v>
      </c>
      <c r="C101" s="938" t="str">
        <f t="shared" si="18"/>
        <v>gm</v>
      </c>
      <c r="D101" s="938">
        <f t="shared" si="18"/>
        <v>350</v>
      </c>
      <c r="E101" s="1040">
        <f t="shared" si="22"/>
        <v>1.7711201079622185</v>
      </c>
      <c r="F101" s="948">
        <f t="shared" si="19"/>
        <v>0.95</v>
      </c>
      <c r="G101" s="944">
        <f t="shared" si="20"/>
        <v>619.89203778677643</v>
      </c>
      <c r="H101" s="943">
        <f t="shared" si="21"/>
        <v>588.89743589743762</v>
      </c>
      <c r="K101" s="890"/>
    </row>
    <row r="102" spans="1:11" x14ac:dyDescent="0.25">
      <c r="A102" s="949"/>
      <c r="B102" s="938" t="str">
        <f t="shared" si="18"/>
        <v>Coconut Milk - حليب جوز الهند</v>
      </c>
      <c r="C102" s="938" t="str">
        <f t="shared" si="18"/>
        <v>ml</v>
      </c>
      <c r="D102" s="938">
        <f t="shared" si="18"/>
        <v>300</v>
      </c>
      <c r="E102" s="1040">
        <f t="shared" si="22"/>
        <v>1.7711201079622185</v>
      </c>
      <c r="F102" s="948">
        <f t="shared" si="19"/>
        <v>0.9</v>
      </c>
      <c r="G102" s="944">
        <f t="shared" si="20"/>
        <v>531.33603238866556</v>
      </c>
      <c r="H102" s="943">
        <f t="shared" si="21"/>
        <v>478.202429149799</v>
      </c>
      <c r="K102" s="890"/>
    </row>
    <row r="103" spans="1:11" x14ac:dyDescent="0.25">
      <c r="A103" s="949"/>
      <c r="B103" s="938" t="str">
        <f t="shared" si="18"/>
        <v>Fresh Coconut - جوز هند طازج</v>
      </c>
      <c r="C103" s="938" t="str">
        <f t="shared" si="18"/>
        <v>gm</v>
      </c>
      <c r="D103" s="938">
        <f t="shared" si="18"/>
        <v>200</v>
      </c>
      <c r="E103" s="1040">
        <f t="shared" si="22"/>
        <v>1.7711201079622185</v>
      </c>
      <c r="F103" s="948">
        <f t="shared" si="19"/>
        <v>0.8</v>
      </c>
      <c r="G103" s="944">
        <f t="shared" si="20"/>
        <v>354.22402159244371</v>
      </c>
      <c r="H103" s="943">
        <f t="shared" si="21"/>
        <v>283.37921727395496</v>
      </c>
      <c r="K103" s="890"/>
    </row>
    <row r="104" spans="1:11" x14ac:dyDescent="0.25">
      <c r="A104" s="949" t="s">
        <v>868</v>
      </c>
      <c r="B104" s="938" t="str">
        <f t="shared" si="18"/>
        <v>Garlic - ثوم مقشر</v>
      </c>
      <c r="C104" s="938" t="str">
        <f t="shared" si="18"/>
        <v>gm</v>
      </c>
      <c r="D104" s="938">
        <f t="shared" si="18"/>
        <v>25</v>
      </c>
      <c r="E104" s="1040">
        <f t="shared" si="22"/>
        <v>1.7711201079622185</v>
      </c>
      <c r="F104" s="948">
        <f t="shared" si="19"/>
        <v>0.95</v>
      </c>
      <c r="G104" s="944">
        <f t="shared" si="20"/>
        <v>44.278002699055463</v>
      </c>
      <c r="H104" s="943">
        <f t="shared" si="21"/>
        <v>42.06410256410269</v>
      </c>
      <c r="K104" s="890"/>
    </row>
    <row r="105" spans="1:11" ht="25.5" x14ac:dyDescent="0.25">
      <c r="A105" s="949"/>
      <c r="B105" s="938" t="str">
        <f t="shared" si="18"/>
        <v>Kashmiri Red Chilli Whole - فلفل كشميري أحمر كامل</v>
      </c>
      <c r="C105" s="938" t="str">
        <f t="shared" si="18"/>
        <v>gm</v>
      </c>
      <c r="D105" s="938">
        <f t="shared" si="18"/>
        <v>10</v>
      </c>
      <c r="E105" s="1040">
        <f t="shared" si="22"/>
        <v>1.7711201079622185</v>
      </c>
      <c r="F105" s="948">
        <f t="shared" si="19"/>
        <v>0.75</v>
      </c>
      <c r="G105" s="944">
        <f t="shared" si="20"/>
        <v>17.711201079622185</v>
      </c>
      <c r="H105" s="943">
        <f t="shared" si="21"/>
        <v>13.283400809716639</v>
      </c>
      <c r="K105" s="890"/>
    </row>
    <row r="106" spans="1:11" x14ac:dyDescent="0.25">
      <c r="A106" s="949"/>
      <c r="B106" s="938" t="str">
        <f t="shared" si="18"/>
        <v>Orange Color - لون برتقالي</v>
      </c>
      <c r="C106" s="938" t="str">
        <f t="shared" si="18"/>
        <v>gm</v>
      </c>
      <c r="D106" s="938">
        <f t="shared" si="18"/>
        <v>2</v>
      </c>
      <c r="E106" s="1040">
        <f t="shared" si="22"/>
        <v>1.7711201079622185</v>
      </c>
      <c r="F106" s="948">
        <f t="shared" si="19"/>
        <v>1</v>
      </c>
      <c r="G106" s="944">
        <f t="shared" si="20"/>
        <v>3.5422402159244371</v>
      </c>
      <c r="H106" s="943">
        <f t="shared" si="21"/>
        <v>3.5422402159244371</v>
      </c>
      <c r="K106" s="890"/>
    </row>
    <row r="107" spans="1:11" x14ac:dyDescent="0.25">
      <c r="A107" s="949"/>
      <c r="B107" s="938" t="str">
        <f t="shared" si="18"/>
        <v>Salt - ملح</v>
      </c>
      <c r="C107" s="938" t="str">
        <f t="shared" si="18"/>
        <v>gm</v>
      </c>
      <c r="D107" s="938">
        <f t="shared" si="18"/>
        <v>11</v>
      </c>
      <c r="E107" s="1040">
        <f t="shared" si="22"/>
        <v>1.7711201079622185</v>
      </c>
      <c r="F107" s="948">
        <f t="shared" si="19"/>
        <v>0.75</v>
      </c>
      <c r="G107" s="944">
        <f t="shared" si="20"/>
        <v>19.482321187584404</v>
      </c>
      <c r="H107" s="943">
        <f t="shared" si="21"/>
        <v>14.611740890688303</v>
      </c>
      <c r="K107" s="890"/>
    </row>
    <row r="108" spans="1:11" x14ac:dyDescent="0.25">
      <c r="A108" s="949"/>
      <c r="B108" s="938" t="str">
        <f t="shared" si="18"/>
        <v>Water - ماء</v>
      </c>
      <c r="C108" s="938" t="str">
        <f t="shared" si="18"/>
        <v>ml</v>
      </c>
      <c r="D108" s="938">
        <f t="shared" si="18"/>
        <v>500</v>
      </c>
      <c r="E108" s="1040">
        <f t="shared" si="22"/>
        <v>1.7711201079622185</v>
      </c>
      <c r="F108" s="948">
        <f t="shared" si="19"/>
        <v>0.75</v>
      </c>
      <c r="G108" s="944">
        <f t="shared" si="20"/>
        <v>885.56005398110926</v>
      </c>
      <c r="H108" s="943">
        <f t="shared" si="21"/>
        <v>664.17004048583192</v>
      </c>
      <c r="K108" s="890"/>
    </row>
    <row r="109" spans="1:11" x14ac:dyDescent="0.25">
      <c r="A109" s="949" t="s">
        <v>884</v>
      </c>
      <c r="B109" s="938" t="str">
        <f t="shared" si="18"/>
        <v>Curry Leaves - أوراق الكاري</v>
      </c>
      <c r="C109" s="938" t="str">
        <f t="shared" si="18"/>
        <v>gm</v>
      </c>
      <c r="D109" s="938">
        <f t="shared" si="18"/>
        <v>3</v>
      </c>
      <c r="E109" s="1040">
        <f t="shared" si="22"/>
        <v>1.7711201079622185</v>
      </c>
      <c r="F109" s="948">
        <f t="shared" si="19"/>
        <v>1</v>
      </c>
      <c r="G109" s="944">
        <f t="shared" si="20"/>
        <v>5.3133603238866556</v>
      </c>
      <c r="H109" s="943">
        <f t="shared" si="21"/>
        <v>5.3133603238866556</v>
      </c>
      <c r="K109" s="890"/>
    </row>
    <row r="110" spans="1:11" x14ac:dyDescent="0.25">
      <c r="A110" s="949" t="s">
        <v>869</v>
      </c>
      <c r="B110" s="938" t="str">
        <f t="shared" si="18"/>
        <v>Coriander Leaves - كزبرة خضراء</v>
      </c>
      <c r="C110" s="938" t="str">
        <f t="shared" si="18"/>
        <v>gm</v>
      </c>
      <c r="D110" s="938">
        <f t="shared" si="18"/>
        <v>10</v>
      </c>
      <c r="E110" s="1040">
        <f t="shared" si="22"/>
        <v>1.7711201079622185</v>
      </c>
      <c r="F110" s="948">
        <f t="shared" si="19"/>
        <v>1</v>
      </c>
      <c r="G110" s="944">
        <f t="shared" si="20"/>
        <v>17.711201079622185</v>
      </c>
      <c r="H110" s="943">
        <f t="shared" si="21"/>
        <v>17.711201079622185</v>
      </c>
      <c r="K110" s="890"/>
    </row>
    <row r="111" spans="1:11" x14ac:dyDescent="0.25">
      <c r="A111" s="949"/>
      <c r="B111" s="938" t="str">
        <f t="shared" si="18"/>
        <v>Butter - زبدة</v>
      </c>
      <c r="C111" s="938" t="str">
        <f t="shared" si="18"/>
        <v>gm</v>
      </c>
      <c r="D111" s="938">
        <f t="shared" si="18"/>
        <v>50</v>
      </c>
      <c r="E111" s="1040">
        <f t="shared" si="22"/>
        <v>1.7711201079622185</v>
      </c>
      <c r="F111" s="948">
        <f t="shared" si="19"/>
        <v>1</v>
      </c>
      <c r="G111" s="944">
        <f t="shared" si="20"/>
        <v>88.556005398110926</v>
      </c>
      <c r="H111" s="943">
        <f t="shared" si="21"/>
        <v>88.556005398110926</v>
      </c>
      <c r="K111" s="890"/>
    </row>
    <row r="112" spans="1:11" x14ac:dyDescent="0.25">
      <c r="A112" s="949"/>
      <c r="B112" s="938" t="str">
        <f t="shared" si="18"/>
        <v>Cloves Whole - قرنفل حب</v>
      </c>
      <c r="C112" s="938" t="str">
        <f t="shared" si="18"/>
        <v>gm</v>
      </c>
      <c r="D112" s="938">
        <f t="shared" si="18"/>
        <v>1</v>
      </c>
      <c r="E112" s="1040">
        <f t="shared" si="22"/>
        <v>1.7711201079622185</v>
      </c>
      <c r="F112" s="948">
        <f t="shared" si="19"/>
        <v>1</v>
      </c>
      <c r="G112" s="944">
        <f t="shared" si="20"/>
        <v>1.7711201079622185</v>
      </c>
      <c r="H112" s="943">
        <f t="shared" si="21"/>
        <v>1.7711201079622185</v>
      </c>
      <c r="K112" s="890"/>
    </row>
    <row r="113" spans="1:11" x14ac:dyDescent="0.25">
      <c r="A113" s="949"/>
      <c r="B113" s="938" t="str">
        <f t="shared" si="18"/>
        <v>Coriander Powder - كزبرة مطحونة</v>
      </c>
      <c r="C113" s="938" t="str">
        <f t="shared" si="18"/>
        <v>gm</v>
      </c>
      <c r="D113" s="938">
        <f t="shared" si="18"/>
        <v>15</v>
      </c>
      <c r="E113" s="1040">
        <f t="shared" si="22"/>
        <v>1.7711201079622185</v>
      </c>
      <c r="F113" s="948">
        <f t="shared" si="19"/>
        <v>1</v>
      </c>
      <c r="G113" s="944">
        <f t="shared" si="20"/>
        <v>26.566801619433278</v>
      </c>
      <c r="H113" s="943">
        <f t="shared" si="21"/>
        <v>26.566801619433278</v>
      </c>
      <c r="K113" s="890"/>
    </row>
    <row r="114" spans="1:11" x14ac:dyDescent="0.25">
      <c r="A114" s="949"/>
      <c r="B114" s="938" t="str">
        <f t="shared" si="18"/>
        <v>Cumin Powder - كمون مطحون</v>
      </c>
      <c r="C114" s="938" t="str">
        <f t="shared" si="18"/>
        <v>gm</v>
      </c>
      <c r="D114" s="938">
        <f t="shared" si="18"/>
        <v>2</v>
      </c>
      <c r="E114" s="1040">
        <f t="shared" si="22"/>
        <v>1.7711201079622185</v>
      </c>
      <c r="F114" s="948">
        <f t="shared" si="19"/>
        <v>1</v>
      </c>
      <c r="G114" s="944">
        <f t="shared" si="20"/>
        <v>3.5422402159244371</v>
      </c>
      <c r="H114" s="943">
        <f t="shared" si="21"/>
        <v>3.5422402159244371</v>
      </c>
      <c r="K114" s="890"/>
    </row>
    <row r="115" spans="1:11" x14ac:dyDescent="0.25">
      <c r="A115" s="949"/>
      <c r="B115" s="938" t="str">
        <f t="shared" si="18"/>
        <v>Turmeric - كركم</v>
      </c>
      <c r="C115" s="938" t="str">
        <f t="shared" si="18"/>
        <v>gm</v>
      </c>
      <c r="D115" s="938">
        <f t="shared" si="18"/>
        <v>1</v>
      </c>
      <c r="E115" s="1040">
        <f t="shared" si="22"/>
        <v>1.7711201079622185</v>
      </c>
      <c r="F115" s="948">
        <f t="shared" si="19"/>
        <v>1</v>
      </c>
      <c r="G115" s="944">
        <f t="shared" si="20"/>
        <v>1.7711201079622185</v>
      </c>
      <c r="H115" s="943">
        <f t="shared" si="21"/>
        <v>1.7711201079622185</v>
      </c>
      <c r="K115" s="890"/>
    </row>
    <row r="116" spans="1:11" x14ac:dyDescent="0.25">
      <c r="A116" s="949"/>
      <c r="B116" s="938" t="str">
        <f t="shared" si="18"/>
        <v>Lemon Juice - عصير ليمون</v>
      </c>
      <c r="C116" s="938" t="str">
        <f t="shared" si="18"/>
        <v>ml</v>
      </c>
      <c r="D116" s="938">
        <f t="shared" si="18"/>
        <v>20</v>
      </c>
      <c r="E116" s="1040">
        <f t="shared" si="22"/>
        <v>1.7711201079622185</v>
      </c>
      <c r="F116" s="948">
        <f t="shared" si="19"/>
        <v>1</v>
      </c>
      <c r="G116" s="944">
        <f t="shared" si="20"/>
        <v>35.422402159244371</v>
      </c>
      <c r="H116" s="943">
        <f t="shared" si="21"/>
        <v>35.422402159244371</v>
      </c>
      <c r="K116" s="890"/>
    </row>
    <row r="117" spans="1:11" x14ac:dyDescent="0.25">
      <c r="A117" s="949"/>
      <c r="B117" s="938" t="str">
        <f t="shared" si="18"/>
        <v>Star Anise - ينسون نجمي</v>
      </c>
      <c r="C117" s="938" t="str">
        <f t="shared" si="18"/>
        <v>gm</v>
      </c>
      <c r="D117" s="938">
        <f t="shared" si="18"/>
        <v>1</v>
      </c>
      <c r="E117" s="1040">
        <f t="shared" si="22"/>
        <v>1.7711201079622185</v>
      </c>
      <c r="F117" s="948">
        <f t="shared" si="19"/>
        <v>1</v>
      </c>
      <c r="G117" s="944">
        <f t="shared" si="20"/>
        <v>1.7711201079622185</v>
      </c>
      <c r="H117" s="943">
        <f t="shared" si="21"/>
        <v>1.7711201079622185</v>
      </c>
      <c r="K117" s="890"/>
    </row>
    <row r="118" spans="1:11" x14ac:dyDescent="0.25">
      <c r="A118" s="949"/>
      <c r="B118" s="938" t="str">
        <f t="shared" si="18"/>
        <v>Tomato Ketchup - كاتشب طماطم</v>
      </c>
      <c r="C118" s="938" t="str">
        <f t="shared" si="18"/>
        <v>ml</v>
      </c>
      <c r="D118" s="938">
        <f t="shared" si="18"/>
        <v>20</v>
      </c>
      <c r="E118" s="1040">
        <f t="shared" si="22"/>
        <v>1.7711201079622185</v>
      </c>
      <c r="F118" s="948">
        <f t="shared" si="19"/>
        <v>1</v>
      </c>
      <c r="G118" s="944">
        <f t="shared" si="20"/>
        <v>35.422402159244371</v>
      </c>
      <c r="H118" s="943">
        <f t="shared" si="21"/>
        <v>35.422402159244371</v>
      </c>
      <c r="K118" s="890"/>
    </row>
    <row r="119" spans="1:11" x14ac:dyDescent="0.25">
      <c r="A119" s="949"/>
      <c r="B119" s="938" t="str">
        <f t="shared" si="18"/>
        <v>Honey - عسل</v>
      </c>
      <c r="C119" s="938" t="str">
        <f t="shared" si="18"/>
        <v>gm</v>
      </c>
      <c r="D119" s="938">
        <f t="shared" si="18"/>
        <v>20</v>
      </c>
      <c r="E119" s="1040">
        <f t="shared" si="22"/>
        <v>1.7711201079622185</v>
      </c>
      <c r="F119" s="948">
        <f t="shared" si="19"/>
        <v>1</v>
      </c>
      <c r="G119" s="944">
        <f t="shared" si="20"/>
        <v>35.422402159244371</v>
      </c>
      <c r="H119" s="943">
        <f t="shared" si="21"/>
        <v>35.422402159244371</v>
      </c>
      <c r="K119" s="890"/>
    </row>
    <row r="120" spans="1:11" ht="18" x14ac:dyDescent="0.25">
      <c r="A120" s="1070"/>
      <c r="B120" s="1041" t="s">
        <v>287</v>
      </c>
      <c r="C120" s="1042" t="s">
        <v>273</v>
      </c>
      <c r="D120" s="1043"/>
      <c r="E120" s="1044" t="s">
        <v>288</v>
      </c>
      <c r="F120" s="1043"/>
      <c r="G120" s="1045" t="s">
        <v>264</v>
      </c>
      <c r="H120" s="1046" t="s">
        <v>661</v>
      </c>
      <c r="K120" s="890"/>
    </row>
    <row r="121" spans="1:11" ht="20.25" x14ac:dyDescent="0.3">
      <c r="A121" s="1070"/>
      <c r="B121" s="1047">
        <f>$J$54</f>
        <v>2293.6783216783188</v>
      </c>
      <c r="C121" s="1048">
        <f>E121+G121</f>
        <v>1682.5641025641075</v>
      </c>
      <c r="D121" s="1049"/>
      <c r="E121" s="1047">
        <f>$D$54*$S$44</f>
        <v>688.32167832168045</v>
      </c>
      <c r="F121" s="1050"/>
      <c r="G121" s="1048">
        <f>$D$54*$T$44</f>
        <v>994.24242424242721</v>
      </c>
      <c r="H121" s="1047">
        <f>B121+E121</f>
        <v>2981.9999999999991</v>
      </c>
      <c r="K121" s="890"/>
    </row>
  </sheetData>
  <mergeCells count="9">
    <mergeCell ref="AK2:AM2"/>
    <mergeCell ref="AE2:AG3"/>
    <mergeCell ref="B93:H93"/>
    <mergeCell ref="B94:H94"/>
    <mergeCell ref="R26:U26"/>
    <mergeCell ref="R25:U25"/>
    <mergeCell ref="B62:H62"/>
    <mergeCell ref="F2:F3"/>
    <mergeCell ref="B63:H63"/>
  </mergeCells>
  <printOptions horizontalCentered="1"/>
  <pageMargins left="0.4" right="0.4" top="1" bottom="0.5" header="0.3" footer="0.511811023622047"/>
  <pageSetup paperSize="9" scale="42" orientation="landscape"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2E75B6"/>
    <pageSetUpPr fitToPage="1"/>
  </sheetPr>
  <dimension ref="A1:AT107"/>
  <sheetViews>
    <sheetView topLeftCell="A14" zoomScale="55" zoomScaleNormal="55" workbookViewId="0">
      <selection activeCell="A96" sqref="A96"/>
    </sheetView>
  </sheetViews>
  <sheetFormatPr defaultColWidth="12.5" defaultRowHeight="15" x14ac:dyDescent="0.25"/>
  <cols>
    <col min="1" max="1" width="18.625" style="61" customWidth="1"/>
    <col min="2" max="2" width="25.875" style="14" customWidth="1"/>
    <col min="3" max="3" width="18.625" style="14" customWidth="1"/>
    <col min="4" max="4" width="25.875" style="14" customWidth="1"/>
    <col min="5" max="5" width="25.875" style="190" customWidth="1"/>
    <col min="6"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5.37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5" width="8.625" style="14" customWidth="1"/>
    <col min="26" max="31" width="12.625" style="14" customWidth="1"/>
    <col min="32" max="32" width="11.75" style="14" bestFit="1" customWidth="1"/>
    <col min="33" max="34" width="4.25" style="14" customWidth="1"/>
    <col min="35" max="35" width="18.625" style="14" customWidth="1"/>
    <col min="36" max="36" width="25.875" style="14" customWidth="1"/>
    <col min="37" max="37" width="18.625" style="14" customWidth="1"/>
    <col min="38"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ht="25.5" x14ac:dyDescent="0.25">
      <c r="B1" s="913" t="s">
        <v>231</v>
      </c>
      <c r="C1" s="914">
        <v>1000</v>
      </c>
      <c r="D1" s="915" t="s">
        <v>232</v>
      </c>
      <c r="E1" s="916">
        <f>$T$32</f>
        <v>8713.8461538461615</v>
      </c>
      <c r="F1" s="1368" t="s">
        <v>233</v>
      </c>
      <c r="G1" s="917">
        <f>E1/1000</f>
        <v>8.7138461538461609</v>
      </c>
      <c r="H1" s="913" t="s">
        <v>234</v>
      </c>
      <c r="I1" s="918">
        <f>(G1/K1)</f>
        <v>9.0769230769230838</v>
      </c>
      <c r="J1" s="919" t="s">
        <v>235</v>
      </c>
      <c r="K1" s="918">
        <v>0.96</v>
      </c>
      <c r="L1" s="69"/>
      <c r="M1" s="70"/>
      <c r="N1" s="922"/>
      <c r="O1" s="923" t="s">
        <v>236</v>
      </c>
      <c r="P1" s="914" t="s">
        <v>237</v>
      </c>
      <c r="Q1" s="924" t="s">
        <v>238</v>
      </c>
      <c r="R1" s="914">
        <v>0.59</v>
      </c>
      <c r="T1" s="890"/>
      <c r="W1" s="890"/>
      <c r="Y1" s="923" t="s">
        <v>444</v>
      </c>
      <c r="Z1" s="925">
        <v>36760</v>
      </c>
      <c r="AA1" s="923" t="s">
        <v>544</v>
      </c>
      <c r="AB1" s="925">
        <v>1000</v>
      </c>
      <c r="AC1" s="923" t="s">
        <v>537</v>
      </c>
      <c r="AD1" s="925">
        <v>266</v>
      </c>
      <c r="AE1" s="168"/>
      <c r="AF1" s="170"/>
      <c r="AG1" s="73"/>
      <c r="AI1" s="61"/>
      <c r="AJ1" s="926" t="s">
        <v>250</v>
      </c>
      <c r="AK1" s="926">
        <v>10000</v>
      </c>
      <c r="AL1" s="927" t="s">
        <v>474</v>
      </c>
      <c r="AM1" s="928">
        <f>$S$32</f>
        <v>29046.15384615384</v>
      </c>
      <c r="AN1" s="926" t="s">
        <v>239</v>
      </c>
      <c r="AO1" s="1349">
        <f>($S$32/$R$1)/$AK$1</f>
        <v>4.9230769230769225</v>
      </c>
      <c r="AP1" s="76"/>
      <c r="AS1" s="890"/>
    </row>
    <row r="2" spans="1:46" ht="15.75" x14ac:dyDescent="0.25">
      <c r="A2" s="863"/>
      <c r="B2" s="1784" t="s">
        <v>48</v>
      </c>
      <c r="C2" s="1797"/>
      <c r="D2" s="1798"/>
      <c r="E2" s="1829"/>
      <c r="F2" s="1798"/>
      <c r="G2" s="1797"/>
      <c r="H2" s="1798"/>
      <c r="I2" s="1797"/>
      <c r="J2" s="1797"/>
      <c r="K2" s="1788"/>
      <c r="L2" s="187"/>
      <c r="M2" s="80"/>
      <c r="N2" s="80"/>
      <c r="O2" s="80"/>
      <c r="P2" s="80"/>
      <c r="Q2" s="80"/>
      <c r="R2" s="80"/>
      <c r="T2" s="890"/>
      <c r="W2" s="890"/>
      <c r="AC2" s="79"/>
      <c r="AD2" s="79"/>
      <c r="AE2" s="1795"/>
      <c r="AF2" s="1799"/>
      <c r="AG2" s="1799"/>
      <c r="AI2" s="61"/>
      <c r="AJ2" s="930"/>
      <c r="AK2" s="1783" t="s">
        <v>475</v>
      </c>
      <c r="AL2" s="1783"/>
      <c r="AM2" s="1783"/>
      <c r="AN2" s="931"/>
      <c r="AO2" s="930"/>
      <c r="AP2" s="81"/>
      <c r="AS2" s="890"/>
    </row>
    <row r="3" spans="1:46" ht="15.75" x14ac:dyDescent="0.25">
      <c r="A3" s="863"/>
      <c r="B3" s="1785"/>
      <c r="C3" s="1796"/>
      <c r="D3" s="1785"/>
      <c r="E3" s="1785"/>
      <c r="F3" s="1785"/>
      <c r="G3" s="1796"/>
      <c r="H3" s="1785"/>
      <c r="I3" s="1796"/>
      <c r="J3" s="1796"/>
      <c r="K3" s="1831"/>
      <c r="L3" s="187"/>
      <c r="M3" s="80"/>
      <c r="N3" s="80"/>
      <c r="O3" s="80"/>
      <c r="P3" s="80"/>
      <c r="Q3" s="80"/>
      <c r="R3" s="80"/>
      <c r="T3" s="890"/>
      <c r="W3" s="890"/>
      <c r="AC3" s="79"/>
      <c r="AD3" s="79"/>
      <c r="AE3" s="1799"/>
      <c r="AF3" s="1799"/>
      <c r="AG3" s="1799"/>
      <c r="AI3" s="61"/>
      <c r="AJ3" s="81"/>
      <c r="AK3" s="81"/>
      <c r="AL3" s="82"/>
      <c r="AM3" s="82"/>
      <c r="AN3" s="82"/>
      <c r="AO3" s="81"/>
      <c r="AP3" s="81"/>
      <c r="AS3" s="890"/>
    </row>
    <row r="4" spans="1:46" ht="38.25" x14ac:dyDescent="0.25">
      <c r="A4" s="1350" t="s">
        <v>864</v>
      </c>
      <c r="B4" s="923" t="s">
        <v>241</v>
      </c>
      <c r="C4" s="934" t="s">
        <v>242</v>
      </c>
      <c r="D4" s="923" t="s">
        <v>231</v>
      </c>
      <c r="E4" s="935" t="s">
        <v>234</v>
      </c>
      <c r="F4" s="935" t="s">
        <v>243</v>
      </c>
      <c r="G4" s="923" t="s">
        <v>244</v>
      </c>
      <c r="H4" s="936" t="s">
        <v>245</v>
      </c>
      <c r="I4" s="923" t="s">
        <v>246</v>
      </c>
      <c r="J4" s="923" t="s">
        <v>247</v>
      </c>
      <c r="K4" s="923" t="s">
        <v>248</v>
      </c>
      <c r="L4" s="923" t="s">
        <v>249</v>
      </c>
      <c r="M4" s="80"/>
      <c r="N4" s="80"/>
      <c r="O4" s="80"/>
      <c r="P4" s="80"/>
      <c r="R4" s="890"/>
      <c r="T4" s="890"/>
      <c r="W4" s="890"/>
      <c r="AA4" s="169"/>
      <c r="AB4" s="171"/>
      <c r="AC4" s="169"/>
      <c r="AD4" s="169"/>
      <c r="AE4" s="169"/>
      <c r="AI4" s="949"/>
      <c r="AJ4" s="926" t="s">
        <v>241</v>
      </c>
      <c r="AK4" s="1169" t="s">
        <v>242</v>
      </c>
      <c r="AL4" s="926" t="s">
        <v>250</v>
      </c>
      <c r="AM4" s="926" t="s">
        <v>234</v>
      </c>
      <c r="AN4" s="926" t="s">
        <v>243</v>
      </c>
      <c r="AO4" s="926" t="s">
        <v>244</v>
      </c>
      <c r="AP4" s="926" t="s">
        <v>245</v>
      </c>
      <c r="AQ4" s="923" t="s">
        <v>246</v>
      </c>
      <c r="AR4" s="923" t="s">
        <v>247</v>
      </c>
      <c r="AS4" s="923" t="s">
        <v>248</v>
      </c>
      <c r="AT4" s="923" t="s">
        <v>249</v>
      </c>
    </row>
    <row r="5" spans="1:46" x14ac:dyDescent="0.25">
      <c r="A5" s="937" t="s">
        <v>872</v>
      </c>
      <c r="B5" s="1118" t="s">
        <v>220</v>
      </c>
      <c r="C5" s="939" t="s">
        <v>14</v>
      </c>
      <c r="D5" s="944">
        <f>I51/10</f>
        <v>5649.8305084745762</v>
      </c>
      <c r="E5" s="941">
        <f>H52</f>
        <v>8.7136718804085458</v>
      </c>
      <c r="F5" s="948">
        <v>1</v>
      </c>
      <c r="G5" s="940">
        <f t="shared" ref="G5:G20" si="0">D5*E5</f>
        <v>49230.769230769227</v>
      </c>
      <c r="H5" s="943">
        <f t="shared" ref="H5:H20" si="1">G5*F5</f>
        <v>49230.769230769227</v>
      </c>
      <c r="I5" s="914">
        <f>VLOOKUP(B5,All_Ingredients!$A$1:$F$161,6,FALSE())</f>
        <v>0.86</v>
      </c>
      <c r="J5" s="940">
        <f>VLOOKUP(B5,All_Ingredients!$A$1:$J$161,10,FALSE())</f>
        <v>17.100000000000001</v>
      </c>
      <c r="K5" s="945">
        <f t="shared" ref="K5" si="2">(H5/I5)/1000</f>
        <v>57.245080500894453</v>
      </c>
      <c r="L5" s="945">
        <f t="shared" ref="L5" si="3">K5*J5</f>
        <v>978.89087656529523</v>
      </c>
      <c r="M5" s="80"/>
      <c r="N5" s="80"/>
      <c r="O5" s="80"/>
      <c r="P5" s="80"/>
      <c r="R5" s="890"/>
      <c r="T5" s="890"/>
      <c r="W5" s="890"/>
      <c r="AA5" s="73"/>
      <c r="AB5" s="89"/>
      <c r="AC5" s="172"/>
      <c r="AD5" s="90"/>
      <c r="AE5" s="91"/>
      <c r="AI5" s="949"/>
      <c r="AJ5" s="938" t="s">
        <v>220</v>
      </c>
      <c r="AK5" s="947" t="s">
        <v>227</v>
      </c>
      <c r="AL5" s="940">
        <v>10</v>
      </c>
      <c r="AM5" s="940">
        <f t="shared" ref="AM5:AM19" si="4">$AO$1</f>
        <v>4.9230769230769225</v>
      </c>
      <c r="AN5" s="948">
        <v>1</v>
      </c>
      <c r="AO5" s="940">
        <f t="shared" ref="AO5:AO19" si="5">AL5*AM5</f>
        <v>49.230769230769226</v>
      </c>
      <c r="AP5" s="943">
        <f t="shared" ref="AP5:AP19" si="6">AO5*AN5</f>
        <v>49.230769230769226</v>
      </c>
      <c r="AQ5" s="952"/>
      <c r="AR5" s="953"/>
      <c r="AS5" s="954"/>
      <c r="AT5" s="955"/>
    </row>
    <row r="6" spans="1:46" x14ac:dyDescent="0.25">
      <c r="A6" s="949"/>
      <c r="B6" s="938" t="s">
        <v>198</v>
      </c>
      <c r="C6" s="1157" t="s">
        <v>160</v>
      </c>
      <c r="D6" s="914">
        <v>400</v>
      </c>
      <c r="E6" s="940">
        <f>$I$1</f>
        <v>9.0769230769230838</v>
      </c>
      <c r="F6" s="948">
        <v>1</v>
      </c>
      <c r="G6" s="940">
        <f t="shared" si="0"/>
        <v>3630.7692307692337</v>
      </c>
      <c r="H6" s="943">
        <f t="shared" si="1"/>
        <v>3630.7692307692337</v>
      </c>
      <c r="I6" s="914">
        <f>VLOOKUP(B6,All_Ingredients!$A$1:$F$161,6,FALSE())</f>
        <v>1</v>
      </c>
      <c r="J6" s="940">
        <f>VLOOKUP(B6,All_Ingredients!$A$1:$J$161,10,FALSE())</f>
        <v>3.25</v>
      </c>
      <c r="K6" s="945">
        <f t="shared" ref="K6:K20" si="7">(H6/I6)/1000</f>
        <v>3.6307692307692339</v>
      </c>
      <c r="L6" s="945">
        <f t="shared" ref="L6:L20" si="8">K6*J6</f>
        <v>11.80000000000001</v>
      </c>
      <c r="R6" s="890"/>
      <c r="T6" s="890"/>
      <c r="W6" s="890"/>
      <c r="AI6" s="949" t="s">
        <v>94</v>
      </c>
      <c r="AJ6" s="1130" t="s">
        <v>105</v>
      </c>
      <c r="AK6" s="1400" t="s">
        <v>14</v>
      </c>
      <c r="AL6" s="940">
        <v>20</v>
      </c>
      <c r="AM6" s="940">
        <f t="shared" si="4"/>
        <v>4.9230769230769225</v>
      </c>
      <c r="AN6" s="948">
        <v>1</v>
      </c>
      <c r="AO6" s="940">
        <f t="shared" si="5"/>
        <v>98.461538461538453</v>
      </c>
      <c r="AP6" s="943">
        <f t="shared" si="6"/>
        <v>98.461538461538453</v>
      </c>
      <c r="AQ6" s="955">
        <f>VLOOKUP(AJ6,Marination_Ordering!$A:$J,6,FALSE)</f>
        <v>1</v>
      </c>
      <c r="AR6" s="955">
        <f>VLOOKUP(AJ6,Marination_Ordering!$A:$J,10,FALSE)</f>
        <v>15</v>
      </c>
      <c r="AS6" s="954">
        <f>AP6/AQ6</f>
        <v>98.461538461538453</v>
      </c>
      <c r="AT6" s="955">
        <f>AR6*(AS6/1000)</f>
        <v>1.4769230769230768</v>
      </c>
    </row>
    <row r="7" spans="1:46" ht="28.5" x14ac:dyDescent="0.25">
      <c r="A7" s="949"/>
      <c r="B7" s="938" t="s">
        <v>192</v>
      </c>
      <c r="C7" s="947" t="s">
        <v>160</v>
      </c>
      <c r="D7" s="914">
        <v>33</v>
      </c>
      <c r="E7" s="940">
        <f t="shared" ref="E7:E20" si="9">$I$1</f>
        <v>9.0769230769230838</v>
      </c>
      <c r="F7" s="948">
        <v>0.75</v>
      </c>
      <c r="G7" s="940">
        <f t="shared" si="0"/>
        <v>299.53846153846177</v>
      </c>
      <c r="H7" s="943">
        <f t="shared" si="1"/>
        <v>224.65384615384633</v>
      </c>
      <c r="I7" s="914">
        <f>VLOOKUP(B7,All_Ingredients!$A$1:$F$161,6,FALSE())</f>
        <v>1</v>
      </c>
      <c r="J7" s="940">
        <f>VLOOKUP(B7,All_Ingredients!$A$1:$J$161,10,FALSE())</f>
        <v>58.685446009389672</v>
      </c>
      <c r="K7" s="945">
        <f t="shared" si="7"/>
        <v>0.22465384615384634</v>
      </c>
      <c r="L7" s="945">
        <f t="shared" si="8"/>
        <v>13.183911159263284</v>
      </c>
      <c r="R7" s="890"/>
      <c r="T7" s="890"/>
      <c r="W7" s="890"/>
      <c r="AI7" s="949" t="s">
        <v>94</v>
      </c>
      <c r="AJ7" s="1130" t="s">
        <v>107</v>
      </c>
      <c r="AK7" s="1400" t="s">
        <v>14</v>
      </c>
      <c r="AL7" s="940">
        <v>10</v>
      </c>
      <c r="AM7" s="940">
        <f t="shared" si="4"/>
        <v>4.9230769230769225</v>
      </c>
      <c r="AN7" s="948">
        <v>1</v>
      </c>
      <c r="AO7" s="940">
        <f t="shared" si="5"/>
        <v>49.230769230769226</v>
      </c>
      <c r="AP7" s="943">
        <f t="shared" si="6"/>
        <v>49.230769230769226</v>
      </c>
      <c r="AQ7" s="955">
        <f>VLOOKUP(AJ7,Marination_Ordering!$A:$J,6,FALSE)</f>
        <v>1</v>
      </c>
      <c r="AR7" s="955">
        <f>VLOOKUP(AJ7,Marination_Ordering!$A:$J,10,FALSE)</f>
        <v>8</v>
      </c>
      <c r="AS7" s="954">
        <f t="shared" ref="AS7:AS8" si="10">AP7/AQ7</f>
        <v>49.230769230769226</v>
      </c>
      <c r="AT7" s="955">
        <f t="shared" ref="AT7:AT8" si="11">AR7*(AS7/1000)</f>
        <v>0.39384615384615379</v>
      </c>
    </row>
    <row r="8" spans="1:46" x14ac:dyDescent="0.25">
      <c r="A8" s="949"/>
      <c r="B8" s="938" t="s">
        <v>183</v>
      </c>
      <c r="C8" s="947" t="s">
        <v>14</v>
      </c>
      <c r="D8" s="914">
        <v>20</v>
      </c>
      <c r="E8" s="940">
        <f t="shared" si="9"/>
        <v>9.0769230769230838</v>
      </c>
      <c r="F8" s="948">
        <v>1</v>
      </c>
      <c r="G8" s="940">
        <f t="shared" si="0"/>
        <v>181.53846153846166</v>
      </c>
      <c r="H8" s="943">
        <f t="shared" si="1"/>
        <v>181.53846153846166</v>
      </c>
      <c r="I8" s="914">
        <f>VLOOKUP(B8,All_Ingredients!$A$1:$F$161,6,FALSE())</f>
        <v>1</v>
      </c>
      <c r="J8" s="940">
        <f>VLOOKUP(B8,All_Ingredients!$A$1:$J$161,10,FALSE())</f>
        <v>17</v>
      </c>
      <c r="K8" s="945">
        <f t="shared" si="7"/>
        <v>0.18153846153846165</v>
      </c>
      <c r="L8" s="945">
        <f t="shared" si="8"/>
        <v>3.0861538461538478</v>
      </c>
      <c r="R8" s="890"/>
      <c r="T8" s="890"/>
      <c r="W8" s="890"/>
      <c r="AI8" s="949" t="s">
        <v>153</v>
      </c>
      <c r="AJ8" s="1355" t="s">
        <v>163</v>
      </c>
      <c r="AK8" s="1400" t="s">
        <v>14</v>
      </c>
      <c r="AL8" s="944">
        <v>250</v>
      </c>
      <c r="AM8" s="940">
        <f t="shared" si="4"/>
        <v>4.9230769230769225</v>
      </c>
      <c r="AN8" s="948">
        <v>1</v>
      </c>
      <c r="AO8" s="940">
        <f t="shared" si="5"/>
        <v>1230.7692307692307</v>
      </c>
      <c r="AP8" s="943">
        <f t="shared" si="6"/>
        <v>1230.7692307692307</v>
      </c>
      <c r="AQ8" s="955">
        <f>VLOOKUP(AJ8,Marination_Ordering!$A:$J,6,FALSE)</f>
        <v>1</v>
      </c>
      <c r="AR8" s="955">
        <f>VLOOKUP(AJ8,Marination_Ordering!$A:$J,10,FALSE)</f>
        <v>6.6959999999999997</v>
      </c>
      <c r="AS8" s="954">
        <f t="shared" si="10"/>
        <v>1230.7692307692307</v>
      </c>
      <c r="AT8" s="955">
        <f t="shared" si="11"/>
        <v>8.2412307692307678</v>
      </c>
    </row>
    <row r="9" spans="1:46" ht="28.5" x14ac:dyDescent="0.25">
      <c r="A9" s="949"/>
      <c r="B9" s="938" t="s">
        <v>203</v>
      </c>
      <c r="C9" s="947" t="s">
        <v>160</v>
      </c>
      <c r="D9" s="914">
        <v>280</v>
      </c>
      <c r="E9" s="940">
        <f t="shared" si="9"/>
        <v>9.0769230769230838</v>
      </c>
      <c r="F9" s="948">
        <v>1</v>
      </c>
      <c r="G9" s="940">
        <f t="shared" si="0"/>
        <v>2541.5384615384633</v>
      </c>
      <c r="H9" s="943">
        <f t="shared" si="1"/>
        <v>2541.5384615384633</v>
      </c>
      <c r="I9" s="914">
        <f>VLOOKUP(B9,All_Ingredients!$A$1:$F$161,6,FALSE())</f>
        <v>1</v>
      </c>
      <c r="J9" s="940">
        <f>VLOOKUP(B9,All_Ingredients!$A$1:$J$161,10,FALSE())</f>
        <v>0</v>
      </c>
      <c r="K9" s="945">
        <f t="shared" si="7"/>
        <v>2.5415384615384631</v>
      </c>
      <c r="L9" s="945">
        <f t="shared" si="8"/>
        <v>0</v>
      </c>
      <c r="R9" s="890"/>
      <c r="T9" s="890"/>
      <c r="W9" s="890"/>
      <c r="AI9" s="949" t="s">
        <v>94</v>
      </c>
      <c r="AJ9" s="1355" t="s">
        <v>113</v>
      </c>
      <c r="AK9" s="1400" t="s">
        <v>14</v>
      </c>
      <c r="AL9" s="940">
        <v>10</v>
      </c>
      <c r="AM9" s="940">
        <f t="shared" si="4"/>
        <v>4.9230769230769225</v>
      </c>
      <c r="AN9" s="948">
        <v>1</v>
      </c>
      <c r="AO9" s="940">
        <f t="shared" si="5"/>
        <v>49.230769230769226</v>
      </c>
      <c r="AP9" s="943">
        <f t="shared" si="6"/>
        <v>49.230769230769226</v>
      </c>
      <c r="AQ9" s="955">
        <f>VLOOKUP(AJ9,Marination_Ordering!$A:$J,6,FALSE)</f>
        <v>1</v>
      </c>
      <c r="AR9" s="955">
        <f>VLOOKUP(AJ9,Marination_Ordering!$A:$J,10,FALSE)</f>
        <v>20</v>
      </c>
      <c r="AS9" s="954">
        <f t="shared" ref="AS9:AS19" si="12">AP9/AQ9</f>
        <v>49.230769230769226</v>
      </c>
      <c r="AT9" s="955">
        <f t="shared" ref="AT9:AT19" si="13">AR9*(AS9/1000)</f>
        <v>0.98461538461538445</v>
      </c>
    </row>
    <row r="10" spans="1:46" x14ac:dyDescent="0.25">
      <c r="A10" s="949"/>
      <c r="B10" s="938" t="s">
        <v>187</v>
      </c>
      <c r="C10" s="947" t="s">
        <v>14</v>
      </c>
      <c r="D10" s="914">
        <v>40</v>
      </c>
      <c r="E10" s="940">
        <f t="shared" si="9"/>
        <v>9.0769230769230838</v>
      </c>
      <c r="F10" s="948">
        <v>0.5</v>
      </c>
      <c r="G10" s="940">
        <f t="shared" si="0"/>
        <v>363.07692307692332</v>
      </c>
      <c r="H10" s="943">
        <f t="shared" si="1"/>
        <v>181.53846153846166</v>
      </c>
      <c r="I10" s="914">
        <f>VLOOKUP(B10,All_Ingredients!$A$1:$F$161,6,FALSE())</f>
        <v>0.9</v>
      </c>
      <c r="J10" s="940">
        <f>VLOOKUP(B10,All_Ingredients!$A$1:$J$161,10,FALSE())</f>
        <v>2.3199999999999998</v>
      </c>
      <c r="K10" s="945">
        <f t="shared" si="7"/>
        <v>0.20170940170940185</v>
      </c>
      <c r="L10" s="945">
        <f t="shared" si="8"/>
        <v>0.46796581196581227</v>
      </c>
      <c r="R10" s="890"/>
      <c r="T10" s="890"/>
      <c r="W10" s="890"/>
      <c r="AI10" s="949" t="s">
        <v>94</v>
      </c>
      <c r="AJ10" s="1355" t="s">
        <v>118</v>
      </c>
      <c r="AK10" s="1400" t="s">
        <v>14</v>
      </c>
      <c r="AL10" s="940">
        <v>5</v>
      </c>
      <c r="AM10" s="940">
        <f t="shared" si="4"/>
        <v>4.9230769230769225</v>
      </c>
      <c r="AN10" s="948">
        <v>1</v>
      </c>
      <c r="AO10" s="940">
        <f t="shared" si="5"/>
        <v>24.615384615384613</v>
      </c>
      <c r="AP10" s="943">
        <f t="shared" si="6"/>
        <v>24.615384615384613</v>
      </c>
      <c r="AQ10" s="955">
        <f>VLOOKUP(AJ10,Marination_Ordering!$A:$J,6,FALSE)</f>
        <v>1</v>
      </c>
      <c r="AR10" s="955">
        <f>VLOOKUP(AJ10,Marination_Ordering!$A:$J,10,FALSE)</f>
        <v>15</v>
      </c>
      <c r="AS10" s="954">
        <f t="shared" si="12"/>
        <v>24.615384615384613</v>
      </c>
      <c r="AT10" s="955">
        <f t="shared" si="13"/>
        <v>0.3692307692307692</v>
      </c>
    </row>
    <row r="11" spans="1:46" x14ac:dyDescent="0.25">
      <c r="A11" s="949" t="s">
        <v>881</v>
      </c>
      <c r="B11" s="938" t="s">
        <v>12</v>
      </c>
      <c r="C11" s="947" t="s">
        <v>14</v>
      </c>
      <c r="D11" s="914">
        <v>270</v>
      </c>
      <c r="E11" s="940">
        <f t="shared" si="9"/>
        <v>9.0769230769230838</v>
      </c>
      <c r="F11" s="948">
        <v>0.95</v>
      </c>
      <c r="G11" s="940">
        <f t="shared" si="0"/>
        <v>2450.7692307692328</v>
      </c>
      <c r="H11" s="943">
        <f t="shared" si="1"/>
        <v>2328.2307692307709</v>
      </c>
      <c r="I11" s="914">
        <f>VLOOKUP(B11,All_Ingredients!$A$1:$F$161,6,FALSE())</f>
        <v>0.9</v>
      </c>
      <c r="J11" s="940">
        <f>VLOOKUP(B11,All_Ingredients!$A$1:$J$161,10,FALSE())</f>
        <v>3</v>
      </c>
      <c r="K11" s="945">
        <f t="shared" si="7"/>
        <v>2.5869230769230787</v>
      </c>
      <c r="L11" s="945">
        <f t="shared" si="8"/>
        <v>7.7607692307692364</v>
      </c>
      <c r="R11" s="890"/>
      <c r="T11" s="890"/>
      <c r="W11" s="890"/>
      <c r="AI11" s="949" t="s">
        <v>61</v>
      </c>
      <c r="AJ11" s="1130" t="s">
        <v>75</v>
      </c>
      <c r="AK11" s="1400" t="s">
        <v>14</v>
      </c>
      <c r="AL11" s="940">
        <v>5</v>
      </c>
      <c r="AM11" s="940">
        <f t="shared" si="4"/>
        <v>4.9230769230769225</v>
      </c>
      <c r="AN11" s="948">
        <v>1</v>
      </c>
      <c r="AO11" s="940">
        <f t="shared" si="5"/>
        <v>24.615384615384613</v>
      </c>
      <c r="AP11" s="943">
        <f t="shared" si="6"/>
        <v>24.615384615384613</v>
      </c>
      <c r="AQ11" s="955">
        <f>VLOOKUP(AJ11,Marination_Ordering!$A:$J,6,FALSE)</f>
        <v>1</v>
      </c>
      <c r="AR11" s="955">
        <f>VLOOKUP(AJ11,Marination_Ordering!$A:$J,10,FALSE)</f>
        <v>90</v>
      </c>
      <c r="AS11" s="954">
        <f t="shared" si="12"/>
        <v>24.615384615384613</v>
      </c>
      <c r="AT11" s="955">
        <f t="shared" si="13"/>
        <v>2.2153846153846151</v>
      </c>
    </row>
    <row r="12" spans="1:46" x14ac:dyDescent="0.25">
      <c r="A12" s="949" t="s">
        <v>868</v>
      </c>
      <c r="B12" s="938" t="s">
        <v>706</v>
      </c>
      <c r="C12" s="947" t="s">
        <v>14</v>
      </c>
      <c r="D12" s="914">
        <v>40</v>
      </c>
      <c r="E12" s="940">
        <f t="shared" si="9"/>
        <v>9.0769230769230838</v>
      </c>
      <c r="F12" s="948">
        <v>0.95</v>
      </c>
      <c r="G12" s="940">
        <f t="shared" si="0"/>
        <v>363.07692307692332</v>
      </c>
      <c r="H12" s="943">
        <f t="shared" si="1"/>
        <v>344.92307692307713</v>
      </c>
      <c r="I12" s="914">
        <f>VLOOKUP(B12,All_Ingredients!$A$1:$F$161,6,FALSE())</f>
        <v>1</v>
      </c>
      <c r="J12" s="940">
        <f>VLOOKUP(B12,All_Ingredients!$A$1:$J$161,10,FALSE())</f>
        <v>10.5</v>
      </c>
      <c r="K12" s="945">
        <f t="shared" si="7"/>
        <v>0.34492307692307711</v>
      </c>
      <c r="L12" s="945">
        <f t="shared" si="8"/>
        <v>3.6216923076923098</v>
      </c>
      <c r="R12" s="890"/>
      <c r="T12" s="890"/>
      <c r="W12" s="890"/>
      <c r="AI12" s="949" t="s">
        <v>94</v>
      </c>
      <c r="AJ12" s="1130" t="s">
        <v>93</v>
      </c>
      <c r="AK12" s="1400" t="s">
        <v>14</v>
      </c>
      <c r="AL12" s="914">
        <v>5</v>
      </c>
      <c r="AM12" s="940">
        <f t="shared" si="4"/>
        <v>4.9230769230769225</v>
      </c>
      <c r="AN12" s="948">
        <v>1</v>
      </c>
      <c r="AO12" s="940">
        <f t="shared" si="5"/>
        <v>24.615384615384613</v>
      </c>
      <c r="AP12" s="943">
        <f t="shared" si="6"/>
        <v>24.615384615384613</v>
      </c>
      <c r="AQ12" s="955">
        <f>VLOOKUP(AJ12,Marination_Ordering!$A:$J,6,FALSE)</f>
        <v>1</v>
      </c>
      <c r="AR12" s="955">
        <f>VLOOKUP(AJ12,Marination_Ordering!$A:$J,10,FALSE)</f>
        <v>0.74</v>
      </c>
      <c r="AS12" s="954">
        <f t="shared" si="12"/>
        <v>24.615384615384613</v>
      </c>
      <c r="AT12" s="955">
        <f t="shared" si="13"/>
        <v>1.8215384615384612E-2</v>
      </c>
    </row>
    <row r="13" spans="1:46" x14ac:dyDescent="0.25">
      <c r="A13" s="949" t="s">
        <v>867</v>
      </c>
      <c r="B13" s="938" t="s">
        <v>54</v>
      </c>
      <c r="C13" s="947" t="s">
        <v>14</v>
      </c>
      <c r="D13" s="914">
        <v>40</v>
      </c>
      <c r="E13" s="940">
        <f t="shared" si="9"/>
        <v>9.0769230769230838</v>
      </c>
      <c r="F13" s="948">
        <v>0.6</v>
      </c>
      <c r="G13" s="940">
        <f t="shared" si="0"/>
        <v>363.07692307692332</v>
      </c>
      <c r="H13" s="943">
        <f t="shared" si="1"/>
        <v>217.84615384615398</v>
      </c>
      <c r="I13" s="914">
        <f>VLOOKUP(B13,All_Ingredients!$A$1:$F$161,6,FALSE())</f>
        <v>0.87</v>
      </c>
      <c r="J13" s="940">
        <f>VLOOKUP(B13,All_Ingredients!$A$1:$J$161,10,FALSE())</f>
        <v>7</v>
      </c>
      <c r="K13" s="945">
        <f t="shared" si="7"/>
        <v>0.25039787798408503</v>
      </c>
      <c r="L13" s="945">
        <f t="shared" si="8"/>
        <v>1.7527851458885952</v>
      </c>
      <c r="R13" s="890"/>
      <c r="T13" s="890"/>
      <c r="W13" s="890"/>
      <c r="AI13" s="949" t="s">
        <v>213</v>
      </c>
      <c r="AJ13" s="1130" t="s">
        <v>214</v>
      </c>
      <c r="AK13" s="1400" t="s">
        <v>14</v>
      </c>
      <c r="AL13" s="940">
        <v>5</v>
      </c>
      <c r="AM13" s="940">
        <f t="shared" si="4"/>
        <v>4.9230769230769225</v>
      </c>
      <c r="AN13" s="948">
        <v>1</v>
      </c>
      <c r="AO13" s="940">
        <f t="shared" si="5"/>
        <v>24.615384615384613</v>
      </c>
      <c r="AP13" s="943">
        <f t="shared" si="6"/>
        <v>24.615384615384613</v>
      </c>
      <c r="AQ13" s="955">
        <f>VLOOKUP(AJ13,Marination_Ordering!$A:$J,6,FALSE)</f>
        <v>1</v>
      </c>
      <c r="AR13" s="955">
        <f>VLOOKUP(AJ13,Marination_Ordering!$A:$J,10,FALSE)</f>
        <v>35</v>
      </c>
      <c r="AS13" s="954">
        <f t="shared" si="12"/>
        <v>24.615384615384613</v>
      </c>
      <c r="AT13" s="955">
        <f t="shared" si="13"/>
        <v>0.86153846153846136</v>
      </c>
    </row>
    <row r="14" spans="1:46" ht="28.5" x14ac:dyDescent="0.25">
      <c r="A14" s="949" t="s">
        <v>884</v>
      </c>
      <c r="B14" s="938" t="s">
        <v>75</v>
      </c>
      <c r="C14" s="947" t="s">
        <v>14</v>
      </c>
      <c r="D14" s="914">
        <v>3</v>
      </c>
      <c r="E14" s="940">
        <f t="shared" si="9"/>
        <v>9.0769230769230838</v>
      </c>
      <c r="F14" s="948">
        <v>1</v>
      </c>
      <c r="G14" s="940">
        <f t="shared" si="0"/>
        <v>27.230769230769251</v>
      </c>
      <c r="H14" s="943">
        <f t="shared" si="1"/>
        <v>27.230769230769251</v>
      </c>
      <c r="I14" s="914">
        <f>VLOOKUP(B14,All_Ingredients!$A$1:$F$161,6,FALSE())</f>
        <v>0.6</v>
      </c>
      <c r="J14" s="940">
        <f>VLOOKUP(B14,All_Ingredients!$A$1:$J$161,10,FALSE())</f>
        <v>90</v>
      </c>
      <c r="K14" s="945">
        <f t="shared" si="7"/>
        <v>4.5384615384615419E-2</v>
      </c>
      <c r="L14" s="945">
        <f t="shared" si="8"/>
        <v>4.0846153846153879</v>
      </c>
      <c r="R14" s="890"/>
      <c r="T14" s="890"/>
      <c r="W14" s="890"/>
      <c r="AI14" s="949" t="s">
        <v>94</v>
      </c>
      <c r="AJ14" s="1130" t="s">
        <v>128</v>
      </c>
      <c r="AK14" s="1400" t="s">
        <v>14</v>
      </c>
      <c r="AL14" s="940">
        <v>5</v>
      </c>
      <c r="AM14" s="940">
        <f t="shared" si="4"/>
        <v>4.9230769230769225</v>
      </c>
      <c r="AN14" s="948">
        <v>1</v>
      </c>
      <c r="AO14" s="940">
        <f t="shared" si="5"/>
        <v>24.615384615384613</v>
      </c>
      <c r="AP14" s="943">
        <f t="shared" si="6"/>
        <v>24.615384615384613</v>
      </c>
      <c r="AQ14" s="955">
        <f>VLOOKUP(AJ14,Marination_Ordering!$A:$J,6,FALSE)</f>
        <v>1</v>
      </c>
      <c r="AR14" s="955">
        <f>VLOOKUP(AJ14,Marination_Ordering!$A:$J,10,FALSE)</f>
        <v>107</v>
      </c>
      <c r="AS14" s="954">
        <f t="shared" si="12"/>
        <v>24.615384615384613</v>
      </c>
      <c r="AT14" s="955">
        <f t="shared" si="13"/>
        <v>2.6338461538461533</v>
      </c>
    </row>
    <row r="15" spans="1:46" x14ac:dyDescent="0.25">
      <c r="A15" s="949" t="s">
        <v>869</v>
      </c>
      <c r="B15" s="938" t="s">
        <v>60</v>
      </c>
      <c r="C15" s="947" t="s">
        <v>14</v>
      </c>
      <c r="D15" s="914">
        <v>28</v>
      </c>
      <c r="E15" s="940">
        <f t="shared" si="9"/>
        <v>9.0769230769230838</v>
      </c>
      <c r="F15" s="948">
        <v>1</v>
      </c>
      <c r="G15" s="940">
        <f t="shared" si="0"/>
        <v>254.15384615384636</v>
      </c>
      <c r="H15" s="943">
        <f t="shared" si="1"/>
        <v>254.15384615384636</v>
      </c>
      <c r="I15" s="914">
        <f>VLOOKUP(B15,All_Ingredients!$A$1:$F$161,6,FALSE())</f>
        <v>0.94</v>
      </c>
      <c r="J15" s="940">
        <f>VLOOKUP(B15,All_Ingredients!$A$1:$J$161,10,FALSE())</f>
        <v>3.6363636363636367</v>
      </c>
      <c r="K15" s="945">
        <f t="shared" si="7"/>
        <v>0.27037643207855994</v>
      </c>
      <c r="L15" s="945">
        <f t="shared" si="8"/>
        <v>0.98318702574021799</v>
      </c>
      <c r="R15" s="890"/>
      <c r="T15" s="890"/>
      <c r="W15" s="890"/>
      <c r="AI15" s="949" t="s">
        <v>94</v>
      </c>
      <c r="AJ15" s="1130" t="s">
        <v>124</v>
      </c>
      <c r="AK15" s="1400" t="s">
        <v>14</v>
      </c>
      <c r="AL15" s="940">
        <v>7</v>
      </c>
      <c r="AM15" s="940">
        <f t="shared" si="4"/>
        <v>4.9230769230769225</v>
      </c>
      <c r="AN15" s="948">
        <v>1</v>
      </c>
      <c r="AO15" s="940">
        <f t="shared" si="5"/>
        <v>34.46153846153846</v>
      </c>
      <c r="AP15" s="943">
        <f t="shared" si="6"/>
        <v>34.46153846153846</v>
      </c>
      <c r="AQ15" s="955">
        <f>VLOOKUP(AJ15,Marination_Ordering!$A:$J,6,FALSE)</f>
        <v>1</v>
      </c>
      <c r="AR15" s="955">
        <f>VLOOKUP(AJ15,Marination_Ordering!$A:$J,10,FALSE)</f>
        <v>37</v>
      </c>
      <c r="AS15" s="954">
        <f t="shared" si="12"/>
        <v>34.46153846153846</v>
      </c>
      <c r="AT15" s="955">
        <f t="shared" si="13"/>
        <v>1.275076923076923</v>
      </c>
    </row>
    <row r="16" spans="1:46" ht="25.5" x14ac:dyDescent="0.25">
      <c r="A16" s="949"/>
      <c r="B16" s="938" t="s">
        <v>115</v>
      </c>
      <c r="C16" s="947" t="s">
        <v>14</v>
      </c>
      <c r="D16" s="914">
        <v>12</v>
      </c>
      <c r="E16" s="940">
        <f t="shared" si="9"/>
        <v>9.0769230769230838</v>
      </c>
      <c r="F16" s="948">
        <v>0.75</v>
      </c>
      <c r="G16" s="940">
        <f t="shared" si="0"/>
        <v>108.92307692307701</v>
      </c>
      <c r="H16" s="943">
        <f t="shared" si="1"/>
        <v>81.69230769230775</v>
      </c>
      <c r="I16" s="914">
        <f>VLOOKUP(B16,All_Ingredients!$A$1:$F$161,6,FALSE())</f>
        <v>1</v>
      </c>
      <c r="J16" s="940">
        <f>VLOOKUP(B16,All_Ingredients!$A$1:$J$161,10,FALSE())</f>
        <v>14.5</v>
      </c>
      <c r="K16" s="945">
        <f t="shared" si="7"/>
        <v>8.1692307692307745E-2</v>
      </c>
      <c r="L16" s="945">
        <f t="shared" si="8"/>
        <v>1.1845384615384622</v>
      </c>
      <c r="R16" s="890"/>
      <c r="T16" s="890"/>
      <c r="W16" s="890"/>
      <c r="AI16" s="949" t="s">
        <v>55</v>
      </c>
      <c r="AJ16" s="1130" t="s">
        <v>54</v>
      </c>
      <c r="AK16" s="1400" t="s">
        <v>14</v>
      </c>
      <c r="AL16" s="914">
        <v>100</v>
      </c>
      <c r="AM16" s="940">
        <f t="shared" si="4"/>
        <v>4.9230769230769225</v>
      </c>
      <c r="AN16" s="948">
        <v>1</v>
      </c>
      <c r="AO16" s="940">
        <f t="shared" si="5"/>
        <v>492.30769230769226</v>
      </c>
      <c r="AP16" s="943">
        <f t="shared" si="6"/>
        <v>492.30769230769226</v>
      </c>
      <c r="AQ16" s="955">
        <f>VLOOKUP(AJ16,Marination_Ordering!$A:$J,6,FALSE)</f>
        <v>0.87</v>
      </c>
      <c r="AR16" s="955">
        <f>VLOOKUP(AJ16,Marination_Ordering!$A:$J,10,FALSE)</f>
        <v>7</v>
      </c>
      <c r="AS16" s="954">
        <f t="shared" si="12"/>
        <v>565.87091069849691</v>
      </c>
      <c r="AT16" s="955">
        <f t="shared" si="13"/>
        <v>3.9610963748894785</v>
      </c>
    </row>
    <row r="17" spans="1:46" x14ac:dyDescent="0.25">
      <c r="A17" s="949"/>
      <c r="B17" s="938" t="s">
        <v>152</v>
      </c>
      <c r="C17" s="947" t="s">
        <v>14</v>
      </c>
      <c r="D17" s="914">
        <v>25</v>
      </c>
      <c r="E17" s="940">
        <f t="shared" si="9"/>
        <v>9.0769230769230838</v>
      </c>
      <c r="F17" s="948">
        <v>1</v>
      </c>
      <c r="G17" s="940">
        <f t="shared" si="0"/>
        <v>226.9230769230771</v>
      </c>
      <c r="H17" s="943">
        <f t="shared" si="1"/>
        <v>226.9230769230771</v>
      </c>
      <c r="I17" s="914">
        <f>VLOOKUP(B17,All_Ingredients!$A$1:$F$161,6,FALSE())</f>
        <v>1</v>
      </c>
      <c r="J17" s="940">
        <f>VLOOKUP(B17,All_Ingredients!$A$1:$J$161,10,FALSE())</f>
        <v>30</v>
      </c>
      <c r="K17" s="945">
        <f t="shared" si="7"/>
        <v>0.22692307692307712</v>
      </c>
      <c r="L17" s="945">
        <f t="shared" si="8"/>
        <v>6.8076923076923137</v>
      </c>
      <c r="R17" s="890"/>
      <c r="T17" s="890"/>
      <c r="W17" s="890"/>
      <c r="AI17" s="949" t="s">
        <v>13</v>
      </c>
      <c r="AJ17" s="1130" t="s">
        <v>706</v>
      </c>
      <c r="AK17" s="1400" t="s">
        <v>14</v>
      </c>
      <c r="AL17" s="940">
        <v>150</v>
      </c>
      <c r="AM17" s="940">
        <f t="shared" si="4"/>
        <v>4.9230769230769225</v>
      </c>
      <c r="AN17" s="948">
        <v>1</v>
      </c>
      <c r="AO17" s="940">
        <f t="shared" si="5"/>
        <v>738.46153846153834</v>
      </c>
      <c r="AP17" s="943">
        <f t="shared" si="6"/>
        <v>738.46153846153834</v>
      </c>
      <c r="AQ17" s="955">
        <f>VLOOKUP(AJ17,Marination_Ordering!$A:$J,6,FALSE)</f>
        <v>1</v>
      </c>
      <c r="AR17" s="955">
        <f>VLOOKUP(AJ17,Marination_Ordering!$A:$J,10,FALSE)</f>
        <v>10.5</v>
      </c>
      <c r="AS17" s="954">
        <f t="shared" si="12"/>
        <v>738.46153846153834</v>
      </c>
      <c r="AT17" s="955">
        <f t="shared" si="13"/>
        <v>7.7538461538461529</v>
      </c>
    </row>
    <row r="18" spans="1:46" x14ac:dyDescent="0.25">
      <c r="A18" s="949"/>
      <c r="B18" s="938" t="s">
        <v>93</v>
      </c>
      <c r="C18" s="947" t="s">
        <v>14</v>
      </c>
      <c r="D18" s="914">
        <v>7</v>
      </c>
      <c r="E18" s="940">
        <f t="shared" si="9"/>
        <v>9.0769230769230838</v>
      </c>
      <c r="F18" s="948">
        <v>0.75</v>
      </c>
      <c r="G18" s="940">
        <f t="shared" si="0"/>
        <v>63.53846153846159</v>
      </c>
      <c r="H18" s="943">
        <f t="shared" si="1"/>
        <v>47.653846153846189</v>
      </c>
      <c r="I18" s="914">
        <f>VLOOKUP(B18,All_Ingredients!$A$1:$F$161,6,FALSE())</f>
        <v>1</v>
      </c>
      <c r="J18" s="940">
        <f>VLOOKUP(B18,All_Ingredients!$A$1:$J$161,10,FALSE())</f>
        <v>0.74</v>
      </c>
      <c r="K18" s="945">
        <f t="shared" si="7"/>
        <v>4.7653846153846185E-2</v>
      </c>
      <c r="L18" s="945">
        <f t="shared" si="8"/>
        <v>3.5263846153846173E-2</v>
      </c>
      <c r="R18" s="890"/>
      <c r="T18" s="890"/>
      <c r="W18" s="890"/>
      <c r="AI18" s="949" t="s">
        <v>204</v>
      </c>
      <c r="AJ18" s="1130" t="s">
        <v>212</v>
      </c>
      <c r="AK18" s="1400" t="s">
        <v>160</v>
      </c>
      <c r="AL18" s="940">
        <v>300</v>
      </c>
      <c r="AM18" s="940">
        <f t="shared" si="4"/>
        <v>4.9230769230769225</v>
      </c>
      <c r="AN18" s="948">
        <v>1</v>
      </c>
      <c r="AO18" s="940">
        <f t="shared" si="5"/>
        <v>1476.9230769230767</v>
      </c>
      <c r="AP18" s="943">
        <f t="shared" si="6"/>
        <v>1476.9230769230767</v>
      </c>
      <c r="AQ18" s="955">
        <f>VLOOKUP(AJ18,Marination_Ordering!$A:$J,6,FALSE)</f>
        <v>1</v>
      </c>
      <c r="AR18" s="955">
        <f>VLOOKUP(AJ18,Marination_Ordering!$A:$J,10,FALSE)</f>
        <v>5</v>
      </c>
      <c r="AS18" s="954">
        <f t="shared" si="12"/>
        <v>1476.9230769230767</v>
      </c>
      <c r="AT18" s="955">
        <f t="shared" si="13"/>
        <v>7.3846153846153841</v>
      </c>
    </row>
    <row r="19" spans="1:46" x14ac:dyDescent="0.25">
      <c r="A19" s="949"/>
      <c r="B19" s="938" t="s">
        <v>214</v>
      </c>
      <c r="C19" s="947" t="s">
        <v>14</v>
      </c>
      <c r="D19" s="914">
        <v>2.5</v>
      </c>
      <c r="E19" s="940">
        <f t="shared" si="9"/>
        <v>9.0769230769230838</v>
      </c>
      <c r="F19" s="948">
        <v>1</v>
      </c>
      <c r="G19" s="940">
        <f t="shared" si="0"/>
        <v>22.692307692307708</v>
      </c>
      <c r="H19" s="943">
        <f t="shared" si="1"/>
        <v>22.692307692307708</v>
      </c>
      <c r="I19" s="914">
        <f>VLOOKUP(B19,All_Ingredients!$A$1:$F$161,6,FALSE())</f>
        <v>1</v>
      </c>
      <c r="J19" s="940">
        <f>VLOOKUP(B19,All_Ingredients!$A$1:$J$161,10,FALSE())</f>
        <v>35</v>
      </c>
      <c r="K19" s="945">
        <f t="shared" si="7"/>
        <v>2.2692307692307706E-2</v>
      </c>
      <c r="L19" s="945">
        <f t="shared" si="8"/>
        <v>0.79423076923076974</v>
      </c>
      <c r="R19" s="890"/>
      <c r="T19" s="890"/>
      <c r="W19" s="890"/>
      <c r="AI19" s="949" t="s">
        <v>204</v>
      </c>
      <c r="AJ19" s="1130" t="s">
        <v>208</v>
      </c>
      <c r="AK19" s="947" t="s">
        <v>160</v>
      </c>
      <c r="AL19" s="940">
        <v>50</v>
      </c>
      <c r="AM19" s="940">
        <f t="shared" si="4"/>
        <v>4.9230769230769225</v>
      </c>
      <c r="AN19" s="948">
        <v>1</v>
      </c>
      <c r="AO19" s="940">
        <f t="shared" si="5"/>
        <v>246.15384615384613</v>
      </c>
      <c r="AP19" s="943">
        <f t="shared" si="6"/>
        <v>246.15384615384613</v>
      </c>
      <c r="AQ19" s="955">
        <f>VLOOKUP(AJ19,Marination_Ordering!$A:$J,6,FALSE)</f>
        <v>1</v>
      </c>
      <c r="AR19" s="955">
        <f>VLOOKUP(AJ19,Marination_Ordering!$A:$J,10,FALSE)</f>
        <v>2.1621621621621623</v>
      </c>
      <c r="AS19" s="954">
        <f t="shared" si="12"/>
        <v>246.15384615384613</v>
      </c>
      <c r="AT19" s="955">
        <f t="shared" si="13"/>
        <v>0.53222453222453225</v>
      </c>
    </row>
    <row r="20" spans="1:46" x14ac:dyDescent="0.25">
      <c r="A20" s="949" t="s">
        <v>870</v>
      </c>
      <c r="B20" s="938" t="s">
        <v>17</v>
      </c>
      <c r="C20" s="947" t="s">
        <v>14</v>
      </c>
      <c r="D20" s="914">
        <v>400</v>
      </c>
      <c r="E20" s="940">
        <f t="shared" si="9"/>
        <v>9.0769230769230838</v>
      </c>
      <c r="F20" s="948">
        <v>0.95</v>
      </c>
      <c r="G20" s="940">
        <f t="shared" si="0"/>
        <v>3630.7692307692337</v>
      </c>
      <c r="H20" s="943">
        <f t="shared" si="1"/>
        <v>3449.2307692307718</v>
      </c>
      <c r="I20" s="914">
        <f>VLOOKUP(B20,All_Ingredients!$A$1:$F$161,6,FALSE())</f>
        <v>0.98</v>
      </c>
      <c r="J20" s="940">
        <f>VLOOKUP(B20,All_Ingredients!$A$1:$J$161,10,FALSE())</f>
        <v>3.5</v>
      </c>
      <c r="K20" s="945">
        <f t="shared" si="7"/>
        <v>3.519623233908951</v>
      </c>
      <c r="L20" s="945">
        <f t="shared" si="8"/>
        <v>12.318681318681328</v>
      </c>
      <c r="R20" s="890"/>
      <c r="T20" s="890"/>
      <c r="W20" s="890"/>
      <c r="AJ20" s="890"/>
      <c r="AL20" s="890"/>
      <c r="AM20" s="890"/>
      <c r="AN20" s="890"/>
      <c r="AP20" s="890"/>
      <c r="AS20" s="890"/>
    </row>
    <row r="21" spans="1:46" x14ac:dyDescent="0.25">
      <c r="B21" s="80"/>
      <c r="C21" s="125"/>
      <c r="D21" s="80"/>
      <c r="E21" s="225"/>
      <c r="F21" s="80"/>
      <c r="G21" s="125"/>
      <c r="H21" s="890"/>
      <c r="K21" s="890"/>
      <c r="L21" s="190"/>
      <c r="R21" s="890"/>
      <c r="T21" s="890"/>
      <c r="W21" s="890"/>
      <c r="AJ21" s="890"/>
      <c r="AL21" s="890"/>
      <c r="AM21" s="890"/>
      <c r="AN21" s="890"/>
      <c r="AP21" s="890"/>
      <c r="AS21" s="890"/>
    </row>
    <row r="22" spans="1:46" x14ac:dyDescent="0.25">
      <c r="B22" s="890"/>
      <c r="D22" s="890"/>
      <c r="E22" s="1150"/>
      <c r="F22" s="890"/>
      <c r="H22" s="890"/>
      <c r="K22" s="890"/>
      <c r="L22" s="190"/>
      <c r="R22" s="890"/>
      <c r="T22" s="890"/>
      <c r="W22" s="890"/>
      <c r="AJ22" s="890"/>
      <c r="AL22" s="890"/>
      <c r="AM22" s="890"/>
      <c r="AN22" s="890"/>
      <c r="AP22" s="890"/>
      <c r="AS22" s="890"/>
    </row>
    <row r="23" spans="1:46" x14ac:dyDescent="0.25">
      <c r="B23" s="890"/>
      <c r="D23" s="890"/>
      <c r="E23" s="1150"/>
      <c r="F23" s="890"/>
      <c r="H23" s="890"/>
      <c r="K23" s="890"/>
      <c r="L23" s="190"/>
      <c r="R23" s="830"/>
      <c r="T23" s="890"/>
      <c r="W23" s="890"/>
      <c r="AJ23" s="890"/>
      <c r="AL23" s="890"/>
      <c r="AM23" s="890"/>
      <c r="AN23" s="890"/>
      <c r="AP23" s="890"/>
      <c r="AS23" s="890"/>
    </row>
    <row r="24" spans="1:46" x14ac:dyDescent="0.25">
      <c r="B24" s="890"/>
      <c r="D24" s="890"/>
      <c r="E24" s="1150"/>
      <c r="F24" s="890"/>
      <c r="H24" s="890"/>
      <c r="K24" s="890"/>
      <c r="L24" s="190"/>
      <c r="R24" s="890"/>
      <c r="T24" s="890"/>
      <c r="W24" s="890"/>
      <c r="Z24" s="597"/>
      <c r="AJ24" s="890"/>
      <c r="AL24" s="890"/>
      <c r="AM24" s="890"/>
      <c r="AN24" s="890"/>
      <c r="AP24" s="890"/>
      <c r="AS24" s="890"/>
    </row>
    <row r="25" spans="1:46" x14ac:dyDescent="0.25">
      <c r="B25" s="890"/>
      <c r="D25" s="890"/>
      <c r="E25" s="1150"/>
      <c r="F25" s="890"/>
      <c r="H25" s="890"/>
      <c r="K25" s="890"/>
      <c r="L25" s="190"/>
      <c r="R25" s="1779" t="s">
        <v>355</v>
      </c>
      <c r="S25" s="1787"/>
      <c r="T25" s="1788"/>
      <c r="U25" s="1787"/>
      <c r="V25" s="956"/>
      <c r="W25" s="1043"/>
      <c r="Z25" s="982" t="s">
        <v>252</v>
      </c>
      <c r="AA25" s="989">
        <v>1</v>
      </c>
      <c r="AB25" s="982" t="s">
        <v>249</v>
      </c>
      <c r="AC25" s="985">
        <f>(AA25*AE30)+(AA30*(AB28/R1))</f>
        <v>2.8152633898062371E-2</v>
      </c>
      <c r="AJ25" s="890"/>
      <c r="AL25" s="890"/>
      <c r="AM25" s="890"/>
      <c r="AN25" s="890"/>
      <c r="AP25" s="890"/>
      <c r="AS25" s="890"/>
    </row>
    <row r="26" spans="1:46" x14ac:dyDescent="0.25">
      <c r="B26" s="890"/>
      <c r="D26" s="890"/>
      <c r="E26" s="1150"/>
      <c r="F26" s="890"/>
      <c r="H26" s="890"/>
      <c r="K26" s="890"/>
      <c r="L26" s="190"/>
      <c r="R26" s="1786" t="s">
        <v>356</v>
      </c>
      <c r="S26" s="1787"/>
      <c r="T26" s="1788"/>
      <c r="U26" s="1787"/>
      <c r="V26" s="956"/>
      <c r="W26" s="1043"/>
      <c r="AJ26" s="890"/>
      <c r="AL26" s="890"/>
      <c r="AM26" s="890"/>
      <c r="AN26" s="890"/>
      <c r="AP26" s="890"/>
      <c r="AS26" s="890"/>
    </row>
    <row r="27" spans="1:46" x14ac:dyDescent="0.25">
      <c r="B27" s="890"/>
      <c r="D27" s="890"/>
      <c r="E27" s="1150"/>
      <c r="F27" s="890"/>
      <c r="H27" s="890"/>
      <c r="K27" s="890"/>
      <c r="R27" s="961" t="s">
        <v>254</v>
      </c>
      <c r="S27" s="962" t="s">
        <v>255</v>
      </c>
      <c r="T27" s="961" t="s">
        <v>256</v>
      </c>
      <c r="U27" s="962" t="s">
        <v>262</v>
      </c>
      <c r="V27" s="962" t="s">
        <v>746</v>
      </c>
      <c r="W27" s="961" t="s">
        <v>753</v>
      </c>
      <c r="Z27" s="982" t="s">
        <v>258</v>
      </c>
      <c r="AA27" s="984" t="s">
        <v>311</v>
      </c>
      <c r="AB27" s="982" t="s">
        <v>259</v>
      </c>
      <c r="AC27" s="982" t="s">
        <v>260</v>
      </c>
      <c r="AD27" s="984" t="s">
        <v>753</v>
      </c>
      <c r="AE27" s="982" t="s">
        <v>262</v>
      </c>
      <c r="AJ27" s="890"/>
      <c r="AL27" s="890"/>
      <c r="AM27" s="890"/>
      <c r="AN27" s="890"/>
      <c r="AP27" s="890"/>
      <c r="AS27" s="890"/>
    </row>
    <row r="28" spans="1:46" x14ac:dyDescent="0.25">
      <c r="B28" s="890"/>
      <c r="D28" s="890"/>
      <c r="E28" s="1150"/>
      <c r="F28" s="890"/>
      <c r="H28" s="890"/>
      <c r="K28" s="890"/>
      <c r="R28" s="961" t="s">
        <v>263</v>
      </c>
      <c r="S28" s="963">
        <f>U28*S40</f>
        <v>28276.923076923071</v>
      </c>
      <c r="T28" s="964">
        <f>U28*U40</f>
        <v>8483.0769230769311</v>
      </c>
      <c r="U28" s="965">
        <f>$Z$1</f>
        <v>36760</v>
      </c>
      <c r="V28" s="966">
        <f>SUM(AP5:AP13)</f>
        <v>1575.384615384615</v>
      </c>
      <c r="W28" s="967">
        <f>H37</f>
        <v>18.62</v>
      </c>
      <c r="Z28" s="1086"/>
      <c r="AA28" s="987"/>
      <c r="AB28" s="985">
        <f>AA25*$S$40</f>
        <v>0.76923076923076905</v>
      </c>
      <c r="AC28" s="985">
        <f>AA25-AB28</f>
        <v>0.23076923076923095</v>
      </c>
      <c r="AD28" s="987"/>
      <c r="AE28" s="1088">
        <f>SUM(AB28:AC28)</f>
        <v>1</v>
      </c>
      <c r="AJ28" s="890"/>
      <c r="AL28" s="890"/>
      <c r="AM28" s="890"/>
      <c r="AN28" s="890"/>
      <c r="AP28" s="890"/>
      <c r="AS28" s="890"/>
    </row>
    <row r="29" spans="1:46" x14ac:dyDescent="0.25">
      <c r="B29" s="890"/>
      <c r="D29" s="890"/>
      <c r="E29" s="1150"/>
      <c r="F29" s="890"/>
      <c r="H29" s="890"/>
      <c r="K29" s="890"/>
      <c r="R29" s="961" t="s">
        <v>264</v>
      </c>
      <c r="S29" s="968"/>
      <c r="T29" s="967"/>
      <c r="U29" s="963">
        <f>T29</f>
        <v>0</v>
      </c>
      <c r="V29" s="966"/>
      <c r="W29" s="967"/>
      <c r="Z29" s="1086"/>
      <c r="AA29" s="991"/>
      <c r="AB29" s="1089">
        <f>AB28/$AE$28</f>
        <v>0.76923076923076905</v>
      </c>
      <c r="AC29" s="1089">
        <f>AC28/$AE$28</f>
        <v>0.23076923076923095</v>
      </c>
      <c r="AD29" s="991"/>
      <c r="AE29" s="1089">
        <f>AE28/$AE$28</f>
        <v>1</v>
      </c>
      <c r="AJ29" s="890"/>
      <c r="AL29" s="890"/>
      <c r="AM29" s="890"/>
      <c r="AN29" s="890"/>
      <c r="AP29" s="890"/>
      <c r="AS29" s="890"/>
    </row>
    <row r="30" spans="1:46" x14ac:dyDescent="0.25">
      <c r="B30" s="890"/>
      <c r="D30" s="890"/>
      <c r="E30" s="1150"/>
      <c r="F30" s="890"/>
      <c r="H30" s="890"/>
      <c r="K30" s="890"/>
      <c r="R30" s="961" t="s">
        <v>265</v>
      </c>
      <c r="S30" s="1158">
        <f>U30*S40</f>
        <v>769.23076923076906</v>
      </c>
      <c r="T30" s="1362">
        <f>U30*U40</f>
        <v>230.769230769231</v>
      </c>
      <c r="U30" s="965">
        <f>$AB$1</f>
        <v>1000</v>
      </c>
      <c r="V30" s="972"/>
      <c r="W30" s="973"/>
      <c r="Z30" s="982" t="s">
        <v>266</v>
      </c>
      <c r="AA30" s="994">
        <f>V35/(S32/R1)</f>
        <v>2.9577E-4</v>
      </c>
      <c r="AB30" s="1090">
        <f>S35/(S28)</f>
        <v>3.4618012500948966E-2</v>
      </c>
      <c r="AC30" s="1091">
        <f>T35/T32</f>
        <v>4.7824206172539701E-3</v>
      </c>
      <c r="AD30" s="995">
        <f>W35/U32</f>
        <v>3.4138689700130379E-5</v>
      </c>
      <c r="AE30" s="1092">
        <f>SUMPRODUCT(AB30:AC30,AB29:AC29)+AD30</f>
        <v>2.7767014602104092E-2</v>
      </c>
      <c r="AJ30" s="890"/>
      <c r="AL30" s="890"/>
      <c r="AM30" s="890"/>
      <c r="AN30" s="890"/>
      <c r="AP30" s="890"/>
      <c r="AS30" s="890"/>
    </row>
    <row r="31" spans="1:46" x14ac:dyDescent="0.25">
      <c r="B31" s="890"/>
      <c r="D31" s="890"/>
      <c r="E31" s="1150"/>
      <c r="F31" s="890"/>
      <c r="H31" s="890"/>
      <c r="K31" s="890"/>
      <c r="L31" s="80"/>
      <c r="M31" s="80"/>
      <c r="N31" s="80"/>
      <c r="O31" s="80"/>
      <c r="P31" s="80"/>
      <c r="Q31" s="80"/>
      <c r="R31" s="961" t="s">
        <v>267</v>
      </c>
      <c r="S31" s="959"/>
      <c r="T31" s="967"/>
      <c r="U31" s="966"/>
      <c r="V31" s="966"/>
      <c r="W31" s="967"/>
      <c r="X31" s="14" t="s">
        <v>309</v>
      </c>
      <c r="AJ31" s="890"/>
      <c r="AL31" s="890"/>
      <c r="AM31" s="890"/>
      <c r="AN31" s="890"/>
      <c r="AP31" s="890"/>
      <c r="AS31" s="890"/>
    </row>
    <row r="32" spans="1:46" x14ac:dyDescent="0.25">
      <c r="B32" s="890"/>
      <c r="D32" s="890"/>
      <c r="E32" s="1150"/>
      <c r="F32" s="890"/>
      <c r="H32" s="890"/>
      <c r="K32" s="890"/>
      <c r="R32" s="961" t="s">
        <v>257</v>
      </c>
      <c r="S32" s="966">
        <f>SUM(S28:S30)</f>
        <v>29046.15384615384</v>
      </c>
      <c r="T32" s="967">
        <f>SUM(T28:T30)</f>
        <v>8713.8461538461615</v>
      </c>
      <c r="U32" s="966">
        <f>SUM(U28:U30)</f>
        <v>37760</v>
      </c>
      <c r="V32" s="966"/>
      <c r="W32" s="967">
        <f>SUM(W28:W30)</f>
        <v>18.62</v>
      </c>
      <c r="AJ32" s="890"/>
      <c r="AL32" s="890"/>
      <c r="AM32" s="890"/>
      <c r="AN32" s="890"/>
      <c r="AP32" s="890"/>
      <c r="AS32" s="890"/>
    </row>
    <row r="33" spans="2:23" ht="30" x14ac:dyDescent="0.25">
      <c r="B33" s="890"/>
      <c r="D33" s="890"/>
      <c r="E33" s="1150"/>
      <c r="F33" s="890"/>
      <c r="H33" s="890"/>
      <c r="K33" s="890"/>
      <c r="R33" s="976" t="s">
        <v>268</v>
      </c>
      <c r="S33" s="959"/>
      <c r="T33" s="960"/>
      <c r="U33" s="959"/>
      <c r="V33" s="959"/>
      <c r="W33" s="960"/>
    </row>
    <row r="34" spans="2:23" x14ac:dyDescent="0.25">
      <c r="B34" s="890"/>
      <c r="D34" s="890"/>
      <c r="E34" s="1150"/>
      <c r="F34" s="890"/>
      <c r="H34" s="890"/>
      <c r="K34" s="890"/>
      <c r="R34" s="961" t="s">
        <v>269</v>
      </c>
      <c r="S34" s="959"/>
      <c r="T34" s="967"/>
      <c r="U34" s="959"/>
      <c r="V34" s="959"/>
      <c r="W34" s="960"/>
    </row>
    <row r="35" spans="2:23" ht="15.75" x14ac:dyDescent="0.25">
      <c r="B35" s="1781" t="s">
        <v>623</v>
      </c>
      <c r="C35" s="1782"/>
      <c r="D35" s="1781"/>
      <c r="E35" s="1781"/>
      <c r="F35" s="1781"/>
      <c r="G35" s="1000"/>
      <c r="H35" s="1009"/>
      <c r="I35" s="1010"/>
      <c r="J35" s="1010"/>
      <c r="K35" s="1009"/>
      <c r="L35" s="1010"/>
      <c r="R35" s="977" t="s">
        <v>249</v>
      </c>
      <c r="S35" s="1133">
        <f>$L$5</f>
        <v>978.89087656529523</v>
      </c>
      <c r="T35" s="1134">
        <f>SUM(L6:L13)</f>
        <v>41.673277501733089</v>
      </c>
      <c r="U35" s="1133">
        <f>S35+T35+V35+W35</f>
        <v>1036.4142156054897</v>
      </c>
      <c r="V35" s="978">
        <f>SUM(AT6:AT13)</f>
        <v>14.560984615384614</v>
      </c>
      <c r="W35" s="979">
        <f>L37</f>
        <v>1.2890769230769232</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row>
    <row r="37" spans="2:23" x14ac:dyDescent="0.25">
      <c r="B37" s="1005" t="s">
        <v>666</v>
      </c>
      <c r="C37" s="1006" t="s">
        <v>14</v>
      </c>
      <c r="D37" s="1007">
        <v>7.0000000000000007E-2</v>
      </c>
      <c r="E37" s="1005">
        <f>$AD$1</f>
        <v>266</v>
      </c>
      <c r="F37" s="1005">
        <f>D37*E37</f>
        <v>18.62</v>
      </c>
      <c r="G37"/>
      <c r="H37" s="1005">
        <f>F37</f>
        <v>18.62</v>
      </c>
      <c r="I37" s="1005">
        <f>VLOOKUP(B37,All_Ingredients!$A$1:$F$161,6,FALSE())</f>
        <v>0.65</v>
      </c>
      <c r="J37" s="1005">
        <f>VLOOKUP(B37,All_Ingredients!$A$1:$J$161,10,FALSE())</f>
        <v>45</v>
      </c>
      <c r="K37" s="1005">
        <f>(H37/I37)/1000</f>
        <v>2.8646153846153849E-2</v>
      </c>
      <c r="L37" s="1005">
        <f t="shared" ref="L37" si="14">K37*J37</f>
        <v>1.2890769230769232</v>
      </c>
      <c r="R37" s="890"/>
      <c r="T37" s="890"/>
      <c r="W37" s="890"/>
    </row>
    <row r="38" spans="2:23" x14ac:dyDescent="0.25">
      <c r="B38" s="890"/>
      <c r="D38" s="890"/>
      <c r="E38" s="1150"/>
      <c r="F38" s="890"/>
      <c r="H38" s="890"/>
      <c r="K38" s="890"/>
      <c r="R38" s="890"/>
      <c r="T38" s="890"/>
      <c r="W38" s="890"/>
    </row>
    <row r="39" spans="2:23" x14ac:dyDescent="0.25">
      <c r="B39" s="890"/>
      <c r="D39" s="890"/>
      <c r="E39" s="1150"/>
      <c r="F39" s="890"/>
      <c r="H39" s="890"/>
      <c r="K39" s="890"/>
      <c r="R39" s="890"/>
      <c r="T39" s="890"/>
      <c r="W39" s="890"/>
    </row>
    <row r="40" spans="2:23" ht="26.25" x14ac:dyDescent="0.25">
      <c r="B40" s="890"/>
      <c r="D40" s="890"/>
      <c r="E40" s="1150"/>
      <c r="F40" s="890"/>
      <c r="H40" s="890"/>
      <c r="K40" s="890"/>
      <c r="R40" s="1011" t="s">
        <v>270</v>
      </c>
      <c r="S40" s="1012">
        <v>0.76923076923076905</v>
      </c>
      <c r="T40" s="1011" t="s">
        <v>271</v>
      </c>
      <c r="U40" s="1013">
        <v>0.230769230769231</v>
      </c>
      <c r="V40" s="1014">
        <f>S40+U40</f>
        <v>1</v>
      </c>
      <c r="W40" s="890"/>
    </row>
    <row r="41" spans="2:23" x14ac:dyDescent="0.25">
      <c r="B41" s="890"/>
      <c r="D41" s="890"/>
      <c r="E41" s="1150"/>
      <c r="F41" s="890"/>
      <c r="H41" s="890"/>
      <c r="K41" s="890"/>
      <c r="R41" s="890"/>
      <c r="T41" s="890"/>
      <c r="U41" s="123"/>
      <c r="W41" s="890"/>
    </row>
    <row r="42" spans="2:23" x14ac:dyDescent="0.25">
      <c r="B42" s="890"/>
      <c r="D42" s="890"/>
      <c r="E42" s="1150"/>
      <c r="F42" s="890"/>
      <c r="H42" s="890"/>
      <c r="K42" s="890"/>
      <c r="R42" s="890"/>
      <c r="T42" s="890"/>
      <c r="W42" s="890"/>
    </row>
    <row r="43" spans="2:23" ht="26.25" x14ac:dyDescent="0.25">
      <c r="B43" s="890"/>
      <c r="D43" s="890"/>
      <c r="E43" s="1150"/>
      <c r="F43" s="890"/>
      <c r="H43" s="890"/>
      <c r="K43" s="890"/>
      <c r="Q43" s="1015" t="s">
        <v>272</v>
      </c>
      <c r="R43" s="1011" t="s">
        <v>273</v>
      </c>
      <c r="S43" s="1015" t="s">
        <v>274</v>
      </c>
      <c r="T43" s="1011" t="s">
        <v>275</v>
      </c>
      <c r="U43" s="1015" t="s">
        <v>276</v>
      </c>
      <c r="V43" s="1015" t="s">
        <v>277</v>
      </c>
      <c r="W43" s="1011" t="s">
        <v>278</v>
      </c>
    </row>
    <row r="44" spans="2:23" x14ac:dyDescent="0.25">
      <c r="B44" s="890"/>
      <c r="D44" s="890"/>
      <c r="E44" s="1150"/>
      <c r="F44" s="890"/>
      <c r="H44" s="890"/>
      <c r="K44" s="890"/>
      <c r="Q44" s="1023">
        <v>43334</v>
      </c>
      <c r="R44" s="1017">
        <f>D51</f>
        <v>10000</v>
      </c>
      <c r="S44" s="1024">
        <v>1</v>
      </c>
      <c r="T44" s="1025">
        <v>0</v>
      </c>
      <c r="U44" s="1096">
        <f>R44*S44</f>
        <v>10000</v>
      </c>
      <c r="V44" s="1021">
        <f>R44*T44</f>
        <v>0</v>
      </c>
      <c r="W44" s="1026">
        <f>Q44-U44</f>
        <v>33334</v>
      </c>
    </row>
    <row r="50" spans="1:11" x14ac:dyDescent="0.25">
      <c r="B50" s="961"/>
      <c r="C50" s="962" t="s">
        <v>233</v>
      </c>
      <c r="D50" s="961" t="s">
        <v>279</v>
      </c>
      <c r="E50" s="135"/>
      <c r="F50" s="80"/>
      <c r="G50" s="962" t="s">
        <v>280</v>
      </c>
      <c r="H50" s="961" t="s">
        <v>233</v>
      </c>
      <c r="I50" s="962" t="s">
        <v>281</v>
      </c>
      <c r="J50" s="962" t="s">
        <v>282</v>
      </c>
      <c r="K50" s="890"/>
    </row>
    <row r="51" spans="1:11" x14ac:dyDescent="0.25">
      <c r="B51" s="1027" t="s">
        <v>283</v>
      </c>
      <c r="C51" s="1028">
        <f>10/$K$1</f>
        <v>10.416666666666668</v>
      </c>
      <c r="D51" s="1029">
        <f>$C$1*10</f>
        <v>10000</v>
      </c>
      <c r="E51" s="135"/>
      <c r="F51" s="80"/>
      <c r="G51" s="1033" t="s">
        <v>283</v>
      </c>
      <c r="H51" s="1122">
        <f>I51/$D$5</f>
        <v>10</v>
      </c>
      <c r="I51" s="1028">
        <f>J51/$R$1</f>
        <v>56498.305084745763</v>
      </c>
      <c r="J51" s="1028">
        <f>$W$44</f>
        <v>33334</v>
      </c>
      <c r="K51" s="890"/>
    </row>
    <row r="52" spans="1:11" x14ac:dyDescent="0.25">
      <c r="B52" s="958" t="s">
        <v>262</v>
      </c>
      <c r="C52" s="1099">
        <f>$I$1</f>
        <v>9.0769230769230838</v>
      </c>
      <c r="D52" s="1100">
        <f>$E$1</f>
        <v>8713.8461538461615</v>
      </c>
      <c r="E52" s="80"/>
      <c r="F52" s="80"/>
      <c r="G52" s="962" t="s">
        <v>262</v>
      </c>
      <c r="H52" s="1052">
        <f>I52/$D$5</f>
        <v>8.7136718804085458</v>
      </c>
      <c r="I52" s="1021">
        <f>J52/$R$1</f>
        <v>49230.769230769227</v>
      </c>
      <c r="J52" s="1030">
        <f>$S$32</f>
        <v>29046.15384615384</v>
      </c>
      <c r="K52" s="890"/>
    </row>
    <row r="53" spans="1:11" x14ac:dyDescent="0.25">
      <c r="B53" s="958" t="s">
        <v>284</v>
      </c>
      <c r="C53" s="1101">
        <f>MIN(C52, C51)</f>
        <v>9.0769230769230838</v>
      </c>
      <c r="D53" s="1100">
        <f>(C53*$K$1)*$C$1</f>
        <v>8713.8461538461615</v>
      </c>
      <c r="E53" s="80"/>
      <c r="F53" s="80"/>
      <c r="G53" s="962" t="s">
        <v>284</v>
      </c>
      <c r="H53" s="1035">
        <f>MIN(H52,H51)</f>
        <v>8.7136718804085458</v>
      </c>
      <c r="I53" s="1021">
        <f>J53/$R$1</f>
        <v>49230.769230769227</v>
      </c>
      <c r="J53" s="1021">
        <f>MIN(J52,J51)</f>
        <v>29046.15384615384</v>
      </c>
      <c r="K53" s="89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890"/>
      <c r="D56" s="890"/>
      <c r="E56" s="1150"/>
      <c r="F56" s="890"/>
      <c r="H56" s="890"/>
      <c r="K56" s="890"/>
    </row>
    <row r="57" spans="1:11" x14ac:dyDescent="0.25">
      <c r="B57" s="890"/>
      <c r="D57" s="890"/>
      <c r="E57" s="1150"/>
      <c r="F57" s="890"/>
      <c r="H57" s="890"/>
      <c r="K57" s="890"/>
    </row>
    <row r="58" spans="1:11" x14ac:dyDescent="0.25">
      <c r="B58" s="890"/>
      <c r="D58" s="890"/>
      <c r="E58" s="1150"/>
      <c r="F58" s="890"/>
      <c r="H58" s="890"/>
      <c r="K58" s="890"/>
    </row>
    <row r="59" spans="1:11" x14ac:dyDescent="0.25">
      <c r="B59" s="890"/>
      <c r="D59" s="890"/>
      <c r="E59" s="1150"/>
      <c r="F59" s="890"/>
      <c r="H59" s="890"/>
      <c r="K59" s="890"/>
    </row>
    <row r="60" spans="1:11" x14ac:dyDescent="0.25">
      <c r="B60" s="890"/>
      <c r="D60" s="890"/>
      <c r="E60" s="1150"/>
      <c r="F60" s="890"/>
      <c r="H60" s="890"/>
      <c r="K60" s="890"/>
    </row>
    <row r="61" spans="1:11" x14ac:dyDescent="0.25">
      <c r="B61" s="890"/>
      <c r="D61" s="890"/>
      <c r="E61" s="1150"/>
      <c r="F61" s="890"/>
      <c r="H61" s="890"/>
      <c r="K61" s="890"/>
    </row>
    <row r="62" spans="1:11" x14ac:dyDescent="0.25">
      <c r="A62" s="1036"/>
      <c r="B62" s="1776" t="str">
        <f>"دجاج 65   1 / " &amp; COUNTIF($C$53:$C$55, "&gt;0")</f>
        <v>دجاج 65   1 / 1</v>
      </c>
      <c r="C62" s="1800"/>
      <c r="D62" s="1801"/>
      <c r="E62" s="1830"/>
      <c r="F62" s="1801"/>
      <c r="G62" s="1800"/>
      <c r="H62" s="1801"/>
      <c r="K62" s="890"/>
    </row>
    <row r="63" spans="1:11" x14ac:dyDescent="0.25">
      <c r="A63" s="1036"/>
      <c r="B63" s="1776" t="str">
        <f>"  Chicken 65   1 / " &amp; COUNTIF($C$53:$C$55, "&gt;0")</f>
        <v xml:space="preserve">  Chicken 65   1 / 1</v>
      </c>
      <c r="C63" s="1777"/>
      <c r="D63" s="1778"/>
      <c r="E63" s="1778"/>
      <c r="F63" s="1778"/>
      <c r="G63" s="1777"/>
      <c r="H63" s="1778"/>
      <c r="K63" s="890"/>
    </row>
    <row r="64" spans="1:11" ht="38.25" x14ac:dyDescent="0.2">
      <c r="A64" s="1350" t="s">
        <v>864</v>
      </c>
      <c r="B64" s="923" t="s">
        <v>241</v>
      </c>
      <c r="C64" s="934" t="s">
        <v>242</v>
      </c>
      <c r="D64" s="923" t="s">
        <v>231</v>
      </c>
      <c r="E64" s="935" t="s">
        <v>234</v>
      </c>
      <c r="F64" s="935" t="s">
        <v>243</v>
      </c>
      <c r="G64" s="923" t="s">
        <v>244</v>
      </c>
      <c r="H64" s="936" t="s">
        <v>245</v>
      </c>
      <c r="K64" s="890"/>
    </row>
    <row r="65" spans="1:11" x14ac:dyDescent="0.2">
      <c r="A65" s="937" t="s">
        <v>872</v>
      </c>
      <c r="B65" s="938" t="str">
        <f t="shared" ref="B65:D80" si="15">B5</f>
        <v>Chicken - دجاج</v>
      </c>
      <c r="C65" s="938" t="str">
        <f t="shared" si="15"/>
        <v>gm</v>
      </c>
      <c r="D65" s="1127">
        <f t="shared" si="15"/>
        <v>5649.8305084745762</v>
      </c>
      <c r="E65" s="1040">
        <f>H53</f>
        <v>8.7136718804085458</v>
      </c>
      <c r="F65" s="948">
        <f t="shared" ref="F65:F80" si="16">F5</f>
        <v>1</v>
      </c>
      <c r="G65" s="940">
        <f t="shared" ref="G65:G80" si="17">D65*E65</f>
        <v>49230.769230769227</v>
      </c>
      <c r="H65" s="943">
        <f t="shared" ref="H65:H80" si="18">G65*F65</f>
        <v>49230.769230769227</v>
      </c>
      <c r="K65" s="890"/>
    </row>
    <row r="66" spans="1:11" x14ac:dyDescent="0.25">
      <c r="A66" s="949"/>
      <c r="B66" s="938" t="str">
        <f t="shared" si="15"/>
        <v>Tomato Ketchup - كاتشب طماطم</v>
      </c>
      <c r="C66" s="938" t="str">
        <f t="shared" si="15"/>
        <v>ml</v>
      </c>
      <c r="D66" s="938">
        <f t="shared" si="15"/>
        <v>400</v>
      </c>
      <c r="E66" s="1040">
        <f t="shared" ref="E66:E80" si="19">$C$53</f>
        <v>9.0769230769230838</v>
      </c>
      <c r="F66" s="948">
        <f t="shared" si="16"/>
        <v>1</v>
      </c>
      <c r="G66" s="940">
        <f t="shared" si="17"/>
        <v>3630.7692307692337</v>
      </c>
      <c r="H66" s="943">
        <f t="shared" si="18"/>
        <v>3630.7692307692337</v>
      </c>
      <c r="K66" s="890"/>
    </row>
    <row r="67" spans="1:11" x14ac:dyDescent="0.25">
      <c r="A67" s="949"/>
      <c r="B67" s="938" t="str">
        <f t="shared" si="15"/>
        <v>Sriracha Sauce - صوص سريراتشا</v>
      </c>
      <c r="C67" s="938" t="str">
        <f t="shared" si="15"/>
        <v>ml</v>
      </c>
      <c r="D67" s="938">
        <f t="shared" si="15"/>
        <v>33</v>
      </c>
      <c r="E67" s="1040">
        <f t="shared" si="19"/>
        <v>9.0769230769230838</v>
      </c>
      <c r="F67" s="948">
        <f t="shared" si="16"/>
        <v>0.75</v>
      </c>
      <c r="G67" s="940">
        <f t="shared" si="17"/>
        <v>299.53846153846177</v>
      </c>
      <c r="H67" s="943">
        <f t="shared" si="18"/>
        <v>224.65384615384633</v>
      </c>
      <c r="K67" s="890"/>
    </row>
    <row r="68" spans="1:11" x14ac:dyDescent="0.25">
      <c r="A68" s="949"/>
      <c r="B68" s="938" t="str">
        <f t="shared" si="15"/>
        <v>Honey - عسل</v>
      </c>
      <c r="C68" s="938" t="str">
        <f t="shared" si="15"/>
        <v>gm</v>
      </c>
      <c r="D68" s="938">
        <f t="shared" si="15"/>
        <v>20</v>
      </c>
      <c r="E68" s="1040">
        <f t="shared" si="19"/>
        <v>9.0769230769230838</v>
      </c>
      <c r="F68" s="948">
        <f t="shared" si="16"/>
        <v>1</v>
      </c>
      <c r="G68" s="940">
        <f t="shared" si="17"/>
        <v>181.53846153846166</v>
      </c>
      <c r="H68" s="943">
        <f t="shared" si="18"/>
        <v>181.53846153846166</v>
      </c>
      <c r="K68" s="890"/>
    </row>
    <row r="69" spans="1:11" x14ac:dyDescent="0.25">
      <c r="A69" s="949"/>
      <c r="B69" s="938" t="str">
        <f t="shared" si="15"/>
        <v>Water - ماء</v>
      </c>
      <c r="C69" s="938" t="str">
        <f t="shared" si="15"/>
        <v>ml</v>
      </c>
      <c r="D69" s="938">
        <f t="shared" si="15"/>
        <v>280</v>
      </c>
      <c r="E69" s="1040">
        <f t="shared" si="19"/>
        <v>9.0769230769230838</v>
      </c>
      <c r="F69" s="948">
        <f t="shared" si="16"/>
        <v>1</v>
      </c>
      <c r="G69" s="940">
        <f t="shared" si="17"/>
        <v>2541.5384615384633</v>
      </c>
      <c r="H69" s="943">
        <f t="shared" si="18"/>
        <v>2541.5384615384633</v>
      </c>
      <c r="K69" s="890"/>
    </row>
    <row r="70" spans="1:11" x14ac:dyDescent="0.25">
      <c r="A70" s="949"/>
      <c r="B70" s="938" t="str">
        <f t="shared" si="15"/>
        <v>Corn Starch - نشا ذرة</v>
      </c>
      <c r="C70" s="938" t="str">
        <f t="shared" si="15"/>
        <v>gm</v>
      </c>
      <c r="D70" s="938">
        <f t="shared" si="15"/>
        <v>40</v>
      </c>
      <c r="E70" s="1040">
        <f t="shared" si="19"/>
        <v>9.0769230769230838</v>
      </c>
      <c r="F70" s="948">
        <f t="shared" si="16"/>
        <v>0.5</v>
      </c>
      <c r="G70" s="940">
        <f t="shared" si="17"/>
        <v>363.07692307692332</v>
      </c>
      <c r="H70" s="943">
        <f t="shared" si="18"/>
        <v>181.53846153846166</v>
      </c>
      <c r="K70" s="890"/>
    </row>
    <row r="71" spans="1:11" x14ac:dyDescent="0.25">
      <c r="A71" s="949" t="s">
        <v>881</v>
      </c>
      <c r="B71" s="938" t="str">
        <f t="shared" si="15"/>
        <v>Onion - بصل</v>
      </c>
      <c r="C71" s="938" t="str">
        <f t="shared" si="15"/>
        <v>gm</v>
      </c>
      <c r="D71" s="938">
        <f t="shared" si="15"/>
        <v>270</v>
      </c>
      <c r="E71" s="1040">
        <f t="shared" si="19"/>
        <v>9.0769230769230838</v>
      </c>
      <c r="F71" s="948">
        <f t="shared" si="16"/>
        <v>0.95</v>
      </c>
      <c r="G71" s="940">
        <f t="shared" si="17"/>
        <v>2450.7692307692328</v>
      </c>
      <c r="H71" s="943">
        <f t="shared" si="18"/>
        <v>2328.2307692307709</v>
      </c>
      <c r="K71" s="890"/>
    </row>
    <row r="72" spans="1:11" x14ac:dyDescent="0.25">
      <c r="A72" s="949" t="s">
        <v>868</v>
      </c>
      <c r="B72" s="938" t="str">
        <f t="shared" si="15"/>
        <v>Garlic - ثوم مقشر</v>
      </c>
      <c r="C72" s="938" t="str">
        <f t="shared" si="15"/>
        <v>gm</v>
      </c>
      <c r="D72" s="938">
        <f t="shared" si="15"/>
        <v>40</v>
      </c>
      <c r="E72" s="1040">
        <f t="shared" si="19"/>
        <v>9.0769230769230838</v>
      </c>
      <c r="F72" s="948">
        <f t="shared" si="16"/>
        <v>0.95</v>
      </c>
      <c r="G72" s="940">
        <f t="shared" si="17"/>
        <v>363.07692307692332</v>
      </c>
      <c r="H72" s="943">
        <f t="shared" si="18"/>
        <v>344.92307692307713</v>
      </c>
      <c r="K72" s="890"/>
    </row>
    <row r="73" spans="1:11" x14ac:dyDescent="0.25">
      <c r="A73" s="949" t="s">
        <v>867</v>
      </c>
      <c r="B73" s="938" t="str">
        <f t="shared" si="15"/>
        <v>Ginger - زنجبيل</v>
      </c>
      <c r="C73" s="938" t="str">
        <f t="shared" si="15"/>
        <v>gm</v>
      </c>
      <c r="D73" s="938">
        <f t="shared" si="15"/>
        <v>40</v>
      </c>
      <c r="E73" s="1040">
        <f t="shared" si="19"/>
        <v>9.0769230769230838</v>
      </c>
      <c r="F73" s="948">
        <f t="shared" si="16"/>
        <v>0.6</v>
      </c>
      <c r="G73" s="940">
        <f t="shared" si="17"/>
        <v>363.07692307692332</v>
      </c>
      <c r="H73" s="943">
        <f t="shared" si="18"/>
        <v>217.84615384615398</v>
      </c>
      <c r="K73" s="890"/>
    </row>
    <row r="74" spans="1:11" x14ac:dyDescent="0.25">
      <c r="A74" s="949" t="s">
        <v>884</v>
      </c>
      <c r="B74" s="938" t="str">
        <f t="shared" si="15"/>
        <v>Curry Leaves - أوراق الكاري</v>
      </c>
      <c r="C74" s="938" t="str">
        <f t="shared" si="15"/>
        <v>gm</v>
      </c>
      <c r="D74" s="938">
        <f t="shared" si="15"/>
        <v>3</v>
      </c>
      <c r="E74" s="1040">
        <f t="shared" si="19"/>
        <v>9.0769230769230838</v>
      </c>
      <c r="F74" s="948">
        <f t="shared" si="16"/>
        <v>1</v>
      </c>
      <c r="G74" s="940">
        <f t="shared" si="17"/>
        <v>27.230769230769251</v>
      </c>
      <c r="H74" s="943">
        <f t="shared" si="18"/>
        <v>27.230769230769251</v>
      </c>
      <c r="K74" s="890"/>
    </row>
    <row r="75" spans="1:11" x14ac:dyDescent="0.25">
      <c r="A75" s="949" t="s">
        <v>869</v>
      </c>
      <c r="B75" s="938" t="str">
        <f t="shared" si="15"/>
        <v>Coriander Leaves - كزبرة خضراء</v>
      </c>
      <c r="C75" s="938" t="str">
        <f t="shared" si="15"/>
        <v>gm</v>
      </c>
      <c r="D75" s="938">
        <f t="shared" si="15"/>
        <v>28</v>
      </c>
      <c r="E75" s="1040">
        <f t="shared" si="19"/>
        <v>9.0769230769230838</v>
      </c>
      <c r="F75" s="948">
        <f t="shared" si="16"/>
        <v>1</v>
      </c>
      <c r="G75" s="940">
        <f t="shared" si="17"/>
        <v>254.15384615384636</v>
      </c>
      <c r="H75" s="943">
        <f t="shared" si="18"/>
        <v>254.15384615384636</v>
      </c>
      <c r="K75" s="890"/>
    </row>
    <row r="76" spans="1:11" ht="25.5" x14ac:dyDescent="0.25">
      <c r="A76" s="949"/>
      <c r="B76" s="938" t="str">
        <f t="shared" si="15"/>
        <v>Kashmiri Red Chilli Whole - فلفل كشميري أحمر كامل</v>
      </c>
      <c r="C76" s="938" t="str">
        <f t="shared" si="15"/>
        <v>gm</v>
      </c>
      <c r="D76" s="938">
        <f t="shared" si="15"/>
        <v>12</v>
      </c>
      <c r="E76" s="1040">
        <f t="shared" si="19"/>
        <v>9.0769230769230838</v>
      </c>
      <c r="F76" s="948">
        <f t="shared" si="16"/>
        <v>0.75</v>
      </c>
      <c r="G76" s="940">
        <f t="shared" si="17"/>
        <v>108.92307692307701</v>
      </c>
      <c r="H76" s="943">
        <f t="shared" si="18"/>
        <v>81.69230769230775</v>
      </c>
      <c r="K76" s="890"/>
    </row>
    <row r="77" spans="1:11" x14ac:dyDescent="0.25">
      <c r="A77" s="949"/>
      <c r="B77" s="938" t="str">
        <f t="shared" si="15"/>
        <v>Butter - زبدة</v>
      </c>
      <c r="C77" s="938" t="str">
        <f t="shared" si="15"/>
        <v>gm</v>
      </c>
      <c r="D77" s="938">
        <f t="shared" si="15"/>
        <v>25</v>
      </c>
      <c r="E77" s="1040">
        <f t="shared" si="19"/>
        <v>9.0769230769230838</v>
      </c>
      <c r="F77" s="948">
        <f t="shared" si="16"/>
        <v>1</v>
      </c>
      <c r="G77" s="940">
        <f t="shared" si="17"/>
        <v>226.9230769230771</v>
      </c>
      <c r="H77" s="943">
        <f t="shared" si="18"/>
        <v>226.9230769230771</v>
      </c>
      <c r="K77" s="890"/>
    </row>
    <row r="78" spans="1:11" x14ac:dyDescent="0.25">
      <c r="A78" s="949"/>
      <c r="B78" s="938" t="str">
        <f t="shared" si="15"/>
        <v>Salt - ملح</v>
      </c>
      <c r="C78" s="938" t="str">
        <f t="shared" si="15"/>
        <v>gm</v>
      </c>
      <c r="D78" s="938">
        <f t="shared" si="15"/>
        <v>7</v>
      </c>
      <c r="E78" s="1040">
        <f t="shared" si="19"/>
        <v>9.0769230769230838</v>
      </c>
      <c r="F78" s="948">
        <f t="shared" si="16"/>
        <v>0.75</v>
      </c>
      <c r="G78" s="940">
        <f t="shared" si="17"/>
        <v>63.53846153846159</v>
      </c>
      <c r="H78" s="943">
        <f t="shared" si="18"/>
        <v>47.653846153846189</v>
      </c>
      <c r="K78" s="890"/>
    </row>
    <row r="79" spans="1:11" x14ac:dyDescent="0.25">
      <c r="A79" s="949"/>
      <c r="B79" s="938" t="str">
        <f t="shared" si="15"/>
        <v>Orange Color - لون برتقالي</v>
      </c>
      <c r="C79" s="938" t="str">
        <f t="shared" si="15"/>
        <v>gm</v>
      </c>
      <c r="D79" s="938">
        <f t="shared" si="15"/>
        <v>2.5</v>
      </c>
      <c r="E79" s="1040">
        <f t="shared" si="19"/>
        <v>9.0769230769230838</v>
      </c>
      <c r="F79" s="948">
        <f t="shared" si="16"/>
        <v>1</v>
      </c>
      <c r="G79" s="940">
        <f t="shared" si="17"/>
        <v>22.692307692307708</v>
      </c>
      <c r="H79" s="943">
        <f t="shared" si="18"/>
        <v>22.692307692307708</v>
      </c>
      <c r="K79" s="890"/>
    </row>
    <row r="80" spans="1:11" x14ac:dyDescent="0.25">
      <c r="A80" s="949" t="s">
        <v>870</v>
      </c>
      <c r="B80" s="938" t="str">
        <f t="shared" si="15"/>
        <v>Tomato - طماطم</v>
      </c>
      <c r="C80" s="938" t="str">
        <f t="shared" si="15"/>
        <v>gm</v>
      </c>
      <c r="D80" s="938">
        <f t="shared" si="15"/>
        <v>400</v>
      </c>
      <c r="E80" s="1040">
        <f t="shared" si="19"/>
        <v>9.0769230769230838</v>
      </c>
      <c r="F80" s="948">
        <f t="shared" si="16"/>
        <v>0.95</v>
      </c>
      <c r="G80" s="940">
        <f t="shared" si="17"/>
        <v>3630.7692307692337</v>
      </c>
      <c r="H80" s="943">
        <f t="shared" si="18"/>
        <v>3449.2307692307718</v>
      </c>
      <c r="K80" s="890"/>
    </row>
    <row r="81" spans="1:11" ht="18" x14ac:dyDescent="0.25">
      <c r="A81" s="1070"/>
      <c r="B81" s="1041" t="s">
        <v>287</v>
      </c>
      <c r="C81" s="1042" t="s">
        <v>273</v>
      </c>
      <c r="D81" s="1043"/>
      <c r="E81" s="1044" t="s">
        <v>288</v>
      </c>
      <c r="F81" s="1043"/>
      <c r="G81" s="1045" t="s">
        <v>264</v>
      </c>
      <c r="H81" s="1046" t="s">
        <v>661</v>
      </c>
      <c r="K81" s="890"/>
    </row>
    <row r="82" spans="1:11" ht="20.25" x14ac:dyDescent="0.3">
      <c r="A82" s="1070"/>
      <c r="B82" s="1047">
        <f>$J$53</f>
        <v>29046.15384615384</v>
      </c>
      <c r="C82" s="1048">
        <f>E82+G82</f>
        <v>8713.8461538461615</v>
      </c>
      <c r="D82" s="1049"/>
      <c r="E82" s="1047">
        <f>$D$53*$S$44</f>
        <v>8713.8461538461615</v>
      </c>
      <c r="F82" s="1050"/>
      <c r="G82" s="1048">
        <f>$D$53*$T$44</f>
        <v>0</v>
      </c>
      <c r="H82" s="1047">
        <f>B82+E82</f>
        <v>37760</v>
      </c>
      <c r="K82" s="890"/>
    </row>
    <row r="83" spans="1:11" x14ac:dyDescent="0.25">
      <c r="B83" s="80"/>
      <c r="D83" s="890"/>
      <c r="E83" s="225"/>
      <c r="F83" s="80"/>
      <c r="H83" s="890"/>
      <c r="K83" s="890"/>
    </row>
    <row r="84" spans="1:11" x14ac:dyDescent="0.25">
      <c r="B84" s="80"/>
      <c r="C84" s="80"/>
      <c r="D84" s="80"/>
      <c r="E84" s="80"/>
      <c r="F84" s="80"/>
      <c r="G84" s="80"/>
      <c r="H84" s="80"/>
      <c r="K84" s="890"/>
    </row>
    <row r="85" spans="1:11" x14ac:dyDescent="0.25">
      <c r="B85" s="80"/>
      <c r="C85" s="80"/>
      <c r="D85" s="80"/>
      <c r="E85" s="80"/>
      <c r="F85" s="80"/>
      <c r="G85" s="80"/>
      <c r="H85" s="80"/>
      <c r="K85" s="890"/>
    </row>
    <row r="86" spans="1:11" x14ac:dyDescent="0.25">
      <c r="B86" s="80"/>
      <c r="C86" s="80"/>
      <c r="D86" s="80"/>
      <c r="E86" s="80"/>
      <c r="F86" s="80"/>
      <c r="G86" s="80"/>
      <c r="H86" s="80"/>
      <c r="K86" s="890"/>
    </row>
    <row r="87" spans="1:11" x14ac:dyDescent="0.25">
      <c r="A87" s="1036"/>
      <c r="B87" s="1776" t="str">
        <f>"دجاج 65 2 / " &amp; COUNTIF($C$53:$C$55, "&gt;0")</f>
        <v>دجاج 65 2 / 1</v>
      </c>
      <c r="C87" s="1800"/>
      <c r="D87" s="1801"/>
      <c r="E87" s="1830"/>
      <c r="F87" s="1801"/>
      <c r="G87" s="1800"/>
      <c r="H87" s="1801"/>
      <c r="K87" s="890"/>
    </row>
    <row r="88" spans="1:11" x14ac:dyDescent="0.25">
      <c r="A88" s="1036"/>
      <c r="B88" s="1776" t="str">
        <f>"  Chicken 65   2 / " &amp; COUNTIF($C$53:$C$55, "&gt;0")</f>
        <v xml:space="preserve">  Chicken 65   2 / 1</v>
      </c>
      <c r="C88" s="1777"/>
      <c r="D88" s="1778"/>
      <c r="E88" s="1778"/>
      <c r="F88" s="1778"/>
      <c r="G88" s="1777"/>
      <c r="H88" s="1778"/>
      <c r="K88" s="890"/>
    </row>
    <row r="89" spans="1:11" ht="38.25" x14ac:dyDescent="0.2">
      <c r="A89" s="1350" t="s">
        <v>864</v>
      </c>
      <c r="B89" s="923" t="s">
        <v>241</v>
      </c>
      <c r="C89" s="934" t="s">
        <v>242</v>
      </c>
      <c r="D89" s="923" t="s">
        <v>231</v>
      </c>
      <c r="E89" s="935" t="s">
        <v>234</v>
      </c>
      <c r="F89" s="935" t="s">
        <v>243</v>
      </c>
      <c r="G89" s="923" t="s">
        <v>244</v>
      </c>
      <c r="H89" s="936" t="s">
        <v>245</v>
      </c>
      <c r="K89" s="890"/>
    </row>
    <row r="90" spans="1:11" x14ac:dyDescent="0.2">
      <c r="A90" s="937" t="s">
        <v>872</v>
      </c>
      <c r="B90" s="938" t="str">
        <f t="shared" ref="B90:D105" si="20">B5</f>
        <v>Chicken - دجاج</v>
      </c>
      <c r="C90" s="938" t="str">
        <f t="shared" si="20"/>
        <v>gm</v>
      </c>
      <c r="D90" s="1127">
        <f>D5</f>
        <v>5649.8305084745762</v>
      </c>
      <c r="E90" s="1040">
        <f>H54</f>
        <v>0</v>
      </c>
      <c r="F90" s="948">
        <f t="shared" ref="F90:F105" si="21">F5</f>
        <v>1</v>
      </c>
      <c r="G90" s="944">
        <f t="shared" ref="G90:G105" si="22">D90*E90</f>
        <v>0</v>
      </c>
      <c r="H90" s="943">
        <f t="shared" ref="H90:H105" si="23">G90*F90</f>
        <v>0</v>
      </c>
      <c r="K90" s="890"/>
    </row>
    <row r="91" spans="1:11" x14ac:dyDescent="0.25">
      <c r="A91" s="949"/>
      <c r="B91" s="938" t="str">
        <f t="shared" si="20"/>
        <v>Tomato Ketchup - كاتشب طماطم</v>
      </c>
      <c r="C91" s="938" t="str">
        <f t="shared" si="20"/>
        <v>ml</v>
      </c>
      <c r="D91" s="938">
        <f t="shared" si="20"/>
        <v>400</v>
      </c>
      <c r="E91" s="1040">
        <f t="shared" ref="E91:E105" si="24">$C$54</f>
        <v>0</v>
      </c>
      <c r="F91" s="948">
        <f t="shared" si="21"/>
        <v>1</v>
      </c>
      <c r="G91" s="944">
        <f t="shared" si="22"/>
        <v>0</v>
      </c>
      <c r="H91" s="943">
        <f t="shared" si="23"/>
        <v>0</v>
      </c>
      <c r="K91" s="890"/>
    </row>
    <row r="92" spans="1:11" x14ac:dyDescent="0.25">
      <c r="A92" s="949"/>
      <c r="B92" s="938" t="str">
        <f t="shared" si="20"/>
        <v>Sriracha Sauce - صوص سريراتشا</v>
      </c>
      <c r="C92" s="938" t="str">
        <f t="shared" si="20"/>
        <v>ml</v>
      </c>
      <c r="D92" s="938">
        <f t="shared" si="20"/>
        <v>33</v>
      </c>
      <c r="E92" s="1040">
        <f t="shared" si="24"/>
        <v>0</v>
      </c>
      <c r="F92" s="948">
        <f t="shared" si="21"/>
        <v>0.75</v>
      </c>
      <c r="G92" s="944">
        <f t="shared" si="22"/>
        <v>0</v>
      </c>
      <c r="H92" s="943">
        <f t="shared" si="23"/>
        <v>0</v>
      </c>
      <c r="K92" s="890"/>
    </row>
    <row r="93" spans="1:11" x14ac:dyDescent="0.25">
      <c r="A93" s="949"/>
      <c r="B93" s="938" t="str">
        <f t="shared" si="20"/>
        <v>Honey - عسل</v>
      </c>
      <c r="C93" s="938" t="str">
        <f t="shared" si="20"/>
        <v>gm</v>
      </c>
      <c r="D93" s="938">
        <f t="shared" si="20"/>
        <v>20</v>
      </c>
      <c r="E93" s="1040">
        <f t="shared" si="24"/>
        <v>0</v>
      </c>
      <c r="F93" s="948">
        <f t="shared" si="21"/>
        <v>1</v>
      </c>
      <c r="G93" s="944">
        <f t="shared" si="22"/>
        <v>0</v>
      </c>
      <c r="H93" s="943">
        <f t="shared" si="23"/>
        <v>0</v>
      </c>
      <c r="K93" s="890"/>
    </row>
    <row r="94" spans="1:11" x14ac:dyDescent="0.25">
      <c r="A94" s="949"/>
      <c r="B94" s="938" t="str">
        <f t="shared" si="20"/>
        <v>Water - ماء</v>
      </c>
      <c r="C94" s="938" t="str">
        <f t="shared" si="20"/>
        <v>ml</v>
      </c>
      <c r="D94" s="938">
        <f t="shared" si="20"/>
        <v>280</v>
      </c>
      <c r="E94" s="1040">
        <f t="shared" si="24"/>
        <v>0</v>
      </c>
      <c r="F94" s="948">
        <f t="shared" si="21"/>
        <v>1</v>
      </c>
      <c r="G94" s="944">
        <f t="shared" si="22"/>
        <v>0</v>
      </c>
      <c r="H94" s="943">
        <f t="shared" si="23"/>
        <v>0</v>
      </c>
      <c r="K94" s="890"/>
    </row>
    <row r="95" spans="1:11" x14ac:dyDescent="0.25">
      <c r="A95" s="949"/>
      <c r="B95" s="938" t="str">
        <f t="shared" si="20"/>
        <v>Corn Starch - نشا ذرة</v>
      </c>
      <c r="C95" s="938" t="str">
        <f t="shared" si="20"/>
        <v>gm</v>
      </c>
      <c r="D95" s="938">
        <f t="shared" si="20"/>
        <v>40</v>
      </c>
      <c r="E95" s="1040">
        <f t="shared" si="24"/>
        <v>0</v>
      </c>
      <c r="F95" s="948">
        <f t="shared" si="21"/>
        <v>0.5</v>
      </c>
      <c r="G95" s="944">
        <f t="shared" si="22"/>
        <v>0</v>
      </c>
      <c r="H95" s="943">
        <f t="shared" si="23"/>
        <v>0</v>
      </c>
      <c r="K95" s="890"/>
    </row>
    <row r="96" spans="1:11" x14ac:dyDescent="0.25">
      <c r="A96" s="949" t="s">
        <v>881</v>
      </c>
      <c r="B96" s="938" t="str">
        <f t="shared" si="20"/>
        <v>Onion - بصل</v>
      </c>
      <c r="C96" s="938" t="str">
        <f t="shared" si="20"/>
        <v>gm</v>
      </c>
      <c r="D96" s="938">
        <f t="shared" si="20"/>
        <v>270</v>
      </c>
      <c r="E96" s="1040">
        <f t="shared" si="24"/>
        <v>0</v>
      </c>
      <c r="F96" s="948">
        <f t="shared" si="21"/>
        <v>0.95</v>
      </c>
      <c r="G96" s="944">
        <f t="shared" si="22"/>
        <v>0</v>
      </c>
      <c r="H96" s="943">
        <f t="shared" si="23"/>
        <v>0</v>
      </c>
      <c r="K96" s="890"/>
    </row>
    <row r="97" spans="1:11" x14ac:dyDescent="0.25">
      <c r="A97" s="949" t="s">
        <v>868</v>
      </c>
      <c r="B97" s="938" t="str">
        <f t="shared" si="20"/>
        <v>Garlic - ثوم مقشر</v>
      </c>
      <c r="C97" s="938" t="str">
        <f t="shared" si="20"/>
        <v>gm</v>
      </c>
      <c r="D97" s="938">
        <f t="shared" si="20"/>
        <v>40</v>
      </c>
      <c r="E97" s="1040">
        <f t="shared" si="24"/>
        <v>0</v>
      </c>
      <c r="F97" s="948">
        <f t="shared" si="21"/>
        <v>0.95</v>
      </c>
      <c r="G97" s="944">
        <f t="shared" si="22"/>
        <v>0</v>
      </c>
      <c r="H97" s="943">
        <f t="shared" si="23"/>
        <v>0</v>
      </c>
      <c r="K97" s="890"/>
    </row>
    <row r="98" spans="1:11" x14ac:dyDescent="0.25">
      <c r="A98" s="949" t="s">
        <v>867</v>
      </c>
      <c r="B98" s="938" t="str">
        <f t="shared" si="20"/>
        <v>Ginger - زنجبيل</v>
      </c>
      <c r="C98" s="938" t="str">
        <f t="shared" si="20"/>
        <v>gm</v>
      </c>
      <c r="D98" s="938">
        <f t="shared" si="20"/>
        <v>40</v>
      </c>
      <c r="E98" s="1040">
        <f t="shared" si="24"/>
        <v>0</v>
      </c>
      <c r="F98" s="948">
        <f t="shared" si="21"/>
        <v>0.6</v>
      </c>
      <c r="G98" s="944">
        <f t="shared" si="22"/>
        <v>0</v>
      </c>
      <c r="H98" s="943">
        <f t="shared" si="23"/>
        <v>0</v>
      </c>
      <c r="K98" s="890"/>
    </row>
    <row r="99" spans="1:11" x14ac:dyDescent="0.25">
      <c r="A99" s="949" t="s">
        <v>884</v>
      </c>
      <c r="B99" s="938" t="str">
        <f t="shared" si="20"/>
        <v>Curry Leaves - أوراق الكاري</v>
      </c>
      <c r="C99" s="938" t="str">
        <f t="shared" si="20"/>
        <v>gm</v>
      </c>
      <c r="D99" s="938">
        <f t="shared" si="20"/>
        <v>3</v>
      </c>
      <c r="E99" s="1040">
        <f t="shared" si="24"/>
        <v>0</v>
      </c>
      <c r="F99" s="948">
        <f t="shared" si="21"/>
        <v>1</v>
      </c>
      <c r="G99" s="944">
        <f t="shared" si="22"/>
        <v>0</v>
      </c>
      <c r="H99" s="943">
        <f t="shared" si="23"/>
        <v>0</v>
      </c>
      <c r="K99" s="890"/>
    </row>
    <row r="100" spans="1:11" x14ac:dyDescent="0.25">
      <c r="A100" s="949" t="s">
        <v>869</v>
      </c>
      <c r="B100" s="938" t="str">
        <f t="shared" si="20"/>
        <v>Coriander Leaves - كزبرة خضراء</v>
      </c>
      <c r="C100" s="938" t="str">
        <f t="shared" si="20"/>
        <v>gm</v>
      </c>
      <c r="D100" s="938">
        <f t="shared" si="20"/>
        <v>28</v>
      </c>
      <c r="E100" s="1040">
        <f t="shared" si="24"/>
        <v>0</v>
      </c>
      <c r="F100" s="948">
        <f t="shared" si="21"/>
        <v>1</v>
      </c>
      <c r="G100" s="944">
        <f t="shared" si="22"/>
        <v>0</v>
      </c>
      <c r="H100" s="943">
        <f t="shared" si="23"/>
        <v>0</v>
      </c>
      <c r="K100" s="890"/>
    </row>
    <row r="101" spans="1:11" ht="25.5" x14ac:dyDescent="0.25">
      <c r="A101" s="949"/>
      <c r="B101" s="938" t="str">
        <f t="shared" si="20"/>
        <v>Kashmiri Red Chilli Whole - فلفل كشميري أحمر كامل</v>
      </c>
      <c r="C101" s="938" t="str">
        <f t="shared" si="20"/>
        <v>gm</v>
      </c>
      <c r="D101" s="938">
        <f t="shared" si="20"/>
        <v>12</v>
      </c>
      <c r="E101" s="1040">
        <f t="shared" si="24"/>
        <v>0</v>
      </c>
      <c r="F101" s="948">
        <f t="shared" si="21"/>
        <v>0.75</v>
      </c>
      <c r="G101" s="944">
        <f t="shared" si="22"/>
        <v>0</v>
      </c>
      <c r="H101" s="943">
        <f t="shared" si="23"/>
        <v>0</v>
      </c>
      <c r="K101" s="890"/>
    </row>
    <row r="102" spans="1:11" x14ac:dyDescent="0.25">
      <c r="A102" s="949"/>
      <c r="B102" s="938" t="str">
        <f t="shared" si="20"/>
        <v>Butter - زبدة</v>
      </c>
      <c r="C102" s="938" t="str">
        <f t="shared" si="20"/>
        <v>gm</v>
      </c>
      <c r="D102" s="938">
        <f t="shared" si="20"/>
        <v>25</v>
      </c>
      <c r="E102" s="1040">
        <f t="shared" si="24"/>
        <v>0</v>
      </c>
      <c r="F102" s="948">
        <f t="shared" si="21"/>
        <v>1</v>
      </c>
      <c r="G102" s="944">
        <f t="shared" si="22"/>
        <v>0</v>
      </c>
      <c r="H102" s="943">
        <f t="shared" si="23"/>
        <v>0</v>
      </c>
      <c r="K102" s="890"/>
    </row>
    <row r="103" spans="1:11" x14ac:dyDescent="0.25">
      <c r="A103" s="949"/>
      <c r="B103" s="938" t="str">
        <f t="shared" si="20"/>
        <v>Salt - ملح</v>
      </c>
      <c r="C103" s="938" t="str">
        <f t="shared" si="20"/>
        <v>gm</v>
      </c>
      <c r="D103" s="938">
        <f t="shared" si="20"/>
        <v>7</v>
      </c>
      <c r="E103" s="1040">
        <f t="shared" si="24"/>
        <v>0</v>
      </c>
      <c r="F103" s="948">
        <f t="shared" si="21"/>
        <v>0.75</v>
      </c>
      <c r="G103" s="944">
        <f t="shared" si="22"/>
        <v>0</v>
      </c>
      <c r="H103" s="943">
        <f t="shared" si="23"/>
        <v>0</v>
      </c>
      <c r="K103" s="890"/>
    </row>
    <row r="104" spans="1:11" x14ac:dyDescent="0.25">
      <c r="A104" s="949"/>
      <c r="B104" s="938" t="str">
        <f t="shared" si="20"/>
        <v>Orange Color - لون برتقالي</v>
      </c>
      <c r="C104" s="938" t="str">
        <f t="shared" si="20"/>
        <v>gm</v>
      </c>
      <c r="D104" s="938">
        <f t="shared" si="20"/>
        <v>2.5</v>
      </c>
      <c r="E104" s="1040">
        <f t="shared" si="24"/>
        <v>0</v>
      </c>
      <c r="F104" s="948">
        <f t="shared" si="21"/>
        <v>1</v>
      </c>
      <c r="G104" s="944">
        <f t="shared" si="22"/>
        <v>0</v>
      </c>
      <c r="H104" s="943">
        <f t="shared" si="23"/>
        <v>0</v>
      </c>
      <c r="K104" s="890"/>
    </row>
    <row r="105" spans="1:11" x14ac:dyDescent="0.25">
      <c r="A105" s="949" t="s">
        <v>870</v>
      </c>
      <c r="B105" s="938" t="str">
        <f t="shared" si="20"/>
        <v>Tomato - طماطم</v>
      </c>
      <c r="C105" s="938" t="str">
        <f t="shared" si="20"/>
        <v>gm</v>
      </c>
      <c r="D105" s="938">
        <f t="shared" si="20"/>
        <v>400</v>
      </c>
      <c r="E105" s="1040">
        <f t="shared" si="24"/>
        <v>0</v>
      </c>
      <c r="F105" s="948">
        <f t="shared" si="21"/>
        <v>0.95</v>
      </c>
      <c r="G105" s="944">
        <f t="shared" si="22"/>
        <v>0</v>
      </c>
      <c r="H105" s="943">
        <f t="shared" si="23"/>
        <v>0</v>
      </c>
      <c r="K105" s="890"/>
    </row>
    <row r="106" spans="1:11" ht="20.25" x14ac:dyDescent="0.3">
      <c r="A106" s="1070"/>
      <c r="B106" s="1041" t="s">
        <v>287</v>
      </c>
      <c r="C106" s="1042" t="s">
        <v>273</v>
      </c>
      <c r="D106" s="1043"/>
      <c r="E106" s="1044" t="s">
        <v>288</v>
      </c>
      <c r="F106" s="1043"/>
      <c r="G106" s="1045" t="s">
        <v>264</v>
      </c>
      <c r="H106" s="1046" t="s">
        <v>661</v>
      </c>
      <c r="I106" s="142"/>
      <c r="J106" s="141"/>
      <c r="K106" s="890"/>
    </row>
    <row r="107" spans="1:11" ht="20.25" x14ac:dyDescent="0.3">
      <c r="A107" s="1070"/>
      <c r="B107" s="1047">
        <f>$J$54</f>
        <v>0</v>
      </c>
      <c r="C107" s="1048">
        <f>E107+G107</f>
        <v>0</v>
      </c>
      <c r="D107" s="1049"/>
      <c r="E107" s="1047">
        <f>$D$54*$S$44</f>
        <v>0</v>
      </c>
      <c r="F107" s="1050"/>
      <c r="G107" s="1048">
        <f>$D$54*$T$44</f>
        <v>0</v>
      </c>
      <c r="H107" s="1047">
        <f>B107+E107</f>
        <v>0</v>
      </c>
      <c r="K107" s="890"/>
    </row>
  </sheetData>
  <mergeCells count="10">
    <mergeCell ref="AK2:AM2"/>
    <mergeCell ref="AE2:AG3"/>
    <mergeCell ref="B88:H88"/>
    <mergeCell ref="R26:U26"/>
    <mergeCell ref="B87:H87"/>
    <mergeCell ref="R25:U25"/>
    <mergeCell ref="B62:H62"/>
    <mergeCell ref="B2:K3"/>
    <mergeCell ref="B63:H63"/>
    <mergeCell ref="B35:F35"/>
  </mergeCells>
  <printOptions horizontalCentered="1"/>
  <pageMargins left="0.4" right="0.4" top="1" bottom="0.5" header="0.3" footer="0.511811023622047"/>
  <pageSetup paperSize="9" scale="42" orientation="landscape"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2E75B6"/>
    <pageSetUpPr fitToPage="1"/>
  </sheetPr>
  <dimension ref="A1:AE124"/>
  <sheetViews>
    <sheetView topLeftCell="A37" zoomScale="25" zoomScaleNormal="25" workbookViewId="0">
      <selection activeCell="A107" sqref="A107:A112"/>
    </sheetView>
  </sheetViews>
  <sheetFormatPr defaultColWidth="12.5" defaultRowHeight="15" x14ac:dyDescent="0.25"/>
  <cols>
    <col min="1" max="1" width="18.625" style="1" customWidth="1"/>
    <col min="2" max="2" width="25.875" customWidth="1"/>
    <col min="3" max="3" width="18.625" customWidth="1"/>
    <col min="4" max="6" width="25.875" customWidth="1"/>
    <col min="7" max="7" width="18.625" customWidth="1"/>
    <col min="8" max="8" width="25.875" customWidth="1"/>
    <col min="9" max="10" width="18.625" customWidth="1"/>
    <col min="11" max="11" width="25.875" customWidth="1"/>
    <col min="12" max="12" width="12.625" customWidth="1"/>
    <col min="13" max="14" width="4.25" customWidth="1"/>
    <col min="15" max="15" width="18.625" customWidth="1"/>
    <col min="16" max="16" width="8.625" customWidth="1"/>
    <col min="17" max="17" width="18.625" customWidth="1"/>
    <col min="18" max="18" width="25.875" customWidth="1"/>
    <col min="19" max="19" width="12.625" customWidth="1"/>
    <col min="20" max="20" width="25.875" customWidth="1"/>
    <col min="21" max="22" width="12.625" customWidth="1"/>
    <col min="23" max="23" width="25.875" customWidth="1"/>
    <col min="25" max="25" width="8.625" customWidth="1"/>
    <col min="26" max="28" width="12.625" customWidth="1"/>
    <col min="29" max="29" width="18.625" customWidth="1"/>
    <col min="30" max="31" width="12.625" customWidth="1"/>
  </cols>
  <sheetData>
    <row r="1" spans="1:30" ht="25.5" x14ac:dyDescent="0.25">
      <c r="B1" s="913" t="s">
        <v>231</v>
      </c>
      <c r="C1" s="914">
        <v>1000</v>
      </c>
      <c r="D1" s="915" t="s">
        <v>232</v>
      </c>
      <c r="E1" s="941">
        <f>T32</f>
        <v>6692.4615384615408</v>
      </c>
      <c r="F1" s="913" t="s">
        <v>233</v>
      </c>
      <c r="G1" s="944">
        <f>E1/C1</f>
        <v>6.6924615384615409</v>
      </c>
      <c r="H1" s="913" t="s">
        <v>234</v>
      </c>
      <c r="I1" s="1142">
        <f>G1/K1</f>
        <v>6.829042386185245</v>
      </c>
      <c r="J1" s="919" t="s">
        <v>235</v>
      </c>
      <c r="K1" s="914">
        <f>9.8/10</f>
        <v>0.98000000000000009</v>
      </c>
      <c r="L1" s="80"/>
      <c r="M1" s="70"/>
      <c r="N1" s="922"/>
      <c r="O1" s="923" t="s">
        <v>236</v>
      </c>
      <c r="P1" s="914" t="s">
        <v>289</v>
      </c>
      <c r="Q1" s="924" t="s">
        <v>238</v>
      </c>
      <c r="R1" s="914">
        <v>0.51</v>
      </c>
      <c r="T1" s="830"/>
      <c r="W1" s="830"/>
      <c r="Y1" s="923" t="s">
        <v>444</v>
      </c>
      <c r="Z1" s="925">
        <v>10610</v>
      </c>
      <c r="AA1" s="923" t="s">
        <v>544</v>
      </c>
      <c r="AB1" s="925">
        <v>0</v>
      </c>
      <c r="AC1" s="923" t="s">
        <v>537</v>
      </c>
      <c r="AD1" s="925">
        <v>75</v>
      </c>
    </row>
    <row r="2" spans="1:30" x14ac:dyDescent="0.25">
      <c r="A2" s="860"/>
      <c r="B2" s="1784" t="s">
        <v>51</v>
      </c>
      <c r="C2" s="1787"/>
      <c r="D2" s="1788"/>
      <c r="E2" s="1788"/>
      <c r="F2" s="1788"/>
      <c r="G2" s="1787"/>
      <c r="H2" s="1788"/>
      <c r="I2" s="1787"/>
      <c r="J2" s="1787"/>
      <c r="K2" s="1788"/>
      <c r="L2" s="187"/>
      <c r="M2" s="80"/>
      <c r="N2" s="80"/>
      <c r="O2" s="80"/>
      <c r="P2" s="80"/>
      <c r="Q2" s="80"/>
      <c r="R2" s="80"/>
      <c r="T2" s="830"/>
      <c r="W2" s="830"/>
    </row>
    <row r="3" spans="1:30" x14ac:dyDescent="0.25">
      <c r="A3" s="860"/>
      <c r="B3" s="1785"/>
      <c r="C3" s="1796"/>
      <c r="D3" s="1785"/>
      <c r="E3" s="1785"/>
      <c r="F3" s="1785"/>
      <c r="G3" s="1796"/>
      <c r="H3" s="1785"/>
      <c r="I3" s="1796"/>
      <c r="J3" s="1796"/>
      <c r="K3" s="1785"/>
      <c r="L3" s="187"/>
      <c r="M3" s="80"/>
      <c r="N3" s="80"/>
      <c r="O3" s="80"/>
      <c r="P3" s="80"/>
      <c r="Q3" s="80"/>
      <c r="R3" s="80"/>
      <c r="T3" s="830"/>
      <c r="W3" s="830"/>
    </row>
    <row r="4" spans="1:30" ht="38.25" x14ac:dyDescent="0.2">
      <c r="A4" s="1350" t="s">
        <v>864</v>
      </c>
      <c r="B4" s="923" t="s">
        <v>241</v>
      </c>
      <c r="C4" s="934" t="s">
        <v>242</v>
      </c>
      <c r="D4" s="923" t="s">
        <v>231</v>
      </c>
      <c r="E4" s="935" t="s">
        <v>234</v>
      </c>
      <c r="F4" s="935" t="s">
        <v>243</v>
      </c>
      <c r="G4" s="923" t="s">
        <v>244</v>
      </c>
      <c r="H4" s="936" t="s">
        <v>245</v>
      </c>
      <c r="I4" s="923" t="s">
        <v>246</v>
      </c>
      <c r="J4" s="923" t="s">
        <v>247</v>
      </c>
      <c r="K4" s="923" t="s">
        <v>248</v>
      </c>
      <c r="L4" s="923" t="s">
        <v>249</v>
      </c>
      <c r="M4" s="80"/>
      <c r="N4" s="80"/>
      <c r="O4" s="80"/>
      <c r="P4" s="80"/>
      <c r="R4" s="830"/>
      <c r="T4" s="830"/>
      <c r="W4" s="830"/>
      <c r="AA4" s="169"/>
      <c r="AB4" s="171"/>
    </row>
    <row r="5" spans="1:30" ht="28.5" x14ac:dyDescent="0.2">
      <c r="A5" s="937" t="s">
        <v>872</v>
      </c>
      <c r="B5" s="1352" t="s">
        <v>223</v>
      </c>
      <c r="C5" s="939" t="s">
        <v>14</v>
      </c>
      <c r="D5" s="944">
        <f>I51/10</f>
        <v>2391.2509803921566</v>
      </c>
      <c r="E5" s="941">
        <f>H52</f>
        <v>6.6923199289718411</v>
      </c>
      <c r="F5" s="948">
        <v>1</v>
      </c>
      <c r="G5" s="940">
        <f t="shared" ref="G5:G19" si="0">D5*E5</f>
        <v>16003.016591251882</v>
      </c>
      <c r="H5" s="943">
        <f t="shared" ref="H5:H19" si="1">G5*F5</f>
        <v>16003.016591251882</v>
      </c>
      <c r="I5" s="914">
        <f>VLOOKUP(B5,All_Ingredients!$A$1:$F$161,6,FALSE())</f>
        <v>0.55000000000000004</v>
      </c>
      <c r="J5" s="940">
        <f>VLOOKUP(B5,All_Ingredients!$A$1:$J$161,10,FALSE())</f>
        <v>14.361111111111111</v>
      </c>
      <c r="K5" s="945">
        <f t="shared" ref="K5" si="2">(H5/I5)/1000</f>
        <v>29.096393802276147</v>
      </c>
      <c r="L5" s="945">
        <f t="shared" ref="L5" si="3">K5*J5</f>
        <v>417.85654432713244</v>
      </c>
      <c r="M5" s="80"/>
      <c r="N5" s="80"/>
      <c r="O5" s="80"/>
      <c r="P5" s="80"/>
      <c r="R5" s="830"/>
      <c r="T5" s="830"/>
      <c r="W5" s="830"/>
      <c r="AA5" s="73"/>
      <c r="AB5" s="89"/>
    </row>
    <row r="6" spans="1:30" x14ac:dyDescent="0.25">
      <c r="A6" s="1117"/>
      <c r="B6" s="1352" t="s">
        <v>12</v>
      </c>
      <c r="C6" s="947" t="s">
        <v>14</v>
      </c>
      <c r="D6" s="914">
        <v>300</v>
      </c>
      <c r="E6" s="944">
        <f t="shared" ref="E6:E19" si="4">$I$1</f>
        <v>6.829042386185245</v>
      </c>
      <c r="F6" s="948">
        <v>1</v>
      </c>
      <c r="G6" s="940">
        <f t="shared" si="0"/>
        <v>2048.7127158555736</v>
      </c>
      <c r="H6" s="943">
        <f t="shared" si="1"/>
        <v>2048.7127158555736</v>
      </c>
      <c r="I6" s="914">
        <f>VLOOKUP(B6,All_Ingredients!$A$1:$F$161,6,FALSE())</f>
        <v>0.9</v>
      </c>
      <c r="J6" s="940">
        <f>VLOOKUP(B6,All_Ingredients!$A$1:$J$161,10,FALSE())</f>
        <v>3</v>
      </c>
      <c r="K6" s="945">
        <f t="shared" ref="K6:K19" si="5">(H6/I6)/1000</f>
        <v>2.2763474620617483</v>
      </c>
      <c r="L6" s="945">
        <f t="shared" ref="L6:L19" si="6">K6*J6</f>
        <v>6.829042386185245</v>
      </c>
      <c r="R6" s="830"/>
      <c r="T6" s="830"/>
      <c r="W6" s="830"/>
    </row>
    <row r="7" spans="1:30" x14ac:dyDescent="0.25">
      <c r="A7" s="1117" t="s">
        <v>870</v>
      </c>
      <c r="B7" s="960" t="s">
        <v>17</v>
      </c>
      <c r="C7" s="947" t="s">
        <v>14</v>
      </c>
      <c r="D7" s="914">
        <v>200</v>
      </c>
      <c r="E7" s="944">
        <f t="shared" si="4"/>
        <v>6.829042386185245</v>
      </c>
      <c r="F7" s="948">
        <v>1</v>
      </c>
      <c r="G7" s="940">
        <f t="shared" si="0"/>
        <v>1365.8084772370489</v>
      </c>
      <c r="H7" s="943">
        <f t="shared" si="1"/>
        <v>1365.8084772370489</v>
      </c>
      <c r="I7" s="914">
        <f>VLOOKUP(B7,All_Ingredients!$A$1:$F$161,6,FALSE())</f>
        <v>0.98</v>
      </c>
      <c r="J7" s="940">
        <f>VLOOKUP(B7,All_Ingredients!$A$1:$J$161,10,FALSE())</f>
        <v>3.5</v>
      </c>
      <c r="K7" s="945">
        <f t="shared" si="5"/>
        <v>1.3936821196296418</v>
      </c>
      <c r="L7" s="945">
        <f t="shared" si="6"/>
        <v>4.8778874187037466</v>
      </c>
      <c r="R7" s="830"/>
      <c r="T7" s="830"/>
      <c r="W7" s="830"/>
    </row>
    <row r="8" spans="1:30" x14ac:dyDescent="0.25">
      <c r="A8" s="1117" t="s">
        <v>868</v>
      </c>
      <c r="B8" s="960" t="s">
        <v>706</v>
      </c>
      <c r="C8" s="947" t="s">
        <v>14</v>
      </c>
      <c r="D8" s="914">
        <v>35</v>
      </c>
      <c r="E8" s="944">
        <f t="shared" si="4"/>
        <v>6.829042386185245</v>
      </c>
      <c r="F8" s="948">
        <v>1</v>
      </c>
      <c r="G8" s="940">
        <f t="shared" si="0"/>
        <v>239.01648351648356</v>
      </c>
      <c r="H8" s="943">
        <f t="shared" si="1"/>
        <v>239.01648351648356</v>
      </c>
      <c r="I8" s="914">
        <f>VLOOKUP(B8,All_Ingredients!$A$1:$F$161,6,FALSE())</f>
        <v>1</v>
      </c>
      <c r="J8" s="940">
        <f>VLOOKUP(B8,All_Ingredients!$A$1:$J$161,10,FALSE())</f>
        <v>10.5</v>
      </c>
      <c r="K8" s="945">
        <f t="shared" si="5"/>
        <v>0.23901648351648355</v>
      </c>
      <c r="L8" s="945">
        <f t="shared" si="6"/>
        <v>2.5096730769230775</v>
      </c>
      <c r="R8" s="830"/>
      <c r="T8" s="830"/>
      <c r="W8" s="830"/>
    </row>
    <row r="9" spans="1:30" ht="29.25" x14ac:dyDescent="0.25">
      <c r="A9" s="1117"/>
      <c r="B9" s="960" t="s">
        <v>99</v>
      </c>
      <c r="C9" s="947" t="s">
        <v>14</v>
      </c>
      <c r="D9" s="914">
        <v>3</v>
      </c>
      <c r="E9" s="944">
        <f t="shared" si="4"/>
        <v>6.829042386185245</v>
      </c>
      <c r="F9" s="948">
        <v>1</v>
      </c>
      <c r="G9" s="940">
        <f t="shared" si="0"/>
        <v>20.487127158555737</v>
      </c>
      <c r="H9" s="943">
        <f t="shared" si="1"/>
        <v>20.487127158555737</v>
      </c>
      <c r="I9" s="914">
        <f>VLOOKUP(B9,All_Ingredients!$A$1:$F$161,6,FALSE())</f>
        <v>1</v>
      </c>
      <c r="J9" s="940">
        <f>VLOOKUP(B9,All_Ingredients!$A$1:$J$161,10,FALSE())</f>
        <v>31</v>
      </c>
      <c r="K9" s="945">
        <f t="shared" si="5"/>
        <v>2.0487127158555735E-2</v>
      </c>
      <c r="L9" s="945">
        <f t="shared" si="6"/>
        <v>0.63510094191522781</v>
      </c>
      <c r="R9" s="830"/>
      <c r="T9" s="830"/>
      <c r="W9" s="830"/>
    </row>
    <row r="10" spans="1:30" x14ac:dyDescent="0.25">
      <c r="A10" s="1117"/>
      <c r="B10" s="960" t="s">
        <v>105</v>
      </c>
      <c r="C10" s="947" t="s">
        <v>14</v>
      </c>
      <c r="D10" s="914">
        <v>5</v>
      </c>
      <c r="E10" s="944">
        <f t="shared" si="4"/>
        <v>6.829042386185245</v>
      </c>
      <c r="F10" s="948">
        <v>0.75</v>
      </c>
      <c r="G10" s="940">
        <f t="shared" si="0"/>
        <v>34.145211930926223</v>
      </c>
      <c r="H10" s="943">
        <f t="shared" si="1"/>
        <v>25.608908948194667</v>
      </c>
      <c r="I10" s="914">
        <f>VLOOKUP(B10,All_Ingredients!$A$1:$F$161,6,FALSE())</f>
        <v>1</v>
      </c>
      <c r="J10" s="940">
        <f>VLOOKUP(B10,All_Ingredients!$A$1:$J$161,10,FALSE())</f>
        <v>15</v>
      </c>
      <c r="K10" s="945">
        <f t="shared" si="5"/>
        <v>2.5608908948194668E-2</v>
      </c>
      <c r="L10" s="945">
        <f t="shared" si="6"/>
        <v>0.38413363422292002</v>
      </c>
      <c r="R10" s="830"/>
      <c r="T10" s="830"/>
      <c r="W10" s="830"/>
    </row>
    <row r="11" spans="1:30" ht="29.25" x14ac:dyDescent="0.25">
      <c r="A11" s="1117"/>
      <c r="B11" s="960" t="s">
        <v>107</v>
      </c>
      <c r="C11" s="947" t="s">
        <v>14</v>
      </c>
      <c r="D11" s="914">
        <v>5</v>
      </c>
      <c r="E11" s="944">
        <f t="shared" si="4"/>
        <v>6.829042386185245</v>
      </c>
      <c r="F11" s="948">
        <v>0.75</v>
      </c>
      <c r="G11" s="940">
        <f t="shared" si="0"/>
        <v>34.145211930926223</v>
      </c>
      <c r="H11" s="943">
        <f t="shared" si="1"/>
        <v>25.608908948194667</v>
      </c>
      <c r="I11" s="914">
        <f>VLOOKUP(B11,All_Ingredients!$A$1:$F$161,6,FALSE())</f>
        <v>1</v>
      </c>
      <c r="J11" s="940">
        <f>VLOOKUP(B11,All_Ingredients!$A$1:$J$161,10,FALSE())</f>
        <v>8</v>
      </c>
      <c r="K11" s="945">
        <f t="shared" si="5"/>
        <v>2.5608908948194668E-2</v>
      </c>
      <c r="L11" s="945">
        <f t="shared" si="6"/>
        <v>0.20487127158555735</v>
      </c>
      <c r="R11" s="830"/>
      <c r="T11" s="830"/>
      <c r="W11" s="830"/>
    </row>
    <row r="12" spans="1:30" ht="29.25" x14ac:dyDescent="0.25">
      <c r="A12" s="1117"/>
      <c r="B12" s="960" t="s">
        <v>122</v>
      </c>
      <c r="C12" s="947" t="s">
        <v>14</v>
      </c>
      <c r="D12" s="914">
        <v>6</v>
      </c>
      <c r="E12" s="944">
        <f t="shared" si="4"/>
        <v>6.829042386185245</v>
      </c>
      <c r="F12" s="948">
        <v>0.75</v>
      </c>
      <c r="G12" s="940">
        <f t="shared" si="0"/>
        <v>40.974254317111473</v>
      </c>
      <c r="H12" s="943">
        <f t="shared" si="1"/>
        <v>30.730690737833605</v>
      </c>
      <c r="I12" s="914">
        <f>VLOOKUP(B12,All_Ingredients!$A$1:$F$161,6,FALSE())</f>
        <v>1</v>
      </c>
      <c r="J12" s="940">
        <f>VLOOKUP(B12,All_Ingredients!$A$1:$J$161,10,FALSE())</f>
        <v>14</v>
      </c>
      <c r="K12" s="945">
        <f t="shared" si="5"/>
        <v>3.0730690737833605E-2</v>
      </c>
      <c r="L12" s="945">
        <f t="shared" si="6"/>
        <v>0.43022967032967047</v>
      </c>
      <c r="R12" s="830"/>
      <c r="T12" s="830"/>
      <c r="W12" s="830"/>
    </row>
    <row r="13" spans="1:30" x14ac:dyDescent="0.25">
      <c r="A13" s="1117"/>
      <c r="B13" s="960" t="s">
        <v>93</v>
      </c>
      <c r="C13" s="947" t="s">
        <v>14</v>
      </c>
      <c r="D13" s="914">
        <v>11</v>
      </c>
      <c r="E13" s="944">
        <f t="shared" si="4"/>
        <v>6.829042386185245</v>
      </c>
      <c r="F13" s="948">
        <v>0.75</v>
      </c>
      <c r="G13" s="940">
        <f t="shared" si="0"/>
        <v>75.119466248037696</v>
      </c>
      <c r="H13" s="943">
        <f t="shared" si="1"/>
        <v>56.339599686028272</v>
      </c>
      <c r="I13" s="914">
        <f>VLOOKUP(B13,All_Ingredients!$A$1:$F$161,6,FALSE())</f>
        <v>1</v>
      </c>
      <c r="J13" s="940">
        <f>VLOOKUP(B13,All_Ingredients!$A$1:$J$161,10,FALSE())</f>
        <v>0.74</v>
      </c>
      <c r="K13" s="945">
        <f t="shared" si="5"/>
        <v>5.6339599686028273E-2</v>
      </c>
      <c r="L13" s="945">
        <f t="shared" si="6"/>
        <v>4.169130376766092E-2</v>
      </c>
      <c r="R13" s="830"/>
      <c r="T13" s="830"/>
      <c r="W13" s="830"/>
    </row>
    <row r="14" spans="1:30" x14ac:dyDescent="0.25">
      <c r="A14" s="1117"/>
      <c r="B14" s="960" t="s">
        <v>678</v>
      </c>
      <c r="C14" s="947" t="s">
        <v>14</v>
      </c>
      <c r="D14" s="914">
        <v>300</v>
      </c>
      <c r="E14" s="944">
        <f t="shared" si="4"/>
        <v>6.829042386185245</v>
      </c>
      <c r="F14" s="948">
        <v>1</v>
      </c>
      <c r="G14" s="940">
        <f t="shared" si="0"/>
        <v>2048.7127158555736</v>
      </c>
      <c r="H14" s="943">
        <f t="shared" si="1"/>
        <v>2048.7127158555736</v>
      </c>
      <c r="I14" s="914">
        <f>VLOOKUP(B14,All_Ingredients!$A$1:$F$161,6,FALSE())</f>
        <v>1</v>
      </c>
      <c r="J14" s="940">
        <f>VLOOKUP(B14,All_Ingredients!$A$1:$J$161,10,FALSE())</f>
        <v>8.1520833333333336</v>
      </c>
      <c r="K14" s="945">
        <f t="shared" si="5"/>
        <v>2.0487127158555736</v>
      </c>
      <c r="L14" s="945">
        <f t="shared" si="6"/>
        <v>16.701276785714292</v>
      </c>
      <c r="R14" s="830"/>
      <c r="T14" s="830"/>
      <c r="W14" s="830"/>
    </row>
    <row r="15" spans="1:30" x14ac:dyDescent="0.25">
      <c r="A15" s="1117"/>
      <c r="B15" s="960" t="s">
        <v>207</v>
      </c>
      <c r="C15" s="947" t="s">
        <v>14</v>
      </c>
      <c r="D15" s="914">
        <v>500</v>
      </c>
      <c r="E15" s="944">
        <f t="shared" si="4"/>
        <v>6.829042386185245</v>
      </c>
      <c r="F15" s="948">
        <v>1</v>
      </c>
      <c r="G15" s="940">
        <f t="shared" si="0"/>
        <v>3414.5211930926225</v>
      </c>
      <c r="H15" s="943">
        <f t="shared" si="1"/>
        <v>3414.5211930926225</v>
      </c>
      <c r="I15" s="914">
        <f>VLOOKUP(B15,All_Ingredients!$A$1:$F$161,6,FALSE())</f>
        <v>1</v>
      </c>
      <c r="J15" s="940">
        <f>VLOOKUP(B15,All_Ingredients!$A$1:$J$161,10,FALSE())</f>
        <v>0</v>
      </c>
      <c r="K15" s="945">
        <f t="shared" si="5"/>
        <v>3.4145211930926225</v>
      </c>
      <c r="L15" s="945">
        <f t="shared" si="6"/>
        <v>0</v>
      </c>
      <c r="R15" s="830"/>
      <c r="T15" s="830"/>
      <c r="W15" s="830"/>
    </row>
    <row r="16" spans="1:30" x14ac:dyDescent="0.25">
      <c r="A16" s="1117"/>
      <c r="B16" s="960" t="s">
        <v>152</v>
      </c>
      <c r="C16" s="947" t="s">
        <v>14</v>
      </c>
      <c r="D16" s="914">
        <v>15</v>
      </c>
      <c r="E16" s="944">
        <f t="shared" si="4"/>
        <v>6.829042386185245</v>
      </c>
      <c r="F16" s="948">
        <v>1</v>
      </c>
      <c r="G16" s="940">
        <f t="shared" si="0"/>
        <v>102.43563579277867</v>
      </c>
      <c r="H16" s="943">
        <f t="shared" si="1"/>
        <v>102.43563579277867</v>
      </c>
      <c r="I16" s="914">
        <f>VLOOKUP(B16,All_Ingredients!$A$1:$F$161,6,FALSE())</f>
        <v>1</v>
      </c>
      <c r="J16" s="940">
        <f>VLOOKUP(B16,All_Ingredients!$A$1:$J$161,10,FALSE())</f>
        <v>30</v>
      </c>
      <c r="K16" s="945">
        <f t="shared" si="5"/>
        <v>0.10243563579277867</v>
      </c>
      <c r="L16" s="945">
        <f t="shared" si="6"/>
        <v>3.0730690737833601</v>
      </c>
      <c r="R16" s="830"/>
      <c r="T16" s="830"/>
      <c r="W16" s="830"/>
    </row>
    <row r="17" spans="1:31" x14ac:dyDescent="0.25">
      <c r="A17" s="1117"/>
      <c r="B17" s="960" t="s">
        <v>139</v>
      </c>
      <c r="C17" s="947" t="s">
        <v>14</v>
      </c>
      <c r="D17" s="914">
        <v>10</v>
      </c>
      <c r="E17" s="944">
        <f t="shared" si="4"/>
        <v>6.829042386185245</v>
      </c>
      <c r="F17" s="948">
        <v>0.75</v>
      </c>
      <c r="G17" s="940">
        <f t="shared" si="0"/>
        <v>68.290423861852446</v>
      </c>
      <c r="H17" s="943">
        <f t="shared" si="1"/>
        <v>51.217817896389334</v>
      </c>
      <c r="I17" s="914">
        <f>VLOOKUP(B17,All_Ingredients!$A$1:$F$161,6,FALSE())</f>
        <v>1</v>
      </c>
      <c r="J17" s="940">
        <f>VLOOKUP(B17,All_Ingredients!$A$1:$J$161,10,FALSE())</f>
        <v>15.277777777777779</v>
      </c>
      <c r="K17" s="945">
        <f t="shared" si="5"/>
        <v>5.1217817896389337E-2</v>
      </c>
      <c r="L17" s="945">
        <f t="shared" si="6"/>
        <v>0.78249444008372604</v>
      </c>
      <c r="R17" s="830"/>
      <c r="T17" s="830"/>
      <c r="W17" s="830"/>
    </row>
    <row r="18" spans="1:31" x14ac:dyDescent="0.25">
      <c r="A18" s="1117"/>
      <c r="B18" s="960" t="s">
        <v>187</v>
      </c>
      <c r="C18" s="947" t="s">
        <v>14</v>
      </c>
      <c r="D18" s="914">
        <v>60</v>
      </c>
      <c r="E18" s="944">
        <f t="shared" si="4"/>
        <v>6.829042386185245</v>
      </c>
      <c r="F18" s="948">
        <v>0.75</v>
      </c>
      <c r="G18" s="940">
        <f t="shared" si="0"/>
        <v>409.74254317111468</v>
      </c>
      <c r="H18" s="943">
        <f t="shared" si="1"/>
        <v>307.30690737833601</v>
      </c>
      <c r="I18" s="914">
        <f>VLOOKUP(B18,All_Ingredients!$A$1:$F$161,6,FALSE())</f>
        <v>0.9</v>
      </c>
      <c r="J18" s="940">
        <f>VLOOKUP(B18,All_Ingredients!$A$1:$J$161,10,FALSE())</f>
        <v>2.3199999999999998</v>
      </c>
      <c r="K18" s="945">
        <f t="shared" si="5"/>
        <v>0.34145211930926223</v>
      </c>
      <c r="L18" s="945">
        <f t="shared" si="6"/>
        <v>0.79216891679748835</v>
      </c>
      <c r="R18" s="830"/>
      <c r="T18" s="830"/>
      <c r="W18" s="830"/>
    </row>
    <row r="19" spans="1:31" x14ac:dyDescent="0.25">
      <c r="A19" s="1117"/>
      <c r="B19" s="960" t="s">
        <v>93</v>
      </c>
      <c r="C19" s="947" t="s">
        <v>14</v>
      </c>
      <c r="D19" s="914">
        <v>5</v>
      </c>
      <c r="E19" s="944">
        <f t="shared" si="4"/>
        <v>6.829042386185245</v>
      </c>
      <c r="F19" s="948">
        <v>1</v>
      </c>
      <c r="G19" s="940">
        <f t="shared" si="0"/>
        <v>34.145211930926223</v>
      </c>
      <c r="H19" s="943">
        <f t="shared" si="1"/>
        <v>34.145211930926223</v>
      </c>
      <c r="I19" s="914">
        <f>VLOOKUP(B19,All_Ingredients!$A$1:$F$161,6,FALSE())</f>
        <v>1</v>
      </c>
      <c r="J19" s="940">
        <f>VLOOKUP(B19,All_Ingredients!$A$1:$J$161,10,FALSE())</f>
        <v>0.74</v>
      </c>
      <c r="K19" s="945">
        <f t="shared" si="5"/>
        <v>3.414521193092622E-2</v>
      </c>
      <c r="L19" s="945">
        <f t="shared" si="6"/>
        <v>2.5267456828885402E-2</v>
      </c>
      <c r="R19" s="830"/>
      <c r="T19" s="830"/>
      <c r="W19" s="830"/>
    </row>
    <row r="20" spans="1:31" x14ac:dyDescent="0.25">
      <c r="B20" s="80"/>
      <c r="D20" s="830"/>
      <c r="E20" s="80"/>
      <c r="F20" s="80"/>
      <c r="H20" s="830"/>
      <c r="K20" s="830"/>
      <c r="L20" s="144"/>
      <c r="R20" s="830"/>
      <c r="T20" s="830"/>
      <c r="W20" s="830"/>
    </row>
    <row r="21" spans="1:31" x14ac:dyDescent="0.25">
      <c r="B21" s="80"/>
      <c r="D21" s="830"/>
      <c r="E21" s="135"/>
      <c r="F21" s="80"/>
      <c r="H21" s="830"/>
      <c r="K21" s="830"/>
      <c r="L21" s="144"/>
      <c r="R21" s="830"/>
      <c r="T21" s="830"/>
      <c r="W21" s="830"/>
    </row>
    <row r="22" spans="1:31" x14ac:dyDescent="0.25">
      <c r="B22" s="830"/>
      <c r="D22" s="830"/>
      <c r="E22" s="830"/>
      <c r="F22" s="830"/>
      <c r="H22" s="830"/>
      <c r="K22" s="830"/>
      <c r="L22" s="144"/>
      <c r="R22" s="830"/>
      <c r="T22" s="830"/>
      <c r="W22" s="830"/>
    </row>
    <row r="23" spans="1:31" x14ac:dyDescent="0.25">
      <c r="B23" s="830"/>
      <c r="D23" s="830"/>
      <c r="E23" s="830"/>
      <c r="F23" s="830"/>
      <c r="H23" s="830"/>
      <c r="K23" s="830"/>
      <c r="L23" s="144"/>
      <c r="R23" s="830"/>
      <c r="T23" s="830"/>
      <c r="W23" s="830"/>
    </row>
    <row r="24" spans="1:31" x14ac:dyDescent="0.25">
      <c r="B24" s="830"/>
      <c r="D24" s="830"/>
      <c r="E24" s="830"/>
      <c r="F24" s="830"/>
      <c r="H24" s="830"/>
      <c r="K24" s="830"/>
      <c r="L24" s="144"/>
      <c r="R24" s="1141"/>
      <c r="T24" s="830"/>
      <c r="W24" s="830"/>
      <c r="Z24" s="630"/>
    </row>
    <row r="25" spans="1:31" x14ac:dyDescent="0.25">
      <c r="B25" s="830"/>
      <c r="D25" s="830"/>
      <c r="E25" s="830"/>
      <c r="F25" s="830"/>
      <c r="H25" s="830"/>
      <c r="K25" s="830"/>
      <c r="L25" s="144"/>
      <c r="R25" s="1779" t="s">
        <v>909</v>
      </c>
      <c r="S25" s="1787"/>
      <c r="T25" s="1788"/>
      <c r="U25" s="1787"/>
      <c r="V25" s="959"/>
      <c r="W25" s="830"/>
      <c r="Z25" s="982" t="s">
        <v>252</v>
      </c>
      <c r="AA25" s="989">
        <v>1</v>
      </c>
      <c r="AB25" s="982" t="s">
        <v>249</v>
      </c>
      <c r="AC25" s="1138">
        <f>(AA25*(1.4))*AE30</f>
        <v>4.2954822077515067E-2</v>
      </c>
      <c r="AD25" s="14"/>
    </row>
    <row r="26" spans="1:31" x14ac:dyDescent="0.25">
      <c r="B26" s="830"/>
      <c r="D26" s="830"/>
      <c r="E26" s="830"/>
      <c r="F26" s="830"/>
      <c r="H26" s="830"/>
      <c r="K26" s="830"/>
      <c r="L26" s="144"/>
      <c r="R26" s="1786" t="s">
        <v>304</v>
      </c>
      <c r="S26" s="1787"/>
      <c r="T26" s="1788"/>
      <c r="U26" s="1787"/>
      <c r="V26" s="959"/>
      <c r="W26" s="830"/>
      <c r="Z26" s="14"/>
      <c r="AA26" s="14"/>
      <c r="AB26" s="14"/>
      <c r="AC26" s="14"/>
      <c r="AD26" s="14"/>
    </row>
    <row r="27" spans="1:31" x14ac:dyDescent="0.25">
      <c r="B27" s="830"/>
      <c r="D27" s="830"/>
      <c r="E27" s="830"/>
      <c r="F27" s="830"/>
      <c r="H27" s="830"/>
      <c r="K27" s="830"/>
      <c r="R27" s="961" t="s">
        <v>254</v>
      </c>
      <c r="S27" s="962" t="s">
        <v>305</v>
      </c>
      <c r="T27" s="961" t="s">
        <v>256</v>
      </c>
      <c r="U27" s="962" t="s">
        <v>262</v>
      </c>
      <c r="V27" s="962" t="s">
        <v>753</v>
      </c>
      <c r="W27" s="830"/>
      <c r="Z27" s="982" t="s">
        <v>258</v>
      </c>
      <c r="AA27" s="982" t="s">
        <v>259</v>
      </c>
      <c r="AB27" s="982" t="s">
        <v>260</v>
      </c>
      <c r="AC27" s="982" t="s">
        <v>261</v>
      </c>
      <c r="AD27" s="984" t="s">
        <v>753</v>
      </c>
      <c r="AE27" s="982" t="s">
        <v>262</v>
      </c>
    </row>
    <row r="28" spans="1:31" x14ac:dyDescent="0.25">
      <c r="B28" s="80"/>
      <c r="D28" s="830"/>
      <c r="E28" s="80"/>
      <c r="F28" s="80"/>
      <c r="H28" s="830"/>
      <c r="K28" s="830"/>
      <c r="R28" s="961" t="s">
        <v>263</v>
      </c>
      <c r="S28" s="963">
        <f>U28*S40</f>
        <v>8161.5384615384601</v>
      </c>
      <c r="T28" s="964">
        <f>U28*U40</f>
        <v>2448.4615384615408</v>
      </c>
      <c r="U28" s="965">
        <f>$Z$1</f>
        <v>10610</v>
      </c>
      <c r="V28" s="966">
        <f>SUM(H37:H38)</f>
        <v>80.25</v>
      </c>
      <c r="W28" s="830"/>
      <c r="Z28" s="1086"/>
      <c r="AA28" s="985">
        <f>AA25*$S$40</f>
        <v>0.76923076923076905</v>
      </c>
      <c r="AB28" s="985">
        <f>AA25*$U$40</f>
        <v>0.230769230769231</v>
      </c>
      <c r="AC28" s="989">
        <f>AA25*(0.4)</f>
        <v>0.4</v>
      </c>
      <c r="AD28" s="987"/>
      <c r="AE28" s="1088">
        <f>SUM(AA28:AC28)</f>
        <v>1.4</v>
      </c>
    </row>
    <row r="29" spans="1:31" x14ac:dyDescent="0.25">
      <c r="B29" s="80"/>
      <c r="D29" s="830"/>
      <c r="E29" s="80"/>
      <c r="F29" s="80"/>
      <c r="H29" s="830"/>
      <c r="K29" s="830"/>
      <c r="R29" s="961" t="s">
        <v>264</v>
      </c>
      <c r="S29" s="968"/>
      <c r="T29" s="967">
        <f>U28*0.4</f>
        <v>4244</v>
      </c>
      <c r="U29" s="963">
        <f>T29</f>
        <v>4244</v>
      </c>
      <c r="V29" s="966"/>
      <c r="W29" s="830"/>
      <c r="Z29" s="1086"/>
      <c r="AA29" s="1089">
        <f>AA28/$AE$28</f>
        <v>0.54945054945054939</v>
      </c>
      <c r="AB29" s="1089">
        <f>AB28/$AE$28</f>
        <v>0.16483516483516503</v>
      </c>
      <c r="AC29" s="1089">
        <f>AC28/$AE$28</f>
        <v>0.28571428571428575</v>
      </c>
      <c r="AD29" s="991"/>
      <c r="AE29" s="1089">
        <f>AE28/$AE$28</f>
        <v>1</v>
      </c>
    </row>
    <row r="30" spans="1:31" x14ac:dyDescent="0.25">
      <c r="B30" s="830"/>
      <c r="D30" s="830"/>
      <c r="E30" s="830"/>
      <c r="F30" s="830"/>
      <c r="H30" s="830"/>
      <c r="K30" s="830"/>
      <c r="R30" s="961" t="s">
        <v>265</v>
      </c>
      <c r="S30" s="969">
        <f>U30*S40</f>
        <v>0</v>
      </c>
      <c r="T30" s="1403">
        <f>(U30*U40)+(U30*0.4)</f>
        <v>0</v>
      </c>
      <c r="U30" s="1119">
        <f>$AB$1</f>
        <v>0</v>
      </c>
      <c r="V30" s="972"/>
      <c r="W30" s="830"/>
      <c r="Z30" s="982" t="s">
        <v>266</v>
      </c>
      <c r="AA30" s="1090">
        <f>S35/(S32)</f>
        <v>5.1198257080610016E-2</v>
      </c>
      <c r="AB30" s="1091">
        <f>T35/T32</f>
        <v>5.5714786200194346E-3</v>
      </c>
      <c r="AC30" s="1091">
        <f>T35/T32</f>
        <v>5.5714786200194346E-3</v>
      </c>
      <c r="AD30" s="1405">
        <f>V35/(U32)</f>
        <v>4.0878654804196756E-5</v>
      </c>
      <c r="AE30" s="1092">
        <f>SUMPRODUCT(AA30:AC30,AA29:AC29)+(AD30)</f>
        <v>3.0682015769653622E-2</v>
      </c>
    </row>
    <row r="31" spans="1:31" x14ac:dyDescent="0.25">
      <c r="B31" s="830"/>
      <c r="D31" s="830"/>
      <c r="E31" s="830"/>
      <c r="F31" s="830"/>
      <c r="H31" s="830"/>
      <c r="K31" s="830"/>
      <c r="R31" s="961" t="s">
        <v>267</v>
      </c>
      <c r="S31" s="959"/>
      <c r="T31" s="967"/>
      <c r="U31" s="966"/>
      <c r="V31" s="966"/>
      <c r="W31" s="830"/>
      <c r="Z31" s="959"/>
      <c r="AA31" s="959">
        <f>AA28*AA30</f>
        <v>3.9383274677392312E-2</v>
      </c>
      <c r="AB31" s="959">
        <f>AB28*AB30</f>
        <v>1.2857258353891016E-3</v>
      </c>
      <c r="AC31" s="959">
        <f>AC28*AC30</f>
        <v>2.2285914480077739E-3</v>
      </c>
      <c r="AD31" s="959"/>
      <c r="AE31" s="959"/>
    </row>
    <row r="32" spans="1:31" x14ac:dyDescent="0.25">
      <c r="B32" s="830"/>
      <c r="D32" s="830"/>
      <c r="E32" s="830"/>
      <c r="F32" s="830"/>
      <c r="H32" s="830"/>
      <c r="K32" s="830"/>
      <c r="M32" s="241"/>
      <c r="N32" s="241"/>
      <c r="R32" s="961" t="s">
        <v>257</v>
      </c>
      <c r="S32" s="966">
        <f>SUM(S28:S30)</f>
        <v>8161.5384615384601</v>
      </c>
      <c r="T32" s="1363">
        <f>SUM(T28:T30)</f>
        <v>6692.4615384615408</v>
      </c>
      <c r="U32" s="966">
        <f>SUM(U28:U29)+S30+T30</f>
        <v>14854</v>
      </c>
      <c r="V32" s="966">
        <f>SUM(V28:V30)</f>
        <v>80.25</v>
      </c>
      <c r="W32" s="830"/>
      <c r="Z32" s="959"/>
      <c r="AA32" s="959"/>
      <c r="AB32" s="959">
        <f>AB31+AC31</f>
        <v>3.5143172833968757E-3</v>
      </c>
      <c r="AC32" s="959"/>
      <c r="AD32" s="959"/>
      <c r="AE32" s="959"/>
    </row>
    <row r="33" spans="2:23" ht="30" x14ac:dyDescent="0.25">
      <c r="B33" s="830"/>
      <c r="D33" s="830"/>
      <c r="E33" s="830"/>
      <c r="F33" s="830"/>
      <c r="H33" s="830"/>
      <c r="K33" s="830"/>
      <c r="R33" s="976" t="s">
        <v>268</v>
      </c>
      <c r="S33" s="959"/>
      <c r="T33" s="960">
        <f>F81+F103</f>
        <v>0</v>
      </c>
      <c r="U33" s="959"/>
      <c r="V33" s="959"/>
      <c r="W33" s="830"/>
    </row>
    <row r="34" spans="2:23" x14ac:dyDescent="0.25">
      <c r="B34" s="830"/>
      <c r="D34" s="830"/>
      <c r="E34" s="80"/>
      <c r="F34" s="80"/>
      <c r="H34" s="830"/>
      <c r="K34" s="830"/>
      <c r="R34" s="961" t="s">
        <v>269</v>
      </c>
      <c r="S34" s="959"/>
      <c r="T34" s="967">
        <f>T33-(T28+T29)</f>
        <v>-6692.4615384615408</v>
      </c>
      <c r="U34" s="959"/>
      <c r="V34" s="959"/>
      <c r="W34" s="830"/>
    </row>
    <row r="35" spans="2:23" ht="15.75" x14ac:dyDescent="0.25">
      <c r="B35" s="1781" t="s">
        <v>910</v>
      </c>
      <c r="C35" s="1782"/>
      <c r="D35" s="1781"/>
      <c r="E35" s="1781"/>
      <c r="F35" s="1781"/>
      <c r="G35" s="1000"/>
      <c r="H35" s="1009"/>
      <c r="I35" s="1010"/>
      <c r="J35" s="1010"/>
      <c r="K35" s="1009"/>
      <c r="L35" s="1010"/>
      <c r="R35" s="977" t="s">
        <v>249</v>
      </c>
      <c r="S35" s="978">
        <f>$L$5</f>
        <v>417.85654432713244</v>
      </c>
      <c r="T35" s="1404">
        <f>SUM(L6:L19)</f>
        <v>37.286906376840847</v>
      </c>
      <c r="U35" s="981">
        <f>S35+T35+V35</f>
        <v>455.75066224243477</v>
      </c>
      <c r="V35" s="1136">
        <f>SUM(L37:L38)</f>
        <v>0.60721153846153864</v>
      </c>
      <c r="W35" s="830"/>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30"/>
      <c r="T36" s="830"/>
      <c r="W36" s="830"/>
    </row>
    <row r="37" spans="2:23" x14ac:dyDescent="0.25">
      <c r="B37" s="1005" t="s">
        <v>666</v>
      </c>
      <c r="C37" s="1006" t="s">
        <v>14</v>
      </c>
      <c r="D37" s="1007">
        <v>7.0000000000000007E-2</v>
      </c>
      <c r="E37" s="1005">
        <f>$AD$1</f>
        <v>75</v>
      </c>
      <c r="F37" s="1005">
        <f>D37*E37</f>
        <v>5.2500000000000009</v>
      </c>
      <c r="H37" s="1005">
        <f>F37</f>
        <v>5.2500000000000009</v>
      </c>
      <c r="I37" s="1005">
        <f>VLOOKUP(B37,All_Ingredients!$A$1:$F$161,6,FALSE())</f>
        <v>0.65</v>
      </c>
      <c r="J37" s="1005">
        <f>VLOOKUP(B37,All_Ingredients!$A$1:$J$161,10,FALSE())</f>
        <v>45</v>
      </c>
      <c r="K37" s="1005">
        <f>(H37/I37)/1000</f>
        <v>8.0769230769230788E-3</v>
      </c>
      <c r="L37" s="1005">
        <f t="shared" ref="L37" si="7">K37*J37</f>
        <v>0.36346153846153856</v>
      </c>
      <c r="R37" s="830"/>
      <c r="T37" s="830"/>
      <c r="W37" s="830"/>
    </row>
    <row r="38" spans="2:23" x14ac:dyDescent="0.25">
      <c r="B38" s="1005" t="s">
        <v>19</v>
      </c>
      <c r="C38" s="1006" t="s">
        <v>14</v>
      </c>
      <c r="D38" s="1007">
        <v>1</v>
      </c>
      <c r="E38" s="1005">
        <f>$AD$1</f>
        <v>75</v>
      </c>
      <c r="F38" s="1005">
        <f>D38*E38</f>
        <v>75</v>
      </c>
      <c r="H38" s="1005">
        <f>F38</f>
        <v>75</v>
      </c>
      <c r="I38" s="1005">
        <f>VLOOKUP(B38,All_Ingredients!$A$1:$F$161,6,FALSE())</f>
        <v>0.8</v>
      </c>
      <c r="J38" s="1005">
        <f>VLOOKUP(B38,All_Ingredients!$A$1:$J$161,10,FALSE())</f>
        <v>2.6</v>
      </c>
      <c r="K38" s="1005">
        <f>(H38/I38)/1000</f>
        <v>9.375E-2</v>
      </c>
      <c r="L38" s="1005">
        <f t="shared" ref="L38" si="8">K38*J38</f>
        <v>0.24375000000000002</v>
      </c>
      <c r="R38" s="830"/>
      <c r="T38" s="830"/>
      <c r="W38" s="830"/>
    </row>
    <row r="39" spans="2:23" x14ac:dyDescent="0.25">
      <c r="B39" s="830"/>
      <c r="D39" s="830"/>
      <c r="E39" s="830"/>
      <c r="F39" s="830"/>
      <c r="H39" s="830"/>
      <c r="K39" s="830"/>
      <c r="R39" s="830"/>
      <c r="T39" s="830"/>
      <c r="W39" s="830"/>
    </row>
    <row r="40" spans="2:23" ht="26.25" x14ac:dyDescent="0.25">
      <c r="B40" s="830"/>
      <c r="D40" s="830"/>
      <c r="E40" s="830"/>
      <c r="F40" s="830"/>
      <c r="H40" s="830"/>
      <c r="K40" s="830"/>
      <c r="Q40" s="14"/>
      <c r="R40" s="1011" t="s">
        <v>270</v>
      </c>
      <c r="S40" s="1012">
        <v>0.76923076923076905</v>
      </c>
      <c r="T40" s="1011" t="s">
        <v>271</v>
      </c>
      <c r="U40" s="1013">
        <v>0.230769230769231</v>
      </c>
      <c r="V40" s="1014">
        <f>S40+U40</f>
        <v>1</v>
      </c>
      <c r="W40" s="890"/>
    </row>
    <row r="41" spans="2:23" x14ac:dyDescent="0.25">
      <c r="B41" s="830"/>
      <c r="D41" s="830"/>
      <c r="E41" s="830"/>
      <c r="F41" s="830"/>
      <c r="H41" s="830"/>
      <c r="K41" s="830"/>
      <c r="Q41" s="14"/>
      <c r="R41" s="890"/>
      <c r="S41" s="14"/>
      <c r="T41" s="890"/>
      <c r="V41" s="14"/>
      <c r="W41" s="890"/>
    </row>
    <row r="42" spans="2:23" x14ac:dyDescent="0.25">
      <c r="B42" s="830"/>
      <c r="D42" s="830"/>
      <c r="E42" s="830"/>
      <c r="F42" s="830"/>
      <c r="H42" s="830"/>
      <c r="K42" s="830"/>
      <c r="Q42" s="14"/>
      <c r="R42" s="890"/>
      <c r="S42" s="14"/>
      <c r="T42" s="1402"/>
      <c r="U42" s="14"/>
      <c r="V42" s="14"/>
      <c r="W42" s="890"/>
    </row>
    <row r="43" spans="2:23" ht="26.25" x14ac:dyDescent="0.25">
      <c r="B43" s="830"/>
      <c r="D43" s="830"/>
      <c r="E43" s="830"/>
      <c r="F43" s="830"/>
      <c r="H43" s="830"/>
      <c r="K43" s="830"/>
      <c r="Q43" s="1015" t="s">
        <v>272</v>
      </c>
      <c r="R43" s="1011" t="s">
        <v>273</v>
      </c>
      <c r="S43" s="1015" t="s">
        <v>274</v>
      </c>
      <c r="T43" s="1011" t="s">
        <v>275</v>
      </c>
      <c r="U43" s="1015" t="s">
        <v>276</v>
      </c>
      <c r="V43" s="1015" t="s">
        <v>277</v>
      </c>
      <c r="W43" s="1011" t="s">
        <v>278</v>
      </c>
    </row>
    <row r="44" spans="2:23" x14ac:dyDescent="0.25">
      <c r="B44" s="830"/>
      <c r="D44" s="830"/>
      <c r="E44" s="830"/>
      <c r="F44" s="830"/>
      <c r="H44" s="830"/>
      <c r="K44" s="830"/>
      <c r="Q44" s="1023">
        <v>15854</v>
      </c>
      <c r="R44" s="1017">
        <f>D51</f>
        <v>10000</v>
      </c>
      <c r="S44" s="1024">
        <v>0.36586200000000002</v>
      </c>
      <c r="T44" s="1025">
        <v>0.63415999999999995</v>
      </c>
      <c r="U44" s="1096">
        <f>R44*S44</f>
        <v>3658.6200000000003</v>
      </c>
      <c r="V44" s="1021">
        <f>R44*T44</f>
        <v>6341.5999999999995</v>
      </c>
      <c r="W44" s="1026">
        <f>Q44-U44</f>
        <v>12195.38</v>
      </c>
    </row>
    <row r="50" spans="1:11" x14ac:dyDescent="0.25">
      <c r="B50" s="961"/>
      <c r="C50" s="962" t="s">
        <v>233</v>
      </c>
      <c r="D50" s="961" t="s">
        <v>279</v>
      </c>
      <c r="E50" s="1401"/>
      <c r="F50" s="80"/>
      <c r="G50" s="962" t="s">
        <v>280</v>
      </c>
      <c r="H50" s="961" t="s">
        <v>233</v>
      </c>
      <c r="I50" s="962" t="s">
        <v>281</v>
      </c>
      <c r="J50" s="962" t="s">
        <v>282</v>
      </c>
      <c r="K50" s="830"/>
    </row>
    <row r="51" spans="1:11" x14ac:dyDescent="0.25">
      <c r="B51" s="1027" t="s">
        <v>283</v>
      </c>
      <c r="C51" s="1028">
        <f>10/$K$1</f>
        <v>10.204081632653061</v>
      </c>
      <c r="D51" s="1029">
        <f>$C$1*10</f>
        <v>10000</v>
      </c>
      <c r="E51" s="135"/>
      <c r="F51" s="80"/>
      <c r="G51" s="1033" t="s">
        <v>283</v>
      </c>
      <c r="H51" s="1122">
        <f>I51/$D$5</f>
        <v>10</v>
      </c>
      <c r="I51" s="1028">
        <f>J51/$R$1</f>
        <v>23912.509803921566</v>
      </c>
      <c r="J51" s="1028">
        <f>$W$44</f>
        <v>12195.38</v>
      </c>
      <c r="K51" s="830"/>
    </row>
    <row r="52" spans="1:11" x14ac:dyDescent="0.25">
      <c r="B52" s="958" t="s">
        <v>262</v>
      </c>
      <c r="C52" s="1099">
        <f>$I$1</f>
        <v>6.829042386185245</v>
      </c>
      <c r="D52" s="1100">
        <f>$E$1</f>
        <v>6692.4615384615408</v>
      </c>
      <c r="E52" s="80"/>
      <c r="F52" s="80"/>
      <c r="G52" s="962" t="s">
        <v>262</v>
      </c>
      <c r="H52" s="1052">
        <f>I52/$D$5</f>
        <v>6.6923199289718411</v>
      </c>
      <c r="I52" s="1021">
        <f>J52/$R$1</f>
        <v>16003.016591251882</v>
      </c>
      <c r="J52" s="1030">
        <f>$S$32</f>
        <v>8161.5384615384601</v>
      </c>
      <c r="K52" s="830"/>
    </row>
    <row r="53" spans="1:11" x14ac:dyDescent="0.25">
      <c r="B53" s="958" t="s">
        <v>284</v>
      </c>
      <c r="C53" s="1101">
        <f>MIN(C52, C51)</f>
        <v>6.829042386185245</v>
      </c>
      <c r="D53" s="1100">
        <f>(C53*$K$1)*$C$1</f>
        <v>6692.4615384615408</v>
      </c>
      <c r="E53" s="80"/>
      <c r="F53" s="80"/>
      <c r="G53" s="962" t="s">
        <v>284</v>
      </c>
      <c r="H53" s="1035">
        <f>MIN(H52,H51)</f>
        <v>6.6923199289718411</v>
      </c>
      <c r="I53" s="1021">
        <f>J53/$R$1</f>
        <v>16003.016591251882</v>
      </c>
      <c r="J53" s="1021">
        <f>MIN(J52,J51)</f>
        <v>8161.5384615384601</v>
      </c>
      <c r="K53" s="83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3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30"/>
    </row>
    <row r="56" spans="1:11" x14ac:dyDescent="0.25">
      <c r="B56" s="830"/>
      <c r="D56" s="830"/>
      <c r="E56" s="830"/>
      <c r="F56" s="830"/>
      <c r="H56" s="830"/>
      <c r="K56" s="830"/>
    </row>
    <row r="57" spans="1:11" x14ac:dyDescent="0.25">
      <c r="B57" s="830"/>
      <c r="D57" s="830"/>
      <c r="E57" s="830"/>
      <c r="F57" s="830"/>
      <c r="H57" s="830"/>
      <c r="K57" s="830"/>
    </row>
    <row r="58" spans="1:11" x14ac:dyDescent="0.25">
      <c r="B58" s="830"/>
      <c r="D58" s="830"/>
      <c r="E58" s="830"/>
      <c r="F58" s="830"/>
      <c r="H58" s="830"/>
      <c r="K58" s="830"/>
    </row>
    <row r="59" spans="1:11" x14ac:dyDescent="0.25">
      <c r="B59" s="830"/>
      <c r="D59" s="830"/>
      <c r="E59" s="830"/>
      <c r="F59" s="830"/>
      <c r="H59" s="830"/>
      <c r="K59" s="830"/>
    </row>
    <row r="60" spans="1:11" x14ac:dyDescent="0.25">
      <c r="B60" s="830"/>
      <c r="D60" s="830"/>
      <c r="E60" s="830"/>
      <c r="F60" s="830"/>
      <c r="H60" s="830"/>
      <c r="K60" s="830"/>
    </row>
    <row r="61" spans="1:11" x14ac:dyDescent="0.25">
      <c r="B61" s="830"/>
      <c r="D61" s="830"/>
      <c r="E61" s="830"/>
      <c r="F61" s="830"/>
      <c r="H61" s="830"/>
      <c r="K61" s="830"/>
    </row>
    <row r="62" spans="1:11" x14ac:dyDescent="0.25">
      <c r="A62" s="1124"/>
      <c r="B62" s="1776" t="str">
        <f>"  لحم مختوم 1 / " &amp; COUNTIF($C$53:$C$55, "&gt;0")</f>
        <v xml:space="preserve">  لحم مختوم 1 / 1</v>
      </c>
      <c r="C62" s="1777"/>
      <c r="D62" s="1778"/>
      <c r="E62" s="1778"/>
      <c r="F62" s="1778"/>
      <c r="G62" s="1777"/>
      <c r="H62" s="1778"/>
      <c r="K62" s="830"/>
    </row>
    <row r="63" spans="1:11" x14ac:dyDescent="0.25">
      <c r="A63" s="1124"/>
      <c r="B63" s="1832" t="str">
        <f>" Mkhtoum Lahm 1  / " &amp; COUNTIF($C$53:$C$55, "&gt;0")</f>
        <v xml:space="preserve"> Mkhtoum Lahm 1  / 1</v>
      </c>
      <c r="C63" s="1777"/>
      <c r="D63" s="1778"/>
      <c r="E63" s="1778"/>
      <c r="F63" s="1778"/>
      <c r="G63" s="1777"/>
      <c r="H63" s="1778"/>
      <c r="K63" s="830"/>
    </row>
    <row r="64" spans="1:11" ht="38.25" x14ac:dyDescent="0.2">
      <c r="A64" s="1350" t="s">
        <v>864</v>
      </c>
      <c r="B64" s="923" t="s">
        <v>241</v>
      </c>
      <c r="C64" s="934" t="s">
        <v>242</v>
      </c>
      <c r="D64" s="923" t="s">
        <v>231</v>
      </c>
      <c r="E64" s="935" t="s">
        <v>234</v>
      </c>
      <c r="F64" s="935" t="s">
        <v>243</v>
      </c>
      <c r="G64" s="923" t="s">
        <v>244</v>
      </c>
      <c r="H64" s="936" t="s">
        <v>245</v>
      </c>
      <c r="K64" s="830"/>
    </row>
    <row r="65" spans="1:11" ht="28.5" x14ac:dyDescent="0.2">
      <c r="A65" s="937" t="s">
        <v>872</v>
      </c>
      <c r="B65" s="1130" t="str">
        <f t="shared" ref="B65:D79" si="9">B5</f>
        <v>Indian Meat Alana  - لحم هندى ألانا</v>
      </c>
      <c r="C65" s="1252" t="str">
        <f t="shared" si="9"/>
        <v>gm</v>
      </c>
      <c r="D65" s="1280">
        <f t="shared" si="9"/>
        <v>2391.2509803921566</v>
      </c>
      <c r="E65" s="1126">
        <f>H53</f>
        <v>6.6923199289718411</v>
      </c>
      <c r="F65" s="948">
        <f t="shared" ref="F65:F79" si="10">F5</f>
        <v>1</v>
      </c>
      <c r="G65" s="940">
        <f t="shared" ref="G65:G79" si="11">D65*E65</f>
        <v>16003.016591251882</v>
      </c>
      <c r="H65" s="943">
        <f t="shared" ref="H65:H79" si="12">G65*F65</f>
        <v>16003.016591251882</v>
      </c>
      <c r="K65" s="830"/>
    </row>
    <row r="66" spans="1:11" x14ac:dyDescent="0.25">
      <c r="A66" s="1117"/>
      <c r="B66" s="1130" t="str">
        <f t="shared" si="9"/>
        <v>Onion - بصل</v>
      </c>
      <c r="C66" s="1252" t="str">
        <f t="shared" si="9"/>
        <v>gm</v>
      </c>
      <c r="D66" s="1130">
        <f t="shared" si="9"/>
        <v>300</v>
      </c>
      <c r="E66" s="1126">
        <f t="shared" ref="E66:E79" si="13">$C$53</f>
        <v>6.829042386185245</v>
      </c>
      <c r="F66" s="948">
        <f t="shared" si="10"/>
        <v>1</v>
      </c>
      <c r="G66" s="940">
        <f t="shared" si="11"/>
        <v>2048.7127158555736</v>
      </c>
      <c r="H66" s="943">
        <f t="shared" si="12"/>
        <v>2048.7127158555736</v>
      </c>
      <c r="K66" s="830"/>
    </row>
    <row r="67" spans="1:11" x14ac:dyDescent="0.25">
      <c r="A67" s="1117" t="s">
        <v>870</v>
      </c>
      <c r="B67" s="1130" t="str">
        <f t="shared" si="9"/>
        <v>Tomato - طماطم</v>
      </c>
      <c r="C67" s="1252" t="str">
        <f t="shared" si="9"/>
        <v>gm</v>
      </c>
      <c r="D67" s="1130">
        <f t="shared" si="9"/>
        <v>200</v>
      </c>
      <c r="E67" s="1126">
        <f t="shared" si="13"/>
        <v>6.829042386185245</v>
      </c>
      <c r="F67" s="948">
        <f t="shared" si="10"/>
        <v>1</v>
      </c>
      <c r="G67" s="940">
        <f t="shared" si="11"/>
        <v>1365.8084772370489</v>
      </c>
      <c r="H67" s="943">
        <f t="shared" si="12"/>
        <v>1365.8084772370489</v>
      </c>
      <c r="K67" s="830"/>
    </row>
    <row r="68" spans="1:11" x14ac:dyDescent="0.25">
      <c r="A68" s="1117" t="s">
        <v>868</v>
      </c>
      <c r="B68" s="1130" t="str">
        <f t="shared" si="9"/>
        <v>Garlic - ثوم مقشر</v>
      </c>
      <c r="C68" s="1252" t="str">
        <f t="shared" si="9"/>
        <v>gm</v>
      </c>
      <c r="D68" s="1130">
        <f t="shared" si="9"/>
        <v>35</v>
      </c>
      <c r="E68" s="1126">
        <f t="shared" si="13"/>
        <v>6.829042386185245</v>
      </c>
      <c r="F68" s="948">
        <f t="shared" si="10"/>
        <v>1</v>
      </c>
      <c r="G68" s="940">
        <f t="shared" si="11"/>
        <v>239.01648351648356</v>
      </c>
      <c r="H68" s="943">
        <f t="shared" si="12"/>
        <v>239.01648351648356</v>
      </c>
      <c r="K68" s="830"/>
    </row>
    <row r="69" spans="1:11" ht="28.5" x14ac:dyDescent="0.25">
      <c r="A69" s="1117"/>
      <c r="B69" s="1130" t="str">
        <f t="shared" si="9"/>
        <v>Black Pepper Powder - فلفل أسود مطحون</v>
      </c>
      <c r="C69" s="1252" t="str">
        <f t="shared" si="9"/>
        <v>gm</v>
      </c>
      <c r="D69" s="1130">
        <f t="shared" si="9"/>
        <v>3</v>
      </c>
      <c r="E69" s="1126">
        <f t="shared" si="13"/>
        <v>6.829042386185245</v>
      </c>
      <c r="F69" s="948">
        <f t="shared" si="10"/>
        <v>1</v>
      </c>
      <c r="G69" s="940">
        <f t="shared" si="11"/>
        <v>20.487127158555737</v>
      </c>
      <c r="H69" s="943">
        <f t="shared" si="12"/>
        <v>20.487127158555737</v>
      </c>
      <c r="K69" s="830"/>
    </row>
    <row r="70" spans="1:11" x14ac:dyDescent="0.25">
      <c r="A70" s="1117"/>
      <c r="B70" s="1130" t="str">
        <f t="shared" si="9"/>
        <v>Cumin Powder - كمون مطحون</v>
      </c>
      <c r="C70" s="1252" t="str">
        <f t="shared" si="9"/>
        <v>gm</v>
      </c>
      <c r="D70" s="1130">
        <f t="shared" si="9"/>
        <v>5</v>
      </c>
      <c r="E70" s="1126">
        <f t="shared" si="13"/>
        <v>6.829042386185245</v>
      </c>
      <c r="F70" s="948">
        <f t="shared" si="10"/>
        <v>0.75</v>
      </c>
      <c r="G70" s="940">
        <f t="shared" si="11"/>
        <v>34.145211930926223</v>
      </c>
      <c r="H70" s="943">
        <f t="shared" si="12"/>
        <v>25.608908948194667</v>
      </c>
      <c r="K70" s="830"/>
    </row>
    <row r="71" spans="1:11" ht="28.5" x14ac:dyDescent="0.25">
      <c r="A71" s="1117"/>
      <c r="B71" s="1130" t="str">
        <f t="shared" si="9"/>
        <v>Coriander Powder - كزبرة مطحونة</v>
      </c>
      <c r="C71" s="1252" t="str">
        <f t="shared" si="9"/>
        <v>gm</v>
      </c>
      <c r="D71" s="1130">
        <f t="shared" si="9"/>
        <v>5</v>
      </c>
      <c r="E71" s="1126">
        <f t="shared" si="13"/>
        <v>6.829042386185245</v>
      </c>
      <c r="F71" s="948">
        <f t="shared" si="10"/>
        <v>0.75</v>
      </c>
      <c r="G71" s="940">
        <f t="shared" si="11"/>
        <v>34.145211930926223</v>
      </c>
      <c r="H71" s="943">
        <f t="shared" si="12"/>
        <v>25.608908948194667</v>
      </c>
      <c r="K71" s="830"/>
    </row>
    <row r="72" spans="1:11" ht="28.5" x14ac:dyDescent="0.25">
      <c r="A72" s="1117"/>
      <c r="B72" s="1130" t="str">
        <f t="shared" si="9"/>
        <v>Cinnamon Powder - قرفة مطحونة</v>
      </c>
      <c r="C72" s="1252" t="str">
        <f t="shared" si="9"/>
        <v>gm</v>
      </c>
      <c r="D72" s="1130">
        <f t="shared" si="9"/>
        <v>6</v>
      </c>
      <c r="E72" s="1126">
        <f t="shared" si="13"/>
        <v>6.829042386185245</v>
      </c>
      <c r="F72" s="948">
        <f t="shared" si="10"/>
        <v>0.75</v>
      </c>
      <c r="G72" s="940">
        <f t="shared" si="11"/>
        <v>40.974254317111473</v>
      </c>
      <c r="H72" s="943">
        <f t="shared" si="12"/>
        <v>30.730690737833605</v>
      </c>
      <c r="K72" s="830"/>
    </row>
    <row r="73" spans="1:11" x14ac:dyDescent="0.25">
      <c r="A73" s="1117"/>
      <c r="B73" s="1130" t="str">
        <f t="shared" si="9"/>
        <v>Salt - ملح</v>
      </c>
      <c r="C73" s="1252" t="str">
        <f t="shared" si="9"/>
        <v>gm</v>
      </c>
      <c r="D73" s="1130">
        <f t="shared" si="9"/>
        <v>11</v>
      </c>
      <c r="E73" s="1126">
        <f t="shared" si="13"/>
        <v>6.829042386185245</v>
      </c>
      <c r="F73" s="948">
        <f t="shared" si="10"/>
        <v>0.75</v>
      </c>
      <c r="G73" s="940">
        <f t="shared" si="11"/>
        <v>75.119466248037696</v>
      </c>
      <c r="H73" s="943">
        <f t="shared" si="12"/>
        <v>56.339599686028272</v>
      </c>
      <c r="K73" s="830"/>
    </row>
    <row r="74" spans="1:11" x14ac:dyDescent="0.25">
      <c r="A74" s="1117"/>
      <c r="B74" s="1130" t="str">
        <f t="shared" si="9"/>
        <v>Tomato Paste - صلصة طماطم</v>
      </c>
      <c r="C74" s="1252" t="str">
        <f t="shared" si="9"/>
        <v>gm</v>
      </c>
      <c r="D74" s="1130">
        <f t="shared" si="9"/>
        <v>300</v>
      </c>
      <c r="E74" s="1126">
        <f t="shared" si="13"/>
        <v>6.829042386185245</v>
      </c>
      <c r="F74" s="948">
        <f t="shared" si="10"/>
        <v>1</v>
      </c>
      <c r="G74" s="940">
        <f t="shared" si="11"/>
        <v>2048.7127158555736</v>
      </c>
      <c r="H74" s="943">
        <f t="shared" si="12"/>
        <v>2048.7127158555736</v>
      </c>
      <c r="K74" s="830"/>
    </row>
    <row r="75" spans="1:11" x14ac:dyDescent="0.25">
      <c r="A75" s="1117"/>
      <c r="B75" s="1130" t="str">
        <f t="shared" si="9"/>
        <v>Beef Stock - مرق لحم بقري</v>
      </c>
      <c r="C75" s="1252" t="str">
        <f t="shared" si="9"/>
        <v>gm</v>
      </c>
      <c r="D75" s="1130">
        <f t="shared" si="9"/>
        <v>500</v>
      </c>
      <c r="E75" s="1126">
        <f t="shared" si="13"/>
        <v>6.829042386185245</v>
      </c>
      <c r="F75" s="948">
        <f t="shared" si="10"/>
        <v>1</v>
      </c>
      <c r="G75" s="940">
        <f t="shared" si="11"/>
        <v>3414.5211930926225</v>
      </c>
      <c r="H75" s="943">
        <f t="shared" si="12"/>
        <v>3414.5211930926225</v>
      </c>
      <c r="K75" s="830"/>
    </row>
    <row r="76" spans="1:11" x14ac:dyDescent="0.25">
      <c r="A76" s="1117"/>
      <c r="B76" s="1130" t="str">
        <f t="shared" si="9"/>
        <v>Butter - زبدة</v>
      </c>
      <c r="C76" s="1252" t="str">
        <f t="shared" si="9"/>
        <v>gm</v>
      </c>
      <c r="D76" s="1130">
        <f t="shared" si="9"/>
        <v>15</v>
      </c>
      <c r="E76" s="1406">
        <f t="shared" si="13"/>
        <v>6.829042386185245</v>
      </c>
      <c r="F76" s="948">
        <f t="shared" si="10"/>
        <v>1</v>
      </c>
      <c r="G76" s="940">
        <f t="shared" si="11"/>
        <v>102.43563579277867</v>
      </c>
      <c r="H76" s="943">
        <f t="shared" si="12"/>
        <v>102.43563579277867</v>
      </c>
      <c r="K76" s="830"/>
    </row>
    <row r="77" spans="1:11" x14ac:dyDescent="0.25">
      <c r="A77" s="1117"/>
      <c r="B77" s="1130" t="str">
        <f t="shared" si="9"/>
        <v>Maggi Cubes - مكعبات ماجي</v>
      </c>
      <c r="C77" s="1252" t="str">
        <f t="shared" si="9"/>
        <v>gm</v>
      </c>
      <c r="D77" s="1130">
        <f t="shared" si="9"/>
        <v>10</v>
      </c>
      <c r="E77" s="1406">
        <f t="shared" si="13"/>
        <v>6.829042386185245</v>
      </c>
      <c r="F77" s="948">
        <f t="shared" si="10"/>
        <v>0.75</v>
      </c>
      <c r="G77" s="940">
        <f t="shared" si="11"/>
        <v>68.290423861852446</v>
      </c>
      <c r="H77" s="943">
        <f t="shared" si="12"/>
        <v>51.217817896389334</v>
      </c>
      <c r="K77" s="830"/>
    </row>
    <row r="78" spans="1:11" x14ac:dyDescent="0.25">
      <c r="A78" s="1117"/>
      <c r="B78" s="1130" t="str">
        <f t="shared" si="9"/>
        <v>Corn Starch - نشا ذرة</v>
      </c>
      <c r="C78" s="1252" t="str">
        <f t="shared" si="9"/>
        <v>gm</v>
      </c>
      <c r="D78" s="1130">
        <f t="shared" si="9"/>
        <v>60</v>
      </c>
      <c r="E78" s="1126">
        <f t="shared" si="13"/>
        <v>6.829042386185245</v>
      </c>
      <c r="F78" s="948">
        <f t="shared" si="10"/>
        <v>0.75</v>
      </c>
      <c r="G78" s="940">
        <f t="shared" si="11"/>
        <v>409.74254317111468</v>
      </c>
      <c r="H78" s="943">
        <f t="shared" si="12"/>
        <v>307.30690737833601</v>
      </c>
      <c r="K78" s="830"/>
    </row>
    <row r="79" spans="1:11" x14ac:dyDescent="0.25">
      <c r="A79" s="1117"/>
      <c r="B79" s="1130" t="str">
        <f t="shared" si="9"/>
        <v>Salt - ملح</v>
      </c>
      <c r="C79" s="1252" t="str">
        <f t="shared" si="9"/>
        <v>gm</v>
      </c>
      <c r="D79" s="1130">
        <f t="shared" si="9"/>
        <v>5</v>
      </c>
      <c r="E79" s="1126">
        <f t="shared" si="13"/>
        <v>6.829042386185245</v>
      </c>
      <c r="F79" s="948">
        <f t="shared" si="10"/>
        <v>1</v>
      </c>
      <c r="G79" s="940">
        <f t="shared" si="11"/>
        <v>34.145211930926223</v>
      </c>
      <c r="H79" s="943">
        <f t="shared" si="12"/>
        <v>34.145211930926223</v>
      </c>
      <c r="K79" s="830"/>
    </row>
    <row r="80" spans="1:11" ht="18" x14ac:dyDescent="0.25">
      <c r="A80" s="1070"/>
      <c r="B80" s="1041" t="s">
        <v>287</v>
      </c>
      <c r="C80" s="1042" t="s">
        <v>273</v>
      </c>
      <c r="D80" s="1043"/>
      <c r="E80" s="1044" t="s">
        <v>288</v>
      </c>
      <c r="F80" s="1043"/>
      <c r="G80" s="1045" t="s">
        <v>264</v>
      </c>
      <c r="H80" s="1046" t="s">
        <v>661</v>
      </c>
      <c r="K80" s="830"/>
    </row>
    <row r="81" spans="1:11" ht="20.25" x14ac:dyDescent="0.3">
      <c r="A81" s="1070"/>
      <c r="B81" s="1047">
        <f>$J$53</f>
        <v>8161.5384615384601</v>
      </c>
      <c r="C81" s="1048">
        <f>E81+G81</f>
        <v>6692.6087726153874</v>
      </c>
      <c r="D81" s="1049"/>
      <c r="E81" s="1047">
        <f>$D$53*$S$44</f>
        <v>2448.5173633846166</v>
      </c>
      <c r="F81" s="1050"/>
      <c r="G81" s="1048">
        <f>$D$53*$T$44</f>
        <v>4244.0914092307703</v>
      </c>
      <c r="H81" s="1047">
        <f>B81+E81</f>
        <v>10610.055824923076</v>
      </c>
      <c r="K81" s="830"/>
    </row>
    <row r="82" spans="1:11" x14ac:dyDescent="0.25">
      <c r="B82" s="80"/>
      <c r="D82" s="830"/>
      <c r="E82" s="80"/>
      <c r="F82" s="80"/>
      <c r="H82" s="830"/>
      <c r="K82" s="830"/>
    </row>
    <row r="83" spans="1:11" x14ac:dyDescent="0.25">
      <c r="B83" s="80"/>
      <c r="D83" s="830"/>
      <c r="E83" s="80"/>
      <c r="F83" s="80"/>
      <c r="H83" s="830"/>
      <c r="K83" s="830"/>
    </row>
    <row r="84" spans="1:11" x14ac:dyDescent="0.25">
      <c r="A84" s="1124"/>
      <c r="B84" s="1776" t="str">
        <f>"  لحم مختوم 2 / " &amp; COUNTIF($C$53:$C$55, "&gt;0")</f>
        <v xml:space="preserve">  لحم مختوم 2 / 1</v>
      </c>
      <c r="C84" s="1777"/>
      <c r="D84" s="1778"/>
      <c r="E84" s="1778"/>
      <c r="F84" s="1778"/>
      <c r="G84" s="1777"/>
      <c r="H84" s="1778"/>
      <c r="K84" s="830"/>
    </row>
    <row r="85" spans="1:11" x14ac:dyDescent="0.25">
      <c r="A85" s="1124"/>
      <c r="B85" s="1832" t="str">
        <f>" Mkhtoum Lahm 2  / " &amp; COUNTIF($C$53:$C$55, "&gt;0")</f>
        <v xml:space="preserve"> Mkhtoum Lahm 2  / 1</v>
      </c>
      <c r="C85" s="1777"/>
      <c r="D85" s="1778"/>
      <c r="E85" s="1778"/>
      <c r="F85" s="1778"/>
      <c r="G85" s="1777"/>
      <c r="H85" s="1778"/>
      <c r="K85" s="830"/>
    </row>
    <row r="86" spans="1:11" ht="38.25" x14ac:dyDescent="0.2">
      <c r="A86" s="1350" t="s">
        <v>864</v>
      </c>
      <c r="B86" s="923" t="s">
        <v>241</v>
      </c>
      <c r="C86" s="934" t="s">
        <v>242</v>
      </c>
      <c r="D86" s="923" t="s">
        <v>231</v>
      </c>
      <c r="E86" s="935" t="s">
        <v>234</v>
      </c>
      <c r="F86" s="935" t="s">
        <v>243</v>
      </c>
      <c r="G86" s="923" t="s">
        <v>244</v>
      </c>
      <c r="H86" s="936" t="s">
        <v>245</v>
      </c>
      <c r="K86" s="830"/>
    </row>
    <row r="87" spans="1:11" x14ac:dyDescent="0.2">
      <c r="A87" s="937" t="s">
        <v>872</v>
      </c>
      <c r="B87" s="938" t="str">
        <f t="shared" ref="B87:D101" si="14">B5</f>
        <v>Indian Meat Alana  - لحم هندى ألانا</v>
      </c>
      <c r="C87" s="938" t="str">
        <f t="shared" si="14"/>
        <v>gm</v>
      </c>
      <c r="D87" s="938">
        <f t="shared" si="14"/>
        <v>2391.2509803921566</v>
      </c>
      <c r="E87" s="944">
        <f>H54</f>
        <v>0</v>
      </c>
      <c r="F87" s="948">
        <f t="shared" ref="F87:F101" si="15">F5</f>
        <v>1</v>
      </c>
      <c r="G87" s="940">
        <f t="shared" ref="G87:G101" si="16">D87*E87</f>
        <v>0</v>
      </c>
      <c r="H87" s="943">
        <f t="shared" ref="H87:H101" si="17">G87*F87</f>
        <v>0</v>
      </c>
      <c r="K87" s="830"/>
    </row>
    <row r="88" spans="1:11" x14ac:dyDescent="0.25">
      <c r="A88" s="1117"/>
      <c r="B88" s="938" t="str">
        <f t="shared" si="14"/>
        <v>Onion - بصل</v>
      </c>
      <c r="C88" s="938" t="str">
        <f t="shared" si="14"/>
        <v>gm</v>
      </c>
      <c r="D88" s="938">
        <f t="shared" si="14"/>
        <v>300</v>
      </c>
      <c r="E88" s="944">
        <f t="shared" ref="E88:E101" si="18">$C$54</f>
        <v>0</v>
      </c>
      <c r="F88" s="948">
        <f t="shared" si="15"/>
        <v>1</v>
      </c>
      <c r="G88" s="940">
        <f t="shared" si="16"/>
        <v>0</v>
      </c>
      <c r="H88" s="943">
        <f t="shared" si="17"/>
        <v>0</v>
      </c>
      <c r="K88" s="830"/>
    </row>
    <row r="89" spans="1:11" x14ac:dyDescent="0.25">
      <c r="A89" s="1117" t="s">
        <v>870</v>
      </c>
      <c r="B89" s="938" t="str">
        <f t="shared" si="14"/>
        <v>Tomato - طماطم</v>
      </c>
      <c r="C89" s="938" t="str">
        <f t="shared" si="14"/>
        <v>gm</v>
      </c>
      <c r="D89" s="938">
        <f t="shared" si="14"/>
        <v>200</v>
      </c>
      <c r="E89" s="944">
        <f t="shared" si="18"/>
        <v>0</v>
      </c>
      <c r="F89" s="948">
        <f t="shared" si="15"/>
        <v>1</v>
      </c>
      <c r="G89" s="940">
        <f t="shared" si="16"/>
        <v>0</v>
      </c>
      <c r="H89" s="943">
        <f t="shared" si="17"/>
        <v>0</v>
      </c>
      <c r="K89" s="830"/>
    </row>
    <row r="90" spans="1:11" x14ac:dyDescent="0.25">
      <c r="A90" s="1117" t="s">
        <v>868</v>
      </c>
      <c r="B90" s="938" t="str">
        <f t="shared" si="14"/>
        <v>Garlic - ثوم مقشر</v>
      </c>
      <c r="C90" s="938" t="str">
        <f t="shared" si="14"/>
        <v>gm</v>
      </c>
      <c r="D90" s="938">
        <f t="shared" si="14"/>
        <v>35</v>
      </c>
      <c r="E90" s="944">
        <f t="shared" si="18"/>
        <v>0</v>
      </c>
      <c r="F90" s="948">
        <f t="shared" si="15"/>
        <v>1</v>
      </c>
      <c r="G90" s="940">
        <f t="shared" si="16"/>
        <v>0</v>
      </c>
      <c r="H90" s="943">
        <f t="shared" si="17"/>
        <v>0</v>
      </c>
      <c r="K90" s="830"/>
    </row>
    <row r="91" spans="1:11" ht="25.5" x14ac:dyDescent="0.25">
      <c r="A91" s="1117"/>
      <c r="B91" s="938" t="str">
        <f t="shared" si="14"/>
        <v>Black Pepper Powder - فلفل أسود مطحون</v>
      </c>
      <c r="C91" s="938" t="str">
        <f t="shared" si="14"/>
        <v>gm</v>
      </c>
      <c r="D91" s="938">
        <f t="shared" si="14"/>
        <v>3</v>
      </c>
      <c r="E91" s="944">
        <f t="shared" si="18"/>
        <v>0</v>
      </c>
      <c r="F91" s="948">
        <f t="shared" si="15"/>
        <v>1</v>
      </c>
      <c r="G91" s="940">
        <f t="shared" si="16"/>
        <v>0</v>
      </c>
      <c r="H91" s="943">
        <f t="shared" si="17"/>
        <v>0</v>
      </c>
      <c r="K91" s="830"/>
    </row>
    <row r="92" spans="1:11" x14ac:dyDescent="0.25">
      <c r="A92" s="1117"/>
      <c r="B92" s="938" t="str">
        <f t="shared" si="14"/>
        <v>Cumin Powder - كمون مطحون</v>
      </c>
      <c r="C92" s="938" t="str">
        <f t="shared" si="14"/>
        <v>gm</v>
      </c>
      <c r="D92" s="938">
        <f t="shared" si="14"/>
        <v>5</v>
      </c>
      <c r="E92" s="944">
        <f t="shared" si="18"/>
        <v>0</v>
      </c>
      <c r="F92" s="948">
        <f t="shared" si="15"/>
        <v>0.75</v>
      </c>
      <c r="G92" s="940">
        <f t="shared" si="16"/>
        <v>0</v>
      </c>
      <c r="H92" s="943">
        <f t="shared" si="17"/>
        <v>0</v>
      </c>
      <c r="K92" s="830"/>
    </row>
    <row r="93" spans="1:11" x14ac:dyDescent="0.25">
      <c r="A93" s="1117"/>
      <c r="B93" s="938" t="str">
        <f t="shared" si="14"/>
        <v>Coriander Powder - كزبرة مطحونة</v>
      </c>
      <c r="C93" s="938" t="str">
        <f t="shared" si="14"/>
        <v>gm</v>
      </c>
      <c r="D93" s="938">
        <f t="shared" si="14"/>
        <v>5</v>
      </c>
      <c r="E93" s="944">
        <f t="shared" si="18"/>
        <v>0</v>
      </c>
      <c r="F93" s="948">
        <f t="shared" si="15"/>
        <v>0.75</v>
      </c>
      <c r="G93" s="940">
        <f t="shared" si="16"/>
        <v>0</v>
      </c>
      <c r="H93" s="943">
        <f t="shared" si="17"/>
        <v>0</v>
      </c>
      <c r="K93" s="830"/>
    </row>
    <row r="94" spans="1:11" x14ac:dyDescent="0.25">
      <c r="A94" s="1117"/>
      <c r="B94" s="938" t="str">
        <f t="shared" si="14"/>
        <v>Cinnamon Powder - قرفة مطحونة</v>
      </c>
      <c r="C94" s="938" t="str">
        <f t="shared" si="14"/>
        <v>gm</v>
      </c>
      <c r="D94" s="938">
        <f t="shared" si="14"/>
        <v>6</v>
      </c>
      <c r="E94" s="944">
        <f t="shared" si="18"/>
        <v>0</v>
      </c>
      <c r="F94" s="948">
        <f t="shared" si="15"/>
        <v>0.75</v>
      </c>
      <c r="G94" s="940">
        <f t="shared" si="16"/>
        <v>0</v>
      </c>
      <c r="H94" s="943">
        <f t="shared" si="17"/>
        <v>0</v>
      </c>
      <c r="K94" s="830"/>
    </row>
    <row r="95" spans="1:11" x14ac:dyDescent="0.25">
      <c r="A95" s="1117"/>
      <c r="B95" s="938" t="str">
        <f t="shared" si="14"/>
        <v>Salt - ملح</v>
      </c>
      <c r="C95" s="938" t="str">
        <f t="shared" si="14"/>
        <v>gm</v>
      </c>
      <c r="D95" s="938">
        <f t="shared" si="14"/>
        <v>11</v>
      </c>
      <c r="E95" s="944">
        <f t="shared" si="18"/>
        <v>0</v>
      </c>
      <c r="F95" s="948">
        <f t="shared" si="15"/>
        <v>0.75</v>
      </c>
      <c r="G95" s="940">
        <f t="shared" si="16"/>
        <v>0</v>
      </c>
      <c r="H95" s="943">
        <f t="shared" si="17"/>
        <v>0</v>
      </c>
      <c r="K95" s="830"/>
    </row>
    <row r="96" spans="1:11" x14ac:dyDescent="0.25">
      <c r="A96" s="1117"/>
      <c r="B96" s="938" t="str">
        <f t="shared" si="14"/>
        <v>Tomato Paste - صلصة طماطم</v>
      </c>
      <c r="C96" s="938" t="str">
        <f t="shared" si="14"/>
        <v>gm</v>
      </c>
      <c r="D96" s="938">
        <f t="shared" si="14"/>
        <v>300</v>
      </c>
      <c r="E96" s="944">
        <f t="shared" si="18"/>
        <v>0</v>
      </c>
      <c r="F96" s="948">
        <f t="shared" si="15"/>
        <v>1</v>
      </c>
      <c r="G96" s="940">
        <f t="shared" si="16"/>
        <v>0</v>
      </c>
      <c r="H96" s="943">
        <f t="shared" si="17"/>
        <v>0</v>
      </c>
      <c r="K96" s="830"/>
    </row>
    <row r="97" spans="1:11" x14ac:dyDescent="0.25">
      <c r="A97" s="1117"/>
      <c r="B97" s="938" t="str">
        <f t="shared" si="14"/>
        <v>Beef Stock - مرق لحم بقري</v>
      </c>
      <c r="C97" s="938" t="str">
        <f t="shared" si="14"/>
        <v>gm</v>
      </c>
      <c r="D97" s="938">
        <f t="shared" si="14"/>
        <v>500</v>
      </c>
      <c r="E97" s="944">
        <f t="shared" si="18"/>
        <v>0</v>
      </c>
      <c r="F97" s="948">
        <f t="shared" si="15"/>
        <v>1</v>
      </c>
      <c r="G97" s="940">
        <f t="shared" si="16"/>
        <v>0</v>
      </c>
      <c r="H97" s="943">
        <f t="shared" si="17"/>
        <v>0</v>
      </c>
      <c r="K97" s="830"/>
    </row>
    <row r="98" spans="1:11" x14ac:dyDescent="0.25">
      <c r="A98" s="1117"/>
      <c r="B98" s="938" t="str">
        <f t="shared" si="14"/>
        <v>Butter - زبدة</v>
      </c>
      <c r="C98" s="938" t="str">
        <f t="shared" si="14"/>
        <v>gm</v>
      </c>
      <c r="D98" s="938">
        <f t="shared" si="14"/>
        <v>15</v>
      </c>
      <c r="E98" s="944">
        <f t="shared" si="18"/>
        <v>0</v>
      </c>
      <c r="F98" s="948">
        <f t="shared" si="15"/>
        <v>1</v>
      </c>
      <c r="G98" s="940">
        <f t="shared" si="16"/>
        <v>0</v>
      </c>
      <c r="H98" s="943">
        <f t="shared" si="17"/>
        <v>0</v>
      </c>
      <c r="K98" s="830"/>
    </row>
    <row r="99" spans="1:11" x14ac:dyDescent="0.25">
      <c r="A99" s="1117"/>
      <c r="B99" s="938" t="str">
        <f t="shared" si="14"/>
        <v>Maggi Cubes - مكعبات ماجي</v>
      </c>
      <c r="C99" s="938" t="str">
        <f t="shared" si="14"/>
        <v>gm</v>
      </c>
      <c r="D99" s="938">
        <f t="shared" si="14"/>
        <v>10</v>
      </c>
      <c r="E99" s="944">
        <f t="shared" si="18"/>
        <v>0</v>
      </c>
      <c r="F99" s="948">
        <f t="shared" si="15"/>
        <v>0.75</v>
      </c>
      <c r="G99" s="940">
        <f t="shared" si="16"/>
        <v>0</v>
      </c>
      <c r="H99" s="943">
        <f t="shared" si="17"/>
        <v>0</v>
      </c>
      <c r="K99" s="830"/>
    </row>
    <row r="100" spans="1:11" x14ac:dyDescent="0.25">
      <c r="A100" s="1117"/>
      <c r="B100" s="938" t="str">
        <f t="shared" si="14"/>
        <v>Corn Starch - نشا ذرة</v>
      </c>
      <c r="C100" s="938" t="str">
        <f t="shared" si="14"/>
        <v>gm</v>
      </c>
      <c r="D100" s="938">
        <f t="shared" si="14"/>
        <v>60</v>
      </c>
      <c r="E100" s="944">
        <f t="shared" si="18"/>
        <v>0</v>
      </c>
      <c r="F100" s="948">
        <f t="shared" si="15"/>
        <v>0.75</v>
      </c>
      <c r="G100" s="940">
        <f t="shared" si="16"/>
        <v>0</v>
      </c>
      <c r="H100" s="943">
        <f t="shared" si="17"/>
        <v>0</v>
      </c>
      <c r="K100" s="830"/>
    </row>
    <row r="101" spans="1:11" x14ac:dyDescent="0.25">
      <c r="A101" s="1117"/>
      <c r="B101" s="938" t="str">
        <f t="shared" si="14"/>
        <v>Salt - ملح</v>
      </c>
      <c r="C101" s="938" t="str">
        <f t="shared" si="14"/>
        <v>gm</v>
      </c>
      <c r="D101" s="938">
        <f t="shared" si="14"/>
        <v>5</v>
      </c>
      <c r="E101" s="944">
        <f t="shared" si="18"/>
        <v>0</v>
      </c>
      <c r="F101" s="948">
        <f t="shared" si="15"/>
        <v>1</v>
      </c>
      <c r="G101" s="940">
        <f t="shared" si="16"/>
        <v>0</v>
      </c>
      <c r="H101" s="943">
        <f t="shared" si="17"/>
        <v>0</v>
      </c>
      <c r="K101" s="830"/>
    </row>
    <row r="102" spans="1:11" ht="18" x14ac:dyDescent="0.25">
      <c r="A102" s="1070"/>
      <c r="B102" s="1041" t="s">
        <v>287</v>
      </c>
      <c r="C102" s="1042" t="s">
        <v>273</v>
      </c>
      <c r="D102" s="1043"/>
      <c r="E102" s="1044" t="s">
        <v>288</v>
      </c>
      <c r="F102" s="1043"/>
      <c r="G102" s="1045" t="s">
        <v>264</v>
      </c>
      <c r="H102" s="1046" t="s">
        <v>661</v>
      </c>
      <c r="K102" s="830"/>
    </row>
    <row r="103" spans="1:11" ht="20.25" x14ac:dyDescent="0.3">
      <c r="A103" s="1070"/>
      <c r="B103" s="1047">
        <f>$J$54</f>
        <v>0</v>
      </c>
      <c r="C103" s="1048">
        <f>E103+G103</f>
        <v>0</v>
      </c>
      <c r="D103" s="1049"/>
      <c r="E103" s="1047">
        <f>$D$54*$S$44</f>
        <v>0</v>
      </c>
      <c r="F103" s="1050"/>
      <c r="G103" s="1048">
        <f>$D$54*$T$44</f>
        <v>0</v>
      </c>
      <c r="H103" s="1047">
        <f>B103+E103</f>
        <v>0</v>
      </c>
      <c r="K103" s="830"/>
    </row>
    <row r="104" spans="1:11" x14ac:dyDescent="0.25">
      <c r="B104" s="830"/>
      <c r="D104" s="830"/>
      <c r="E104" s="830"/>
      <c r="F104" s="830"/>
      <c r="H104" s="830"/>
      <c r="K104" s="830"/>
    </row>
    <row r="105" spans="1:11" x14ac:dyDescent="0.25">
      <c r="A105" s="1407"/>
      <c r="B105" s="1776" t="str">
        <f>"  لحم مختوم3 / " &amp; COUNTIF($C$53:$C$55, "&gt;0")</f>
        <v xml:space="preserve">  لحم مختوم3 / 1</v>
      </c>
      <c r="C105" s="1787"/>
      <c r="D105" s="1788"/>
      <c r="E105" s="1788"/>
      <c r="F105" s="1788"/>
      <c r="G105" s="1787"/>
      <c r="H105" s="1788"/>
      <c r="K105" s="830"/>
    </row>
    <row r="106" spans="1:11" x14ac:dyDescent="0.25">
      <c r="A106" s="1407"/>
      <c r="B106" s="1833" t="str">
        <f>" Mkhtoum Lahm 3  / " &amp; COUNTIF($C$53:$C$55, "&gt;0")</f>
        <v xml:space="preserve"> Mkhtoum Lahm 3  / 1</v>
      </c>
      <c r="C106" s="1787"/>
      <c r="D106" s="1788"/>
      <c r="E106" s="1788"/>
      <c r="F106" s="1788"/>
      <c r="G106" s="1787"/>
      <c r="H106" s="1788"/>
      <c r="K106" s="830"/>
    </row>
    <row r="107" spans="1:11" ht="38.25" x14ac:dyDescent="0.2">
      <c r="A107" s="1350" t="s">
        <v>864</v>
      </c>
      <c r="B107" s="923" t="s">
        <v>241</v>
      </c>
      <c r="C107" s="934" t="s">
        <v>242</v>
      </c>
      <c r="D107" s="923" t="s">
        <v>231</v>
      </c>
      <c r="E107" s="935" t="s">
        <v>234</v>
      </c>
      <c r="F107" s="935" t="s">
        <v>243</v>
      </c>
      <c r="G107" s="923" t="s">
        <v>244</v>
      </c>
      <c r="H107" s="936" t="s">
        <v>245</v>
      </c>
      <c r="K107" s="830"/>
    </row>
    <row r="108" spans="1:11" x14ac:dyDescent="0.2">
      <c r="A108" s="937" t="s">
        <v>872</v>
      </c>
      <c r="B108" s="938" t="str">
        <f t="shared" ref="B108:D122" si="19">B5</f>
        <v>Indian Meat Alana  - لحم هندى ألانا</v>
      </c>
      <c r="C108" s="938" t="str">
        <f t="shared" si="19"/>
        <v>gm</v>
      </c>
      <c r="D108" s="1127">
        <f t="shared" si="19"/>
        <v>2391.2509803921566</v>
      </c>
      <c r="E108" s="944">
        <f>H55</f>
        <v>0</v>
      </c>
      <c r="F108" s="948">
        <f t="shared" ref="F108:F122" si="20">F5</f>
        <v>1</v>
      </c>
      <c r="G108" s="940">
        <f t="shared" ref="G108:G122" si="21">D108*E108</f>
        <v>0</v>
      </c>
      <c r="H108" s="943">
        <f t="shared" ref="H108:H122" si="22">G108*F108</f>
        <v>0</v>
      </c>
      <c r="K108" s="830"/>
    </row>
    <row r="109" spans="1:11" x14ac:dyDescent="0.25">
      <c r="A109" s="1117"/>
      <c r="B109" s="938" t="str">
        <f t="shared" si="19"/>
        <v>Onion - بصل</v>
      </c>
      <c r="C109" s="938" t="str">
        <f t="shared" si="19"/>
        <v>gm</v>
      </c>
      <c r="D109" s="938">
        <f t="shared" si="19"/>
        <v>300</v>
      </c>
      <c r="E109" s="944">
        <f t="shared" ref="E109:E122" si="23">$C$55</f>
        <v>0</v>
      </c>
      <c r="F109" s="948">
        <f t="shared" si="20"/>
        <v>1</v>
      </c>
      <c r="G109" s="940">
        <f t="shared" si="21"/>
        <v>0</v>
      </c>
      <c r="H109" s="943">
        <f t="shared" si="22"/>
        <v>0</v>
      </c>
      <c r="K109" s="830"/>
    </row>
    <row r="110" spans="1:11" x14ac:dyDescent="0.25">
      <c r="A110" s="1117" t="s">
        <v>870</v>
      </c>
      <c r="B110" s="938" t="str">
        <f t="shared" si="19"/>
        <v>Tomato - طماطم</v>
      </c>
      <c r="C110" s="938" t="str">
        <f t="shared" si="19"/>
        <v>gm</v>
      </c>
      <c r="D110" s="938">
        <f t="shared" si="19"/>
        <v>200</v>
      </c>
      <c r="E110" s="944">
        <f t="shared" si="23"/>
        <v>0</v>
      </c>
      <c r="F110" s="948">
        <f t="shared" si="20"/>
        <v>1</v>
      </c>
      <c r="G110" s="940">
        <f t="shared" si="21"/>
        <v>0</v>
      </c>
      <c r="H110" s="943">
        <f t="shared" si="22"/>
        <v>0</v>
      </c>
      <c r="K110" s="830"/>
    </row>
    <row r="111" spans="1:11" x14ac:dyDescent="0.25">
      <c r="A111" s="1117" t="s">
        <v>868</v>
      </c>
      <c r="B111" s="938" t="str">
        <f t="shared" si="19"/>
        <v>Garlic - ثوم مقشر</v>
      </c>
      <c r="C111" s="938" t="str">
        <f t="shared" si="19"/>
        <v>gm</v>
      </c>
      <c r="D111" s="938">
        <f t="shared" si="19"/>
        <v>35</v>
      </c>
      <c r="E111" s="944">
        <f t="shared" si="23"/>
        <v>0</v>
      </c>
      <c r="F111" s="948">
        <f t="shared" si="20"/>
        <v>1</v>
      </c>
      <c r="G111" s="940">
        <f t="shared" si="21"/>
        <v>0</v>
      </c>
      <c r="H111" s="943">
        <f t="shared" si="22"/>
        <v>0</v>
      </c>
      <c r="K111" s="830"/>
    </row>
    <row r="112" spans="1:11" ht="25.5" x14ac:dyDescent="0.25">
      <c r="A112" s="1117"/>
      <c r="B112" s="938" t="str">
        <f t="shared" si="19"/>
        <v>Black Pepper Powder - فلفل أسود مطحون</v>
      </c>
      <c r="C112" s="938" t="str">
        <f t="shared" si="19"/>
        <v>gm</v>
      </c>
      <c r="D112" s="938">
        <f t="shared" si="19"/>
        <v>3</v>
      </c>
      <c r="E112" s="944">
        <f t="shared" si="23"/>
        <v>0</v>
      </c>
      <c r="F112" s="948">
        <f t="shared" si="20"/>
        <v>1</v>
      </c>
      <c r="G112" s="940">
        <f t="shared" si="21"/>
        <v>0</v>
      </c>
      <c r="H112" s="943">
        <f t="shared" si="22"/>
        <v>0</v>
      </c>
      <c r="K112" s="830"/>
    </row>
    <row r="113" spans="1:11" x14ac:dyDescent="0.25">
      <c r="A113" s="1117"/>
      <c r="B113" s="938" t="str">
        <f t="shared" si="19"/>
        <v>Cumin Powder - كمون مطحون</v>
      </c>
      <c r="C113" s="938" t="str">
        <f t="shared" si="19"/>
        <v>gm</v>
      </c>
      <c r="D113" s="938">
        <f t="shared" si="19"/>
        <v>5</v>
      </c>
      <c r="E113" s="944">
        <f t="shared" si="23"/>
        <v>0</v>
      </c>
      <c r="F113" s="948">
        <f t="shared" si="20"/>
        <v>0.75</v>
      </c>
      <c r="G113" s="940">
        <f t="shared" si="21"/>
        <v>0</v>
      </c>
      <c r="H113" s="943">
        <f t="shared" si="22"/>
        <v>0</v>
      </c>
      <c r="K113" s="830"/>
    </row>
    <row r="114" spans="1:11" x14ac:dyDescent="0.25">
      <c r="A114" s="1117"/>
      <c r="B114" s="938" t="str">
        <f t="shared" si="19"/>
        <v>Coriander Powder - كزبرة مطحونة</v>
      </c>
      <c r="C114" s="938" t="str">
        <f t="shared" si="19"/>
        <v>gm</v>
      </c>
      <c r="D114" s="938">
        <f t="shared" si="19"/>
        <v>5</v>
      </c>
      <c r="E114" s="944">
        <f t="shared" si="23"/>
        <v>0</v>
      </c>
      <c r="F114" s="948">
        <f t="shared" si="20"/>
        <v>0.75</v>
      </c>
      <c r="G114" s="940">
        <f t="shared" si="21"/>
        <v>0</v>
      </c>
      <c r="H114" s="943">
        <f t="shared" si="22"/>
        <v>0</v>
      </c>
      <c r="K114" s="830"/>
    </row>
    <row r="115" spans="1:11" x14ac:dyDescent="0.25">
      <c r="A115" s="1117"/>
      <c r="B115" s="938" t="str">
        <f t="shared" si="19"/>
        <v>Cinnamon Powder - قرفة مطحونة</v>
      </c>
      <c r="C115" s="938" t="str">
        <f t="shared" si="19"/>
        <v>gm</v>
      </c>
      <c r="D115" s="938">
        <f t="shared" si="19"/>
        <v>6</v>
      </c>
      <c r="E115" s="944">
        <f t="shared" si="23"/>
        <v>0</v>
      </c>
      <c r="F115" s="948">
        <f t="shared" si="20"/>
        <v>0.75</v>
      </c>
      <c r="G115" s="940">
        <f t="shared" si="21"/>
        <v>0</v>
      </c>
      <c r="H115" s="943">
        <f t="shared" si="22"/>
        <v>0</v>
      </c>
      <c r="K115" s="830"/>
    </row>
    <row r="116" spans="1:11" x14ac:dyDescent="0.25">
      <c r="A116" s="1117"/>
      <c r="B116" s="938" t="str">
        <f t="shared" si="19"/>
        <v>Salt - ملح</v>
      </c>
      <c r="C116" s="938" t="str">
        <f t="shared" si="19"/>
        <v>gm</v>
      </c>
      <c r="D116" s="938">
        <f t="shared" si="19"/>
        <v>11</v>
      </c>
      <c r="E116" s="944">
        <f t="shared" si="23"/>
        <v>0</v>
      </c>
      <c r="F116" s="948">
        <f t="shared" si="20"/>
        <v>0.75</v>
      </c>
      <c r="G116" s="940">
        <f t="shared" si="21"/>
        <v>0</v>
      </c>
      <c r="H116" s="943">
        <f t="shared" si="22"/>
        <v>0</v>
      </c>
      <c r="K116" s="830"/>
    </row>
    <row r="117" spans="1:11" x14ac:dyDescent="0.25">
      <c r="A117" s="1117"/>
      <c r="B117" s="938" t="str">
        <f t="shared" si="19"/>
        <v>Tomato Paste - صلصة طماطم</v>
      </c>
      <c r="C117" s="938" t="str">
        <f t="shared" si="19"/>
        <v>gm</v>
      </c>
      <c r="D117" s="938">
        <f t="shared" si="19"/>
        <v>300</v>
      </c>
      <c r="E117" s="944">
        <f t="shared" si="23"/>
        <v>0</v>
      </c>
      <c r="F117" s="948">
        <f t="shared" si="20"/>
        <v>1</v>
      </c>
      <c r="G117" s="940">
        <f t="shared" si="21"/>
        <v>0</v>
      </c>
      <c r="H117" s="943">
        <f t="shared" si="22"/>
        <v>0</v>
      </c>
      <c r="K117" s="830"/>
    </row>
    <row r="118" spans="1:11" x14ac:dyDescent="0.25">
      <c r="A118" s="1117"/>
      <c r="B118" s="938" t="str">
        <f t="shared" si="19"/>
        <v>Beef Stock - مرق لحم بقري</v>
      </c>
      <c r="C118" s="938" t="str">
        <f t="shared" si="19"/>
        <v>gm</v>
      </c>
      <c r="D118" s="938">
        <f t="shared" si="19"/>
        <v>500</v>
      </c>
      <c r="E118" s="944">
        <f t="shared" si="23"/>
        <v>0</v>
      </c>
      <c r="F118" s="948">
        <f t="shared" si="20"/>
        <v>1</v>
      </c>
      <c r="G118" s="940">
        <f t="shared" si="21"/>
        <v>0</v>
      </c>
      <c r="H118" s="943">
        <f t="shared" si="22"/>
        <v>0</v>
      </c>
      <c r="K118" s="830"/>
    </row>
    <row r="119" spans="1:11" x14ac:dyDescent="0.25">
      <c r="A119" s="1117"/>
      <c r="B119" s="938" t="str">
        <f t="shared" si="19"/>
        <v>Butter - زبدة</v>
      </c>
      <c r="C119" s="938" t="str">
        <f t="shared" si="19"/>
        <v>gm</v>
      </c>
      <c r="D119" s="938">
        <f t="shared" si="19"/>
        <v>15</v>
      </c>
      <c r="E119" s="944">
        <f t="shared" si="23"/>
        <v>0</v>
      </c>
      <c r="F119" s="948">
        <f t="shared" si="20"/>
        <v>1</v>
      </c>
      <c r="G119" s="940">
        <f t="shared" si="21"/>
        <v>0</v>
      </c>
      <c r="H119" s="943">
        <f t="shared" si="22"/>
        <v>0</v>
      </c>
      <c r="K119" s="830"/>
    </row>
    <row r="120" spans="1:11" ht="20.25" x14ac:dyDescent="0.3">
      <c r="A120" s="1117"/>
      <c r="B120" s="938" t="str">
        <f t="shared" si="19"/>
        <v>Maggi Cubes - مكعبات ماجي</v>
      </c>
      <c r="C120" s="938" t="str">
        <f t="shared" si="19"/>
        <v>gm</v>
      </c>
      <c r="D120" s="938">
        <f t="shared" si="19"/>
        <v>10</v>
      </c>
      <c r="E120" s="944">
        <f t="shared" si="23"/>
        <v>0</v>
      </c>
      <c r="F120" s="948">
        <f t="shared" si="20"/>
        <v>0.75</v>
      </c>
      <c r="G120" s="940">
        <f t="shared" si="21"/>
        <v>0</v>
      </c>
      <c r="H120" s="943">
        <f t="shared" si="22"/>
        <v>0</v>
      </c>
      <c r="I120" s="142"/>
      <c r="J120" s="141"/>
      <c r="K120" s="830"/>
    </row>
    <row r="121" spans="1:11" x14ac:dyDescent="0.25">
      <c r="A121" s="1117"/>
      <c r="B121" s="938" t="str">
        <f t="shared" si="19"/>
        <v>Corn Starch - نشا ذرة</v>
      </c>
      <c r="C121" s="938" t="str">
        <f t="shared" si="19"/>
        <v>gm</v>
      </c>
      <c r="D121" s="938">
        <f t="shared" si="19"/>
        <v>60</v>
      </c>
      <c r="E121" s="944">
        <f t="shared" si="23"/>
        <v>0</v>
      </c>
      <c r="F121" s="948">
        <f t="shared" si="20"/>
        <v>0.75</v>
      </c>
      <c r="G121" s="940">
        <f t="shared" si="21"/>
        <v>0</v>
      </c>
      <c r="H121" s="943">
        <f t="shared" si="22"/>
        <v>0</v>
      </c>
      <c r="K121" s="830"/>
    </row>
    <row r="122" spans="1:11" x14ac:dyDescent="0.25">
      <c r="A122" s="1117"/>
      <c r="B122" s="938" t="str">
        <f t="shared" si="19"/>
        <v>Salt - ملح</v>
      </c>
      <c r="C122" s="938" t="str">
        <f t="shared" si="19"/>
        <v>gm</v>
      </c>
      <c r="D122" s="938">
        <f t="shared" si="19"/>
        <v>5</v>
      </c>
      <c r="E122" s="944">
        <f t="shared" si="23"/>
        <v>0</v>
      </c>
      <c r="F122" s="948">
        <f t="shared" si="20"/>
        <v>1</v>
      </c>
      <c r="G122" s="940">
        <f t="shared" si="21"/>
        <v>0</v>
      </c>
      <c r="H122" s="943">
        <f t="shared" si="22"/>
        <v>0</v>
      </c>
      <c r="K122" s="830"/>
    </row>
    <row r="123" spans="1:11" ht="18" x14ac:dyDescent="0.25">
      <c r="A123" s="949"/>
      <c r="B123" s="1041" t="s">
        <v>287</v>
      </c>
      <c r="C123" s="1042" t="s">
        <v>273</v>
      </c>
      <c r="D123" s="1043"/>
      <c r="E123" s="1044" t="s">
        <v>288</v>
      </c>
      <c r="F123" s="1043"/>
      <c r="G123" s="1045" t="s">
        <v>264</v>
      </c>
      <c r="H123" s="1046" t="s">
        <v>661</v>
      </c>
      <c r="K123" s="830"/>
    </row>
    <row r="124" spans="1:11" ht="20.25" x14ac:dyDescent="0.3">
      <c r="A124" s="949"/>
      <c r="B124" s="1047">
        <f>$J$55</f>
        <v>0</v>
      </c>
      <c r="C124" s="1048">
        <f>E124+G124</f>
        <v>0</v>
      </c>
      <c r="D124" s="1054"/>
      <c r="E124" s="1047">
        <f>$D$55*$S$44</f>
        <v>0</v>
      </c>
      <c r="F124" s="1054"/>
      <c r="G124" s="1048">
        <f>$D$55*$T$44</f>
        <v>0</v>
      </c>
      <c r="H124" s="1047">
        <f>B124+E124</f>
        <v>0</v>
      </c>
      <c r="K124" s="830"/>
    </row>
  </sheetData>
  <mergeCells count="10">
    <mergeCell ref="B85:H85"/>
    <mergeCell ref="B84:H84"/>
    <mergeCell ref="B105:H105"/>
    <mergeCell ref="B106:H106"/>
    <mergeCell ref="R26:U26"/>
    <mergeCell ref="R25:U25"/>
    <mergeCell ref="B62:H62"/>
    <mergeCell ref="B2:K3"/>
    <mergeCell ref="B63:H63"/>
    <mergeCell ref="B35:F35"/>
  </mergeCells>
  <printOptions horizontalCentered="1"/>
  <pageMargins left="0.5" right="0.5" top="1" bottom="0.5" header="0.3" footer="0.511811023622047"/>
  <pageSetup paperSize="9" scale="36"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2E75B6"/>
    <pageSetUpPr fitToPage="1"/>
  </sheetPr>
  <dimension ref="A1:AT82"/>
  <sheetViews>
    <sheetView zoomScaleNormal="100" workbookViewId="0">
      <selection activeCell="A25" sqref="A25"/>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4"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ol min="25" max="25" width="8.625" style="14" customWidth="1"/>
    <col min="26" max="30" width="12.625" style="14" customWidth="1"/>
    <col min="31" max="31" width="8.625" style="14" customWidth="1"/>
    <col min="32" max="32" width="11" style="14" bestFit="1" customWidth="1"/>
    <col min="33" max="34" width="3" style="14" customWidth="1"/>
    <col min="35" max="35" width="18.6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ht="25.5" x14ac:dyDescent="0.25">
      <c r="B1" s="913" t="s">
        <v>231</v>
      </c>
      <c r="C1" s="914">
        <v>1000</v>
      </c>
      <c r="D1" s="915" t="s">
        <v>232</v>
      </c>
      <c r="E1" s="941">
        <f>T32</f>
        <v>4082.3076923076965</v>
      </c>
      <c r="F1" s="913" t="s">
        <v>233</v>
      </c>
      <c r="G1" s="914">
        <f>E1/C1</f>
        <v>4.0823076923076966</v>
      </c>
      <c r="H1" s="913" t="s">
        <v>234</v>
      </c>
      <c r="I1" s="918">
        <f>(G1/K1)</f>
        <v>4.1656200941915271</v>
      </c>
      <c r="J1" s="919" t="s">
        <v>235</v>
      </c>
      <c r="K1" s="1409">
        <v>0.98</v>
      </c>
      <c r="L1" s="80"/>
      <c r="M1" s="70"/>
      <c r="N1" s="922"/>
      <c r="O1" s="923" t="s">
        <v>236</v>
      </c>
      <c r="P1" s="914" t="s">
        <v>237</v>
      </c>
      <c r="Q1" s="924" t="s">
        <v>238</v>
      </c>
      <c r="R1" s="914">
        <v>0.59</v>
      </c>
      <c r="T1" s="890"/>
      <c r="W1" s="890"/>
      <c r="Y1" s="923" t="s">
        <v>444</v>
      </c>
      <c r="Z1" s="925">
        <v>16690</v>
      </c>
      <c r="AA1" s="923" t="s">
        <v>544</v>
      </c>
      <c r="AB1" s="925">
        <v>1000</v>
      </c>
      <c r="AC1" s="923" t="s">
        <v>537</v>
      </c>
      <c r="AD1" s="925">
        <v>119</v>
      </c>
      <c r="AE1" s="168"/>
      <c r="AF1" s="170"/>
      <c r="AG1" s="73"/>
      <c r="AI1" s="61"/>
      <c r="AJ1" s="926" t="s">
        <v>250</v>
      </c>
      <c r="AK1" s="926">
        <v>10000</v>
      </c>
      <c r="AL1" s="927" t="s">
        <v>474</v>
      </c>
      <c r="AM1" s="928">
        <f>$S$32</f>
        <v>13607.692307692305</v>
      </c>
      <c r="AN1" s="926" t="s">
        <v>239</v>
      </c>
      <c r="AO1" s="1349">
        <f>($S$32/$R$1)/$AK$1</f>
        <v>2.3063885267275093</v>
      </c>
      <c r="AP1" s="76"/>
      <c r="AS1" s="890"/>
    </row>
    <row r="2" spans="1:46" ht="15.75" x14ac:dyDescent="0.25">
      <c r="A2" s="863"/>
      <c r="B2" s="921"/>
      <c r="C2" s="921"/>
      <c r="D2" s="921"/>
      <c r="E2" s="921"/>
      <c r="F2" s="1784" t="s">
        <v>53</v>
      </c>
      <c r="G2" s="1787"/>
      <c r="H2" s="921"/>
      <c r="I2" s="921"/>
      <c r="J2" s="921"/>
      <c r="K2" s="921"/>
      <c r="L2" s="842"/>
      <c r="O2" s="80"/>
      <c r="P2" s="80"/>
      <c r="Q2" s="80"/>
      <c r="R2" s="80"/>
      <c r="T2" s="890"/>
      <c r="W2" s="890"/>
      <c r="AC2" s="79"/>
      <c r="AD2" s="79"/>
      <c r="AE2" s="1795"/>
      <c r="AF2" s="1799"/>
      <c r="AG2" s="1799"/>
      <c r="AI2" s="61"/>
      <c r="AJ2" s="930"/>
      <c r="AK2" s="1783" t="s">
        <v>359</v>
      </c>
      <c r="AL2" s="1783"/>
      <c r="AM2" s="1783"/>
      <c r="AN2" s="931"/>
      <c r="AO2" s="930"/>
      <c r="AP2" s="81"/>
      <c r="AS2" s="890"/>
    </row>
    <row r="3" spans="1:46" ht="15.75" x14ac:dyDescent="0.25">
      <c r="A3" s="863"/>
      <c r="B3" s="78"/>
      <c r="C3" s="78"/>
      <c r="D3" s="78"/>
      <c r="E3" s="78"/>
      <c r="F3" s="1785"/>
      <c r="G3" s="1796"/>
      <c r="H3" s="78"/>
      <c r="I3" s="78"/>
      <c r="J3" s="78"/>
      <c r="K3" s="1410"/>
      <c r="L3" s="1411"/>
      <c r="O3" s="80"/>
      <c r="P3" s="80"/>
      <c r="Q3" s="80"/>
      <c r="R3" s="80"/>
      <c r="T3" s="890"/>
      <c r="W3" s="890"/>
      <c r="AC3" s="79"/>
      <c r="AD3" s="79"/>
      <c r="AE3" s="1799"/>
      <c r="AF3" s="1799"/>
      <c r="AG3" s="1799"/>
      <c r="AI3" s="61"/>
      <c r="AJ3" s="81"/>
      <c r="AK3" s="81"/>
      <c r="AL3" s="82"/>
      <c r="AM3" s="82"/>
      <c r="AN3" s="82"/>
      <c r="AO3" s="81"/>
      <c r="AP3" s="81"/>
      <c r="AS3" s="890"/>
    </row>
    <row r="4" spans="1:46" ht="38.25" x14ac:dyDescent="0.25">
      <c r="A4" s="1350" t="s">
        <v>864</v>
      </c>
      <c r="B4" s="923" t="s">
        <v>241</v>
      </c>
      <c r="C4" s="934" t="s">
        <v>242</v>
      </c>
      <c r="D4" s="923" t="s">
        <v>231</v>
      </c>
      <c r="E4" s="935" t="s">
        <v>234</v>
      </c>
      <c r="F4" s="935" t="s">
        <v>243</v>
      </c>
      <c r="G4" s="923" t="s">
        <v>244</v>
      </c>
      <c r="H4" s="936" t="s">
        <v>245</v>
      </c>
      <c r="I4" s="923" t="s">
        <v>246</v>
      </c>
      <c r="J4" s="923" t="s">
        <v>247</v>
      </c>
      <c r="K4" s="923" t="s">
        <v>248</v>
      </c>
      <c r="L4" s="923" t="s">
        <v>249</v>
      </c>
      <c r="O4" s="80"/>
      <c r="P4" s="80"/>
      <c r="R4" s="890"/>
      <c r="T4" s="890"/>
      <c r="W4" s="890"/>
      <c r="AA4" s="169"/>
      <c r="AB4" s="171"/>
      <c r="AC4" s="169"/>
      <c r="AD4" s="169"/>
      <c r="AE4" s="169"/>
      <c r="AI4" s="949"/>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937" t="s">
        <v>872</v>
      </c>
      <c r="B5" s="914" t="s">
        <v>220</v>
      </c>
      <c r="C5" s="939" t="s">
        <v>14</v>
      </c>
      <c r="D5" s="944">
        <f>I51/10</f>
        <v>5649.8305084745762</v>
      </c>
      <c r="E5" s="1040">
        <f>H52</f>
        <v>4.0822260477867358</v>
      </c>
      <c r="F5" s="948">
        <v>1</v>
      </c>
      <c r="G5" s="940">
        <f t="shared" ref="G5:G17" si="0">D5*E5</f>
        <v>23063.885267275095</v>
      </c>
      <c r="H5" s="943">
        <f t="shared" ref="H5:H17" si="1">G5*F5</f>
        <v>23063.885267275095</v>
      </c>
      <c r="I5" s="914">
        <f>VLOOKUP(B5,All_Ingredients!$A$1:$F$161,6,FALSE())</f>
        <v>0.86</v>
      </c>
      <c r="J5" s="940">
        <f>VLOOKUP(B5,All_Ingredients!$A$1:$J$161,10,FALSE())</f>
        <v>17.100000000000001</v>
      </c>
      <c r="K5" s="945">
        <f t="shared" ref="K5" si="2">(H5/I5)/1000</f>
        <v>26.818471241017551</v>
      </c>
      <c r="L5" s="945">
        <f t="shared" ref="L5" si="3">K5*J5</f>
        <v>458.59585822140019</v>
      </c>
      <c r="O5" s="80"/>
      <c r="P5" s="80"/>
      <c r="R5" s="890"/>
      <c r="T5" s="890"/>
      <c r="W5" s="890"/>
      <c r="AA5" s="73"/>
      <c r="AB5" s="89"/>
      <c r="AC5" s="172"/>
      <c r="AD5" s="90"/>
      <c r="AE5" s="91"/>
      <c r="AI5" s="949"/>
      <c r="AJ5" s="938" t="s">
        <v>220</v>
      </c>
      <c r="AK5" s="951" t="s">
        <v>227</v>
      </c>
      <c r="AL5" s="940">
        <v>10</v>
      </c>
      <c r="AM5" s="1040">
        <f t="shared" ref="AM5:AM13" si="4">$AO$1</f>
        <v>2.3063885267275093</v>
      </c>
      <c r="AN5" s="948">
        <v>1</v>
      </c>
      <c r="AO5" s="944">
        <f t="shared" ref="AO5:AO13" si="5">AL5*AM5</f>
        <v>23.063885267275094</v>
      </c>
      <c r="AP5" s="943">
        <f t="shared" ref="AP5:AP13" si="6">AO5*AN5</f>
        <v>23.063885267275094</v>
      </c>
      <c r="AQ5" s="952"/>
      <c r="AR5" s="953"/>
      <c r="AS5" s="954"/>
      <c r="AT5" s="955"/>
    </row>
    <row r="6" spans="1:46" x14ac:dyDescent="0.25">
      <c r="A6" s="949"/>
      <c r="B6" s="914" t="s">
        <v>189</v>
      </c>
      <c r="C6" s="947" t="s">
        <v>160</v>
      </c>
      <c r="D6" s="914">
        <v>400</v>
      </c>
      <c r="E6" s="1040">
        <f>$I$1</f>
        <v>4.1656200941915271</v>
      </c>
      <c r="F6" s="948">
        <v>0.95</v>
      </c>
      <c r="G6" s="940">
        <f t="shared" si="0"/>
        <v>1666.2480376766109</v>
      </c>
      <c r="H6" s="943">
        <f t="shared" si="1"/>
        <v>1582.9356357927802</v>
      </c>
      <c r="I6" s="914">
        <f>VLOOKUP(B6,All_Ingredients!$A$1:$F$161,6,FALSE())</f>
        <v>1</v>
      </c>
      <c r="J6" s="940">
        <f>VLOOKUP(B6,All_Ingredients!$A$1:$J$161,10,FALSE())</f>
        <v>17.480211081794195</v>
      </c>
      <c r="K6" s="945">
        <f t="shared" ref="K6:K17" si="7">(H6/I6)/1000</f>
        <v>1.5829356357927802</v>
      </c>
      <c r="L6" s="945">
        <f t="shared" ref="L6:L17" si="8">K6*J6</f>
        <v>27.670049042551895</v>
      </c>
      <c r="R6" s="890"/>
      <c r="T6" s="890"/>
      <c r="W6" s="890"/>
      <c r="AI6" s="949" t="s">
        <v>55</v>
      </c>
      <c r="AJ6" s="1130" t="s">
        <v>54</v>
      </c>
      <c r="AK6" s="1201" t="s">
        <v>14</v>
      </c>
      <c r="AL6" s="940">
        <v>100</v>
      </c>
      <c r="AM6" s="1040">
        <f t="shared" si="4"/>
        <v>2.3063885267275093</v>
      </c>
      <c r="AN6" s="948">
        <v>1</v>
      </c>
      <c r="AO6" s="944">
        <f t="shared" si="5"/>
        <v>230.63885267275091</v>
      </c>
      <c r="AP6" s="943">
        <f t="shared" si="6"/>
        <v>230.63885267275091</v>
      </c>
      <c r="AQ6" s="955">
        <f>VLOOKUP(AJ6,Marination_Ordering!$A:$J,6,FALSE)</f>
        <v>0.87</v>
      </c>
      <c r="AR6" s="955">
        <f>VLOOKUP(AJ6,Marination_Ordering!$A:$J,10,FALSE)</f>
        <v>7</v>
      </c>
      <c r="AS6" s="954">
        <f>AP6/AQ6</f>
        <v>265.10212950890912</v>
      </c>
      <c r="AT6" s="955">
        <f>AR6*(AS6/1000)</f>
        <v>1.8557149065623637</v>
      </c>
    </row>
    <row r="7" spans="1:46" x14ac:dyDescent="0.25">
      <c r="A7" s="949"/>
      <c r="B7" s="914" t="s">
        <v>192</v>
      </c>
      <c r="C7" s="947" t="s">
        <v>160</v>
      </c>
      <c r="D7" s="914">
        <v>35</v>
      </c>
      <c r="E7" s="1040">
        <f t="shared" ref="E7:E20" si="9">$I$1</f>
        <v>4.1656200941915271</v>
      </c>
      <c r="F7" s="948">
        <v>0.95</v>
      </c>
      <c r="G7" s="940">
        <f t="shared" si="0"/>
        <v>145.79670329670344</v>
      </c>
      <c r="H7" s="943">
        <f t="shared" si="1"/>
        <v>138.50686813186826</v>
      </c>
      <c r="I7" s="914">
        <f>VLOOKUP(B7,All_Ingredients!$A$1:$F$161,6,FALSE())</f>
        <v>1</v>
      </c>
      <c r="J7" s="940">
        <f>VLOOKUP(B7,All_Ingredients!$A$1:$J$161,10,FALSE())</f>
        <v>58.685446009389672</v>
      </c>
      <c r="K7" s="945">
        <f t="shared" si="7"/>
        <v>0.13850686813186827</v>
      </c>
      <c r="L7" s="945">
        <f t="shared" si="8"/>
        <v>8.1283373316824097</v>
      </c>
      <c r="R7" s="890"/>
      <c r="T7" s="890"/>
      <c r="W7" s="890"/>
      <c r="AI7" s="949" t="s">
        <v>13</v>
      </c>
      <c r="AJ7" s="1130" t="s">
        <v>706</v>
      </c>
      <c r="AK7" s="1201" t="s">
        <v>14</v>
      </c>
      <c r="AL7" s="940">
        <v>200</v>
      </c>
      <c r="AM7" s="1040">
        <f t="shared" si="4"/>
        <v>2.3063885267275093</v>
      </c>
      <c r="AN7" s="948">
        <v>1</v>
      </c>
      <c r="AO7" s="944">
        <f t="shared" si="5"/>
        <v>461.27770534550183</v>
      </c>
      <c r="AP7" s="943">
        <f t="shared" si="6"/>
        <v>461.27770534550183</v>
      </c>
      <c r="AQ7" s="955">
        <f>VLOOKUP(AJ7,Marination_Ordering!$A:$J,6,FALSE)</f>
        <v>1</v>
      </c>
      <c r="AR7" s="955">
        <f>VLOOKUP(AJ7,Marination_Ordering!$A:$J,10,FALSE)</f>
        <v>10.5</v>
      </c>
      <c r="AS7" s="954">
        <f t="shared" ref="AS7:AS9" si="10">AP7/AQ7</f>
        <v>461.27770534550183</v>
      </c>
      <c r="AT7" s="955">
        <f t="shared" ref="AT7:AT9" si="11">AR7*(AS7/1000)</f>
        <v>4.8434159061277695</v>
      </c>
    </row>
    <row r="8" spans="1:46" x14ac:dyDescent="0.25">
      <c r="A8" s="949"/>
      <c r="B8" s="914" t="s">
        <v>110</v>
      </c>
      <c r="C8" s="947" t="s">
        <v>14</v>
      </c>
      <c r="D8" s="914">
        <v>10</v>
      </c>
      <c r="E8" s="1040">
        <f t="shared" si="9"/>
        <v>4.1656200941915271</v>
      </c>
      <c r="F8" s="948">
        <v>1</v>
      </c>
      <c r="G8" s="940">
        <f t="shared" si="0"/>
        <v>41.656200941915273</v>
      </c>
      <c r="H8" s="943">
        <f t="shared" si="1"/>
        <v>41.656200941915273</v>
      </c>
      <c r="I8" s="914">
        <f>VLOOKUP(B8,All_Ingredients!$A$1:$F$161,6,FALSE())</f>
        <v>1</v>
      </c>
      <c r="J8" s="940">
        <f>VLOOKUP(B8,All_Ingredients!$A$1:$J$161,10,FALSE())</f>
        <v>64.243759177679877</v>
      </c>
      <c r="K8" s="945">
        <f t="shared" si="7"/>
        <v>4.1656200941915272E-2</v>
      </c>
      <c r="L8" s="945">
        <f t="shared" si="8"/>
        <v>2.6761509415694462</v>
      </c>
      <c r="R8" s="890"/>
      <c r="T8" s="890"/>
      <c r="W8" s="890"/>
      <c r="AI8" s="949" t="s">
        <v>204</v>
      </c>
      <c r="AJ8" s="1130" t="s">
        <v>212</v>
      </c>
      <c r="AK8" s="1201" t="s">
        <v>160</v>
      </c>
      <c r="AL8" s="940">
        <v>350</v>
      </c>
      <c r="AM8" s="1040">
        <f t="shared" si="4"/>
        <v>2.3063885267275093</v>
      </c>
      <c r="AN8" s="948">
        <v>1</v>
      </c>
      <c r="AO8" s="944">
        <f t="shared" si="5"/>
        <v>807.23598435462827</v>
      </c>
      <c r="AP8" s="943">
        <f t="shared" si="6"/>
        <v>807.23598435462827</v>
      </c>
      <c r="AQ8" s="955">
        <f>VLOOKUP(AJ8,Marination_Ordering!$A:$J,6,FALSE)</f>
        <v>1</v>
      </c>
      <c r="AR8" s="955">
        <f>VLOOKUP(AJ8,Marination_Ordering!$A:$J,10,FALSE)</f>
        <v>5</v>
      </c>
      <c r="AS8" s="954">
        <f t="shared" si="10"/>
        <v>807.23598435462827</v>
      </c>
      <c r="AT8" s="955">
        <f t="shared" si="11"/>
        <v>4.0361799217731411</v>
      </c>
    </row>
    <row r="9" spans="1:46" x14ac:dyDescent="0.25">
      <c r="A9" s="949"/>
      <c r="B9" s="914" t="s">
        <v>149</v>
      </c>
      <c r="C9" s="947" t="s">
        <v>14</v>
      </c>
      <c r="D9" s="914">
        <v>10</v>
      </c>
      <c r="E9" s="1040">
        <f t="shared" si="9"/>
        <v>4.1656200941915271</v>
      </c>
      <c r="F9" s="948">
        <v>1</v>
      </c>
      <c r="G9" s="940">
        <f t="shared" si="0"/>
        <v>41.656200941915273</v>
      </c>
      <c r="H9" s="943">
        <f t="shared" si="1"/>
        <v>41.656200941915273</v>
      </c>
      <c r="I9" s="914">
        <f>VLOOKUP(B9,All_Ingredients!$A$1:$F$161,6,FALSE())</f>
        <v>1</v>
      </c>
      <c r="J9" s="940">
        <f>VLOOKUP(B9,All_Ingredients!$A$1:$J$161,10,FALSE())</f>
        <v>10</v>
      </c>
      <c r="K9" s="945">
        <f t="shared" si="7"/>
        <v>4.1656200941915272E-2</v>
      </c>
      <c r="L9" s="945">
        <f t="shared" si="8"/>
        <v>0.41656200941915272</v>
      </c>
      <c r="R9" s="890"/>
      <c r="T9" s="890"/>
      <c r="W9" s="890"/>
      <c r="AI9" s="949" t="s">
        <v>204</v>
      </c>
      <c r="AJ9" s="1130" t="s">
        <v>208</v>
      </c>
      <c r="AK9" s="951" t="s">
        <v>160</v>
      </c>
      <c r="AL9" s="944">
        <v>50</v>
      </c>
      <c r="AM9" s="1040">
        <f t="shared" si="4"/>
        <v>2.3063885267275093</v>
      </c>
      <c r="AN9" s="948">
        <v>1</v>
      </c>
      <c r="AO9" s="944">
        <f t="shared" si="5"/>
        <v>115.31942633637546</v>
      </c>
      <c r="AP9" s="943">
        <f t="shared" si="6"/>
        <v>115.31942633637546</v>
      </c>
      <c r="AQ9" s="955">
        <f>VLOOKUP(AJ9,Marination_Ordering!$A:$J,6,FALSE)</f>
        <v>1</v>
      </c>
      <c r="AR9" s="955">
        <f>VLOOKUP(AJ9,Marination_Ordering!$A:$J,10,FALSE)</f>
        <v>2.1621621621621623</v>
      </c>
      <c r="AS9" s="954">
        <f t="shared" si="10"/>
        <v>115.31942633637546</v>
      </c>
      <c r="AT9" s="955">
        <f t="shared" si="11"/>
        <v>0.24933930018675776</v>
      </c>
    </row>
    <row r="10" spans="1:46" x14ac:dyDescent="0.25">
      <c r="A10" s="949"/>
      <c r="B10" s="914" t="s">
        <v>105</v>
      </c>
      <c r="C10" s="947" t="s">
        <v>14</v>
      </c>
      <c r="D10" s="914">
        <v>10</v>
      </c>
      <c r="E10" s="1040">
        <f t="shared" si="9"/>
        <v>4.1656200941915271</v>
      </c>
      <c r="F10" s="948">
        <v>0.75</v>
      </c>
      <c r="G10" s="940">
        <f t="shared" si="0"/>
        <v>41.656200941915273</v>
      </c>
      <c r="H10" s="943">
        <f t="shared" si="1"/>
        <v>31.242150706436455</v>
      </c>
      <c r="I10" s="914">
        <f>VLOOKUP(B10,All_Ingredients!$A$1:$F$161,6,FALSE())</f>
        <v>1</v>
      </c>
      <c r="J10" s="940">
        <f>VLOOKUP(B10,All_Ingredients!$A$1:$J$161,10,FALSE())</f>
        <v>15</v>
      </c>
      <c r="K10" s="945">
        <f t="shared" si="7"/>
        <v>3.1242150706436454E-2</v>
      </c>
      <c r="L10" s="945">
        <f t="shared" si="8"/>
        <v>0.46863226059654683</v>
      </c>
      <c r="R10" s="890"/>
      <c r="T10" s="890"/>
      <c r="W10" s="890"/>
      <c r="AI10" s="949" t="s">
        <v>94</v>
      </c>
      <c r="AJ10" s="1130" t="s">
        <v>93</v>
      </c>
      <c r="AK10" s="1201" t="s">
        <v>14</v>
      </c>
      <c r="AL10" s="940">
        <v>2</v>
      </c>
      <c r="AM10" s="1040">
        <f t="shared" si="4"/>
        <v>2.3063885267275093</v>
      </c>
      <c r="AN10" s="948">
        <v>1</v>
      </c>
      <c r="AO10" s="944">
        <f t="shared" si="5"/>
        <v>4.6127770534550185</v>
      </c>
      <c r="AP10" s="943">
        <f t="shared" si="6"/>
        <v>4.6127770534550185</v>
      </c>
      <c r="AQ10" s="955">
        <f>VLOOKUP(AJ10,Marination_Ordering!$A:$J,6,FALSE)</f>
        <v>1</v>
      </c>
      <c r="AR10" s="955">
        <f>VLOOKUP(AJ10,Marination_Ordering!$A:$J,10,FALSE)</f>
        <v>0.74</v>
      </c>
      <c r="AS10" s="954">
        <f t="shared" ref="AS10:AS13" si="12">AP10/AQ10</f>
        <v>4.6127770534550185</v>
      </c>
      <c r="AT10" s="955">
        <f t="shared" ref="AT10:AT13" si="13">AR10*(AS10/1000)</f>
        <v>3.4134550195567136E-3</v>
      </c>
    </row>
    <row r="11" spans="1:46" ht="28.5" x14ac:dyDescent="0.25">
      <c r="A11" s="949"/>
      <c r="B11" s="914" t="s">
        <v>99</v>
      </c>
      <c r="C11" s="947" t="s">
        <v>14</v>
      </c>
      <c r="D11" s="914">
        <v>6</v>
      </c>
      <c r="E11" s="1040">
        <f t="shared" si="9"/>
        <v>4.1656200941915271</v>
      </c>
      <c r="F11" s="948">
        <v>1</v>
      </c>
      <c r="G11" s="940">
        <f t="shared" si="0"/>
        <v>24.993720565149161</v>
      </c>
      <c r="H11" s="943">
        <f t="shared" si="1"/>
        <v>24.993720565149161</v>
      </c>
      <c r="I11" s="914">
        <f>VLOOKUP(B11,All_Ingredients!$A$1:$F$161,6,FALSE())</f>
        <v>1</v>
      </c>
      <c r="J11" s="940">
        <f>VLOOKUP(B11,All_Ingredients!$A$1:$J$161,10,FALSE())</f>
        <v>31</v>
      </c>
      <c r="K11" s="945">
        <f t="shared" si="7"/>
        <v>2.4993720565149161E-2</v>
      </c>
      <c r="L11" s="945">
        <f t="shared" si="8"/>
        <v>0.77480533751962399</v>
      </c>
      <c r="R11" s="890"/>
      <c r="T11" s="890"/>
      <c r="W11" s="890"/>
      <c r="AI11" s="949" t="s">
        <v>94</v>
      </c>
      <c r="AJ11" s="1130" t="s">
        <v>99</v>
      </c>
      <c r="AK11" s="1201" t="s">
        <v>14</v>
      </c>
      <c r="AL11" s="940">
        <v>2</v>
      </c>
      <c r="AM11" s="1040">
        <f t="shared" si="4"/>
        <v>2.3063885267275093</v>
      </c>
      <c r="AN11" s="948">
        <v>1</v>
      </c>
      <c r="AO11" s="944">
        <f t="shared" si="5"/>
        <v>4.6127770534550185</v>
      </c>
      <c r="AP11" s="943">
        <f t="shared" si="6"/>
        <v>4.6127770534550185</v>
      </c>
      <c r="AQ11" s="955">
        <f>VLOOKUP(AJ11,Marination_Ordering!$A:$J,6,FALSE)</f>
        <v>1</v>
      </c>
      <c r="AR11" s="955">
        <f>VLOOKUP(AJ11,Marination_Ordering!$A:$J,10,FALSE)</f>
        <v>31</v>
      </c>
      <c r="AS11" s="954">
        <f t="shared" si="12"/>
        <v>4.6127770534550185</v>
      </c>
      <c r="AT11" s="955">
        <f t="shared" si="13"/>
        <v>0.14299608865710556</v>
      </c>
    </row>
    <row r="12" spans="1:46" x14ac:dyDescent="0.25">
      <c r="A12" s="949"/>
      <c r="B12" s="914" t="s">
        <v>93</v>
      </c>
      <c r="C12" s="947" t="s">
        <v>14</v>
      </c>
      <c r="D12" s="914">
        <v>11</v>
      </c>
      <c r="E12" s="1040">
        <f t="shared" si="9"/>
        <v>4.1656200941915271</v>
      </c>
      <c r="F12" s="948">
        <v>0.75</v>
      </c>
      <c r="G12" s="940">
        <f t="shared" si="0"/>
        <v>45.821821036106797</v>
      </c>
      <c r="H12" s="943">
        <f t="shared" si="1"/>
        <v>34.366365777080098</v>
      </c>
      <c r="I12" s="914">
        <f>VLOOKUP(B12,All_Ingredients!$A$1:$F$161,6,FALSE())</f>
        <v>1</v>
      </c>
      <c r="J12" s="940">
        <f>VLOOKUP(B12,All_Ingredients!$A$1:$J$161,10,FALSE())</f>
        <v>0.74</v>
      </c>
      <c r="K12" s="945">
        <f t="shared" si="7"/>
        <v>3.4366365777080098E-2</v>
      </c>
      <c r="L12" s="945">
        <f t="shared" si="8"/>
        <v>2.5431110675039271E-2</v>
      </c>
      <c r="R12" s="890"/>
      <c r="T12" s="890"/>
      <c r="W12" s="890"/>
      <c r="AI12" s="949" t="s">
        <v>94</v>
      </c>
      <c r="AJ12" s="1130" t="s">
        <v>110</v>
      </c>
      <c r="AK12" s="1201" t="s">
        <v>14</v>
      </c>
      <c r="AL12" s="940">
        <v>7</v>
      </c>
      <c r="AM12" s="1040">
        <f t="shared" si="4"/>
        <v>2.3063885267275093</v>
      </c>
      <c r="AN12" s="948">
        <v>1</v>
      </c>
      <c r="AO12" s="944">
        <f t="shared" si="5"/>
        <v>16.144719687092564</v>
      </c>
      <c r="AP12" s="943">
        <f t="shared" si="6"/>
        <v>16.144719687092564</v>
      </c>
      <c r="AQ12" s="955">
        <f>VLOOKUP(AJ12,Marination_Ordering!$A:$J,6,FALSE)</f>
        <v>1</v>
      </c>
      <c r="AR12" s="955">
        <f>VLOOKUP(AJ12,Marination_Ordering!$A:$J,10,FALSE)</f>
        <v>64.243759177679877</v>
      </c>
      <c r="AS12" s="954">
        <f t="shared" si="12"/>
        <v>16.144719687092564</v>
      </c>
      <c r="AT12" s="955">
        <f t="shared" si="13"/>
        <v>1.0371974835687219</v>
      </c>
    </row>
    <row r="13" spans="1:46" x14ac:dyDescent="0.25">
      <c r="A13" s="949"/>
      <c r="B13" s="914" t="s">
        <v>212</v>
      </c>
      <c r="C13" s="947" t="s">
        <v>160</v>
      </c>
      <c r="D13" s="914">
        <v>60</v>
      </c>
      <c r="E13" s="1040">
        <f t="shared" si="9"/>
        <v>4.1656200941915271</v>
      </c>
      <c r="F13" s="948">
        <v>1</v>
      </c>
      <c r="G13" s="940">
        <f t="shared" si="0"/>
        <v>249.93720565149164</v>
      </c>
      <c r="H13" s="943">
        <f t="shared" si="1"/>
        <v>249.93720565149164</v>
      </c>
      <c r="I13" s="914">
        <f>VLOOKUP(B13,All_Ingredients!$A$1:$F$161,6,FALSE())</f>
        <v>1</v>
      </c>
      <c r="J13" s="940">
        <f>VLOOKUP(B13,All_Ingredients!$A$1:$J$161,10,FALSE())</f>
        <v>5</v>
      </c>
      <c r="K13" s="945">
        <f t="shared" si="7"/>
        <v>0.24993720565149163</v>
      </c>
      <c r="L13" s="945">
        <f t="shared" si="8"/>
        <v>1.2496860282574582</v>
      </c>
      <c r="R13" s="890"/>
      <c r="T13" s="890"/>
      <c r="W13" s="890"/>
      <c r="AI13" s="949" t="s">
        <v>190</v>
      </c>
      <c r="AJ13" s="1130" t="s">
        <v>189</v>
      </c>
      <c r="AK13" s="1201" t="s">
        <v>160</v>
      </c>
      <c r="AL13" s="914">
        <v>3</v>
      </c>
      <c r="AM13" s="1040">
        <f t="shared" si="4"/>
        <v>2.3063885267275093</v>
      </c>
      <c r="AN13" s="948">
        <v>1</v>
      </c>
      <c r="AO13" s="944">
        <f t="shared" si="5"/>
        <v>6.9191655801825274</v>
      </c>
      <c r="AP13" s="943">
        <f t="shared" si="6"/>
        <v>6.9191655801825274</v>
      </c>
      <c r="AQ13" s="955">
        <f>VLOOKUP(AJ13,Marination_Ordering!$A:$J,6,FALSE)</f>
        <v>1</v>
      </c>
      <c r="AR13" s="955">
        <f>VLOOKUP(AJ13,Marination_Ordering!$A:$J,10,FALSE)</f>
        <v>17.480211081794195</v>
      </c>
      <c r="AS13" s="954">
        <f t="shared" si="12"/>
        <v>6.9191655801825274</v>
      </c>
      <c r="AT13" s="955">
        <f t="shared" si="13"/>
        <v>0.12094847485147558</v>
      </c>
    </row>
    <row r="14" spans="1:46" x14ac:dyDescent="0.25">
      <c r="A14" s="949"/>
      <c r="B14" s="914" t="s">
        <v>183</v>
      </c>
      <c r="C14" s="947" t="s">
        <v>14</v>
      </c>
      <c r="D14" s="914">
        <v>35</v>
      </c>
      <c r="E14" s="1040">
        <f t="shared" si="9"/>
        <v>4.1656200941915271</v>
      </c>
      <c r="F14" s="948">
        <v>1</v>
      </c>
      <c r="G14" s="940">
        <f t="shared" si="0"/>
        <v>145.79670329670344</v>
      </c>
      <c r="H14" s="943">
        <f t="shared" si="1"/>
        <v>145.79670329670344</v>
      </c>
      <c r="I14" s="914">
        <f>VLOOKUP(B14,All_Ingredients!$A$1:$F$161,6,FALSE())</f>
        <v>1</v>
      </c>
      <c r="J14" s="940">
        <f>VLOOKUP(B14,All_Ingredients!$A$1:$J$161,10,FALSE())</f>
        <v>17</v>
      </c>
      <c r="K14" s="945">
        <f t="shared" si="7"/>
        <v>0.14579670329670344</v>
      </c>
      <c r="L14" s="945">
        <f t="shared" si="8"/>
        <v>2.4785439560439584</v>
      </c>
      <c r="R14" s="890"/>
      <c r="T14" s="890"/>
      <c r="W14" s="890"/>
      <c r="AJ14" s="890"/>
      <c r="AK14" s="890"/>
      <c r="AL14" s="890"/>
      <c r="AM14" s="890"/>
      <c r="AN14" s="890"/>
      <c r="AP14" s="890"/>
      <c r="AS14" s="890"/>
    </row>
    <row r="15" spans="1:46" x14ac:dyDescent="0.25">
      <c r="A15" s="949"/>
      <c r="B15" s="914" t="s">
        <v>203</v>
      </c>
      <c r="C15" s="947" t="s">
        <v>160</v>
      </c>
      <c r="D15" s="914">
        <v>500</v>
      </c>
      <c r="E15" s="1040">
        <f t="shared" si="9"/>
        <v>4.1656200941915271</v>
      </c>
      <c r="F15" s="948">
        <v>1</v>
      </c>
      <c r="G15" s="940">
        <f t="shared" si="0"/>
        <v>2082.8100470957634</v>
      </c>
      <c r="H15" s="943">
        <f t="shared" si="1"/>
        <v>2082.8100470957634</v>
      </c>
      <c r="I15" s="914">
        <f>VLOOKUP(B15,All_Ingredients!$A$1:$F$161,6,FALSE())</f>
        <v>1</v>
      </c>
      <c r="J15" s="940">
        <f>VLOOKUP(B15,All_Ingredients!$A$1:$J$161,10,FALSE())</f>
        <v>0</v>
      </c>
      <c r="K15" s="945">
        <f t="shared" si="7"/>
        <v>2.0828100470957636</v>
      </c>
      <c r="L15" s="945">
        <f t="shared" si="8"/>
        <v>0</v>
      </c>
      <c r="R15" s="890"/>
      <c r="T15" s="890"/>
      <c r="W15" s="890"/>
      <c r="AJ15" s="890"/>
      <c r="AK15" s="890"/>
      <c r="AL15" s="890"/>
      <c r="AM15" s="890"/>
      <c r="AN15" s="890"/>
      <c r="AP15" s="890"/>
      <c r="AS15" s="890"/>
    </row>
    <row r="16" spans="1:46" x14ac:dyDescent="0.25">
      <c r="A16" s="949"/>
      <c r="B16" s="914" t="s">
        <v>187</v>
      </c>
      <c r="C16" s="947" t="s">
        <v>14</v>
      </c>
      <c r="D16" s="914">
        <v>40</v>
      </c>
      <c r="E16" s="1040">
        <f t="shared" si="9"/>
        <v>4.1656200941915271</v>
      </c>
      <c r="F16" s="948">
        <v>1</v>
      </c>
      <c r="G16" s="940">
        <f t="shared" si="0"/>
        <v>166.62480376766109</v>
      </c>
      <c r="H16" s="943">
        <f t="shared" si="1"/>
        <v>166.62480376766109</v>
      </c>
      <c r="I16" s="914">
        <f>VLOOKUP(B16,All_Ingredients!$A$1:$F$161,6,FALSE())</f>
        <v>0.9</v>
      </c>
      <c r="J16" s="940">
        <f>VLOOKUP(B16,All_Ingredients!$A$1:$J$161,10,FALSE())</f>
        <v>2.3199999999999998</v>
      </c>
      <c r="K16" s="945">
        <f t="shared" si="7"/>
        <v>0.18513867085295677</v>
      </c>
      <c r="L16" s="945">
        <f t="shared" si="8"/>
        <v>0.42952171637885966</v>
      </c>
      <c r="R16" s="890"/>
      <c r="T16" s="890"/>
      <c r="W16" s="890"/>
      <c r="AJ16" s="890"/>
      <c r="AK16" s="890"/>
      <c r="AL16" s="890"/>
      <c r="AM16" s="890"/>
      <c r="AN16" s="890"/>
      <c r="AP16" s="890"/>
      <c r="AS16" s="890"/>
    </row>
    <row r="17" spans="1:31" x14ac:dyDescent="0.25">
      <c r="A17" s="949"/>
      <c r="B17" s="914" t="s">
        <v>198</v>
      </c>
      <c r="C17" s="1157" t="s">
        <v>160</v>
      </c>
      <c r="D17" s="914">
        <v>40</v>
      </c>
      <c r="E17" s="1040">
        <f t="shared" si="9"/>
        <v>4.1656200941915271</v>
      </c>
      <c r="F17" s="948">
        <v>1</v>
      </c>
      <c r="G17" s="940">
        <f t="shared" si="0"/>
        <v>166.62480376766109</v>
      </c>
      <c r="H17" s="943">
        <f t="shared" si="1"/>
        <v>166.62480376766109</v>
      </c>
      <c r="I17" s="914">
        <f>VLOOKUP(B17,All_Ingredients!$A$1:$F$161,6,FALSE())</f>
        <v>1</v>
      </c>
      <c r="J17" s="940">
        <f>VLOOKUP(B17,All_Ingredients!$A$1:$J$161,10,FALSE())</f>
        <v>3.25</v>
      </c>
      <c r="K17" s="945">
        <f t="shared" si="7"/>
        <v>0.16662480376766109</v>
      </c>
      <c r="L17" s="945">
        <f t="shared" si="8"/>
        <v>0.54153061224489851</v>
      </c>
      <c r="R17" s="890"/>
      <c r="T17" s="890"/>
      <c r="W17" s="890"/>
    </row>
    <row r="18" spans="1:31" x14ac:dyDescent="0.25">
      <c r="A18" s="949" t="s">
        <v>890</v>
      </c>
      <c r="B18" s="1412" t="s">
        <v>28</v>
      </c>
      <c r="C18" s="1413" t="s">
        <v>14</v>
      </c>
      <c r="D18" s="1412">
        <v>140</v>
      </c>
      <c r="E18" s="1414">
        <f t="shared" si="9"/>
        <v>4.1656200941915271</v>
      </c>
      <c r="F18" s="1415">
        <v>1</v>
      </c>
      <c r="G18" s="1335">
        <f>D18*E18</f>
        <v>583.18681318681377</v>
      </c>
      <c r="H18" s="1416">
        <f>G18*F18</f>
        <v>583.18681318681377</v>
      </c>
      <c r="I18" s="952"/>
      <c r="J18" s="952"/>
      <c r="K18" s="1043"/>
      <c r="L18" s="952"/>
      <c r="R18" s="890"/>
      <c r="T18" s="890"/>
      <c r="W18" s="890"/>
    </row>
    <row r="19" spans="1:31" x14ac:dyDescent="0.25">
      <c r="A19" s="949" t="s">
        <v>890</v>
      </c>
      <c r="B19" s="1412" t="s">
        <v>30</v>
      </c>
      <c r="C19" s="1413" t="s">
        <v>14</v>
      </c>
      <c r="D19" s="1412">
        <v>140</v>
      </c>
      <c r="E19" s="1414">
        <f t="shared" si="9"/>
        <v>4.1656200941915271</v>
      </c>
      <c r="F19" s="1415">
        <v>1</v>
      </c>
      <c r="G19" s="1335">
        <f>D19*E19</f>
        <v>583.18681318681377</v>
      </c>
      <c r="H19" s="1416">
        <f>G19*F19</f>
        <v>583.18681318681377</v>
      </c>
      <c r="I19" s="952"/>
      <c r="J19" s="952"/>
      <c r="K19" s="1043"/>
      <c r="L19" s="1417"/>
      <c r="R19" s="1408" t="s">
        <v>357</v>
      </c>
      <c r="T19" s="890"/>
      <c r="W19" s="890"/>
    </row>
    <row r="20" spans="1:31" x14ac:dyDescent="0.25">
      <c r="A20" s="949" t="s">
        <v>890</v>
      </c>
      <c r="B20" s="1412" t="s">
        <v>32</v>
      </c>
      <c r="C20" s="1413" t="s">
        <v>14</v>
      </c>
      <c r="D20" s="1412">
        <v>140</v>
      </c>
      <c r="E20" s="1414">
        <f t="shared" si="9"/>
        <v>4.1656200941915271</v>
      </c>
      <c r="F20" s="1415">
        <v>1</v>
      </c>
      <c r="G20" s="1335">
        <f>D20*E20</f>
        <v>583.18681318681377</v>
      </c>
      <c r="H20" s="1416">
        <f>G20*F20</f>
        <v>583.18681318681377</v>
      </c>
      <c r="I20" s="952"/>
      <c r="J20" s="952"/>
      <c r="K20" s="1043"/>
      <c r="L20" s="1417"/>
      <c r="R20" s="1408" t="s">
        <v>358</v>
      </c>
      <c r="T20" s="890"/>
      <c r="W20" s="890"/>
    </row>
    <row r="21" spans="1:31" x14ac:dyDescent="0.25">
      <c r="B21" s="890"/>
      <c r="D21" s="890"/>
      <c r="E21" s="890"/>
      <c r="F21" s="890"/>
      <c r="H21" s="890"/>
      <c r="K21" s="890"/>
      <c r="L21" s="190"/>
      <c r="R21" s="890"/>
      <c r="T21" s="890"/>
      <c r="W21" s="890"/>
    </row>
    <row r="22" spans="1:31" x14ac:dyDescent="0.25">
      <c r="B22" s="890"/>
      <c r="D22" s="890"/>
      <c r="E22" s="890"/>
      <c r="F22" s="890"/>
      <c r="H22" s="890"/>
      <c r="K22" s="890"/>
      <c r="L22" s="190"/>
      <c r="R22" s="890"/>
      <c r="T22" s="890"/>
      <c r="W22" s="890"/>
    </row>
    <row r="23" spans="1:31" x14ac:dyDescent="0.25">
      <c r="B23" s="890"/>
      <c r="D23" s="890"/>
      <c r="E23" s="890"/>
      <c r="F23" s="890"/>
      <c r="H23" s="890"/>
      <c r="K23" s="890"/>
      <c r="L23" s="190"/>
      <c r="R23" s="890"/>
      <c r="T23" s="890"/>
      <c r="W23" s="890"/>
    </row>
    <row r="24" spans="1:31" x14ac:dyDescent="0.25">
      <c r="B24" s="890"/>
      <c r="D24" s="890"/>
      <c r="E24" s="890"/>
      <c r="F24" s="890"/>
      <c r="H24" s="890"/>
      <c r="K24" s="890"/>
      <c r="L24" s="190"/>
      <c r="R24" s="890"/>
      <c r="T24" s="890"/>
      <c r="W24" s="890"/>
      <c r="Z24" s="597"/>
    </row>
    <row r="25" spans="1:31" x14ac:dyDescent="0.25">
      <c r="B25" s="890"/>
      <c r="D25" s="890"/>
      <c r="E25" s="890"/>
      <c r="F25" s="890"/>
      <c r="H25" s="890"/>
      <c r="K25" s="890"/>
      <c r="L25" s="190"/>
      <c r="R25" s="1779" t="s">
        <v>359</v>
      </c>
      <c r="S25" s="1787"/>
      <c r="T25" s="1788"/>
      <c r="U25" s="1787"/>
      <c r="V25" s="956"/>
      <c r="W25" s="1043"/>
      <c r="Z25" s="982" t="s">
        <v>252</v>
      </c>
      <c r="AA25" s="989">
        <v>1</v>
      </c>
      <c r="AB25" s="982" t="s">
        <v>249</v>
      </c>
      <c r="AC25" s="985">
        <f>(AA25*AE30)+(AA30*(AB28/R1))</f>
        <v>2.912395610473948E-2</v>
      </c>
    </row>
    <row r="26" spans="1:31" x14ac:dyDescent="0.25">
      <c r="B26" s="890"/>
      <c r="D26" s="890"/>
      <c r="E26" s="890"/>
      <c r="F26" s="890"/>
      <c r="H26" s="890"/>
      <c r="K26" s="890"/>
      <c r="L26" s="190"/>
      <c r="R26" s="1786" t="s">
        <v>296</v>
      </c>
      <c r="S26" s="1787"/>
      <c r="T26" s="1788"/>
      <c r="U26" s="1787"/>
      <c r="V26" s="956"/>
      <c r="W26" s="1043"/>
    </row>
    <row r="27" spans="1:31" x14ac:dyDescent="0.25">
      <c r="B27" s="890"/>
      <c r="D27" s="890"/>
      <c r="E27" s="890"/>
      <c r="F27" s="890"/>
      <c r="H27" s="890"/>
      <c r="K27" s="890"/>
      <c r="L27" s="190"/>
      <c r="R27" s="961" t="s">
        <v>254</v>
      </c>
      <c r="S27" s="962" t="s">
        <v>255</v>
      </c>
      <c r="T27" s="961" t="s">
        <v>256</v>
      </c>
      <c r="U27" s="962" t="s">
        <v>262</v>
      </c>
      <c r="V27" s="962" t="s">
        <v>746</v>
      </c>
      <c r="W27" s="961" t="s">
        <v>753</v>
      </c>
      <c r="Z27" s="982" t="s">
        <v>258</v>
      </c>
      <c r="AA27" s="984" t="s">
        <v>311</v>
      </c>
      <c r="AB27" s="982" t="s">
        <v>259</v>
      </c>
      <c r="AC27" s="982" t="s">
        <v>260</v>
      </c>
      <c r="AD27" s="984" t="s">
        <v>753</v>
      </c>
      <c r="AE27" s="982" t="s">
        <v>262</v>
      </c>
    </row>
    <row r="28" spans="1:31" x14ac:dyDescent="0.25">
      <c r="B28" s="890"/>
      <c r="D28" s="890"/>
      <c r="E28" s="890"/>
      <c r="F28" s="890"/>
      <c r="H28" s="890"/>
      <c r="K28" s="890"/>
      <c r="R28" s="961" t="s">
        <v>263</v>
      </c>
      <c r="S28" s="963">
        <f>U28*S40</f>
        <v>12838.461538461535</v>
      </c>
      <c r="T28" s="964">
        <f>U28*U40</f>
        <v>3851.5384615384655</v>
      </c>
      <c r="U28" s="965">
        <f>$Z$1</f>
        <v>16690</v>
      </c>
      <c r="V28" s="966">
        <f>SUM(AP5:AP13)</f>
        <v>1669.8252933507167</v>
      </c>
      <c r="W28" s="967">
        <f>SUM(I37:I38)</f>
        <v>0</v>
      </c>
      <c r="Z28" s="1086"/>
      <c r="AA28" s="987"/>
      <c r="AB28" s="1087">
        <f>AA25*$S$40</f>
        <v>0.76923076923076905</v>
      </c>
      <c r="AC28" s="1087">
        <f>AA25*$U$40</f>
        <v>0.230769230769231</v>
      </c>
      <c r="AD28" s="987"/>
      <c r="AE28" s="1088">
        <f>SUM(AB28:AC28)</f>
        <v>1</v>
      </c>
    </row>
    <row r="29" spans="1:31" x14ac:dyDescent="0.25">
      <c r="B29" s="890"/>
      <c r="D29" s="890"/>
      <c r="E29" s="890"/>
      <c r="F29" s="890"/>
      <c r="H29" s="890"/>
      <c r="K29" s="890"/>
      <c r="R29" s="961" t="s">
        <v>264</v>
      </c>
      <c r="S29" s="968"/>
      <c r="T29" s="967"/>
      <c r="U29" s="963">
        <f>T29</f>
        <v>0</v>
      </c>
      <c r="V29" s="966"/>
      <c r="W29" s="967"/>
      <c r="Z29" s="1086"/>
      <c r="AA29" s="991"/>
      <c r="AB29" s="1089">
        <f>AB28/$AE$28</f>
        <v>0.76923076923076905</v>
      </c>
      <c r="AC29" s="1089">
        <f>AC28/$AE$28</f>
        <v>0.230769230769231</v>
      </c>
      <c r="AD29" s="991"/>
      <c r="AE29" s="1089">
        <f>AE28/$AE$28</f>
        <v>1</v>
      </c>
    </row>
    <row r="30" spans="1:31" x14ac:dyDescent="0.25">
      <c r="B30" s="890"/>
      <c r="D30" s="890"/>
      <c r="E30" s="890"/>
      <c r="F30" s="890"/>
      <c r="H30" s="890"/>
      <c r="K30" s="890"/>
      <c r="R30" s="961" t="s">
        <v>265</v>
      </c>
      <c r="S30" s="1158">
        <f>U30*S40</f>
        <v>769.23076923076906</v>
      </c>
      <c r="T30" s="1362">
        <f>U30*U40</f>
        <v>230.769230769231</v>
      </c>
      <c r="U30" s="965">
        <f>$AB$1</f>
        <v>1000</v>
      </c>
      <c r="V30" s="972"/>
      <c r="W30" s="973"/>
      <c r="Z30" s="982" t="s">
        <v>266</v>
      </c>
      <c r="AA30" s="994">
        <f>V35/(S32/R1)</f>
        <v>5.3283327567466747E-4</v>
      </c>
      <c r="AB30" s="1090">
        <f>S35/(S32)</f>
        <v>3.3701221915648408E-2</v>
      </c>
      <c r="AC30" s="1091">
        <f>T35/T32</f>
        <v>1.0856045912022355E-2</v>
      </c>
      <c r="AD30" s="992">
        <f>W35/(U32)</f>
        <v>0</v>
      </c>
      <c r="AE30" s="1418">
        <f>SUMPRODUCT(AB30:AC30,AB29:AC29)+AD30</f>
        <v>2.8429258222503931E-2</v>
      </c>
    </row>
    <row r="31" spans="1:31" x14ac:dyDescent="0.25">
      <c r="B31" s="890"/>
      <c r="D31" s="890"/>
      <c r="E31" s="890"/>
      <c r="F31" s="890"/>
      <c r="H31" s="890"/>
      <c r="K31" s="890"/>
      <c r="R31" s="961" t="s">
        <v>267</v>
      </c>
      <c r="S31" s="959"/>
      <c r="T31" s="967"/>
      <c r="U31" s="966"/>
      <c r="V31" s="966"/>
      <c r="W31" s="967"/>
    </row>
    <row r="32" spans="1:31" x14ac:dyDescent="0.25">
      <c r="B32" s="890"/>
      <c r="D32" s="890"/>
      <c r="E32" s="890"/>
      <c r="F32" s="890"/>
      <c r="H32" s="890"/>
      <c r="K32" s="890"/>
      <c r="R32" s="961" t="s">
        <v>257</v>
      </c>
      <c r="S32" s="966">
        <f>SUM(S28:S30)</f>
        <v>13607.692307692305</v>
      </c>
      <c r="T32" s="967">
        <f>SUM(T28:T30)</f>
        <v>4082.3076923076965</v>
      </c>
      <c r="U32" s="966">
        <f>SUM(U28:U30)</f>
        <v>17690</v>
      </c>
      <c r="V32" s="966"/>
      <c r="W32" s="967">
        <f>SUM(W28:W30)</f>
        <v>0</v>
      </c>
    </row>
    <row r="33" spans="17:23" ht="30" x14ac:dyDescent="0.25">
      <c r="R33" s="976" t="s">
        <v>268</v>
      </c>
      <c r="S33" s="959"/>
      <c r="T33" s="960"/>
      <c r="U33" s="959"/>
      <c r="V33" s="959"/>
      <c r="W33" s="960"/>
    </row>
    <row r="34" spans="17:23" x14ac:dyDescent="0.25">
      <c r="R34" s="961" t="s">
        <v>269</v>
      </c>
      <c r="S34" s="959"/>
      <c r="T34" s="967"/>
      <c r="U34" s="959"/>
      <c r="V34" s="959"/>
      <c r="W34" s="960"/>
    </row>
    <row r="35" spans="17:23" x14ac:dyDescent="0.25">
      <c r="R35" s="977" t="s">
        <v>249</v>
      </c>
      <c r="S35" s="978">
        <f>$L$5</f>
        <v>458.59585822140019</v>
      </c>
      <c r="T35" s="979">
        <f>SUM(L6:L16)</f>
        <v>44.317719734694386</v>
      </c>
      <c r="U35" s="1136">
        <f>S35+T35+V35</f>
        <v>515.20278349284149</v>
      </c>
      <c r="V35" s="978">
        <f>SUM(AT6:AT13)</f>
        <v>12.289205536746891</v>
      </c>
      <c r="W35" s="1120">
        <f>SUM(M37:M38)</f>
        <v>0</v>
      </c>
    </row>
    <row r="36" spans="17:23" x14ac:dyDescent="0.25">
      <c r="R36" s="890"/>
      <c r="T36" s="890"/>
      <c r="W36" s="890"/>
    </row>
    <row r="37" spans="17:23" x14ac:dyDescent="0.25">
      <c r="R37" s="890"/>
      <c r="T37" s="890"/>
      <c r="W37" s="890"/>
    </row>
    <row r="38" spans="17:23" x14ac:dyDescent="0.25">
      <c r="R38" s="890"/>
      <c r="T38" s="890"/>
      <c r="W38" s="890"/>
    </row>
    <row r="39" spans="17:23" x14ac:dyDescent="0.25">
      <c r="R39" s="890"/>
      <c r="T39" s="890"/>
      <c r="W39" s="890"/>
    </row>
    <row r="40" spans="17:23" ht="26.25" x14ac:dyDescent="0.25">
      <c r="R40" s="1011" t="s">
        <v>270</v>
      </c>
      <c r="S40" s="1012">
        <v>0.76923076923076905</v>
      </c>
      <c r="T40" s="1011" t="s">
        <v>271</v>
      </c>
      <c r="U40" s="1013">
        <v>0.230769230769231</v>
      </c>
      <c r="V40" s="1014">
        <f>S40+U40</f>
        <v>1</v>
      </c>
      <c r="W40" s="890"/>
    </row>
    <row r="41" spans="17:23" x14ac:dyDescent="0.25">
      <c r="R41" s="890"/>
      <c r="T41" s="890"/>
      <c r="U41" s="123"/>
      <c r="W41" s="890"/>
    </row>
    <row r="42" spans="17:23" x14ac:dyDescent="0.25">
      <c r="R42" s="890"/>
      <c r="T42" s="890"/>
      <c r="W42" s="890"/>
    </row>
    <row r="43" spans="17:23" ht="26.25" x14ac:dyDescent="0.25">
      <c r="Q43" s="1015" t="s">
        <v>272</v>
      </c>
      <c r="R43" s="1011" t="s">
        <v>273</v>
      </c>
      <c r="S43" s="1015" t="s">
        <v>274</v>
      </c>
      <c r="T43" s="1011" t="s">
        <v>275</v>
      </c>
      <c r="U43" s="1015" t="s">
        <v>276</v>
      </c>
      <c r="V43" s="1015" t="s">
        <v>277</v>
      </c>
      <c r="W43" s="1011" t="s">
        <v>278</v>
      </c>
    </row>
    <row r="44" spans="17:23" x14ac:dyDescent="0.25">
      <c r="Q44" s="1023">
        <v>43334</v>
      </c>
      <c r="R44" s="1017">
        <f>D51</f>
        <v>10000</v>
      </c>
      <c r="S44" s="1024">
        <v>1</v>
      </c>
      <c r="T44" s="1025">
        <v>0</v>
      </c>
      <c r="U44" s="1096">
        <f>R44*S44</f>
        <v>10000</v>
      </c>
      <c r="V44" s="1021">
        <f>R44*T44</f>
        <v>0</v>
      </c>
      <c r="W44" s="1026">
        <f>Q44-U44</f>
        <v>33334</v>
      </c>
    </row>
    <row r="50" spans="1:11" x14ac:dyDescent="0.25">
      <c r="B50" s="961"/>
      <c r="C50" s="962" t="s">
        <v>233</v>
      </c>
      <c r="D50" s="961" t="s">
        <v>279</v>
      </c>
      <c r="E50" s="1401"/>
      <c r="F50" s="80"/>
      <c r="G50" s="962" t="s">
        <v>280</v>
      </c>
      <c r="H50" s="961" t="s">
        <v>233</v>
      </c>
      <c r="I50" s="962" t="s">
        <v>281</v>
      </c>
      <c r="J50" s="962" t="s">
        <v>282</v>
      </c>
      <c r="K50" s="890"/>
    </row>
    <row r="51" spans="1:11" x14ac:dyDescent="0.25">
      <c r="B51" s="1027" t="s">
        <v>283</v>
      </c>
      <c r="C51" s="1028">
        <f>10/$K$1</f>
        <v>10.204081632653061</v>
      </c>
      <c r="D51" s="1029">
        <f>$C$1*10</f>
        <v>10000</v>
      </c>
      <c r="E51" s="135"/>
      <c r="F51" s="80"/>
      <c r="G51" s="1033" t="s">
        <v>283</v>
      </c>
      <c r="H51" s="1122">
        <f>I51/$D$5</f>
        <v>10</v>
      </c>
      <c r="I51" s="1028">
        <f>J51/$R$1</f>
        <v>56498.305084745763</v>
      </c>
      <c r="J51" s="1028">
        <f>$W$44</f>
        <v>33334</v>
      </c>
      <c r="K51" s="890"/>
    </row>
    <row r="52" spans="1:11" x14ac:dyDescent="0.25">
      <c r="B52" s="958" t="s">
        <v>262</v>
      </c>
      <c r="C52" s="1099">
        <f>$I$1</f>
        <v>4.1656200941915271</v>
      </c>
      <c r="D52" s="1100">
        <f>$E$1</f>
        <v>4082.3076923076965</v>
      </c>
      <c r="E52" s="80"/>
      <c r="F52" s="80"/>
      <c r="G52" s="962" t="s">
        <v>262</v>
      </c>
      <c r="H52" s="1052">
        <f>I52/$D$5</f>
        <v>4.0822260477867358</v>
      </c>
      <c r="I52" s="1021">
        <f>J52/$R$1</f>
        <v>23063.885267275095</v>
      </c>
      <c r="J52" s="1030">
        <f>$S$32</f>
        <v>13607.692307692305</v>
      </c>
      <c r="K52" s="890"/>
    </row>
    <row r="53" spans="1:11" x14ac:dyDescent="0.25">
      <c r="B53" s="958" t="s">
        <v>284</v>
      </c>
      <c r="C53" s="1101">
        <f>MIN(C52, C51)</f>
        <v>4.1656200941915271</v>
      </c>
      <c r="D53" s="1100">
        <f>(C53*$K$1)*$C$1</f>
        <v>4082.3076923076965</v>
      </c>
      <c r="E53" s="80"/>
      <c r="F53" s="80"/>
      <c r="G53" s="962" t="s">
        <v>284</v>
      </c>
      <c r="H53" s="1035">
        <f>MIN(H52,H51)</f>
        <v>4.0822260477867358</v>
      </c>
      <c r="I53" s="1021">
        <f>J53/$R$1</f>
        <v>23063.885267275095</v>
      </c>
      <c r="J53" s="1021">
        <f>MIN(J52,J51)</f>
        <v>13607.692307692305</v>
      </c>
      <c r="K53" s="89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1036"/>
      <c r="B62" s="1776" t="str">
        <f>"  اسياخ الدجاج الباربكيو  1 / " &amp; COUNTIF($C$53:$C$55, "&gt;0")</f>
        <v xml:space="preserve">  اسياخ الدجاج الباربكيو  1 / 1</v>
      </c>
      <c r="C62" s="1777"/>
      <c r="D62" s="1778"/>
      <c r="E62" s="1778"/>
      <c r="F62" s="1778"/>
      <c r="G62" s="1777"/>
      <c r="H62" s="1778"/>
      <c r="K62" s="890"/>
    </row>
    <row r="63" spans="1:11" x14ac:dyDescent="0.25">
      <c r="A63" s="1036"/>
      <c r="B63" s="1832" t="str">
        <f>" BBQ Chicken Skewers 1  / " &amp; COUNTIF($C$53:$C$55, "&gt;0")</f>
        <v xml:space="preserve"> BBQ Chicken Skewers 1  / 1</v>
      </c>
      <c r="C63" s="1777"/>
      <c r="D63" s="1778"/>
      <c r="E63" s="1778"/>
      <c r="F63" s="1778"/>
      <c r="G63" s="1777"/>
      <c r="H63" s="1778"/>
      <c r="K63" s="890"/>
    </row>
    <row r="64" spans="1:11" ht="38.25" x14ac:dyDescent="0.2">
      <c r="A64" s="1350" t="s">
        <v>864</v>
      </c>
      <c r="B64" s="923" t="s">
        <v>241</v>
      </c>
      <c r="C64" s="934" t="s">
        <v>242</v>
      </c>
      <c r="D64" s="923" t="s">
        <v>231</v>
      </c>
      <c r="E64" s="935" t="s">
        <v>234</v>
      </c>
      <c r="F64" s="935" t="s">
        <v>243</v>
      </c>
      <c r="G64" s="923" t="s">
        <v>244</v>
      </c>
      <c r="H64" s="936" t="s">
        <v>245</v>
      </c>
      <c r="K64" s="890"/>
    </row>
    <row r="65" spans="1:11" x14ac:dyDescent="0.2">
      <c r="A65" s="937" t="s">
        <v>872</v>
      </c>
      <c r="B65" s="914" t="str">
        <f t="shared" ref="B65:D77" si="14">B5</f>
        <v>Chicken - دجاج</v>
      </c>
      <c r="C65" s="914" t="str">
        <f t="shared" si="14"/>
        <v>gm</v>
      </c>
      <c r="D65" s="940">
        <f>D5</f>
        <v>5649.8305084745762</v>
      </c>
      <c r="E65" s="918">
        <f>H53</f>
        <v>4.0822260477867358</v>
      </c>
      <c r="F65" s="948">
        <f t="shared" ref="F65:F77" si="15">F5</f>
        <v>1</v>
      </c>
      <c r="G65" s="940">
        <f t="shared" ref="G65:G77" si="16">D65*E65</f>
        <v>23063.885267275095</v>
      </c>
      <c r="H65" s="943">
        <f t="shared" ref="H65:H77" si="17">G65*F65</f>
        <v>23063.885267275095</v>
      </c>
      <c r="K65" s="890"/>
    </row>
    <row r="66" spans="1:11" x14ac:dyDescent="0.25">
      <c r="A66" s="949"/>
      <c r="B66" s="914" t="str">
        <f t="shared" si="14"/>
        <v>BBQ Sauce - صوص باربيكيو</v>
      </c>
      <c r="C66" s="914" t="str">
        <f t="shared" si="14"/>
        <v>ml</v>
      </c>
      <c r="D66" s="914">
        <f t="shared" si="14"/>
        <v>400</v>
      </c>
      <c r="E66" s="918">
        <f t="shared" ref="E66:E80" si="18">$C$53</f>
        <v>4.1656200941915271</v>
      </c>
      <c r="F66" s="948">
        <f t="shared" si="15"/>
        <v>0.95</v>
      </c>
      <c r="G66" s="940">
        <f t="shared" si="16"/>
        <v>1666.2480376766109</v>
      </c>
      <c r="H66" s="943">
        <f t="shared" si="17"/>
        <v>1582.9356357927802</v>
      </c>
      <c r="K66" s="890"/>
    </row>
    <row r="67" spans="1:11" x14ac:dyDescent="0.25">
      <c r="A67" s="949"/>
      <c r="B67" s="914" t="str">
        <f t="shared" si="14"/>
        <v>Sriracha Sauce - صوص سريراتشا</v>
      </c>
      <c r="C67" s="914" t="str">
        <f t="shared" si="14"/>
        <v>ml</v>
      </c>
      <c r="D67" s="914">
        <f t="shared" si="14"/>
        <v>35</v>
      </c>
      <c r="E67" s="918">
        <f t="shared" si="18"/>
        <v>4.1656200941915271</v>
      </c>
      <c r="F67" s="948">
        <f t="shared" si="15"/>
        <v>0.95</v>
      </c>
      <c r="G67" s="940">
        <f t="shared" si="16"/>
        <v>145.79670329670344</v>
      </c>
      <c r="H67" s="943">
        <f t="shared" si="17"/>
        <v>138.50686813186826</v>
      </c>
      <c r="K67" s="890"/>
    </row>
    <row r="68" spans="1:11" x14ac:dyDescent="0.25">
      <c r="A68" s="949"/>
      <c r="B68" s="914" t="str">
        <f t="shared" si="14"/>
        <v>Paprika Powder - بابريكا مطحون</v>
      </c>
      <c r="C68" s="914" t="str">
        <f t="shared" si="14"/>
        <v>gm</v>
      </c>
      <c r="D68" s="914">
        <f t="shared" si="14"/>
        <v>10</v>
      </c>
      <c r="E68" s="918">
        <f t="shared" si="18"/>
        <v>4.1656200941915271</v>
      </c>
      <c r="F68" s="948">
        <f t="shared" si="15"/>
        <v>1</v>
      </c>
      <c r="G68" s="940">
        <f t="shared" si="16"/>
        <v>41.656200941915273</v>
      </c>
      <c r="H68" s="943">
        <f t="shared" si="17"/>
        <v>41.656200941915273</v>
      </c>
      <c r="K68" s="890"/>
    </row>
    <row r="69" spans="1:11" x14ac:dyDescent="0.25">
      <c r="A69" s="949"/>
      <c r="B69" s="914" t="str">
        <f t="shared" si="14"/>
        <v>Garlic Powder - ثوم بودرة</v>
      </c>
      <c r="C69" s="914" t="str">
        <f t="shared" si="14"/>
        <v>gm</v>
      </c>
      <c r="D69" s="914">
        <f t="shared" si="14"/>
        <v>10</v>
      </c>
      <c r="E69" s="918">
        <f t="shared" si="18"/>
        <v>4.1656200941915271</v>
      </c>
      <c r="F69" s="948">
        <f t="shared" si="15"/>
        <v>1</v>
      </c>
      <c r="G69" s="940">
        <f t="shared" si="16"/>
        <v>41.656200941915273</v>
      </c>
      <c r="H69" s="943">
        <f t="shared" si="17"/>
        <v>41.656200941915273</v>
      </c>
      <c r="K69" s="890"/>
    </row>
    <row r="70" spans="1:11" x14ac:dyDescent="0.25">
      <c r="A70" s="949"/>
      <c r="B70" s="914" t="str">
        <f t="shared" si="14"/>
        <v>Cumin Powder - كمون مطحون</v>
      </c>
      <c r="C70" s="914" t="str">
        <f t="shared" si="14"/>
        <v>gm</v>
      </c>
      <c r="D70" s="914">
        <f t="shared" si="14"/>
        <v>10</v>
      </c>
      <c r="E70" s="918">
        <f t="shared" si="18"/>
        <v>4.1656200941915271</v>
      </c>
      <c r="F70" s="948">
        <f t="shared" si="15"/>
        <v>0.75</v>
      </c>
      <c r="G70" s="940">
        <f t="shared" si="16"/>
        <v>41.656200941915273</v>
      </c>
      <c r="H70" s="943">
        <f t="shared" si="17"/>
        <v>31.242150706436455</v>
      </c>
      <c r="K70" s="890"/>
    </row>
    <row r="71" spans="1:11" ht="25.5" x14ac:dyDescent="0.25">
      <c r="A71" s="949"/>
      <c r="B71" s="914" t="str">
        <f t="shared" si="14"/>
        <v>Black Pepper Powder - فلفل أسود مطحون</v>
      </c>
      <c r="C71" s="914" t="str">
        <f t="shared" si="14"/>
        <v>gm</v>
      </c>
      <c r="D71" s="914">
        <f t="shared" si="14"/>
        <v>6</v>
      </c>
      <c r="E71" s="918">
        <f t="shared" si="18"/>
        <v>4.1656200941915271</v>
      </c>
      <c r="F71" s="948">
        <f t="shared" si="15"/>
        <v>1</v>
      </c>
      <c r="G71" s="940">
        <f t="shared" si="16"/>
        <v>24.993720565149161</v>
      </c>
      <c r="H71" s="943">
        <f t="shared" si="17"/>
        <v>24.993720565149161</v>
      </c>
      <c r="K71" s="890"/>
    </row>
    <row r="72" spans="1:11" x14ac:dyDescent="0.25">
      <c r="A72" s="949"/>
      <c r="B72" s="914" t="str">
        <f t="shared" si="14"/>
        <v>Salt - ملح</v>
      </c>
      <c r="C72" s="914" t="str">
        <f t="shared" si="14"/>
        <v>gm</v>
      </c>
      <c r="D72" s="914">
        <f t="shared" si="14"/>
        <v>11</v>
      </c>
      <c r="E72" s="918">
        <f t="shared" si="18"/>
        <v>4.1656200941915271</v>
      </c>
      <c r="F72" s="948">
        <f t="shared" si="15"/>
        <v>0.75</v>
      </c>
      <c r="G72" s="940">
        <f t="shared" si="16"/>
        <v>45.821821036106797</v>
      </c>
      <c r="H72" s="943">
        <f t="shared" si="17"/>
        <v>34.366365777080098</v>
      </c>
      <c r="K72" s="890"/>
    </row>
    <row r="73" spans="1:11" x14ac:dyDescent="0.25">
      <c r="A73" s="949"/>
      <c r="B73" s="914" t="str">
        <f t="shared" si="14"/>
        <v>Lemon Juice - عصير ليمون</v>
      </c>
      <c r="C73" s="914" t="str">
        <f t="shared" si="14"/>
        <v>ml</v>
      </c>
      <c r="D73" s="914">
        <f t="shared" si="14"/>
        <v>60</v>
      </c>
      <c r="E73" s="918">
        <f t="shared" si="18"/>
        <v>4.1656200941915271</v>
      </c>
      <c r="F73" s="948">
        <f t="shared" si="15"/>
        <v>1</v>
      </c>
      <c r="G73" s="940">
        <f t="shared" si="16"/>
        <v>249.93720565149164</v>
      </c>
      <c r="H73" s="943">
        <f t="shared" si="17"/>
        <v>249.93720565149164</v>
      </c>
      <c r="K73" s="890"/>
    </row>
    <row r="74" spans="1:11" x14ac:dyDescent="0.25">
      <c r="A74" s="949"/>
      <c r="B74" s="914" t="str">
        <f t="shared" si="14"/>
        <v>Honey - عسل</v>
      </c>
      <c r="C74" s="914" t="str">
        <f t="shared" si="14"/>
        <v>gm</v>
      </c>
      <c r="D74" s="914">
        <f t="shared" si="14"/>
        <v>35</v>
      </c>
      <c r="E74" s="918">
        <f t="shared" si="18"/>
        <v>4.1656200941915271</v>
      </c>
      <c r="F74" s="948">
        <f t="shared" si="15"/>
        <v>1</v>
      </c>
      <c r="G74" s="940">
        <f t="shared" si="16"/>
        <v>145.79670329670344</v>
      </c>
      <c r="H74" s="943">
        <f t="shared" si="17"/>
        <v>145.79670329670344</v>
      </c>
      <c r="K74" s="890"/>
    </row>
    <row r="75" spans="1:11" x14ac:dyDescent="0.25">
      <c r="A75" s="949"/>
      <c r="B75" s="914" t="str">
        <f t="shared" si="14"/>
        <v>Water - ماء</v>
      </c>
      <c r="C75" s="914" t="str">
        <f t="shared" si="14"/>
        <v>ml</v>
      </c>
      <c r="D75" s="914">
        <f t="shared" si="14"/>
        <v>500</v>
      </c>
      <c r="E75" s="918">
        <f t="shared" si="18"/>
        <v>4.1656200941915271</v>
      </c>
      <c r="F75" s="948">
        <f t="shared" si="15"/>
        <v>1</v>
      </c>
      <c r="G75" s="940">
        <f t="shared" si="16"/>
        <v>2082.8100470957634</v>
      </c>
      <c r="H75" s="943">
        <f t="shared" si="17"/>
        <v>2082.8100470957634</v>
      </c>
      <c r="K75" s="890"/>
    </row>
    <row r="76" spans="1:11" x14ac:dyDescent="0.25">
      <c r="A76" s="949"/>
      <c r="B76" s="914" t="str">
        <f t="shared" si="14"/>
        <v>Corn Starch - نشا ذرة</v>
      </c>
      <c r="C76" s="914" t="str">
        <f t="shared" si="14"/>
        <v>gm</v>
      </c>
      <c r="D76" s="914">
        <f t="shared" si="14"/>
        <v>40</v>
      </c>
      <c r="E76" s="918">
        <f t="shared" si="18"/>
        <v>4.1656200941915271</v>
      </c>
      <c r="F76" s="948">
        <f t="shared" si="15"/>
        <v>1</v>
      </c>
      <c r="G76" s="940">
        <f t="shared" si="16"/>
        <v>166.62480376766109</v>
      </c>
      <c r="H76" s="943">
        <f t="shared" si="17"/>
        <v>166.62480376766109</v>
      </c>
      <c r="K76" s="890"/>
    </row>
    <row r="77" spans="1:11" x14ac:dyDescent="0.25">
      <c r="A77" s="949"/>
      <c r="B77" s="914" t="str">
        <f t="shared" si="14"/>
        <v>Tomato Ketchup - كاتشب طماطم</v>
      </c>
      <c r="C77" s="914" t="str">
        <f t="shared" si="14"/>
        <v>ml</v>
      </c>
      <c r="D77" s="914">
        <f t="shared" si="14"/>
        <v>40</v>
      </c>
      <c r="E77" s="918">
        <f t="shared" si="18"/>
        <v>4.1656200941915271</v>
      </c>
      <c r="F77" s="948">
        <f t="shared" si="15"/>
        <v>1</v>
      </c>
      <c r="G77" s="940">
        <f t="shared" si="16"/>
        <v>166.62480376766109</v>
      </c>
      <c r="H77" s="943">
        <f t="shared" si="17"/>
        <v>166.62480376766109</v>
      </c>
      <c r="K77" s="890"/>
    </row>
    <row r="78" spans="1:11" ht="20.25" x14ac:dyDescent="0.3">
      <c r="A78" s="949" t="s">
        <v>890</v>
      </c>
      <c r="B78" s="1419" t="str">
        <f t="shared" ref="B78:D80" si="19">B18</f>
        <v xml:space="preserve">Red Bell Pepper - فلفل أحمر </v>
      </c>
      <c r="C78" s="1420" t="str">
        <f t="shared" si="19"/>
        <v>gm</v>
      </c>
      <c r="D78" s="1419">
        <f t="shared" si="19"/>
        <v>140</v>
      </c>
      <c r="E78" s="1421">
        <f t="shared" si="18"/>
        <v>4.1656200941915271</v>
      </c>
      <c r="F78" s="1422">
        <f>F18</f>
        <v>1</v>
      </c>
      <c r="G78" s="1335">
        <f>D78*E78</f>
        <v>583.18681318681377</v>
      </c>
      <c r="H78" s="1416">
        <f>G78*F78</f>
        <v>583.18681318681377</v>
      </c>
      <c r="I78" s="142"/>
      <c r="J78" s="141"/>
      <c r="K78" s="890"/>
    </row>
    <row r="79" spans="1:11" x14ac:dyDescent="0.25">
      <c r="A79" s="949" t="s">
        <v>890</v>
      </c>
      <c r="B79" s="1419" t="str">
        <f t="shared" si="19"/>
        <v xml:space="preserve">Yellow Bell Pepper - فلفل أصفر </v>
      </c>
      <c r="C79" s="1420" t="str">
        <f t="shared" si="19"/>
        <v>gm</v>
      </c>
      <c r="D79" s="1419">
        <f t="shared" si="19"/>
        <v>140</v>
      </c>
      <c r="E79" s="1421">
        <f t="shared" si="18"/>
        <v>4.1656200941915271</v>
      </c>
      <c r="F79" s="1422">
        <f>F19</f>
        <v>1</v>
      </c>
      <c r="G79" s="1335">
        <f>D79*E79</f>
        <v>583.18681318681377</v>
      </c>
      <c r="H79" s="1416">
        <f>G79*F79</f>
        <v>583.18681318681377</v>
      </c>
      <c r="K79" s="890"/>
    </row>
    <row r="80" spans="1:11" x14ac:dyDescent="0.25">
      <c r="A80" s="949" t="s">
        <v>890</v>
      </c>
      <c r="B80" s="1419" t="str">
        <f t="shared" si="19"/>
        <v>Green Bell Pepper - فلفل أخضر رومى</v>
      </c>
      <c r="C80" s="1420" t="str">
        <f t="shared" si="19"/>
        <v>gm</v>
      </c>
      <c r="D80" s="1419">
        <f t="shared" si="19"/>
        <v>140</v>
      </c>
      <c r="E80" s="1421">
        <f t="shared" si="18"/>
        <v>4.1656200941915271</v>
      </c>
      <c r="F80" s="1422">
        <f>F20</f>
        <v>1</v>
      </c>
      <c r="G80" s="1335">
        <f>D80*E80</f>
        <v>583.18681318681377</v>
      </c>
      <c r="H80" s="1416">
        <f>G80*F80</f>
        <v>583.18681318681377</v>
      </c>
      <c r="K80" s="890"/>
    </row>
    <row r="81" spans="1:8" ht="18" x14ac:dyDescent="0.25">
      <c r="A81" s="1070"/>
      <c r="B81" s="1041" t="s">
        <v>287</v>
      </c>
      <c r="C81" s="1042" t="s">
        <v>273</v>
      </c>
      <c r="D81" s="1043"/>
      <c r="E81" s="1044" t="s">
        <v>288</v>
      </c>
      <c r="F81" s="1043"/>
      <c r="G81" s="1045" t="s">
        <v>264</v>
      </c>
      <c r="H81" s="1046" t="s">
        <v>661</v>
      </c>
    </row>
    <row r="82" spans="1:8" ht="20.25" x14ac:dyDescent="0.3">
      <c r="A82" s="1070"/>
      <c r="B82" s="1047">
        <f>$J$53</f>
        <v>13607.692307692305</v>
      </c>
      <c r="C82" s="1048">
        <f>E82+G82</f>
        <v>4082.3076923076965</v>
      </c>
      <c r="D82" s="1049"/>
      <c r="E82" s="1047">
        <f>$D$53*$S$44</f>
        <v>4082.3076923076965</v>
      </c>
      <c r="F82" s="1050"/>
      <c r="G82" s="1048">
        <f>$D$53*$T$44</f>
        <v>0</v>
      </c>
      <c r="H82" s="1047">
        <f>B82+E82</f>
        <v>17690</v>
      </c>
    </row>
  </sheetData>
  <mergeCells count="7">
    <mergeCell ref="AK2:AM2"/>
    <mergeCell ref="B63:H63"/>
    <mergeCell ref="AE2:AG3"/>
    <mergeCell ref="F2:G3"/>
    <mergeCell ref="R26:U26"/>
    <mergeCell ref="B62:H62"/>
    <mergeCell ref="R25:U25"/>
  </mergeCells>
  <printOptions horizontalCentered="1"/>
  <pageMargins left="0.4" right="0.4" top="1" bottom="0.5" header="0.3" footer="0.511811023622047"/>
  <pageSetup paperSize="9" scale="42" orientation="landscape"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FFD74-C870-46D6-B0AD-01D3EC5211D5}">
  <sheetPr codeName="Sheet90">
    <tabColor rgb="FF2E75B6"/>
    <pageSetUpPr fitToPage="1"/>
  </sheetPr>
  <dimension ref="A1:AE122"/>
  <sheetViews>
    <sheetView zoomScale="55" zoomScaleNormal="55" workbookViewId="0">
      <selection activeCell="C75" sqref="C75"/>
    </sheetView>
  </sheetViews>
  <sheetFormatPr defaultColWidth="12.5" defaultRowHeight="15" x14ac:dyDescent="0.25"/>
  <cols>
    <col min="1" max="1" width="18.625" style="1" customWidth="1"/>
    <col min="2" max="2" width="25.875" customWidth="1"/>
    <col min="3" max="3" width="18.625" customWidth="1"/>
    <col min="4" max="6" width="25.875" customWidth="1"/>
    <col min="7" max="7" width="18.625" customWidth="1"/>
    <col min="8" max="8" width="25.875" customWidth="1"/>
    <col min="9" max="10" width="18.625" customWidth="1"/>
    <col min="11" max="11" width="25.875" customWidth="1"/>
    <col min="12" max="12" width="12.625" customWidth="1"/>
    <col min="13" max="14" width="4.25" customWidth="1"/>
    <col min="15" max="15" width="18.625" customWidth="1"/>
    <col min="16" max="16" width="8.625" customWidth="1"/>
    <col min="17" max="17" width="18.625" customWidth="1"/>
    <col min="18" max="18" width="25.875" customWidth="1"/>
    <col min="19" max="19" width="12.625" customWidth="1"/>
    <col min="20" max="20" width="25.875" customWidth="1"/>
    <col min="21" max="22" width="12.625" customWidth="1"/>
    <col min="23" max="23" width="25.875" customWidth="1"/>
    <col min="25" max="25" width="8.625" customWidth="1"/>
    <col min="26" max="28" width="12.625" customWidth="1"/>
    <col min="29" max="29" width="18.625" customWidth="1"/>
    <col min="30" max="31" width="12.625" customWidth="1"/>
  </cols>
  <sheetData>
    <row r="1" spans="1:30" ht="25.5" x14ac:dyDescent="0.25">
      <c r="B1" s="913" t="s">
        <v>231</v>
      </c>
      <c r="C1" s="914">
        <v>1000</v>
      </c>
      <c r="D1" s="915" t="s">
        <v>232</v>
      </c>
      <c r="E1" s="941">
        <f>T32</f>
        <v>10609.538461538465</v>
      </c>
      <c r="F1" s="913" t="s">
        <v>233</v>
      </c>
      <c r="G1" s="944">
        <f>E1/C1</f>
        <v>10.609538461538465</v>
      </c>
      <c r="H1" s="913" t="s">
        <v>234</v>
      </c>
      <c r="I1" s="1142">
        <f>G1/K1</f>
        <v>10.826059654631086</v>
      </c>
      <c r="J1" s="919" t="s">
        <v>235</v>
      </c>
      <c r="K1" s="914">
        <f>9.8/10</f>
        <v>0.98000000000000009</v>
      </c>
      <c r="L1" s="80"/>
      <c r="M1" s="70"/>
      <c r="N1" s="922"/>
      <c r="O1" s="923" t="s">
        <v>236</v>
      </c>
      <c r="P1" s="914" t="s">
        <v>289</v>
      </c>
      <c r="Q1" s="924" t="s">
        <v>238</v>
      </c>
      <c r="R1" s="914">
        <v>0.57999999999999996</v>
      </c>
      <c r="T1" s="830"/>
      <c r="W1" s="830"/>
      <c r="Y1" s="923" t="s">
        <v>444</v>
      </c>
      <c r="Z1" s="925">
        <v>15820</v>
      </c>
      <c r="AA1" s="923" t="s">
        <v>544</v>
      </c>
      <c r="AB1" s="925">
        <v>1000</v>
      </c>
      <c r="AC1" s="923" t="s">
        <v>537</v>
      </c>
      <c r="AD1" s="925">
        <v>109</v>
      </c>
    </row>
    <row r="2" spans="1:30" x14ac:dyDescent="0.25">
      <c r="A2" s="860"/>
      <c r="B2" s="1784" t="s">
        <v>830</v>
      </c>
      <c r="C2" s="1787"/>
      <c r="D2" s="1788"/>
      <c r="E2" s="1788"/>
      <c r="F2" s="1788"/>
      <c r="G2" s="1787"/>
      <c r="H2" s="1788"/>
      <c r="I2" s="1787"/>
      <c r="J2" s="1787"/>
      <c r="K2" s="1788"/>
      <c r="L2" s="187"/>
      <c r="M2" s="80"/>
      <c r="N2" s="80"/>
      <c r="O2" s="80"/>
      <c r="P2" s="80"/>
      <c r="Q2" s="80"/>
      <c r="R2" s="80"/>
      <c r="T2" s="830"/>
      <c r="W2" s="830"/>
    </row>
    <row r="3" spans="1:30" x14ac:dyDescent="0.25">
      <c r="A3" s="860"/>
      <c r="B3" s="1785"/>
      <c r="C3" s="1796"/>
      <c r="D3" s="1785"/>
      <c r="E3" s="1785"/>
      <c r="F3" s="1785"/>
      <c r="G3" s="1796"/>
      <c r="H3" s="1785"/>
      <c r="I3" s="1796"/>
      <c r="J3" s="1796"/>
      <c r="K3" s="1785"/>
      <c r="L3" s="187"/>
      <c r="M3" s="80"/>
      <c r="N3" s="80"/>
      <c r="O3" s="80"/>
      <c r="P3" s="80"/>
      <c r="Q3" s="80"/>
      <c r="R3" s="80"/>
      <c r="T3" s="830"/>
      <c r="W3" s="830"/>
    </row>
    <row r="4" spans="1:30" ht="38.25" x14ac:dyDescent="0.2">
      <c r="A4" s="1350" t="s">
        <v>864</v>
      </c>
      <c r="B4" s="923" t="s">
        <v>241</v>
      </c>
      <c r="C4" s="934" t="s">
        <v>242</v>
      </c>
      <c r="D4" s="923" t="s">
        <v>231</v>
      </c>
      <c r="E4" s="935" t="s">
        <v>234</v>
      </c>
      <c r="F4" s="935" t="s">
        <v>243</v>
      </c>
      <c r="G4" s="923" t="s">
        <v>244</v>
      </c>
      <c r="H4" s="936" t="s">
        <v>245</v>
      </c>
      <c r="I4" s="923" t="s">
        <v>246</v>
      </c>
      <c r="J4" s="923" t="s">
        <v>247</v>
      </c>
      <c r="K4" s="923" t="s">
        <v>248</v>
      </c>
      <c r="L4" s="923" t="s">
        <v>249</v>
      </c>
      <c r="M4" s="80"/>
      <c r="N4" s="80"/>
      <c r="O4" s="80"/>
      <c r="P4" s="80"/>
      <c r="R4" s="830"/>
      <c r="T4" s="830"/>
      <c r="W4" s="830"/>
      <c r="AA4" s="169"/>
      <c r="AB4" s="171"/>
    </row>
    <row r="5" spans="1:30" x14ac:dyDescent="0.2">
      <c r="A5" s="937" t="s">
        <v>873</v>
      </c>
      <c r="B5" s="1423" t="s">
        <v>223</v>
      </c>
      <c r="C5" s="947" t="s">
        <v>14</v>
      </c>
      <c r="D5" s="944">
        <f>I51/10</f>
        <v>2102.6517241379311</v>
      </c>
      <c r="E5" s="941">
        <f>H52</f>
        <v>10.609313968454888</v>
      </c>
      <c r="F5" s="948">
        <v>1</v>
      </c>
      <c r="G5" s="940">
        <f t="shared" ref="G5:G13" si="0">D5*E5</f>
        <v>22307.692307692305</v>
      </c>
      <c r="H5" s="943">
        <f t="shared" ref="H5:H13" si="1">G5*F5</f>
        <v>22307.692307692305</v>
      </c>
      <c r="I5" s="914">
        <f>VLOOKUP(B5,All_Ingredients!$A$1:$F$161,6,FALSE())</f>
        <v>0.55000000000000004</v>
      </c>
      <c r="J5" s="940">
        <f>VLOOKUP(B5,All_Ingredients!$A$1:$J$161,10,FALSE())</f>
        <v>14.361111111111111</v>
      </c>
      <c r="K5" s="945">
        <f t="shared" ref="K5" si="2">(H5/I5)/1000</f>
        <v>40.559440559440553</v>
      </c>
      <c r="L5" s="945">
        <f t="shared" ref="L5" si="3">K5*J5</f>
        <v>582.47863247863233</v>
      </c>
      <c r="M5" s="80"/>
      <c r="N5" s="80"/>
      <c r="O5" s="80"/>
      <c r="P5" s="80"/>
      <c r="R5" s="830"/>
      <c r="T5" s="830"/>
      <c r="W5" s="830"/>
      <c r="AA5" s="73"/>
      <c r="AB5" s="89"/>
    </row>
    <row r="6" spans="1:30" x14ac:dyDescent="0.25">
      <c r="A6" s="1117"/>
      <c r="B6" s="1423" t="s">
        <v>159</v>
      </c>
      <c r="C6" s="1424" t="s">
        <v>160</v>
      </c>
      <c r="D6" s="940">
        <v>500</v>
      </c>
      <c r="E6" s="944">
        <f t="shared" ref="E6:E13" si="4">$I$1</f>
        <v>10.826059654631086</v>
      </c>
      <c r="F6" s="948">
        <v>1</v>
      </c>
      <c r="G6" s="940">
        <f t="shared" si="0"/>
        <v>5413.0298273155431</v>
      </c>
      <c r="H6" s="943">
        <f t="shared" si="1"/>
        <v>5413.0298273155431</v>
      </c>
      <c r="I6" s="914">
        <f>VLOOKUP(B6,All_Ingredients!$A$1:$F$161,6,FALSE())</f>
        <v>1</v>
      </c>
      <c r="J6" s="940">
        <f>VLOOKUP(B6,All_Ingredients!$A$1:$J$161,10,FALSE())</f>
        <v>4.2033333333333331</v>
      </c>
      <c r="K6" s="945">
        <f t="shared" ref="K6:K10" si="5">(H6/I6)/1000</f>
        <v>5.4130298273155431</v>
      </c>
      <c r="L6" s="945">
        <f t="shared" ref="L6:L10" si="6">K6*J6</f>
        <v>22.752768707483</v>
      </c>
      <c r="R6" s="830"/>
      <c r="T6" s="830"/>
      <c r="W6" s="830"/>
    </row>
    <row r="7" spans="1:30" x14ac:dyDescent="0.25">
      <c r="A7" s="1117"/>
      <c r="B7" s="1423" t="s">
        <v>166</v>
      </c>
      <c r="C7" s="1424" t="s">
        <v>160</v>
      </c>
      <c r="D7" s="940">
        <v>500</v>
      </c>
      <c r="E7" s="944">
        <f t="shared" si="4"/>
        <v>10.826059654631086</v>
      </c>
      <c r="F7" s="948">
        <v>1</v>
      </c>
      <c r="G7" s="940">
        <f t="shared" si="0"/>
        <v>5413.0298273155431</v>
      </c>
      <c r="H7" s="943">
        <f t="shared" si="1"/>
        <v>5413.0298273155431</v>
      </c>
      <c r="I7" s="914">
        <f>VLOOKUP(B7,All_Ingredients!$A$1:$F$161,6,FALSE())</f>
        <v>1</v>
      </c>
      <c r="J7" s="940">
        <f>VLOOKUP(B7,All_Ingredients!$A$1:$J$161,10,FALSE())</f>
        <v>12.666666666666666</v>
      </c>
      <c r="K7" s="945">
        <f t="shared" si="5"/>
        <v>5.4130298273155431</v>
      </c>
      <c r="L7" s="945">
        <f t="shared" si="6"/>
        <v>68.565044479330211</v>
      </c>
      <c r="R7" s="830"/>
      <c r="T7" s="830"/>
      <c r="W7" s="830"/>
    </row>
    <row r="8" spans="1:30" x14ac:dyDescent="0.25">
      <c r="A8" s="1117"/>
      <c r="B8" s="1423" t="s">
        <v>733</v>
      </c>
      <c r="C8" s="947" t="s">
        <v>14</v>
      </c>
      <c r="D8" s="940">
        <v>228.57142857142858</v>
      </c>
      <c r="E8" s="944">
        <f t="shared" si="4"/>
        <v>10.826059654631086</v>
      </c>
      <c r="F8" s="948">
        <v>1</v>
      </c>
      <c r="G8" s="940">
        <f t="shared" si="0"/>
        <v>2474.527921058534</v>
      </c>
      <c r="H8" s="943">
        <f t="shared" si="1"/>
        <v>2474.527921058534</v>
      </c>
      <c r="I8" s="914">
        <f>VLOOKUP(B8,All_Ingredients!$A$1:$F$161,6,FALSE())</f>
        <v>1</v>
      </c>
      <c r="J8" s="940">
        <f>VLOOKUP(B8,All_Ingredients!$A$1:$J$161,10,FALSE())</f>
        <v>22</v>
      </c>
      <c r="K8" s="945">
        <f t="shared" si="5"/>
        <v>2.474527921058534</v>
      </c>
      <c r="L8" s="945">
        <f t="shared" si="6"/>
        <v>54.439614263287751</v>
      </c>
      <c r="R8" s="830"/>
      <c r="T8" s="830"/>
      <c r="W8" s="830"/>
    </row>
    <row r="9" spans="1:30" x14ac:dyDescent="0.25">
      <c r="A9" s="1117"/>
      <c r="B9" s="1423" t="s">
        <v>12</v>
      </c>
      <c r="C9" s="947" t="s">
        <v>14</v>
      </c>
      <c r="D9" s="940">
        <v>71.428571428571431</v>
      </c>
      <c r="E9" s="944">
        <f t="shared" si="4"/>
        <v>10.826059654631086</v>
      </c>
      <c r="F9" s="948">
        <v>1</v>
      </c>
      <c r="G9" s="940">
        <f t="shared" si="0"/>
        <v>773.28997533079189</v>
      </c>
      <c r="H9" s="943">
        <f t="shared" si="1"/>
        <v>773.28997533079189</v>
      </c>
      <c r="I9" s="914">
        <f>VLOOKUP(B9,All_Ingredients!$A$1:$F$161,6,FALSE())</f>
        <v>0.9</v>
      </c>
      <c r="J9" s="940">
        <f>VLOOKUP(B9,All_Ingredients!$A$1:$J$161,10,FALSE())</f>
        <v>3</v>
      </c>
      <c r="K9" s="945">
        <f t="shared" si="5"/>
        <v>0.85921108370087984</v>
      </c>
      <c r="L9" s="945">
        <f t="shared" si="6"/>
        <v>2.5776332511026396</v>
      </c>
      <c r="R9" s="830"/>
      <c r="T9" s="830"/>
      <c r="W9" s="830"/>
    </row>
    <row r="10" spans="1:30" ht="25.5" x14ac:dyDescent="0.25">
      <c r="A10" s="1117"/>
      <c r="B10" s="1423" t="s">
        <v>99</v>
      </c>
      <c r="C10" s="947" t="s">
        <v>14</v>
      </c>
      <c r="D10" s="940">
        <v>7.1428571428571432</v>
      </c>
      <c r="E10" s="944">
        <f t="shared" si="4"/>
        <v>10.826059654631086</v>
      </c>
      <c r="F10" s="948">
        <v>0.75</v>
      </c>
      <c r="G10" s="940">
        <f t="shared" si="0"/>
        <v>77.328997533079189</v>
      </c>
      <c r="H10" s="943">
        <f t="shared" si="1"/>
        <v>57.996748149809392</v>
      </c>
      <c r="I10" s="914">
        <f>VLOOKUP(B10,All_Ingredients!$A$1:$F$161,6,FALSE())</f>
        <v>1</v>
      </c>
      <c r="J10" s="940">
        <f>VLOOKUP(B10,All_Ingredients!$A$1:$J$161,10,FALSE())</f>
        <v>31</v>
      </c>
      <c r="K10" s="945">
        <f t="shared" si="5"/>
        <v>5.7996748149809395E-2</v>
      </c>
      <c r="L10" s="945">
        <f t="shared" si="6"/>
        <v>1.7978991926440913</v>
      </c>
      <c r="R10" s="830"/>
      <c r="T10" s="830"/>
      <c r="W10" s="830"/>
    </row>
    <row r="11" spans="1:30" x14ac:dyDescent="0.25">
      <c r="A11" s="1117"/>
      <c r="B11" s="1423" t="s">
        <v>139</v>
      </c>
      <c r="C11" s="947" t="s">
        <v>14</v>
      </c>
      <c r="D11" s="940">
        <v>7.1428571428571432</v>
      </c>
      <c r="E11" s="944">
        <f t="shared" si="4"/>
        <v>10.826059654631086</v>
      </c>
      <c r="F11" s="948">
        <v>0.75</v>
      </c>
      <c r="G11" s="940">
        <f t="shared" si="0"/>
        <v>77.328997533079189</v>
      </c>
      <c r="H11" s="943">
        <f t="shared" si="1"/>
        <v>57.996748149809392</v>
      </c>
      <c r="I11" s="914">
        <f>VLOOKUP(B11,All_Ingredients!$A$1:$F$161,6,FALSE())</f>
        <v>1</v>
      </c>
      <c r="J11" s="940">
        <f>VLOOKUP(B11,All_Ingredients!$A$1:$J$161,10,FALSE())</f>
        <v>15.277777777777779</v>
      </c>
      <c r="K11" s="945">
        <f t="shared" ref="K11:K13" si="7">(H11/I11)/1000</f>
        <v>5.7996748149809395E-2</v>
      </c>
      <c r="L11" s="945">
        <f t="shared" ref="L11:L13" si="8">K11*J11</f>
        <v>0.88606143006653248</v>
      </c>
      <c r="R11" s="830"/>
      <c r="T11" s="830"/>
      <c r="W11" s="830"/>
    </row>
    <row r="12" spans="1:30" x14ac:dyDescent="0.25">
      <c r="A12" s="1117"/>
      <c r="B12" s="1423" t="s">
        <v>200</v>
      </c>
      <c r="C12" s="947" t="s">
        <v>14</v>
      </c>
      <c r="D12" s="940">
        <v>71.428571428571431</v>
      </c>
      <c r="E12" s="944">
        <f t="shared" si="4"/>
        <v>10.826059654631086</v>
      </c>
      <c r="F12" s="948">
        <v>0.75</v>
      </c>
      <c r="G12" s="940">
        <f t="shared" si="0"/>
        <v>773.28997533079189</v>
      </c>
      <c r="H12" s="943">
        <f t="shared" si="1"/>
        <v>579.96748149809389</v>
      </c>
      <c r="I12" s="914">
        <f>VLOOKUP(B12,All_Ingredients!$A$1:$F$161,6,FALSE())</f>
        <v>1</v>
      </c>
      <c r="J12" s="940">
        <f>VLOOKUP(B12,All_Ingredients!$A$1:$J$161,10,FALSE())</f>
        <v>63.333333333333336</v>
      </c>
      <c r="K12" s="945">
        <f t="shared" si="7"/>
        <v>0.57996748149809385</v>
      </c>
      <c r="L12" s="945">
        <f t="shared" si="8"/>
        <v>36.731273828212615</v>
      </c>
      <c r="R12" s="830"/>
      <c r="T12" s="830"/>
      <c r="W12" s="830"/>
    </row>
    <row r="13" spans="1:30" x14ac:dyDescent="0.25">
      <c r="A13" s="1117"/>
      <c r="B13" s="1423" t="s">
        <v>152</v>
      </c>
      <c r="C13" s="947" t="s">
        <v>14</v>
      </c>
      <c r="D13" s="940">
        <v>35.714285714285715</v>
      </c>
      <c r="E13" s="944">
        <f t="shared" si="4"/>
        <v>10.826059654631086</v>
      </c>
      <c r="F13" s="948">
        <v>0.75</v>
      </c>
      <c r="G13" s="940">
        <f t="shared" si="0"/>
        <v>386.64498766539594</v>
      </c>
      <c r="H13" s="943">
        <f t="shared" si="1"/>
        <v>289.98374074904694</v>
      </c>
      <c r="I13" s="914">
        <f>VLOOKUP(B13,All_Ingredients!$A$1:$F$161,6,FALSE())</f>
        <v>1</v>
      </c>
      <c r="J13" s="940">
        <f>VLOOKUP(B13,All_Ingredients!$A$1:$J$161,10,FALSE())</f>
        <v>30</v>
      </c>
      <c r="K13" s="945">
        <f t="shared" si="7"/>
        <v>0.28998374074904693</v>
      </c>
      <c r="L13" s="945">
        <f t="shared" si="8"/>
        <v>8.699512222471407</v>
      </c>
      <c r="R13" s="830"/>
      <c r="T13" s="830"/>
      <c r="W13" s="830"/>
    </row>
    <row r="25" spans="18:31" x14ac:dyDescent="0.25">
      <c r="R25" s="1779" t="s">
        <v>830</v>
      </c>
      <c r="S25" s="1787"/>
      <c r="T25" s="1788"/>
      <c r="U25" s="1787"/>
      <c r="V25" s="1425"/>
      <c r="W25" s="830"/>
      <c r="Z25" s="982" t="s">
        <v>252</v>
      </c>
      <c r="AA25" s="989">
        <v>1</v>
      </c>
      <c r="AB25" s="982" t="s">
        <v>249</v>
      </c>
      <c r="AC25" s="1138">
        <f>(AA25*(1.4))*AE30</f>
        <v>4.6362123699314001E-2</v>
      </c>
      <c r="AD25" s="14"/>
    </row>
    <row r="26" spans="18:31" x14ac:dyDescent="0.25">
      <c r="R26" s="1786" t="s">
        <v>304</v>
      </c>
      <c r="S26" s="1787"/>
      <c r="T26" s="1788"/>
      <c r="U26" s="1787"/>
      <c r="V26" s="1425"/>
      <c r="W26" s="830"/>
      <c r="Z26" s="14"/>
      <c r="AA26" s="14"/>
      <c r="AB26" s="14"/>
      <c r="AC26" s="14"/>
      <c r="AD26" s="14"/>
    </row>
    <row r="27" spans="18:31" x14ac:dyDescent="0.25">
      <c r="R27" s="961" t="s">
        <v>254</v>
      </c>
      <c r="S27" s="962" t="s">
        <v>305</v>
      </c>
      <c r="T27" s="961" t="s">
        <v>256</v>
      </c>
      <c r="U27" s="962" t="s">
        <v>262</v>
      </c>
      <c r="V27" s="962" t="s">
        <v>753</v>
      </c>
      <c r="W27" s="830"/>
      <c r="Z27" s="982" t="s">
        <v>258</v>
      </c>
      <c r="AA27" s="982" t="s">
        <v>259</v>
      </c>
      <c r="AB27" s="982" t="s">
        <v>260</v>
      </c>
      <c r="AC27" s="982" t="s">
        <v>261</v>
      </c>
      <c r="AD27" s="984" t="s">
        <v>753</v>
      </c>
      <c r="AE27" s="982" t="s">
        <v>262</v>
      </c>
    </row>
    <row r="28" spans="18:31" x14ac:dyDescent="0.25">
      <c r="R28" s="961" t="s">
        <v>263</v>
      </c>
      <c r="S28" s="963">
        <f>U28*S40</f>
        <v>12169.230769230766</v>
      </c>
      <c r="T28" s="964">
        <f>U28*U40</f>
        <v>3650.7692307692346</v>
      </c>
      <c r="U28" s="965">
        <f>$Z$1</f>
        <v>15820</v>
      </c>
      <c r="V28" s="966">
        <f>SUM(H37:H38)</f>
        <v>116.63</v>
      </c>
      <c r="W28" s="830"/>
      <c r="Z28" s="1086"/>
      <c r="AA28" s="985">
        <f>AA25*$S$40</f>
        <v>0.76923076923076905</v>
      </c>
      <c r="AB28" s="985">
        <f>AA25*$U$40</f>
        <v>0.230769230769231</v>
      </c>
      <c r="AC28" s="989">
        <f>AA25*(0.4)</f>
        <v>0.4</v>
      </c>
      <c r="AD28" s="987"/>
      <c r="AE28" s="1088">
        <f>SUM(AA28:AC28)</f>
        <v>1.4</v>
      </c>
    </row>
    <row r="29" spans="18:31" x14ac:dyDescent="0.25">
      <c r="R29" s="961" t="s">
        <v>264</v>
      </c>
      <c r="S29" s="968"/>
      <c r="T29" s="967">
        <f>U28*0.4</f>
        <v>6328</v>
      </c>
      <c r="U29" s="963">
        <f>T29</f>
        <v>6328</v>
      </c>
      <c r="V29" s="966"/>
      <c r="W29" s="830"/>
      <c r="Z29" s="1086"/>
      <c r="AA29" s="1089">
        <f>AA28/$AE$28</f>
        <v>0.54945054945054939</v>
      </c>
      <c r="AB29" s="1089">
        <f>AB28/$AE$28</f>
        <v>0.16483516483516503</v>
      </c>
      <c r="AC29" s="1089">
        <f>AC28/$AE$28</f>
        <v>0.28571428571428575</v>
      </c>
      <c r="AD29" s="991"/>
      <c r="AE29" s="1089">
        <f>AE28/$AE$28</f>
        <v>1</v>
      </c>
    </row>
    <row r="30" spans="18:31" x14ac:dyDescent="0.25">
      <c r="R30" s="961" t="s">
        <v>265</v>
      </c>
      <c r="S30" s="969">
        <f>U30*S40</f>
        <v>769.23076923076906</v>
      </c>
      <c r="T30" s="1403">
        <f>(U30*U40)+(U30*0.4)</f>
        <v>630.76923076923094</v>
      </c>
      <c r="U30" s="1119">
        <f>$AB$1</f>
        <v>1000</v>
      </c>
      <c r="V30" s="972"/>
      <c r="W30" s="830"/>
      <c r="Z30" s="982" t="s">
        <v>266</v>
      </c>
      <c r="AA30" s="1090">
        <f>S35/(S32)</f>
        <v>4.5019157088122604E-2</v>
      </c>
      <c r="AB30" s="1091">
        <f>T35/T32</f>
        <v>1.8516338678328473E-2</v>
      </c>
      <c r="AC30" s="1091">
        <f>T35/T32</f>
        <v>1.8516338678328473E-2</v>
      </c>
      <c r="AD30" s="1405">
        <f>V35/(U32)</f>
        <v>3.7475826789144272E-5</v>
      </c>
      <c r="AE30" s="1092">
        <f>SUMPRODUCT(AA30:AC30,AA29:AC29)+(AD30)</f>
        <v>3.3115802642367145E-2</v>
      </c>
    </row>
    <row r="31" spans="18:31" x14ac:dyDescent="0.25">
      <c r="R31" s="961" t="s">
        <v>267</v>
      </c>
      <c r="S31" s="959"/>
      <c r="T31" s="967"/>
      <c r="U31" s="966"/>
      <c r="V31" s="966"/>
      <c r="W31" s="830"/>
    </row>
    <row r="32" spans="18:31" x14ac:dyDescent="0.25">
      <c r="R32" s="961" t="s">
        <v>257</v>
      </c>
      <c r="S32" s="966">
        <f>SUM(S28:S30)</f>
        <v>12938.461538461535</v>
      </c>
      <c r="T32" s="1363">
        <f>SUM(T28:T30)</f>
        <v>10609.538461538465</v>
      </c>
      <c r="U32" s="966">
        <f>SUM(U28:U29)+S30+T30</f>
        <v>23548</v>
      </c>
      <c r="V32" s="966">
        <f>SUM(V28:V30)</f>
        <v>116.63</v>
      </c>
      <c r="W32" s="830"/>
    </row>
    <row r="33" spans="1:23" ht="30" x14ac:dyDescent="0.25">
      <c r="B33" s="830"/>
      <c r="D33" s="830"/>
      <c r="E33" s="830"/>
      <c r="F33" s="830"/>
      <c r="H33" s="830"/>
      <c r="K33" s="830"/>
      <c r="R33" s="976" t="s">
        <v>268</v>
      </c>
      <c r="S33" s="959"/>
      <c r="T33" s="960"/>
      <c r="U33" s="959"/>
      <c r="V33" s="959"/>
      <c r="W33" s="830"/>
    </row>
    <row r="34" spans="1:23" x14ac:dyDescent="0.25">
      <c r="B34" s="830"/>
      <c r="D34" s="830"/>
      <c r="E34" s="80"/>
      <c r="F34" s="80"/>
      <c r="H34" s="830"/>
      <c r="K34" s="830"/>
      <c r="R34" s="961" t="s">
        <v>269</v>
      </c>
      <c r="S34" s="959"/>
      <c r="T34" s="967"/>
      <c r="U34" s="959"/>
      <c r="V34" s="959"/>
      <c r="W34" s="830"/>
    </row>
    <row r="35" spans="1:23" ht="15.75" x14ac:dyDescent="0.2">
      <c r="A35" s="1004"/>
      <c r="B35" s="1834" t="s">
        <v>831</v>
      </c>
      <c r="C35" s="1835"/>
      <c r="D35" s="1834"/>
      <c r="E35" s="1834"/>
      <c r="F35" s="1834"/>
      <c r="G35" s="1000"/>
      <c r="H35" s="1009"/>
      <c r="I35" s="1010"/>
      <c r="J35" s="1010"/>
      <c r="K35" s="1009"/>
      <c r="L35" s="1010"/>
      <c r="R35" s="977" t="s">
        <v>249</v>
      </c>
      <c r="S35" s="978">
        <f>$L$5</f>
        <v>582.47863247863233</v>
      </c>
      <c r="T35" s="1404">
        <f>SUM(L6:L19)</f>
        <v>196.44980737459824</v>
      </c>
      <c r="U35" s="981">
        <f>S35+T35+V35</f>
        <v>779.81092062246137</v>
      </c>
      <c r="V35" s="1136">
        <f>SUM(L37:L38)</f>
        <v>0.88248076923076935</v>
      </c>
      <c r="W35" s="830"/>
    </row>
    <row r="36" spans="1:23" ht="31.5" x14ac:dyDescent="0.2">
      <c r="A36" s="1004" t="s">
        <v>864</v>
      </c>
      <c r="B36" s="1004" t="s">
        <v>241</v>
      </c>
      <c r="C36" s="1004" t="s">
        <v>316</v>
      </c>
      <c r="D36" s="1002" t="s">
        <v>610</v>
      </c>
      <c r="E36" s="1002" t="s">
        <v>611</v>
      </c>
      <c r="F36" s="1002" t="s">
        <v>612</v>
      </c>
      <c r="G36" s="1008"/>
      <c r="H36" s="1002" t="s">
        <v>612</v>
      </c>
      <c r="I36" s="1002" t="s">
        <v>246</v>
      </c>
      <c r="J36" s="1002" t="s">
        <v>247</v>
      </c>
      <c r="K36" s="1002" t="s">
        <v>248</v>
      </c>
      <c r="L36" s="1002" t="s">
        <v>249</v>
      </c>
      <c r="R36" s="830"/>
      <c r="T36" s="830"/>
      <c r="W36" s="830"/>
    </row>
    <row r="37" spans="1:23" x14ac:dyDescent="0.25">
      <c r="A37" s="1117"/>
      <c r="B37" s="1005" t="s">
        <v>666</v>
      </c>
      <c r="C37" s="1006" t="s">
        <v>14</v>
      </c>
      <c r="D37" s="1007">
        <v>7.0000000000000007E-2</v>
      </c>
      <c r="E37" s="1005">
        <f>$AD$1</f>
        <v>109</v>
      </c>
      <c r="F37" s="1005">
        <f>D37*E37</f>
        <v>7.6300000000000008</v>
      </c>
      <c r="H37" s="1005">
        <f>F37</f>
        <v>7.6300000000000008</v>
      </c>
      <c r="I37" s="1005">
        <f>VLOOKUP(B37,All_Ingredients!$A$1:$F$161,6,FALSE())</f>
        <v>0.65</v>
      </c>
      <c r="J37" s="1005">
        <f>VLOOKUP(B37,All_Ingredients!$A$1:$J$161,10,FALSE())</f>
        <v>45</v>
      </c>
      <c r="K37" s="1005">
        <f t="shared" ref="K37" si="9">(H37/I37)/1000</f>
        <v>1.173846153846154E-2</v>
      </c>
      <c r="L37" s="1005">
        <f t="shared" ref="L37" si="10">K37*J37</f>
        <v>0.52823076923076928</v>
      </c>
      <c r="R37" s="830"/>
      <c r="T37" s="830"/>
      <c r="W37" s="830"/>
    </row>
    <row r="38" spans="1:23" x14ac:dyDescent="0.25">
      <c r="A38" s="949" t="s">
        <v>925</v>
      </c>
      <c r="B38" s="1005" t="s">
        <v>19</v>
      </c>
      <c r="C38" s="1006" t="s">
        <v>14</v>
      </c>
      <c r="D38" s="1007">
        <v>1</v>
      </c>
      <c r="E38" s="1005">
        <f>$AD$1</f>
        <v>109</v>
      </c>
      <c r="F38" s="1005">
        <f>D38*E38</f>
        <v>109</v>
      </c>
      <c r="H38" s="1005">
        <f>F38</f>
        <v>109</v>
      </c>
      <c r="I38" s="1005">
        <f>VLOOKUP(B38,All_Ingredients!$A$1:$F$161,6,FALSE())</f>
        <v>0.8</v>
      </c>
      <c r="J38" s="1005">
        <f>VLOOKUP(B38,All_Ingredients!$A$1:$J$161,10,FALSE())</f>
        <v>2.6</v>
      </c>
      <c r="K38" s="1005">
        <f t="shared" ref="K38" si="11">(H38/I38)/1000</f>
        <v>0.13625000000000001</v>
      </c>
      <c r="L38" s="1005">
        <f t="shared" ref="L38" si="12">K38*J38</f>
        <v>0.35425000000000006</v>
      </c>
      <c r="R38" s="830"/>
      <c r="T38" s="830"/>
      <c r="W38" s="830"/>
    </row>
    <row r="39" spans="1:23" x14ac:dyDescent="0.25">
      <c r="B39" s="830"/>
      <c r="D39" s="830"/>
      <c r="E39" s="830"/>
      <c r="F39" s="830"/>
      <c r="H39" s="830"/>
      <c r="K39" s="830"/>
      <c r="R39" s="830"/>
      <c r="T39" s="830"/>
      <c r="W39" s="830"/>
    </row>
    <row r="40" spans="1:23" ht="26.25" x14ac:dyDescent="0.25">
      <c r="B40" s="830"/>
      <c r="D40" s="830"/>
      <c r="E40" s="830"/>
      <c r="F40" s="830"/>
      <c r="H40" s="830"/>
      <c r="K40" s="830"/>
      <c r="Q40" s="14"/>
      <c r="R40" s="1011" t="s">
        <v>270</v>
      </c>
      <c r="S40" s="1012">
        <v>0.76923076923076905</v>
      </c>
      <c r="T40" s="1011" t="s">
        <v>271</v>
      </c>
      <c r="U40" s="1013">
        <v>0.230769230769231</v>
      </c>
      <c r="V40" s="1014">
        <f>S40+U40</f>
        <v>1</v>
      </c>
      <c r="W40" s="890"/>
    </row>
    <row r="41" spans="1:23" x14ac:dyDescent="0.25">
      <c r="B41" s="830"/>
      <c r="D41" s="830"/>
      <c r="E41" s="830"/>
      <c r="F41" s="830"/>
      <c r="H41" s="830"/>
      <c r="K41" s="830"/>
      <c r="Q41" s="14"/>
      <c r="R41" s="890"/>
      <c r="S41" s="14"/>
      <c r="T41" s="890"/>
      <c r="V41" s="14"/>
      <c r="W41" s="890"/>
    </row>
    <row r="42" spans="1:23" x14ac:dyDescent="0.25">
      <c r="B42" s="830"/>
      <c r="D42" s="830"/>
      <c r="E42" s="830"/>
      <c r="F42" s="830"/>
      <c r="H42" s="830"/>
      <c r="K42" s="830"/>
      <c r="Q42" s="14"/>
      <c r="R42" s="890"/>
      <c r="S42" s="14"/>
      <c r="T42" s="1402"/>
      <c r="U42" s="14"/>
      <c r="V42" s="14"/>
      <c r="W42" s="890"/>
    </row>
    <row r="43" spans="1:23" ht="26.25" x14ac:dyDescent="0.25">
      <c r="B43" s="830"/>
      <c r="D43" s="830"/>
      <c r="E43" s="830"/>
      <c r="F43" s="830"/>
      <c r="H43" s="830"/>
      <c r="K43" s="830"/>
      <c r="Q43" s="1015" t="s">
        <v>272</v>
      </c>
      <c r="R43" s="1011" t="s">
        <v>273</v>
      </c>
      <c r="S43" s="1015" t="s">
        <v>274</v>
      </c>
      <c r="T43" s="1011" t="s">
        <v>275</v>
      </c>
      <c r="U43" s="1015" t="s">
        <v>276</v>
      </c>
      <c r="V43" s="1015" t="s">
        <v>277</v>
      </c>
      <c r="W43" s="1011" t="s">
        <v>278</v>
      </c>
    </row>
    <row r="44" spans="1:23" x14ac:dyDescent="0.25">
      <c r="B44" s="830"/>
      <c r="D44" s="830"/>
      <c r="E44" s="830"/>
      <c r="F44" s="830"/>
      <c r="H44" s="830"/>
      <c r="K44" s="830"/>
      <c r="Q44" s="1023">
        <v>15854</v>
      </c>
      <c r="R44" s="1017">
        <f>D51</f>
        <v>10000</v>
      </c>
      <c r="S44" s="1024">
        <v>0.36586200000000002</v>
      </c>
      <c r="T44" s="1025">
        <v>0.63415999999999995</v>
      </c>
      <c r="U44" s="1096">
        <f>R44*S44</f>
        <v>3658.6200000000003</v>
      </c>
      <c r="V44" s="1021">
        <f>R44*T44</f>
        <v>6341.5999999999995</v>
      </c>
      <c r="W44" s="1026">
        <f>Q44-U44</f>
        <v>12195.38</v>
      </c>
    </row>
    <row r="50" spans="1:11" x14ac:dyDescent="0.25">
      <c r="B50" s="961"/>
      <c r="C50" s="962" t="s">
        <v>233</v>
      </c>
      <c r="D50" s="961" t="s">
        <v>279</v>
      </c>
      <c r="E50" s="1401"/>
      <c r="F50" s="80"/>
      <c r="G50" s="962" t="s">
        <v>280</v>
      </c>
      <c r="H50" s="961" t="s">
        <v>233</v>
      </c>
      <c r="I50" s="962" t="s">
        <v>281</v>
      </c>
      <c r="J50" s="962" t="s">
        <v>282</v>
      </c>
      <c r="K50" s="830"/>
    </row>
    <row r="51" spans="1:11" x14ac:dyDescent="0.25">
      <c r="B51" s="1027" t="s">
        <v>283</v>
      </c>
      <c r="C51" s="1028">
        <f>10/$K$1</f>
        <v>10.204081632653061</v>
      </c>
      <c r="D51" s="1029">
        <f>$C$1*10</f>
        <v>10000</v>
      </c>
      <c r="E51" s="135"/>
      <c r="F51" s="80"/>
      <c r="G51" s="1033" t="s">
        <v>283</v>
      </c>
      <c r="H51" s="1122">
        <f>I51/$D$5</f>
        <v>10</v>
      </c>
      <c r="I51" s="1028">
        <f>J51/$R$1</f>
        <v>21026.517241379312</v>
      </c>
      <c r="J51" s="1028">
        <f>$W$44</f>
        <v>12195.38</v>
      </c>
      <c r="K51" s="830"/>
    </row>
    <row r="52" spans="1:11" x14ac:dyDescent="0.25">
      <c r="B52" s="958" t="s">
        <v>262</v>
      </c>
      <c r="C52" s="1099">
        <f>$I$1</f>
        <v>10.826059654631086</v>
      </c>
      <c r="D52" s="1100">
        <f>$E$1</f>
        <v>10609.538461538465</v>
      </c>
      <c r="E52" s="80"/>
      <c r="F52" s="80"/>
      <c r="G52" s="962" t="s">
        <v>262</v>
      </c>
      <c r="H52" s="1052">
        <f>I52/$D$5</f>
        <v>10.609313968454888</v>
      </c>
      <c r="I52" s="1021">
        <f>J52/$R$1</f>
        <v>22307.692307692305</v>
      </c>
      <c r="J52" s="1030">
        <f>$S$32</f>
        <v>12938.461538461535</v>
      </c>
      <c r="K52" s="830"/>
    </row>
    <row r="53" spans="1:11" x14ac:dyDescent="0.25">
      <c r="B53" s="958" t="s">
        <v>284</v>
      </c>
      <c r="C53" s="1101">
        <f>MIN(C52, C51)</f>
        <v>10.204081632653061</v>
      </c>
      <c r="D53" s="1100">
        <f>(C53*$K$1)*$C$1</f>
        <v>10000</v>
      </c>
      <c r="E53" s="80"/>
      <c r="F53" s="80"/>
      <c r="G53" s="962" t="s">
        <v>284</v>
      </c>
      <c r="H53" s="1035">
        <f>MIN(H52,H51)</f>
        <v>10</v>
      </c>
      <c r="I53" s="1021">
        <f>J53/$R$1</f>
        <v>21026.517241379312</v>
      </c>
      <c r="J53" s="1021">
        <f>MIN(J52,J51)</f>
        <v>12195.38</v>
      </c>
      <c r="K53" s="830"/>
    </row>
    <row r="54" spans="1:11" x14ac:dyDescent="0.25">
      <c r="B54" s="958" t="s">
        <v>285</v>
      </c>
      <c r="C54" s="1101">
        <f>MIN(MAX(C52-C53,0),C51)</f>
        <v>0.6219780219780251</v>
      </c>
      <c r="D54" s="1100">
        <f>(C54*$K$1)*$C$1</f>
        <v>609.53846153846473</v>
      </c>
      <c r="E54" s="80"/>
      <c r="F54" s="80"/>
      <c r="G54" s="962" t="s">
        <v>285</v>
      </c>
      <c r="H54" s="1035">
        <f>MIN(MAX(H52-H53),H51)</f>
        <v>0.60931396845488806</v>
      </c>
      <c r="I54" s="1021">
        <f>J54/$R$1</f>
        <v>1281.1750663129935</v>
      </c>
      <c r="J54" s="1021">
        <f>MIN(MAX(J52-J53),J51)</f>
        <v>743.08153846153618</v>
      </c>
      <c r="K54" s="83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30"/>
    </row>
    <row r="56" spans="1:11" x14ac:dyDescent="0.25">
      <c r="B56" s="830"/>
      <c r="D56" s="830"/>
      <c r="E56" s="830"/>
      <c r="F56" s="830"/>
      <c r="H56" s="830"/>
      <c r="K56" s="830"/>
    </row>
    <row r="57" spans="1:11" x14ac:dyDescent="0.25">
      <c r="B57" s="830"/>
      <c r="D57" s="830"/>
      <c r="E57" s="830"/>
      <c r="F57" s="830"/>
      <c r="H57" s="830"/>
      <c r="K57" s="830"/>
    </row>
    <row r="58" spans="1:11" x14ac:dyDescent="0.25">
      <c r="B58" s="830"/>
      <c r="D58" s="830"/>
      <c r="E58" s="830"/>
      <c r="F58" s="830"/>
      <c r="H58" s="830"/>
      <c r="K58" s="830"/>
    </row>
    <row r="59" spans="1:11" x14ac:dyDescent="0.25">
      <c r="B59" s="830"/>
      <c r="D59" s="830"/>
      <c r="E59" s="830"/>
      <c r="F59" s="830"/>
      <c r="H59" s="830"/>
      <c r="K59" s="830"/>
    </row>
    <row r="60" spans="1:11" x14ac:dyDescent="0.25">
      <c r="B60" s="830"/>
      <c r="D60" s="830"/>
      <c r="E60" s="830"/>
      <c r="F60" s="830"/>
      <c r="H60" s="830"/>
      <c r="K60" s="830"/>
    </row>
    <row r="61" spans="1:11" x14ac:dyDescent="0.25">
      <c r="B61" s="830"/>
      <c r="D61" s="830"/>
      <c r="E61" s="830"/>
      <c r="F61" s="830"/>
      <c r="H61" s="830"/>
      <c r="K61" s="830"/>
    </row>
    <row r="62" spans="1:11" x14ac:dyDescent="0.25">
      <c r="A62" s="868"/>
      <c r="B62" s="1776" t="str">
        <f>"  شرائح اللحم مع المشروم  1 / " &amp; COUNTIF($C$53:$C$55, "&gt;0")</f>
        <v xml:space="preserve">  شرائح اللحم مع المشروم  1 / 2</v>
      </c>
      <c r="C62" s="1777"/>
      <c r="D62" s="1778"/>
      <c r="E62" s="1778"/>
      <c r="F62" s="1778"/>
      <c r="G62" s="1777"/>
      <c r="H62" s="1778"/>
      <c r="K62" s="830"/>
    </row>
    <row r="63" spans="1:11" x14ac:dyDescent="0.25">
      <c r="A63" s="868"/>
      <c r="B63" s="1832" t="str">
        <f>"  Meat Steak muchroom sauce 1  / " &amp; COUNTIF($C$53:$C$55, "&gt;0")</f>
        <v xml:space="preserve">  Meat Steak muchroom sauce 1  / 2</v>
      </c>
      <c r="C63" s="1777"/>
      <c r="D63" s="1778"/>
      <c r="E63" s="1778"/>
      <c r="F63" s="1778"/>
      <c r="G63" s="1777"/>
      <c r="H63" s="1778"/>
      <c r="K63" s="830"/>
    </row>
    <row r="64" spans="1:11" ht="38.25" x14ac:dyDescent="0.2">
      <c r="A64" s="1350" t="s">
        <v>864</v>
      </c>
      <c r="B64" s="923" t="s">
        <v>241</v>
      </c>
      <c r="C64" s="934" t="s">
        <v>242</v>
      </c>
      <c r="D64" s="923" t="s">
        <v>231</v>
      </c>
      <c r="E64" s="935" t="s">
        <v>234</v>
      </c>
      <c r="F64" s="935" t="s">
        <v>243</v>
      </c>
      <c r="G64" s="923" t="s">
        <v>244</v>
      </c>
      <c r="H64" s="936" t="s">
        <v>245</v>
      </c>
      <c r="K64" s="830"/>
    </row>
    <row r="65" spans="1:11" ht="28.5" x14ac:dyDescent="0.2">
      <c r="A65" s="937" t="s">
        <v>873</v>
      </c>
      <c r="B65" s="1130" t="str">
        <f t="shared" ref="B65:D73" si="13">B5</f>
        <v>Indian Meat Alana  - لحم هندى ألانا</v>
      </c>
      <c r="C65" s="1252" t="str">
        <f t="shared" si="13"/>
        <v>gm</v>
      </c>
      <c r="D65" s="1426">
        <f t="shared" si="13"/>
        <v>2102.6517241379311</v>
      </c>
      <c r="E65" s="1126">
        <f>H53</f>
        <v>10</v>
      </c>
      <c r="F65" s="948">
        <f t="shared" ref="F65:F73" si="14">F5</f>
        <v>1</v>
      </c>
      <c r="G65" s="940">
        <f t="shared" ref="G65:G73" si="15">D65*E65</f>
        <v>21026.517241379312</v>
      </c>
      <c r="H65" s="943">
        <f t="shared" ref="H65:H73" si="16">G65*F65</f>
        <v>21026.517241379312</v>
      </c>
      <c r="K65" s="830"/>
    </row>
    <row r="66" spans="1:11" x14ac:dyDescent="0.25">
      <c r="B66" s="1130" t="str">
        <f t="shared" si="13"/>
        <v>Milk - حليب</v>
      </c>
      <c r="C66" s="1252" t="str">
        <f t="shared" si="13"/>
        <v>ml</v>
      </c>
      <c r="D66" s="1426">
        <f t="shared" si="13"/>
        <v>500</v>
      </c>
      <c r="E66" s="1126">
        <f>$C$53</f>
        <v>10.204081632653061</v>
      </c>
      <c r="F66" s="948">
        <f t="shared" si="14"/>
        <v>1</v>
      </c>
      <c r="G66" s="940">
        <f t="shared" si="15"/>
        <v>5102.0408163265301</v>
      </c>
      <c r="H66" s="943">
        <f t="shared" si="16"/>
        <v>5102.0408163265301</v>
      </c>
      <c r="K66" s="830"/>
    </row>
    <row r="67" spans="1:11" x14ac:dyDescent="0.25">
      <c r="B67" s="1130" t="str">
        <f t="shared" si="13"/>
        <v>Cooking Cream - كريمة طبخ</v>
      </c>
      <c r="C67" s="1252" t="str">
        <f t="shared" si="13"/>
        <v>ml</v>
      </c>
      <c r="D67" s="1426">
        <f t="shared" si="13"/>
        <v>500</v>
      </c>
      <c r="E67" s="1126">
        <f t="shared" ref="E67:E73" si="17">$C$53</f>
        <v>10.204081632653061</v>
      </c>
      <c r="F67" s="948">
        <f t="shared" si="14"/>
        <v>1</v>
      </c>
      <c r="G67" s="940">
        <f t="shared" si="15"/>
        <v>5102.0408163265301</v>
      </c>
      <c r="H67" s="943">
        <f t="shared" si="16"/>
        <v>5102.0408163265301</v>
      </c>
      <c r="K67" s="830"/>
    </row>
    <row r="68" spans="1:11" x14ac:dyDescent="0.25">
      <c r="B68" s="1130" t="str">
        <f t="shared" si="13"/>
        <v>Mushroom - مشروم ابيض</v>
      </c>
      <c r="C68" s="1252" t="str">
        <f t="shared" si="13"/>
        <v>gm</v>
      </c>
      <c r="D68" s="1426">
        <f t="shared" si="13"/>
        <v>228.57142857142858</v>
      </c>
      <c r="E68" s="1126">
        <f t="shared" si="17"/>
        <v>10.204081632653061</v>
      </c>
      <c r="F68" s="948">
        <f t="shared" si="14"/>
        <v>1</v>
      </c>
      <c r="G68" s="940">
        <f t="shared" si="15"/>
        <v>2332.3615160349855</v>
      </c>
      <c r="H68" s="943">
        <f t="shared" si="16"/>
        <v>2332.3615160349855</v>
      </c>
      <c r="K68" s="830"/>
    </row>
    <row r="69" spans="1:11" x14ac:dyDescent="0.25">
      <c r="B69" s="1130" t="str">
        <f t="shared" si="13"/>
        <v>Onion - بصل</v>
      </c>
      <c r="C69" s="1252" t="str">
        <f t="shared" si="13"/>
        <v>gm</v>
      </c>
      <c r="D69" s="1426">
        <f t="shared" si="13"/>
        <v>71.428571428571431</v>
      </c>
      <c r="E69" s="1126">
        <f t="shared" si="17"/>
        <v>10.204081632653061</v>
      </c>
      <c r="F69" s="948">
        <f t="shared" si="14"/>
        <v>1</v>
      </c>
      <c r="G69" s="940">
        <f t="shared" si="15"/>
        <v>728.86297376093296</v>
      </c>
      <c r="H69" s="943">
        <f t="shared" si="16"/>
        <v>728.86297376093296</v>
      </c>
      <c r="K69" s="830"/>
    </row>
    <row r="70" spans="1:11" ht="28.5" x14ac:dyDescent="0.25">
      <c r="B70" s="1130" t="str">
        <f t="shared" si="13"/>
        <v>Black Pepper Powder - فلفل أسود مطحون</v>
      </c>
      <c r="C70" s="1252" t="str">
        <f t="shared" si="13"/>
        <v>gm</v>
      </c>
      <c r="D70" s="1426">
        <f t="shared" si="13"/>
        <v>7.1428571428571432</v>
      </c>
      <c r="E70" s="1126">
        <f t="shared" si="17"/>
        <v>10.204081632653061</v>
      </c>
      <c r="F70" s="948">
        <f t="shared" si="14"/>
        <v>0.75</v>
      </c>
      <c r="G70" s="940">
        <f t="shared" si="15"/>
        <v>72.886297376093296</v>
      </c>
      <c r="H70" s="943">
        <f t="shared" si="16"/>
        <v>54.664723032069972</v>
      </c>
      <c r="K70" s="830"/>
    </row>
    <row r="71" spans="1:11" x14ac:dyDescent="0.25">
      <c r="B71" s="1130" t="str">
        <f t="shared" si="13"/>
        <v>Maggi Cubes - مكعبات ماجي</v>
      </c>
      <c r="C71" s="1252" t="str">
        <f t="shared" si="13"/>
        <v>gm</v>
      </c>
      <c r="D71" s="1426">
        <f t="shared" si="13"/>
        <v>7.1428571428571432</v>
      </c>
      <c r="E71" s="1126">
        <f t="shared" si="17"/>
        <v>10.204081632653061</v>
      </c>
      <c r="F71" s="948">
        <f t="shared" si="14"/>
        <v>0.75</v>
      </c>
      <c r="G71" s="940">
        <f t="shared" si="15"/>
        <v>72.886297376093296</v>
      </c>
      <c r="H71" s="943">
        <f t="shared" si="16"/>
        <v>54.664723032069972</v>
      </c>
      <c r="K71" s="830"/>
    </row>
    <row r="72" spans="1:11" ht="28.5" x14ac:dyDescent="0.25">
      <c r="B72" s="1130" t="str">
        <f t="shared" si="13"/>
        <v>Demi Glaze Sauce - صوص ديمي غلاز</v>
      </c>
      <c r="C72" s="1252" t="str">
        <f t="shared" si="13"/>
        <v>gm</v>
      </c>
      <c r="D72" s="1426">
        <f t="shared" si="13"/>
        <v>71.428571428571431</v>
      </c>
      <c r="E72" s="1126">
        <f t="shared" si="17"/>
        <v>10.204081632653061</v>
      </c>
      <c r="F72" s="948">
        <f t="shared" si="14"/>
        <v>0.75</v>
      </c>
      <c r="G72" s="940">
        <f t="shared" si="15"/>
        <v>728.86297376093296</v>
      </c>
      <c r="H72" s="943">
        <f t="shared" si="16"/>
        <v>546.64723032069969</v>
      </c>
      <c r="K72" s="830"/>
    </row>
    <row r="73" spans="1:11" x14ac:dyDescent="0.25">
      <c r="B73" s="1130" t="str">
        <f t="shared" si="13"/>
        <v>Butter - زبدة</v>
      </c>
      <c r="C73" s="1252" t="str">
        <f t="shared" si="13"/>
        <v>gm</v>
      </c>
      <c r="D73" s="1426">
        <f t="shared" si="13"/>
        <v>35.714285714285715</v>
      </c>
      <c r="E73" s="1126">
        <f t="shared" si="17"/>
        <v>10.204081632653061</v>
      </c>
      <c r="F73" s="948">
        <f t="shared" si="14"/>
        <v>0.75</v>
      </c>
      <c r="G73" s="940">
        <f t="shared" si="15"/>
        <v>364.43148688046648</v>
      </c>
      <c r="H73" s="943">
        <f t="shared" si="16"/>
        <v>273.32361516034985</v>
      </c>
      <c r="K73" s="830"/>
    </row>
    <row r="74" spans="1:11" ht="18" x14ac:dyDescent="0.25">
      <c r="A74" s="861"/>
      <c r="B74" s="1041" t="s">
        <v>287</v>
      </c>
      <c r="C74" s="1042" t="s">
        <v>273</v>
      </c>
      <c r="D74" s="1043"/>
      <c r="E74" s="1044" t="s">
        <v>288</v>
      </c>
      <c r="F74" s="1043"/>
      <c r="G74" s="1045" t="s">
        <v>264</v>
      </c>
      <c r="H74" s="1046" t="s">
        <v>661</v>
      </c>
      <c r="K74" s="830"/>
    </row>
    <row r="75" spans="1:11" ht="20.25" x14ac:dyDescent="0.3">
      <c r="A75" s="861"/>
      <c r="B75" s="1047">
        <f>$J$53</f>
        <v>12195.38</v>
      </c>
      <c r="C75" s="1048" t="s">
        <v>528</v>
      </c>
      <c r="D75" s="1049"/>
      <c r="E75" s="1047">
        <f>$D$53*$S$44</f>
        <v>3658.6200000000003</v>
      </c>
      <c r="F75" s="1050"/>
      <c r="G75" s="1048">
        <f>$D$53*$T$44</f>
        <v>6341.5999999999995</v>
      </c>
      <c r="H75" s="1047">
        <f>B75+E75</f>
        <v>15854</v>
      </c>
      <c r="K75" s="830"/>
    </row>
    <row r="76" spans="1:11" x14ac:dyDescent="0.25">
      <c r="B76" s="80"/>
      <c r="D76" s="830"/>
      <c r="E76" s="80"/>
      <c r="F76" s="80"/>
      <c r="H76" s="830"/>
      <c r="K76" s="830"/>
    </row>
    <row r="77" spans="1:11" x14ac:dyDescent="0.25">
      <c r="B77" s="80"/>
      <c r="D77" s="830"/>
      <c r="E77" s="80"/>
      <c r="F77" s="80"/>
      <c r="H77" s="830"/>
      <c r="K77" s="830"/>
    </row>
    <row r="78" spans="1:11" x14ac:dyDescent="0.25">
      <c r="A78" s="868"/>
      <c r="B78" s="1776" t="str">
        <f>"  شرائح اللحم مع المشروم  2 / " &amp; COUNTIF($C$53:$C$55, "&gt;0")</f>
        <v xml:space="preserve">  شرائح اللحم مع المشروم  2 / 2</v>
      </c>
      <c r="C78" s="1777"/>
      <c r="D78" s="1778"/>
      <c r="E78" s="1778"/>
      <c r="F78" s="1778"/>
      <c r="G78" s="1777"/>
      <c r="H78" s="1778"/>
      <c r="K78" s="830"/>
    </row>
    <row r="79" spans="1:11" x14ac:dyDescent="0.25">
      <c r="A79" s="868"/>
      <c r="B79" s="1832" t="str">
        <f>"  Meat Steak muchroom sauce 2  / " &amp; COUNTIF($C$53:$C$55, "&gt;0")</f>
        <v xml:space="preserve">  Meat Steak muchroom sauce 2  / 2</v>
      </c>
      <c r="C79" s="1777"/>
      <c r="D79" s="1778"/>
      <c r="E79" s="1778"/>
      <c r="F79" s="1778"/>
      <c r="G79" s="1777"/>
      <c r="H79" s="1778"/>
      <c r="K79" s="830"/>
    </row>
    <row r="80" spans="1:11" ht="38.25" x14ac:dyDescent="0.2">
      <c r="A80" s="1350" t="s">
        <v>864</v>
      </c>
      <c r="B80" s="923" t="s">
        <v>241</v>
      </c>
      <c r="C80" s="934" t="s">
        <v>242</v>
      </c>
      <c r="D80" s="923" t="s">
        <v>231</v>
      </c>
      <c r="E80" s="935" t="s">
        <v>234</v>
      </c>
      <c r="F80" s="935" t="s">
        <v>243</v>
      </c>
      <c r="G80" s="923" t="s">
        <v>244</v>
      </c>
      <c r="H80" s="936" t="s">
        <v>245</v>
      </c>
      <c r="K80" s="830"/>
    </row>
    <row r="81" spans="1:11" x14ac:dyDescent="0.2">
      <c r="A81" s="937" t="s">
        <v>873</v>
      </c>
      <c r="B81" s="938" t="str">
        <f t="shared" ref="B81:D89" si="18">B5</f>
        <v>Indian Meat Alana  - لحم هندى ألانا</v>
      </c>
      <c r="C81" s="938" t="str">
        <f t="shared" si="18"/>
        <v>gm</v>
      </c>
      <c r="D81" s="1125">
        <f t="shared" si="18"/>
        <v>2102.6517241379311</v>
      </c>
      <c r="E81" s="944">
        <f>H54</f>
        <v>0.60931396845488806</v>
      </c>
      <c r="F81" s="948">
        <f t="shared" ref="F81:F89" si="19">F5</f>
        <v>1</v>
      </c>
      <c r="G81" s="940">
        <f t="shared" ref="G81:G89" si="20">D81*E81</f>
        <v>1281.1750663129953</v>
      </c>
      <c r="H81" s="943">
        <f t="shared" ref="H81:H89" si="21">G81*F81</f>
        <v>1281.1750663129953</v>
      </c>
      <c r="K81" s="830"/>
    </row>
    <row r="82" spans="1:11" x14ac:dyDescent="0.25">
      <c r="B82" s="938" t="str">
        <f t="shared" si="18"/>
        <v>Milk - حليب</v>
      </c>
      <c r="C82" s="938" t="str">
        <f t="shared" si="18"/>
        <v>ml</v>
      </c>
      <c r="D82" s="1125">
        <f t="shared" si="18"/>
        <v>500</v>
      </c>
      <c r="E82" s="944">
        <f t="shared" ref="E82:E89" si="22">$C$54</f>
        <v>0.6219780219780251</v>
      </c>
      <c r="F82" s="948">
        <f t="shared" si="19"/>
        <v>1</v>
      </c>
      <c r="G82" s="940">
        <f t="shared" si="20"/>
        <v>310.98901098901257</v>
      </c>
      <c r="H82" s="943">
        <f t="shared" si="21"/>
        <v>310.98901098901257</v>
      </c>
      <c r="K82" s="830"/>
    </row>
    <row r="83" spans="1:11" x14ac:dyDescent="0.25">
      <c r="B83" s="938" t="str">
        <f t="shared" si="18"/>
        <v>Cooking Cream - كريمة طبخ</v>
      </c>
      <c r="C83" s="938" t="str">
        <f t="shared" si="18"/>
        <v>ml</v>
      </c>
      <c r="D83" s="1125">
        <f t="shared" si="18"/>
        <v>500</v>
      </c>
      <c r="E83" s="944">
        <f t="shared" si="22"/>
        <v>0.6219780219780251</v>
      </c>
      <c r="F83" s="948">
        <f t="shared" si="19"/>
        <v>1</v>
      </c>
      <c r="G83" s="940">
        <f t="shared" si="20"/>
        <v>310.98901098901257</v>
      </c>
      <c r="H83" s="943">
        <f t="shared" si="21"/>
        <v>310.98901098901257</v>
      </c>
      <c r="K83" s="830"/>
    </row>
    <row r="84" spans="1:11" x14ac:dyDescent="0.25">
      <c r="B84" s="938" t="str">
        <f t="shared" si="18"/>
        <v>Mushroom - مشروم ابيض</v>
      </c>
      <c r="C84" s="938" t="str">
        <f t="shared" si="18"/>
        <v>gm</v>
      </c>
      <c r="D84" s="1125">
        <f t="shared" si="18"/>
        <v>228.57142857142858</v>
      </c>
      <c r="E84" s="944">
        <f t="shared" si="22"/>
        <v>0.6219780219780251</v>
      </c>
      <c r="F84" s="948">
        <f t="shared" si="19"/>
        <v>1</v>
      </c>
      <c r="G84" s="940">
        <f t="shared" si="20"/>
        <v>142.16640502354861</v>
      </c>
      <c r="H84" s="943">
        <f t="shared" si="21"/>
        <v>142.16640502354861</v>
      </c>
      <c r="K84" s="830"/>
    </row>
    <row r="85" spans="1:11" x14ac:dyDescent="0.25">
      <c r="B85" s="938" t="str">
        <f t="shared" si="18"/>
        <v>Onion - بصل</v>
      </c>
      <c r="C85" s="938" t="str">
        <f t="shared" si="18"/>
        <v>gm</v>
      </c>
      <c r="D85" s="1125">
        <f t="shared" si="18"/>
        <v>71.428571428571431</v>
      </c>
      <c r="E85" s="944">
        <f t="shared" si="22"/>
        <v>0.6219780219780251</v>
      </c>
      <c r="F85" s="948">
        <f t="shared" si="19"/>
        <v>1</v>
      </c>
      <c r="G85" s="940">
        <f t="shared" si="20"/>
        <v>44.427001569858938</v>
      </c>
      <c r="H85" s="943">
        <f t="shared" si="21"/>
        <v>44.427001569858938</v>
      </c>
      <c r="K85" s="830"/>
    </row>
    <row r="86" spans="1:11" ht="25.5" x14ac:dyDescent="0.25">
      <c r="B86" s="938" t="str">
        <f t="shared" si="18"/>
        <v>Black Pepper Powder - فلفل أسود مطحون</v>
      </c>
      <c r="C86" s="938" t="str">
        <f t="shared" si="18"/>
        <v>gm</v>
      </c>
      <c r="D86" s="1125">
        <f t="shared" si="18"/>
        <v>7.1428571428571432</v>
      </c>
      <c r="E86" s="944">
        <f t="shared" si="22"/>
        <v>0.6219780219780251</v>
      </c>
      <c r="F86" s="948">
        <f t="shared" si="19"/>
        <v>0.75</v>
      </c>
      <c r="G86" s="940">
        <f t="shared" si="20"/>
        <v>4.4427001569858939</v>
      </c>
      <c r="H86" s="943">
        <f t="shared" si="21"/>
        <v>3.3320251177394207</v>
      </c>
      <c r="K86" s="830"/>
    </row>
    <row r="87" spans="1:11" x14ac:dyDescent="0.25">
      <c r="B87" s="938" t="str">
        <f t="shared" si="18"/>
        <v>Maggi Cubes - مكعبات ماجي</v>
      </c>
      <c r="C87" s="938" t="str">
        <f t="shared" si="18"/>
        <v>gm</v>
      </c>
      <c r="D87" s="1125">
        <f t="shared" si="18"/>
        <v>7.1428571428571432</v>
      </c>
      <c r="E87" s="944">
        <f t="shared" si="22"/>
        <v>0.6219780219780251</v>
      </c>
      <c r="F87" s="948">
        <f t="shared" si="19"/>
        <v>0.75</v>
      </c>
      <c r="G87" s="940">
        <f t="shared" si="20"/>
        <v>4.4427001569858939</v>
      </c>
      <c r="H87" s="943">
        <f t="shared" si="21"/>
        <v>3.3320251177394207</v>
      </c>
      <c r="K87" s="830"/>
    </row>
    <row r="88" spans="1:11" ht="25.5" x14ac:dyDescent="0.25">
      <c r="B88" s="938" t="str">
        <f t="shared" si="18"/>
        <v>Demi Glaze Sauce - صوص ديمي غلاز</v>
      </c>
      <c r="C88" s="938" t="str">
        <f t="shared" si="18"/>
        <v>gm</v>
      </c>
      <c r="D88" s="1125">
        <f t="shared" si="18"/>
        <v>71.428571428571431</v>
      </c>
      <c r="E88" s="944">
        <f t="shared" si="22"/>
        <v>0.6219780219780251</v>
      </c>
      <c r="F88" s="948">
        <f t="shared" si="19"/>
        <v>0.75</v>
      </c>
      <c r="G88" s="940">
        <f t="shared" si="20"/>
        <v>44.427001569858938</v>
      </c>
      <c r="H88" s="943">
        <f t="shared" si="21"/>
        <v>33.320251177394205</v>
      </c>
      <c r="K88" s="830"/>
    </row>
    <row r="89" spans="1:11" x14ac:dyDescent="0.25">
      <c r="B89" s="938" t="str">
        <f t="shared" si="18"/>
        <v>Butter - زبدة</v>
      </c>
      <c r="C89" s="938" t="str">
        <f t="shared" si="18"/>
        <v>gm</v>
      </c>
      <c r="D89" s="1125">
        <f t="shared" si="18"/>
        <v>35.714285714285715</v>
      </c>
      <c r="E89" s="944">
        <f t="shared" si="22"/>
        <v>0.6219780219780251</v>
      </c>
      <c r="F89" s="948">
        <f t="shared" si="19"/>
        <v>0.75</v>
      </c>
      <c r="G89" s="940">
        <f t="shared" si="20"/>
        <v>22.213500784929469</v>
      </c>
      <c r="H89" s="943">
        <f t="shared" si="21"/>
        <v>16.660125588697102</v>
      </c>
      <c r="K89" s="830"/>
    </row>
    <row r="90" spans="1:11" ht="18" x14ac:dyDescent="0.25">
      <c r="A90" s="861"/>
      <c r="B90" s="1041" t="s">
        <v>287</v>
      </c>
      <c r="C90" s="1042" t="s">
        <v>273</v>
      </c>
      <c r="D90" s="1043"/>
      <c r="E90" s="1044" t="s">
        <v>288</v>
      </c>
      <c r="F90" s="1043"/>
      <c r="G90" s="1045" t="s">
        <v>264</v>
      </c>
      <c r="H90" s="1046" t="s">
        <v>661</v>
      </c>
      <c r="K90" s="830"/>
    </row>
    <row r="91" spans="1:11" ht="20.25" x14ac:dyDescent="0.3">
      <c r="A91" s="861"/>
      <c r="B91" s="1047">
        <f>$J$54</f>
        <v>743.08153846153618</v>
      </c>
      <c r="C91" s="1048">
        <f>E91+G91</f>
        <v>609.55187138461861</v>
      </c>
      <c r="D91" s="1049"/>
      <c r="E91" s="1047">
        <f>$D$54*$S$44</f>
        <v>223.00696061538579</v>
      </c>
      <c r="F91" s="1050"/>
      <c r="G91" s="1048">
        <f>$D$54*$T$44</f>
        <v>386.54491076923279</v>
      </c>
      <c r="H91" s="1047">
        <f>B91+E91</f>
        <v>966.08849907692195</v>
      </c>
      <c r="K91" s="830"/>
    </row>
    <row r="92" spans="1:11" x14ac:dyDescent="0.25">
      <c r="B92" s="830"/>
      <c r="D92" s="830"/>
      <c r="E92" s="830"/>
      <c r="F92" s="830"/>
      <c r="H92" s="830"/>
      <c r="K92" s="830"/>
    </row>
    <row r="93" spans="1:11" x14ac:dyDescent="0.25">
      <c r="A93" s="860"/>
      <c r="B93" s="1776" t="str">
        <f>"  شرائح اللحم مع المشروم  3 / " &amp; COUNTIF($C$53:$C$55, "&gt;0")</f>
        <v xml:space="preserve">  شرائح اللحم مع المشروم  3 / 2</v>
      </c>
      <c r="C93" s="1777"/>
      <c r="D93" s="1778"/>
      <c r="E93" s="1778"/>
      <c r="F93" s="1778"/>
      <c r="G93" s="1777"/>
      <c r="H93" s="1778"/>
      <c r="K93" s="830"/>
    </row>
    <row r="94" spans="1:11" x14ac:dyDescent="0.25">
      <c r="A94" s="860"/>
      <c r="B94" s="1832" t="str">
        <f>"  Meat Steak muchroom sauce 3  / " &amp; COUNTIF($C$53:$C$55, "&gt;0")</f>
        <v xml:space="preserve">  Meat Steak muchroom sauce 3  / 2</v>
      </c>
      <c r="C94" s="1777"/>
      <c r="D94" s="1778"/>
      <c r="E94" s="1778"/>
      <c r="F94" s="1778"/>
      <c r="G94" s="1777"/>
      <c r="H94" s="1778"/>
      <c r="K94" s="830"/>
    </row>
    <row r="95" spans="1:11" ht="38.25" x14ac:dyDescent="0.2">
      <c r="A95" s="1350" t="s">
        <v>864</v>
      </c>
      <c r="B95" s="923" t="s">
        <v>241</v>
      </c>
      <c r="C95" s="934" t="s">
        <v>242</v>
      </c>
      <c r="D95" s="923" t="s">
        <v>231</v>
      </c>
      <c r="E95" s="935" t="s">
        <v>234</v>
      </c>
      <c r="F95" s="935" t="s">
        <v>243</v>
      </c>
      <c r="G95" s="923" t="s">
        <v>244</v>
      </c>
      <c r="H95" s="936" t="s">
        <v>245</v>
      </c>
      <c r="K95" s="830"/>
    </row>
    <row r="96" spans="1:11" x14ac:dyDescent="0.2">
      <c r="A96" s="937" t="s">
        <v>873</v>
      </c>
      <c r="B96" s="938" t="str">
        <f t="shared" ref="B96:D104" si="23">B5</f>
        <v>Indian Meat Alana  - لحم هندى ألانا</v>
      </c>
      <c r="C96" s="938" t="str">
        <f t="shared" si="23"/>
        <v>gm</v>
      </c>
      <c r="D96" s="1125">
        <f t="shared" si="23"/>
        <v>2102.6517241379311</v>
      </c>
      <c r="E96" s="944">
        <f>H55</f>
        <v>0</v>
      </c>
      <c r="F96" s="948">
        <f t="shared" ref="F96:F104" si="24">F5</f>
        <v>1</v>
      </c>
      <c r="G96" s="940">
        <f t="shared" ref="G96:G104" si="25">D96*E96</f>
        <v>0</v>
      </c>
      <c r="H96" s="943">
        <f t="shared" ref="H96:H104" si="26">G96*F96</f>
        <v>0</v>
      </c>
      <c r="K96" s="830"/>
    </row>
    <row r="97" spans="1:11" x14ac:dyDescent="0.25">
      <c r="B97" s="938" t="str">
        <f t="shared" si="23"/>
        <v>Milk - حليب</v>
      </c>
      <c r="C97" s="938" t="str">
        <f t="shared" si="23"/>
        <v>ml</v>
      </c>
      <c r="D97" s="1125">
        <f t="shared" si="23"/>
        <v>500</v>
      </c>
      <c r="E97" s="944">
        <f t="shared" ref="E97:E104" si="27">$C$55</f>
        <v>0</v>
      </c>
      <c r="F97" s="948">
        <f t="shared" si="24"/>
        <v>1</v>
      </c>
      <c r="G97" s="940">
        <f t="shared" si="25"/>
        <v>0</v>
      </c>
      <c r="H97" s="943">
        <f t="shared" si="26"/>
        <v>0</v>
      </c>
      <c r="K97" s="830"/>
    </row>
    <row r="98" spans="1:11" x14ac:dyDescent="0.25">
      <c r="B98" s="938" t="str">
        <f t="shared" si="23"/>
        <v>Cooking Cream - كريمة طبخ</v>
      </c>
      <c r="C98" s="938" t="str">
        <f t="shared" si="23"/>
        <v>ml</v>
      </c>
      <c r="D98" s="1125">
        <f t="shared" si="23"/>
        <v>500</v>
      </c>
      <c r="E98" s="944">
        <f t="shared" si="27"/>
        <v>0</v>
      </c>
      <c r="F98" s="948">
        <f t="shared" si="24"/>
        <v>1</v>
      </c>
      <c r="G98" s="940">
        <f t="shared" si="25"/>
        <v>0</v>
      </c>
      <c r="H98" s="943">
        <f t="shared" si="26"/>
        <v>0</v>
      </c>
      <c r="K98" s="830"/>
    </row>
    <row r="99" spans="1:11" x14ac:dyDescent="0.25">
      <c r="B99" s="938" t="str">
        <f t="shared" si="23"/>
        <v>Mushroom - مشروم ابيض</v>
      </c>
      <c r="C99" s="938" t="str">
        <f t="shared" si="23"/>
        <v>gm</v>
      </c>
      <c r="D99" s="1125">
        <f t="shared" si="23"/>
        <v>228.57142857142858</v>
      </c>
      <c r="E99" s="944">
        <f t="shared" si="27"/>
        <v>0</v>
      </c>
      <c r="F99" s="948">
        <f t="shared" si="24"/>
        <v>1</v>
      </c>
      <c r="G99" s="940">
        <f t="shared" si="25"/>
        <v>0</v>
      </c>
      <c r="H99" s="943">
        <f t="shared" si="26"/>
        <v>0</v>
      </c>
      <c r="K99" s="830"/>
    </row>
    <row r="100" spans="1:11" x14ac:dyDescent="0.25">
      <c r="B100" s="938" t="str">
        <f t="shared" si="23"/>
        <v>Onion - بصل</v>
      </c>
      <c r="C100" s="938" t="str">
        <f t="shared" si="23"/>
        <v>gm</v>
      </c>
      <c r="D100" s="1125">
        <f t="shared" si="23"/>
        <v>71.428571428571431</v>
      </c>
      <c r="E100" s="944">
        <f t="shared" si="27"/>
        <v>0</v>
      </c>
      <c r="F100" s="948">
        <f t="shared" si="24"/>
        <v>1</v>
      </c>
      <c r="G100" s="940">
        <f t="shared" si="25"/>
        <v>0</v>
      </c>
      <c r="H100" s="943">
        <f t="shared" si="26"/>
        <v>0</v>
      </c>
      <c r="K100" s="830"/>
    </row>
    <row r="101" spans="1:11" ht="25.5" x14ac:dyDescent="0.25">
      <c r="B101" s="938" t="str">
        <f t="shared" si="23"/>
        <v>Black Pepper Powder - فلفل أسود مطحون</v>
      </c>
      <c r="C101" s="938" t="str">
        <f t="shared" si="23"/>
        <v>gm</v>
      </c>
      <c r="D101" s="1125">
        <f t="shared" si="23"/>
        <v>7.1428571428571432</v>
      </c>
      <c r="E101" s="944">
        <f t="shared" si="27"/>
        <v>0</v>
      </c>
      <c r="F101" s="948">
        <f t="shared" si="24"/>
        <v>0.75</v>
      </c>
      <c r="G101" s="940">
        <f t="shared" si="25"/>
        <v>0</v>
      </c>
      <c r="H101" s="943">
        <f t="shared" si="26"/>
        <v>0</v>
      </c>
      <c r="K101" s="830"/>
    </row>
    <row r="102" spans="1:11" x14ac:dyDescent="0.25">
      <c r="B102" s="938" t="str">
        <f t="shared" si="23"/>
        <v>Maggi Cubes - مكعبات ماجي</v>
      </c>
      <c r="C102" s="938" t="str">
        <f t="shared" si="23"/>
        <v>gm</v>
      </c>
      <c r="D102" s="1125">
        <f t="shared" si="23"/>
        <v>7.1428571428571432</v>
      </c>
      <c r="E102" s="944">
        <f t="shared" si="27"/>
        <v>0</v>
      </c>
      <c r="F102" s="948">
        <f t="shared" si="24"/>
        <v>0.75</v>
      </c>
      <c r="G102" s="940">
        <f t="shared" si="25"/>
        <v>0</v>
      </c>
      <c r="H102" s="943">
        <f t="shared" si="26"/>
        <v>0</v>
      </c>
      <c r="K102" s="830"/>
    </row>
    <row r="103" spans="1:11" ht="25.5" x14ac:dyDescent="0.25">
      <c r="B103" s="938" t="str">
        <f t="shared" si="23"/>
        <v>Demi Glaze Sauce - صوص ديمي غلاز</v>
      </c>
      <c r="C103" s="938" t="str">
        <f t="shared" si="23"/>
        <v>gm</v>
      </c>
      <c r="D103" s="1125">
        <f t="shared" si="23"/>
        <v>71.428571428571431</v>
      </c>
      <c r="E103" s="944">
        <f t="shared" si="27"/>
        <v>0</v>
      </c>
      <c r="F103" s="948">
        <f t="shared" si="24"/>
        <v>0.75</v>
      </c>
      <c r="G103" s="940">
        <f t="shared" si="25"/>
        <v>0</v>
      </c>
      <c r="H103" s="943">
        <f t="shared" si="26"/>
        <v>0</v>
      </c>
      <c r="K103" s="830"/>
    </row>
    <row r="104" spans="1:11" x14ac:dyDescent="0.25">
      <c r="B104" s="938" t="str">
        <f t="shared" si="23"/>
        <v>Butter - زبدة</v>
      </c>
      <c r="C104" s="938" t="str">
        <f t="shared" si="23"/>
        <v>gm</v>
      </c>
      <c r="D104" s="1125">
        <f t="shared" si="23"/>
        <v>35.714285714285715</v>
      </c>
      <c r="E104" s="944">
        <f t="shared" si="27"/>
        <v>0</v>
      </c>
      <c r="F104" s="948">
        <f t="shared" si="24"/>
        <v>0.75</v>
      </c>
      <c r="G104" s="940">
        <f t="shared" si="25"/>
        <v>0</v>
      </c>
      <c r="H104" s="943">
        <f t="shared" si="26"/>
        <v>0</v>
      </c>
      <c r="K104" s="830"/>
    </row>
    <row r="105" spans="1:11" ht="18" x14ac:dyDescent="0.25">
      <c r="A105" s="61"/>
      <c r="B105" s="1041" t="s">
        <v>287</v>
      </c>
      <c r="C105" s="1042" t="s">
        <v>273</v>
      </c>
      <c r="D105" s="1043"/>
      <c r="E105" s="1044" t="s">
        <v>288</v>
      </c>
      <c r="F105" s="1043"/>
      <c r="G105" s="1045" t="s">
        <v>264</v>
      </c>
      <c r="H105" s="1046" t="s">
        <v>661</v>
      </c>
      <c r="K105" s="830"/>
    </row>
    <row r="106" spans="1:11" ht="20.25" x14ac:dyDescent="0.3">
      <c r="A106" s="61"/>
      <c r="B106" s="1047">
        <f>$J$55</f>
        <v>0</v>
      </c>
      <c r="C106" s="1048">
        <f>E106+G106</f>
        <v>0</v>
      </c>
      <c r="D106" s="1054"/>
      <c r="E106" s="1047">
        <f>$D$55*$S$44</f>
        <v>0</v>
      </c>
      <c r="F106" s="1054"/>
      <c r="G106" s="1048">
        <f>$D$55*$T$44</f>
        <v>0</v>
      </c>
      <c r="H106" s="1047">
        <f>B106+E106</f>
        <v>0</v>
      </c>
      <c r="K106" s="830"/>
    </row>
    <row r="107" spans="1:11" ht="40.5" customHeight="1" x14ac:dyDescent="0.25"/>
    <row r="108" spans="1:11" ht="14.25" customHeight="1" x14ac:dyDescent="0.25"/>
    <row r="109" spans="1:11" ht="14.25" customHeight="1" x14ac:dyDescent="0.25"/>
    <row r="110" spans="1:11" ht="14.25" customHeight="1" x14ac:dyDescent="0.25"/>
    <row r="111" spans="1:11" ht="14.25" customHeight="1" x14ac:dyDescent="0.25"/>
    <row r="112" spans="1:11" ht="14.25" customHeight="1" x14ac:dyDescent="0.25"/>
    <row r="113" spans="9:10" ht="14.25" customHeight="1" x14ac:dyDescent="0.25"/>
    <row r="114" spans="9:10" ht="14.25" customHeight="1" x14ac:dyDescent="0.25"/>
    <row r="115" spans="9:10" ht="14.25" customHeight="1" x14ac:dyDescent="0.25"/>
    <row r="116" spans="9:10" ht="14.25" customHeight="1" x14ac:dyDescent="0.25"/>
    <row r="117" spans="9:10" ht="14.25" customHeight="1" x14ac:dyDescent="0.25"/>
    <row r="118" spans="9:10" ht="14.25" customHeight="1" x14ac:dyDescent="0.25"/>
    <row r="119" spans="9:10" ht="14.25" customHeight="1" x14ac:dyDescent="0.25"/>
    <row r="120" spans="9:10" ht="20.25" customHeight="1" x14ac:dyDescent="0.3">
      <c r="I120" s="142"/>
      <c r="J120" s="141"/>
    </row>
    <row r="121" spans="9:10" ht="14.25" customHeight="1" x14ac:dyDescent="0.25"/>
    <row r="122" spans="9:10" ht="14.25" customHeight="1" x14ac:dyDescent="0.25"/>
  </sheetData>
  <mergeCells count="10">
    <mergeCell ref="R25:U25"/>
    <mergeCell ref="R26:U26"/>
    <mergeCell ref="B35:F35"/>
    <mergeCell ref="B62:H62"/>
    <mergeCell ref="B63:H63"/>
    <mergeCell ref="B78:H78"/>
    <mergeCell ref="B79:H79"/>
    <mergeCell ref="B93:H93"/>
    <mergeCell ref="B94:H94"/>
    <mergeCell ref="B2:K3"/>
  </mergeCells>
  <printOptions horizontalCentered="1"/>
  <pageMargins left="0.5" right="0.5" top="1" bottom="0.5" header="0.3" footer="0.511811023622047"/>
  <pageSetup paperSize="9" scale="36"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DC368-CB14-46DB-98DA-13CC5C8DC2A8}">
  <sheetPr codeName="Sheet91">
    <tabColor theme="8" tint="-0.249977111117893"/>
    <pageSetUpPr fitToPage="1"/>
  </sheetPr>
  <dimension ref="A1:AF84"/>
  <sheetViews>
    <sheetView topLeftCell="B30" zoomScale="55" zoomScaleNormal="55" workbookViewId="0">
      <selection activeCell="D71" sqref="D71"/>
    </sheetView>
  </sheetViews>
  <sheetFormatPr defaultColWidth="12.5" defaultRowHeight="15" x14ac:dyDescent="0.25"/>
  <cols>
    <col min="1" max="1" width="18.625" style="61" customWidth="1"/>
    <col min="2" max="2" width="25.875" style="168"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3.75" style="14" customWidth="1"/>
    <col min="15" max="15" width="18.625" style="14" customWidth="1"/>
    <col min="16" max="16" width="8.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5" width="8.625" style="14" customWidth="1"/>
    <col min="26" max="28" width="12.625" style="14" customWidth="1"/>
    <col min="29" max="29" width="18.625" style="14" customWidth="1"/>
    <col min="30" max="30" width="8.625" style="14" customWidth="1"/>
    <col min="31" max="31" width="12.625" style="14" customWidth="1"/>
    <col min="32" max="32" width="8.625" style="14" customWidth="1"/>
    <col min="33" max="35" width="2.875" style="14" customWidth="1"/>
    <col min="36" max="16384" width="12.5" style="14"/>
  </cols>
  <sheetData>
    <row r="1" spans="1:32" ht="25.5" x14ac:dyDescent="0.25">
      <c r="B1" s="913" t="s">
        <v>330</v>
      </c>
      <c r="C1" s="914">
        <v>1</v>
      </c>
      <c r="D1" s="915" t="s">
        <v>232</v>
      </c>
      <c r="E1" s="941">
        <f>U32</f>
        <v>178</v>
      </c>
      <c r="F1" s="913" t="s">
        <v>233</v>
      </c>
      <c r="G1" s="941">
        <f>E1/C1</f>
        <v>178</v>
      </c>
      <c r="H1" s="913" t="s">
        <v>234</v>
      </c>
      <c r="I1" s="1185"/>
      <c r="J1" s="209" t="s">
        <v>235</v>
      </c>
      <c r="K1" s="210">
        <v>1</v>
      </c>
      <c r="L1" s="80"/>
      <c r="M1" s="80"/>
      <c r="N1" s="80"/>
      <c r="O1" s="923" t="s">
        <v>236</v>
      </c>
      <c r="P1" s="914" t="s">
        <v>894</v>
      </c>
      <c r="Q1" s="924" t="s">
        <v>238</v>
      </c>
      <c r="R1" s="914">
        <v>0.89</v>
      </c>
      <c r="S1" s="924" t="s">
        <v>332</v>
      </c>
      <c r="T1" s="1186">
        <v>80</v>
      </c>
      <c r="U1" s="80"/>
      <c r="V1" s="80"/>
      <c r="W1" s="890"/>
      <c r="Y1" s="923" t="s">
        <v>444</v>
      </c>
      <c r="Z1" s="925">
        <v>173</v>
      </c>
      <c r="AA1" s="923" t="s">
        <v>544</v>
      </c>
      <c r="AB1" s="925">
        <v>5</v>
      </c>
      <c r="AC1" s="923" t="s">
        <v>537</v>
      </c>
      <c r="AD1" s="925">
        <v>173</v>
      </c>
      <c r="AE1" s="923" t="s">
        <v>529</v>
      </c>
      <c r="AF1" s="925">
        <f>Z1+AB1</f>
        <v>178</v>
      </c>
    </row>
    <row r="2" spans="1:32" x14ac:dyDescent="0.25">
      <c r="A2" s="863"/>
      <c r="B2" s="1784" t="s">
        <v>832</v>
      </c>
      <c r="C2" s="1784"/>
      <c r="D2" s="1784"/>
      <c r="E2" s="1784"/>
      <c r="F2" s="1784"/>
      <c r="G2" s="1784"/>
      <c r="H2" s="1784"/>
      <c r="I2" s="327"/>
      <c r="J2" s="327"/>
      <c r="K2" s="1183"/>
      <c r="L2" s="187"/>
      <c r="M2" s="80"/>
      <c r="N2" s="80"/>
      <c r="O2" s="80"/>
      <c r="P2" s="80"/>
      <c r="Q2" s="80"/>
      <c r="R2" s="80"/>
      <c r="S2" s="80"/>
      <c r="T2" s="80"/>
      <c r="U2" s="80"/>
      <c r="W2" s="890"/>
    </row>
    <row r="3" spans="1:32" x14ac:dyDescent="0.25">
      <c r="A3" s="863"/>
      <c r="B3" s="1791"/>
      <c r="C3" s="1791"/>
      <c r="D3" s="1791"/>
      <c r="E3" s="1791"/>
      <c r="F3" s="1791"/>
      <c r="G3" s="1791"/>
      <c r="H3" s="1791"/>
      <c r="I3" s="1187"/>
      <c r="J3" s="1187"/>
      <c r="K3" s="1188"/>
      <c r="L3" s="187"/>
      <c r="M3" s="80"/>
      <c r="N3" s="80"/>
      <c r="O3" s="80"/>
      <c r="P3" s="80"/>
      <c r="Q3" s="80"/>
      <c r="R3" s="80"/>
      <c r="S3" s="80"/>
      <c r="T3" s="80"/>
      <c r="U3" s="80"/>
      <c r="W3" s="890"/>
    </row>
    <row r="4" spans="1:32" ht="25.5" x14ac:dyDescent="0.2">
      <c r="A4" s="1350" t="s">
        <v>864</v>
      </c>
      <c r="B4" s="923" t="s">
        <v>241</v>
      </c>
      <c r="C4" s="934" t="s">
        <v>242</v>
      </c>
      <c r="D4" s="923" t="s">
        <v>231</v>
      </c>
      <c r="E4" s="935" t="s">
        <v>234</v>
      </c>
      <c r="F4" s="935" t="s">
        <v>243</v>
      </c>
      <c r="G4" s="923" t="s">
        <v>244</v>
      </c>
      <c r="H4" s="936" t="s">
        <v>334</v>
      </c>
      <c r="I4" s="923" t="s">
        <v>246</v>
      </c>
      <c r="J4" s="923" t="s">
        <v>247</v>
      </c>
      <c r="K4" s="923" t="s">
        <v>248</v>
      </c>
      <c r="L4" s="923" t="s">
        <v>249</v>
      </c>
      <c r="M4" s="235"/>
      <c r="N4" s="80"/>
      <c r="O4" s="80"/>
      <c r="P4" s="80"/>
      <c r="Q4" s="80"/>
      <c r="R4" s="80"/>
      <c r="S4" s="80"/>
      <c r="T4" s="890"/>
      <c r="W4" s="890"/>
    </row>
    <row r="5" spans="1:32" x14ac:dyDescent="0.25">
      <c r="A5" s="949" t="s">
        <v>892</v>
      </c>
      <c r="B5" s="951" t="s">
        <v>478</v>
      </c>
      <c r="C5" s="1247" t="s">
        <v>14</v>
      </c>
      <c r="D5" s="1116">
        <v>120</v>
      </c>
      <c r="E5" s="940">
        <f>$G$1</f>
        <v>178</v>
      </c>
      <c r="F5" s="948">
        <v>1</v>
      </c>
      <c r="G5" s="940">
        <f>D5*E5</f>
        <v>21360</v>
      </c>
      <c r="H5" s="943">
        <f>G5*F5</f>
        <v>21360</v>
      </c>
      <c r="I5" s="914">
        <f>VLOOKUP(B5,All_Ingredients!$A$1:$F$161,6,FALSE())</f>
        <v>0.97</v>
      </c>
      <c r="J5" s="940">
        <f>VLOOKUP(B5,All_Ingredients!$A$1:$J$161,10,FALSE())</f>
        <v>37.82</v>
      </c>
      <c r="K5" s="945">
        <f t="shared" ref="K5" si="0">(H5/I5)/1000</f>
        <v>22.020618556701031</v>
      </c>
      <c r="L5" s="945">
        <f t="shared" ref="L5" si="1">K5*J5</f>
        <v>832.81979381443296</v>
      </c>
      <c r="M5" s="87"/>
      <c r="R5" s="890"/>
      <c r="T5" s="890"/>
      <c r="W5" s="890"/>
    </row>
    <row r="6" spans="1:32" ht="28.5" x14ac:dyDescent="0.25">
      <c r="A6" s="1249" t="s">
        <v>888</v>
      </c>
      <c r="B6" s="951" t="s">
        <v>951</v>
      </c>
      <c r="C6" s="1247" t="s">
        <v>14</v>
      </c>
      <c r="D6" s="1248">
        <v>10</v>
      </c>
      <c r="E6" s="940">
        <f>$G$1</f>
        <v>178</v>
      </c>
      <c r="F6" s="948">
        <v>1</v>
      </c>
      <c r="G6" s="940">
        <f>D6*E6</f>
        <v>1780</v>
      </c>
      <c r="H6" s="943">
        <f>G6*F6</f>
        <v>1780</v>
      </c>
      <c r="I6" s="914">
        <f>VLOOKUP(B6,All_Ingredients!$A$1:$F$161,6,FALSE())</f>
        <v>0.5</v>
      </c>
      <c r="J6" s="940">
        <f>VLOOKUP(B6,All_Ingredients!$A$1:$J$161,10,FALSE())</f>
        <v>8.5</v>
      </c>
      <c r="K6" s="945">
        <f t="shared" ref="K6:K9" si="2">(H6/I6)/1000</f>
        <v>3.56</v>
      </c>
      <c r="L6" s="945">
        <f t="shared" ref="L6:L9" si="3">K6*J6</f>
        <v>30.26</v>
      </c>
      <c r="M6" s="87"/>
      <c r="R6" s="890"/>
      <c r="T6" s="890"/>
      <c r="W6" s="890"/>
    </row>
    <row r="7" spans="1:32" ht="28.5" x14ac:dyDescent="0.25">
      <c r="A7" s="949"/>
      <c r="B7" s="951" t="s">
        <v>775</v>
      </c>
      <c r="C7" s="947" t="s">
        <v>230</v>
      </c>
      <c r="D7" s="1248">
        <v>1</v>
      </c>
      <c r="E7" s="940">
        <f>$Z$1+$AB$1</f>
        <v>178</v>
      </c>
      <c r="F7" s="948">
        <v>1</v>
      </c>
      <c r="G7" s="944">
        <f>D7*($Z$1+$AB$1)</f>
        <v>178</v>
      </c>
      <c r="H7" s="943">
        <f>G7*F7</f>
        <v>178</v>
      </c>
      <c r="I7" s="914">
        <f>VLOOKUP(B7,All_Ingredients!$A$1:$F$161,6,FALSE())</f>
        <v>1</v>
      </c>
      <c r="J7" s="940">
        <f>VLOOKUP(B7,All_Ingredients!$A$1:$J$161,10,FALSE())</f>
        <v>0.6</v>
      </c>
      <c r="K7" s="945">
        <f t="shared" si="2"/>
        <v>0.17799999999999999</v>
      </c>
      <c r="L7" s="945">
        <f t="shared" si="3"/>
        <v>0.10679999999999999</v>
      </c>
      <c r="M7" s="87"/>
      <c r="R7" s="890"/>
      <c r="T7" s="890"/>
      <c r="W7" s="890"/>
    </row>
    <row r="8" spans="1:32" x14ac:dyDescent="0.25">
      <c r="A8" s="949" t="s">
        <v>882</v>
      </c>
      <c r="B8" s="951" t="s">
        <v>807</v>
      </c>
      <c r="C8" s="1247" t="s">
        <v>14</v>
      </c>
      <c r="D8" s="1248">
        <v>25</v>
      </c>
      <c r="E8" s="940">
        <f t="shared" ref="E8:E9" si="4">$G$1</f>
        <v>178</v>
      </c>
      <c r="F8" s="948">
        <v>1</v>
      </c>
      <c r="G8" s="944">
        <f t="shared" ref="G8:G9" si="5">D8*($Z$1+$AB$1)</f>
        <v>4450</v>
      </c>
      <c r="H8" s="943">
        <f t="shared" ref="H8:H9" si="6">G8*F8</f>
        <v>4450</v>
      </c>
      <c r="I8" s="914">
        <f>VLOOKUP(B8,All_Ingredients!$A$1:$F$161,6,FALSE())</f>
        <v>0.66</v>
      </c>
      <c r="J8" s="940">
        <f>VLOOKUP(B8,All_Ingredients!$A$1:$J$161,10,FALSE())</f>
        <v>3.5</v>
      </c>
      <c r="K8" s="945">
        <f t="shared" si="2"/>
        <v>6.7424242424242422</v>
      </c>
      <c r="L8" s="945">
        <f t="shared" si="3"/>
        <v>23.598484848484848</v>
      </c>
      <c r="M8" s="87"/>
      <c r="R8" s="890"/>
      <c r="T8" s="890"/>
      <c r="W8" s="890"/>
    </row>
    <row r="9" spans="1:32" x14ac:dyDescent="0.25">
      <c r="A9" s="949"/>
      <c r="B9" s="951" t="s">
        <v>798</v>
      </c>
      <c r="C9" s="947" t="s">
        <v>230</v>
      </c>
      <c r="D9" s="1248">
        <v>1</v>
      </c>
      <c r="E9" s="940">
        <f t="shared" si="4"/>
        <v>178</v>
      </c>
      <c r="F9" s="948">
        <v>1</v>
      </c>
      <c r="G9" s="944">
        <f t="shared" si="5"/>
        <v>178</v>
      </c>
      <c r="H9" s="943">
        <f t="shared" si="6"/>
        <v>178</v>
      </c>
      <c r="I9" s="914">
        <f>VLOOKUP(B9,All_Ingredients!$A$1:$F$161,6,FALSE())</f>
        <v>1</v>
      </c>
      <c r="J9" s="940">
        <f>VLOOKUP(B9,All_Ingredients!$A$1:$J$161,10,FALSE())</f>
        <v>0.58333333333333337</v>
      </c>
      <c r="K9" s="945">
        <f t="shared" si="2"/>
        <v>0.17799999999999999</v>
      </c>
      <c r="L9" s="945">
        <f t="shared" si="3"/>
        <v>0.10383333333333333</v>
      </c>
      <c r="M9" s="87"/>
      <c r="R9" s="890"/>
      <c r="T9" s="890"/>
      <c r="W9" s="890"/>
    </row>
    <row r="10" spans="1:32" x14ac:dyDescent="0.25">
      <c r="B10" s="891"/>
      <c r="C10" s="228"/>
      <c r="D10" s="92"/>
      <c r="E10" s="92"/>
      <c r="F10" s="900"/>
      <c r="G10" s="92"/>
      <c r="H10" s="901"/>
      <c r="I10" s="73"/>
      <c r="J10" s="92"/>
      <c r="K10" s="87"/>
      <c r="L10" s="87"/>
      <c r="M10" s="87"/>
      <c r="R10" s="890"/>
      <c r="T10" s="890"/>
      <c r="W10" s="890"/>
    </row>
    <row r="11" spans="1:32" ht="15.75" x14ac:dyDescent="0.25">
      <c r="B11" s="1191" t="s">
        <v>1015</v>
      </c>
      <c r="C11" s="1783" t="s">
        <v>832</v>
      </c>
      <c r="D11" s="1783"/>
      <c r="E11" s="1783"/>
      <c r="F11" s="1783"/>
      <c r="G11" s="930"/>
      <c r="H11" s="930"/>
      <c r="I11" s="930"/>
      <c r="J11" s="930"/>
      <c r="K11" s="930"/>
      <c r="L11" s="930"/>
      <c r="M11" s="87"/>
      <c r="R11" s="890"/>
      <c r="T11" s="890"/>
      <c r="W11" s="890"/>
    </row>
    <row r="12" spans="1:32" x14ac:dyDescent="0.25">
      <c r="B12" s="926" t="s">
        <v>250</v>
      </c>
      <c r="C12" s="926">
        <v>10000</v>
      </c>
      <c r="D12" s="927" t="s">
        <v>476</v>
      </c>
      <c r="E12" s="928">
        <f>$S$32*$T$1</f>
        <v>14240</v>
      </c>
      <c r="F12" s="926" t="s">
        <v>239</v>
      </c>
      <c r="G12" s="929">
        <f>(($S$32*$T$1)/$R$1)/$C$12</f>
        <v>1.6</v>
      </c>
      <c r="H12" s="1207"/>
      <c r="I12" s="1207"/>
      <c r="J12" s="1207"/>
      <c r="K12" s="1207"/>
      <c r="L12" s="1207"/>
      <c r="M12" s="87"/>
      <c r="R12" s="890"/>
      <c r="T12" s="890"/>
      <c r="W12" s="890"/>
    </row>
    <row r="13" spans="1:32" ht="38.25" x14ac:dyDescent="0.25">
      <c r="B13" s="926" t="s">
        <v>241</v>
      </c>
      <c r="C13" s="926" t="s">
        <v>242</v>
      </c>
      <c r="D13" s="926" t="s">
        <v>250</v>
      </c>
      <c r="E13" s="926" t="s">
        <v>234</v>
      </c>
      <c r="F13" s="926" t="s">
        <v>243</v>
      </c>
      <c r="G13" s="926" t="s">
        <v>244</v>
      </c>
      <c r="H13" s="926" t="s">
        <v>245</v>
      </c>
      <c r="I13" s="926" t="s">
        <v>246</v>
      </c>
      <c r="J13" s="926" t="s">
        <v>247</v>
      </c>
      <c r="K13" s="926" t="s">
        <v>248</v>
      </c>
      <c r="L13" s="926" t="s">
        <v>249</v>
      </c>
      <c r="M13" s="87"/>
      <c r="R13" s="890"/>
      <c r="T13" s="890"/>
      <c r="W13" s="890"/>
    </row>
    <row r="14" spans="1:32" x14ac:dyDescent="0.25">
      <c r="B14" s="1130" t="s">
        <v>12</v>
      </c>
      <c r="C14" s="951" t="s">
        <v>14</v>
      </c>
      <c r="D14" s="1248">
        <v>800</v>
      </c>
      <c r="E14" s="1250">
        <f>$G$12</f>
        <v>1.6</v>
      </c>
      <c r="F14" s="948">
        <v>1</v>
      </c>
      <c r="G14" s="944">
        <f t="shared" ref="G14:G21" si="7">D14*E14</f>
        <v>1280</v>
      </c>
      <c r="H14" s="943">
        <f t="shared" ref="H14:H21" si="8">G14*F14</f>
        <v>1280</v>
      </c>
      <c r="I14" s="914">
        <f>VLOOKUP(B14,All_Ingredients!$A$1:$F$161,6,FALSE())</f>
        <v>0.9</v>
      </c>
      <c r="J14" s="940">
        <f>VLOOKUP(B14,All_Ingredients!$A$1:$J$161,10,FALSE())</f>
        <v>3</v>
      </c>
      <c r="K14" s="945">
        <f t="shared" ref="K14" si="9">(H14/I14)/1000</f>
        <v>1.4222222222222223</v>
      </c>
      <c r="L14" s="945">
        <f t="shared" ref="L14" si="10">K14*J14</f>
        <v>4.2666666666666666</v>
      </c>
    </row>
    <row r="15" spans="1:32" ht="28.5" x14ac:dyDescent="0.25">
      <c r="B15" s="1130" t="s">
        <v>99</v>
      </c>
      <c r="C15" s="951" t="s">
        <v>14</v>
      </c>
      <c r="D15" s="1248">
        <v>30</v>
      </c>
      <c r="E15" s="1250">
        <f t="shared" ref="E15:E21" si="11">$G$12</f>
        <v>1.6</v>
      </c>
      <c r="F15" s="948">
        <v>1</v>
      </c>
      <c r="G15" s="944">
        <f t="shared" si="7"/>
        <v>48</v>
      </c>
      <c r="H15" s="943">
        <f t="shared" si="8"/>
        <v>48</v>
      </c>
      <c r="I15" s="914">
        <f>VLOOKUP(B15,All_Ingredients!$A$1:$F$161,6,FALSE())</f>
        <v>1</v>
      </c>
      <c r="J15" s="940">
        <f>VLOOKUP(B15,All_Ingredients!$A$1:$J$161,10,FALSE())</f>
        <v>31</v>
      </c>
      <c r="K15" s="945">
        <f t="shared" ref="K15:K21" si="12">(H15/I15)/1000</f>
        <v>4.8000000000000001E-2</v>
      </c>
      <c r="L15" s="945">
        <f t="shared" ref="L15:L21" si="13">K15*J15</f>
        <v>1.488</v>
      </c>
    </row>
    <row r="16" spans="1:32" x14ac:dyDescent="0.25">
      <c r="B16" s="1130" t="s">
        <v>202</v>
      </c>
      <c r="C16" s="951" t="s">
        <v>14</v>
      </c>
      <c r="D16" s="1248">
        <v>400</v>
      </c>
      <c r="E16" s="1250">
        <f t="shared" si="11"/>
        <v>1.6</v>
      </c>
      <c r="F16" s="948">
        <v>1</v>
      </c>
      <c r="G16" s="944">
        <f t="shared" si="7"/>
        <v>640</v>
      </c>
      <c r="H16" s="943">
        <f t="shared" si="8"/>
        <v>640</v>
      </c>
      <c r="I16" s="914">
        <f>VLOOKUP(B16,All_Ingredients!$A$1:$F$161,6,FALSE())</f>
        <v>1</v>
      </c>
      <c r="J16" s="940">
        <f>VLOOKUP(B16,All_Ingredients!$A$1:$J$161,10,FALSE())</f>
        <v>11.243386243386244</v>
      </c>
      <c r="K16" s="945">
        <f t="shared" si="12"/>
        <v>0.64</v>
      </c>
      <c r="L16" s="945">
        <f t="shared" si="13"/>
        <v>7.1957671957671963</v>
      </c>
    </row>
    <row r="17" spans="2:31" x14ac:dyDescent="0.25">
      <c r="B17" s="1130" t="s">
        <v>229</v>
      </c>
      <c r="C17" s="951" t="s">
        <v>360</v>
      </c>
      <c r="D17" s="1248">
        <v>12</v>
      </c>
      <c r="E17" s="1250">
        <f t="shared" si="11"/>
        <v>1.6</v>
      </c>
      <c r="F17" s="948">
        <v>1</v>
      </c>
      <c r="G17" s="944">
        <f t="shared" si="7"/>
        <v>19.200000000000003</v>
      </c>
      <c r="H17" s="943">
        <f t="shared" si="8"/>
        <v>19.200000000000003</v>
      </c>
      <c r="I17" s="914">
        <f>VLOOKUP(B17,All_Ingredients!$A$1:$F$161,6,FALSE())</f>
        <v>1</v>
      </c>
      <c r="J17" s="940">
        <f>VLOOKUP(B17,All_Ingredients!$A$1:$J$161,10,FALSE())</f>
        <v>0.43333333333333335</v>
      </c>
      <c r="K17" s="945">
        <f t="shared" si="12"/>
        <v>1.9200000000000002E-2</v>
      </c>
      <c r="L17" s="945">
        <f t="shared" si="13"/>
        <v>8.320000000000001E-3</v>
      </c>
    </row>
    <row r="18" spans="2:31" x14ac:dyDescent="0.25">
      <c r="B18" s="1130" t="s">
        <v>93</v>
      </c>
      <c r="C18" s="951" t="s">
        <v>14</v>
      </c>
      <c r="D18" s="1248">
        <v>25</v>
      </c>
      <c r="E18" s="1250">
        <f t="shared" si="11"/>
        <v>1.6</v>
      </c>
      <c r="F18" s="948">
        <v>1</v>
      </c>
      <c r="G18" s="944">
        <f t="shared" si="7"/>
        <v>40</v>
      </c>
      <c r="H18" s="943">
        <f t="shared" si="8"/>
        <v>40</v>
      </c>
      <c r="I18" s="914">
        <f>VLOOKUP(B18,All_Ingredients!$A$1:$F$161,6,FALSE())</f>
        <v>1</v>
      </c>
      <c r="J18" s="940">
        <f>VLOOKUP(B18,All_Ingredients!$A$1:$J$161,10,FALSE())</f>
        <v>0.74</v>
      </c>
      <c r="K18" s="945">
        <f t="shared" si="12"/>
        <v>0.04</v>
      </c>
      <c r="L18" s="945">
        <f t="shared" si="13"/>
        <v>2.9600000000000001E-2</v>
      </c>
    </row>
    <row r="19" spans="2:31" ht="28.5" x14ac:dyDescent="0.25">
      <c r="B19" s="1130" t="s">
        <v>188</v>
      </c>
      <c r="C19" s="951" t="s">
        <v>14</v>
      </c>
      <c r="D19" s="1248">
        <v>1200</v>
      </c>
      <c r="E19" s="1250">
        <f t="shared" si="11"/>
        <v>1.6</v>
      </c>
      <c r="F19" s="948">
        <v>1</v>
      </c>
      <c r="G19" s="944">
        <f t="shared" si="7"/>
        <v>1920</v>
      </c>
      <c r="H19" s="943">
        <f t="shared" si="8"/>
        <v>1920</v>
      </c>
      <c r="I19" s="914">
        <f>VLOOKUP(B19,All_Ingredients!$A$1:$F$161,6,FALSE())</f>
        <v>1</v>
      </c>
      <c r="J19" s="940">
        <f>VLOOKUP(B19,All_Ingredients!$A$1:$J$161,10,FALSE())</f>
        <v>8.5</v>
      </c>
      <c r="K19" s="945">
        <f t="shared" si="12"/>
        <v>1.92</v>
      </c>
      <c r="L19" s="945">
        <f t="shared" si="13"/>
        <v>16.32</v>
      </c>
    </row>
    <row r="20" spans="2:31" x14ac:dyDescent="0.25">
      <c r="B20" s="1130" t="s">
        <v>189</v>
      </c>
      <c r="C20" s="951" t="s">
        <v>14</v>
      </c>
      <c r="D20" s="1248">
        <v>1000</v>
      </c>
      <c r="E20" s="1250">
        <f t="shared" si="11"/>
        <v>1.6</v>
      </c>
      <c r="F20" s="948">
        <v>1</v>
      </c>
      <c r="G20" s="944">
        <f t="shared" si="7"/>
        <v>1600</v>
      </c>
      <c r="H20" s="943">
        <f t="shared" si="8"/>
        <v>1600</v>
      </c>
      <c r="I20" s="914">
        <f>VLOOKUP(B20,All_Ingredients!$A$1:$F$161,6,FALSE())</f>
        <v>1</v>
      </c>
      <c r="J20" s="940">
        <f>VLOOKUP(B20,All_Ingredients!$A$1:$J$161,10,FALSE())</f>
        <v>17.480211081794195</v>
      </c>
      <c r="K20" s="945">
        <f t="shared" si="12"/>
        <v>1.6</v>
      </c>
      <c r="L20" s="945">
        <f t="shared" si="13"/>
        <v>27.968337730870715</v>
      </c>
    </row>
    <row r="21" spans="2:31" x14ac:dyDescent="0.25">
      <c r="B21" s="1130" t="s">
        <v>149</v>
      </c>
      <c r="C21" s="951" t="s">
        <v>14</v>
      </c>
      <c r="D21" s="1248">
        <v>200</v>
      </c>
      <c r="E21" s="1250">
        <f t="shared" si="11"/>
        <v>1.6</v>
      </c>
      <c r="F21" s="948">
        <v>1</v>
      </c>
      <c r="G21" s="944">
        <f t="shared" si="7"/>
        <v>320</v>
      </c>
      <c r="H21" s="943">
        <f t="shared" si="8"/>
        <v>320</v>
      </c>
      <c r="I21" s="914">
        <f>VLOOKUP(B21,All_Ingredients!$A$1:$F$161,6,FALSE())</f>
        <v>1</v>
      </c>
      <c r="J21" s="940">
        <f>VLOOKUP(B21,All_Ingredients!$A$1:$J$161,10,FALSE())</f>
        <v>10</v>
      </c>
      <c r="K21" s="945">
        <f t="shared" si="12"/>
        <v>0.32</v>
      </c>
      <c r="L21" s="945">
        <f t="shared" si="13"/>
        <v>3.2</v>
      </c>
    </row>
    <row r="25" spans="2:31" x14ac:dyDescent="0.25">
      <c r="R25" s="1792" t="s">
        <v>832</v>
      </c>
      <c r="S25" s="1787"/>
      <c r="T25" s="1788"/>
      <c r="U25" s="1787"/>
      <c r="V25" s="956"/>
      <c r="W25" s="1043"/>
      <c r="X25" s="952"/>
      <c r="Z25" s="982" t="s">
        <v>252</v>
      </c>
      <c r="AA25" s="989">
        <v>1</v>
      </c>
      <c r="AB25" s="982" t="s">
        <v>249</v>
      </c>
      <c r="AC25" s="985">
        <f>AE30*AA25</f>
        <v>5.1891195809423465</v>
      </c>
    </row>
    <row r="26" spans="2:31" x14ac:dyDescent="0.25">
      <c r="R26" s="1792" t="s">
        <v>291</v>
      </c>
      <c r="S26" s="1797"/>
      <c r="T26" s="1798"/>
      <c r="U26" s="1797"/>
      <c r="V26" s="956"/>
      <c r="W26" s="1043"/>
      <c r="X26" s="952"/>
    </row>
    <row r="27" spans="2:31" x14ac:dyDescent="0.25">
      <c r="R27" s="961" t="s">
        <v>254</v>
      </c>
      <c r="S27" s="962" t="s">
        <v>297</v>
      </c>
      <c r="T27" s="961" t="s">
        <v>256</v>
      </c>
      <c r="U27" s="962" t="s">
        <v>262</v>
      </c>
      <c r="V27" s="962" t="s">
        <v>746</v>
      </c>
      <c r="W27" s="961" t="s">
        <v>767</v>
      </c>
      <c r="X27" s="962" t="s">
        <v>766</v>
      </c>
      <c r="Z27" s="982" t="s">
        <v>258</v>
      </c>
      <c r="AA27" s="982" t="s">
        <v>746</v>
      </c>
      <c r="AB27" s="982" t="s">
        <v>259</v>
      </c>
      <c r="AC27" s="982" t="s">
        <v>757</v>
      </c>
      <c r="AD27" s="982" t="s">
        <v>754</v>
      </c>
      <c r="AE27" s="982" t="s">
        <v>262</v>
      </c>
    </row>
    <row r="28" spans="2:31" x14ac:dyDescent="0.25">
      <c r="R28" s="961" t="s">
        <v>263</v>
      </c>
      <c r="S28" s="965">
        <f>$Z$1</f>
        <v>173</v>
      </c>
      <c r="T28" s="964"/>
      <c r="U28" s="963">
        <f>S28</f>
        <v>173</v>
      </c>
      <c r="V28" s="966">
        <f>SUM(H14:H21)</f>
        <v>5867.2</v>
      </c>
      <c r="W28" s="967">
        <f>SUM(L6)</f>
        <v>30.26</v>
      </c>
      <c r="X28" s="966" t="str">
        <f>K13</f>
        <v>Ordering quantity (KG or L)</v>
      </c>
      <c r="Z28" s="1086"/>
      <c r="AA28" s="1205"/>
      <c r="AB28" s="985">
        <f>AA25*$S$40</f>
        <v>1</v>
      </c>
      <c r="AC28" s="1205"/>
      <c r="AD28" s="1205"/>
      <c r="AE28" s="1088">
        <f>SUM(AB28:AB28)</f>
        <v>1</v>
      </c>
    </row>
    <row r="29" spans="2:31" x14ac:dyDescent="0.25">
      <c r="R29" s="961" t="s">
        <v>264</v>
      </c>
      <c r="S29" s="968"/>
      <c r="T29" s="967"/>
      <c r="U29" s="963">
        <f>T29</f>
        <v>0</v>
      </c>
      <c r="V29" s="966"/>
      <c r="W29" s="967"/>
      <c r="X29" s="966"/>
      <c r="Z29" s="1086"/>
      <c r="AA29" s="1205"/>
      <c r="AB29" s="1089">
        <f>AB28/$AE$28</f>
        <v>1</v>
      </c>
      <c r="AC29" s="1205"/>
      <c r="AD29" s="1205"/>
      <c r="AE29" s="1089">
        <f>AE28/$AE$28</f>
        <v>1</v>
      </c>
    </row>
    <row r="30" spans="2:31" x14ac:dyDescent="0.25">
      <c r="R30" s="961" t="s">
        <v>265</v>
      </c>
      <c r="S30" s="1204">
        <f>$AB$1</f>
        <v>5</v>
      </c>
      <c r="T30" s="964"/>
      <c r="U30" s="963"/>
      <c r="V30" s="972"/>
      <c r="W30" s="973"/>
      <c r="X30" s="972"/>
      <c r="Z30" s="982" t="s">
        <v>266</v>
      </c>
      <c r="AA30" s="955">
        <f>V35/$AF$1</f>
        <v>0.33975669434440775</v>
      </c>
      <c r="AB30" s="1090">
        <f>S35/(AF1)</f>
        <v>4.678762886597938</v>
      </c>
      <c r="AC30" s="955">
        <f>W35/AF1</f>
        <v>0.17</v>
      </c>
      <c r="AD30" s="955">
        <f>X35/$AF$1</f>
        <v>5.9999999999999995E-4</v>
      </c>
      <c r="AE30" s="1121">
        <f>AB30+AD30+AC30+AA30</f>
        <v>5.1891195809423465</v>
      </c>
    </row>
    <row r="31" spans="2:31" x14ac:dyDescent="0.25">
      <c r="R31" s="961" t="s">
        <v>267</v>
      </c>
      <c r="S31" s="959" t="s">
        <v>309</v>
      </c>
      <c r="T31" s="967"/>
      <c r="U31" s="966"/>
      <c r="V31" s="966"/>
      <c r="W31" s="967"/>
      <c r="X31" s="966"/>
    </row>
    <row r="32" spans="2:31" x14ac:dyDescent="0.25">
      <c r="R32" s="961" t="s">
        <v>257</v>
      </c>
      <c r="S32" s="1251">
        <f>S28+S30</f>
        <v>178</v>
      </c>
      <c r="T32" s="967">
        <f>SUM(T28:T30)</f>
        <v>0</v>
      </c>
      <c r="U32" s="966">
        <f>T32+S32</f>
        <v>178</v>
      </c>
      <c r="V32" s="966"/>
      <c r="W32" s="967"/>
      <c r="X32" s="966"/>
    </row>
    <row r="33" spans="2:24" x14ac:dyDescent="0.25">
      <c r="B33" s="1129"/>
      <c r="D33" s="890"/>
      <c r="E33" s="890"/>
      <c r="F33" s="890"/>
      <c r="H33" s="890"/>
      <c r="K33" s="890"/>
      <c r="R33" s="976" t="s">
        <v>254</v>
      </c>
      <c r="S33" s="959"/>
      <c r="T33" s="960">
        <f>F40+F59</f>
        <v>0</v>
      </c>
      <c r="U33" s="959"/>
      <c r="V33" s="959"/>
      <c r="W33" s="960"/>
      <c r="X33" s="959"/>
    </row>
    <row r="34" spans="2:24" x14ac:dyDescent="0.25">
      <c r="B34" s="1129"/>
      <c r="D34" s="890"/>
      <c r="E34" s="890"/>
      <c r="F34" s="890"/>
      <c r="H34" s="890"/>
      <c r="K34" s="890"/>
      <c r="R34" s="961" t="s">
        <v>269</v>
      </c>
      <c r="S34" s="959"/>
      <c r="T34" s="967">
        <f>T33-(T28+T29)</f>
        <v>0</v>
      </c>
      <c r="U34" s="959"/>
      <c r="V34" s="959"/>
      <c r="W34" s="960"/>
      <c r="X34" s="959"/>
    </row>
    <row r="35" spans="2:24" x14ac:dyDescent="0.25">
      <c r="B35" s="1129"/>
      <c r="D35" s="890"/>
      <c r="E35" s="890"/>
      <c r="F35" s="890"/>
      <c r="H35" s="890"/>
      <c r="K35" s="890"/>
      <c r="R35" s="977" t="s">
        <v>249</v>
      </c>
      <c r="S35" s="978">
        <f>L5</f>
        <v>832.81979381443296</v>
      </c>
      <c r="T35" s="979">
        <f>SUM(O6:O19)</f>
        <v>0</v>
      </c>
      <c r="U35" s="1136">
        <f>S35+T35+V35+W35+X35</f>
        <v>923.66328540773759</v>
      </c>
      <c r="V35" s="978">
        <f>SUM(L14:L21)</f>
        <v>60.476691593304579</v>
      </c>
      <c r="W35" s="979">
        <f>L6</f>
        <v>30.26</v>
      </c>
      <c r="X35" s="978">
        <f>L7</f>
        <v>0.10679999999999999</v>
      </c>
    </row>
    <row r="36" spans="2:24" x14ac:dyDescent="0.25">
      <c r="B36" s="1129"/>
      <c r="D36" s="890"/>
      <c r="E36" s="890"/>
      <c r="F36" s="890"/>
      <c r="H36" s="890"/>
      <c r="K36" s="890"/>
      <c r="R36" s="890"/>
      <c r="T36" s="890"/>
      <c r="W36" s="890"/>
    </row>
    <row r="37" spans="2:24" x14ac:dyDescent="0.25">
      <c r="B37" s="1129"/>
      <c r="D37" s="890"/>
      <c r="E37" s="890"/>
      <c r="F37" s="890"/>
      <c r="H37" s="890"/>
      <c r="K37" s="890"/>
      <c r="R37" s="890"/>
      <c r="T37" s="890"/>
      <c r="W37" s="890"/>
    </row>
    <row r="38" spans="2:24" x14ac:dyDescent="0.25">
      <c r="B38" s="1129"/>
      <c r="D38" s="890"/>
      <c r="E38" s="890"/>
      <c r="F38" s="890"/>
      <c r="H38" s="890"/>
      <c r="K38" s="890"/>
      <c r="R38" s="890"/>
      <c r="T38" s="890"/>
      <c r="W38" s="890"/>
    </row>
    <row r="39" spans="2:24" x14ac:dyDescent="0.25">
      <c r="B39" s="73"/>
      <c r="D39" s="890"/>
      <c r="E39" s="80"/>
      <c r="F39" s="80"/>
      <c r="H39" s="890"/>
      <c r="K39" s="890"/>
      <c r="R39" s="890"/>
      <c r="T39" s="890"/>
      <c r="W39" s="890"/>
    </row>
    <row r="40" spans="2:24" ht="26.25" x14ac:dyDescent="0.25">
      <c r="B40" s="73"/>
      <c r="C40" s="80"/>
      <c r="D40" s="225"/>
      <c r="E40" s="80"/>
      <c r="F40" s="80"/>
      <c r="G40" s="80"/>
      <c r="H40" s="80"/>
      <c r="I40" s="80"/>
      <c r="J40" s="80"/>
      <c r="K40" s="890"/>
      <c r="R40" s="1011" t="s">
        <v>270</v>
      </c>
      <c r="S40" s="1012">
        <v>1</v>
      </c>
      <c r="T40" s="1011" t="s">
        <v>271</v>
      </c>
      <c r="U40" s="1013">
        <v>0</v>
      </c>
      <c r="V40" s="1014">
        <f>S40+U40</f>
        <v>1</v>
      </c>
      <c r="W40" s="890"/>
    </row>
    <row r="41" spans="2:24" x14ac:dyDescent="0.25">
      <c r="B41" s="73"/>
      <c r="C41" s="80"/>
      <c r="D41" s="80"/>
      <c r="E41" s="80"/>
      <c r="F41" s="80"/>
      <c r="G41" s="80"/>
      <c r="H41" s="80"/>
      <c r="I41" s="80"/>
      <c r="J41" s="80"/>
      <c r="K41" s="890"/>
      <c r="R41" s="890"/>
      <c r="T41" s="890"/>
      <c r="U41" s="123"/>
      <c r="W41" s="890"/>
    </row>
    <row r="42" spans="2:24" ht="18" x14ac:dyDescent="0.25">
      <c r="B42" s="1815"/>
      <c r="C42" s="1799"/>
      <c r="D42" s="1816"/>
      <c r="E42" s="1816"/>
      <c r="F42" s="1816"/>
      <c r="G42" s="1799"/>
      <c r="H42" s="1816"/>
      <c r="I42" s="1799"/>
      <c r="J42" s="1799"/>
      <c r="K42" s="890"/>
      <c r="R42" s="890"/>
      <c r="T42" s="890"/>
      <c r="W42" s="890"/>
    </row>
    <row r="43" spans="2:24" ht="26.25" x14ac:dyDescent="0.25">
      <c r="B43" s="1803"/>
      <c r="C43" s="1799"/>
      <c r="D43" s="1816"/>
      <c r="E43" s="1816"/>
      <c r="F43" s="1816"/>
      <c r="G43" s="1799"/>
      <c r="H43" s="1816"/>
      <c r="I43" s="1799"/>
      <c r="J43" s="1799"/>
      <c r="K43" s="890"/>
      <c r="Q43" s="1015" t="s">
        <v>272</v>
      </c>
      <c r="R43" s="1011" t="s">
        <v>273</v>
      </c>
      <c r="S43" s="1015" t="s">
        <v>274</v>
      </c>
      <c r="T43" s="1011" t="s">
        <v>275</v>
      </c>
      <c r="U43" s="1015" t="s">
        <v>276</v>
      </c>
      <c r="V43" s="1015" t="s">
        <v>277</v>
      </c>
      <c r="W43" s="1011" t="s">
        <v>278</v>
      </c>
    </row>
    <row r="44" spans="2:24" x14ac:dyDescent="0.25">
      <c r="B44" s="226"/>
      <c r="C44" s="227"/>
      <c r="D44" s="226"/>
      <c r="E44" s="226"/>
      <c r="F44" s="226"/>
      <c r="G44" s="226"/>
      <c r="H44" s="226"/>
      <c r="I44" s="226"/>
      <c r="J44" s="226"/>
      <c r="K44" s="890"/>
      <c r="Q44" s="1023">
        <v>18841</v>
      </c>
      <c r="R44" s="1017">
        <f>E51</f>
        <v>0</v>
      </c>
      <c r="S44" s="1024">
        <v>0</v>
      </c>
      <c r="T44" s="1025">
        <v>0</v>
      </c>
      <c r="U44" s="1096">
        <f>R44*S44</f>
        <v>0</v>
      </c>
      <c r="V44" s="1021">
        <f>R44*T44</f>
        <v>0</v>
      </c>
      <c r="W44" s="1026">
        <f>Q44-U44</f>
        <v>18841</v>
      </c>
    </row>
    <row r="50" spans="1:14" x14ac:dyDescent="0.25">
      <c r="B50" s="1427"/>
      <c r="C50" s="131"/>
      <c r="D50" s="898"/>
      <c r="E50" s="80"/>
      <c r="F50" s="80"/>
      <c r="G50" s="962" t="s">
        <v>280</v>
      </c>
      <c r="H50" s="961" t="s">
        <v>233</v>
      </c>
      <c r="I50" s="962" t="s">
        <v>281</v>
      </c>
      <c r="J50" s="962" t="s">
        <v>282</v>
      </c>
      <c r="K50" s="890"/>
    </row>
    <row r="51" spans="1:14" x14ac:dyDescent="0.25">
      <c r="B51" s="1427"/>
      <c r="C51" s="451"/>
      <c r="D51" s="1741"/>
      <c r="E51" s="135"/>
      <c r="F51" s="80"/>
      <c r="G51" s="1033" t="s">
        <v>283</v>
      </c>
      <c r="H51" s="1122">
        <f>I51/$D$5</f>
        <v>176.41385767790263</v>
      </c>
      <c r="I51" s="1028">
        <f>J51/$R$1</f>
        <v>21169.662921348314</v>
      </c>
      <c r="J51" s="1028">
        <f>$W$44</f>
        <v>18841</v>
      </c>
      <c r="K51" s="890"/>
    </row>
    <row r="52" spans="1:14" x14ac:dyDescent="0.25">
      <c r="B52" s="1427"/>
      <c r="C52" s="216"/>
      <c r="D52" s="1181"/>
      <c r="E52" s="80"/>
      <c r="F52" s="80"/>
      <c r="G52" s="962" t="s">
        <v>262</v>
      </c>
      <c r="H52" s="1189">
        <f>I52/$D$5</f>
        <v>133.33333333333334</v>
      </c>
      <c r="I52" s="1021">
        <f>J52/$R$1</f>
        <v>16000</v>
      </c>
      <c r="J52" s="1030">
        <f>$U$32*$T$1</f>
        <v>14240</v>
      </c>
      <c r="K52" s="890"/>
    </row>
    <row r="53" spans="1:14" x14ac:dyDescent="0.25">
      <c r="B53" s="1427"/>
      <c r="C53" s="216"/>
      <c r="D53" s="1181"/>
      <c r="E53" s="80"/>
      <c r="F53" s="80"/>
      <c r="G53" s="962" t="s">
        <v>284</v>
      </c>
      <c r="H53" s="1035">
        <f>MIN(H52,H51)</f>
        <v>133.33333333333334</v>
      </c>
      <c r="I53" s="1021">
        <f>J53/$R$1</f>
        <v>16000</v>
      </c>
      <c r="J53" s="1021">
        <f>MIN(J52,J51)</f>
        <v>14240</v>
      </c>
      <c r="K53" s="890"/>
    </row>
    <row r="54" spans="1:14" x14ac:dyDescent="0.25">
      <c r="B54" s="1427"/>
      <c r="C54" s="216"/>
      <c r="D54" s="1181"/>
      <c r="E54" s="80"/>
      <c r="F54" s="80"/>
      <c r="G54" s="962" t="s">
        <v>285</v>
      </c>
      <c r="H54" s="1035">
        <f>MIN(MAX(H52-H53),H51)</f>
        <v>0</v>
      </c>
      <c r="I54" s="1021">
        <f>J54/$R$1</f>
        <v>0</v>
      </c>
      <c r="J54" s="1021">
        <f>MIN(MAX(J52-J53),J51)</f>
        <v>0</v>
      </c>
      <c r="K54" s="890"/>
    </row>
    <row r="55" spans="1:14" x14ac:dyDescent="0.25">
      <c r="B55" s="1427"/>
      <c r="C55" s="216"/>
      <c r="D55" s="1181"/>
      <c r="E55" s="80"/>
      <c r="F55" s="80"/>
      <c r="G55" s="962" t="s">
        <v>286</v>
      </c>
      <c r="H55" s="1035">
        <f>MIN(MAX(H52-H53-H54),H51)</f>
        <v>0</v>
      </c>
      <c r="I55" s="1021">
        <f>J55/$R$1</f>
        <v>0</v>
      </c>
      <c r="J55" s="1021">
        <f>MIN(MAX(J52-J53-J54),J51)</f>
        <v>0</v>
      </c>
      <c r="K55" s="890"/>
    </row>
    <row r="56" spans="1:14" x14ac:dyDescent="0.25">
      <c r="B56" s="1129"/>
      <c r="D56" s="890"/>
      <c r="E56" s="890"/>
      <c r="F56" s="890"/>
      <c r="H56" s="890"/>
      <c r="K56" s="890"/>
    </row>
    <row r="57" spans="1:14" x14ac:dyDescent="0.25">
      <c r="B57" s="1129"/>
      <c r="D57" s="890"/>
      <c r="E57" s="890"/>
      <c r="F57" s="890"/>
      <c r="H57" s="890"/>
      <c r="K57" s="890"/>
    </row>
    <row r="58" spans="1:14" ht="18" x14ac:dyDescent="0.25">
      <c r="B58" s="1803"/>
      <c r="C58" s="1799"/>
      <c r="D58" s="1816"/>
      <c r="E58" s="1816"/>
      <c r="F58" s="1816"/>
      <c r="G58" s="1799"/>
      <c r="H58" s="1816"/>
      <c r="I58" s="1799"/>
      <c r="J58" s="1799"/>
      <c r="K58" s="890"/>
    </row>
    <row r="59" spans="1:14" x14ac:dyDescent="0.25">
      <c r="B59" s="226"/>
      <c r="C59" s="227"/>
      <c r="D59" s="226"/>
      <c r="E59" s="226"/>
      <c r="F59" s="226"/>
      <c r="G59" s="226"/>
      <c r="H59" s="226"/>
      <c r="I59" s="226"/>
      <c r="J59" s="226"/>
      <c r="K59" s="890"/>
    </row>
    <row r="60" spans="1:14" x14ac:dyDescent="0.25">
      <c r="B60" s="891"/>
      <c r="C60" s="228"/>
      <c r="D60" s="1175"/>
      <c r="E60" s="92"/>
      <c r="F60" s="900"/>
      <c r="G60" s="92"/>
      <c r="H60" s="901"/>
      <c r="I60" s="73"/>
      <c r="J60" s="94"/>
      <c r="K60" s="890"/>
    </row>
    <row r="61" spans="1:14" x14ac:dyDescent="0.25">
      <c r="B61" s="891"/>
      <c r="C61" s="228"/>
      <c r="D61" s="1175"/>
      <c r="E61" s="92"/>
      <c r="F61" s="900"/>
      <c r="G61" s="92"/>
      <c r="H61" s="901"/>
      <c r="I61" s="73"/>
      <c r="J61" s="94"/>
      <c r="K61" s="890"/>
    </row>
    <row r="62" spans="1:14" ht="18" x14ac:dyDescent="0.25">
      <c r="A62" s="867"/>
      <c r="B62" s="1804"/>
      <c r="C62" s="1817"/>
      <c r="D62" s="1818"/>
      <c r="E62" s="1818"/>
      <c r="F62" s="1818"/>
      <c r="G62" s="1817"/>
      <c r="H62" s="1818"/>
      <c r="K62" s="890"/>
    </row>
    <row r="63" spans="1:14" x14ac:dyDescent="0.25">
      <c r="A63" s="867"/>
      <c r="B63" s="1776" t="s">
        <v>832</v>
      </c>
      <c r="C63" s="1777"/>
      <c r="D63" s="1778"/>
      <c r="E63" s="1778"/>
      <c r="F63" s="1778"/>
      <c r="G63" s="1777"/>
      <c r="H63" s="1778"/>
      <c r="K63" s="890"/>
    </row>
    <row r="64" spans="1:14" ht="38.25" x14ac:dyDescent="0.2">
      <c r="A64" s="1350" t="s">
        <v>864</v>
      </c>
      <c r="B64" s="1104" t="s">
        <v>241</v>
      </c>
      <c r="C64" s="934" t="s">
        <v>242</v>
      </c>
      <c r="D64" s="1104" t="s">
        <v>231</v>
      </c>
      <c r="E64" s="936" t="s">
        <v>234</v>
      </c>
      <c r="F64" s="936" t="s">
        <v>243</v>
      </c>
      <c r="G64" s="1104" t="s">
        <v>244</v>
      </c>
      <c r="H64" s="936" t="s">
        <v>245</v>
      </c>
      <c r="K64" s="890"/>
      <c r="M64" s="87"/>
      <c r="N64" s="87"/>
    </row>
    <row r="65" spans="1:12" x14ac:dyDescent="0.25">
      <c r="A65" s="949" t="s">
        <v>892</v>
      </c>
      <c r="B65" s="951" t="str">
        <f t="shared" ref="B65:D69" si="14">B5</f>
        <v>Top Side - توب سايد مفروم</v>
      </c>
      <c r="C65" s="1252" t="str">
        <f t="shared" si="14"/>
        <v>gm</v>
      </c>
      <c r="D65" s="1426">
        <f t="shared" si="14"/>
        <v>120</v>
      </c>
      <c r="E65" s="940">
        <f>$U$32</f>
        <v>178</v>
      </c>
      <c r="F65" s="948">
        <f>F5</f>
        <v>1</v>
      </c>
      <c r="G65" s="944">
        <f>D65*E65</f>
        <v>21360</v>
      </c>
      <c r="H65" s="943">
        <f>G65*F65</f>
        <v>21360</v>
      </c>
      <c r="I65" s="73"/>
      <c r="J65" s="92"/>
      <c r="K65" s="73"/>
      <c r="L65" s="92"/>
    </row>
    <row r="66" spans="1:12" ht="28.5" x14ac:dyDescent="0.25">
      <c r="A66" s="1249" t="s">
        <v>888</v>
      </c>
      <c r="B66" s="951" t="str">
        <f t="shared" si="14"/>
        <v>Iceberg Lettuce - خس مدور أمريكى</v>
      </c>
      <c r="C66" s="1252" t="str">
        <f t="shared" si="14"/>
        <v>gm</v>
      </c>
      <c r="D66" s="1426">
        <f t="shared" si="14"/>
        <v>10</v>
      </c>
      <c r="E66" s="940">
        <f t="shared" ref="E66:E69" si="15">$U$32</f>
        <v>178</v>
      </c>
      <c r="F66" s="948">
        <f t="shared" ref="F66:F69" si="16">F6</f>
        <v>1</v>
      </c>
      <c r="G66" s="944">
        <f t="shared" ref="G66:G69" si="17">D66*E66</f>
        <v>1780</v>
      </c>
      <c r="H66" s="943">
        <f t="shared" ref="H66:H69" si="18">G66*F66</f>
        <v>1780</v>
      </c>
      <c r="K66" s="890"/>
    </row>
    <row r="67" spans="1:12" ht="28.5" x14ac:dyDescent="0.25">
      <c r="A67" s="949"/>
      <c r="B67" s="951" t="str">
        <f t="shared" si="14"/>
        <v>Whole Wheat Burger Buns 70gm - خبز برجر بني</v>
      </c>
      <c r="C67" s="1252" t="str">
        <f t="shared" si="14"/>
        <v>Piece</v>
      </c>
      <c r="D67" s="1426">
        <f t="shared" si="14"/>
        <v>1</v>
      </c>
      <c r="E67" s="940">
        <f t="shared" si="15"/>
        <v>178</v>
      </c>
      <c r="F67" s="948">
        <f t="shared" si="16"/>
        <v>1</v>
      </c>
      <c r="G67" s="944">
        <f t="shared" si="17"/>
        <v>178</v>
      </c>
      <c r="H67" s="943">
        <f t="shared" si="18"/>
        <v>178</v>
      </c>
      <c r="K67" s="890"/>
    </row>
    <row r="68" spans="1:12" x14ac:dyDescent="0.25">
      <c r="A68" s="949" t="s">
        <v>882</v>
      </c>
      <c r="B68" s="951" t="str">
        <f t="shared" si="14"/>
        <v>Sliced tomato - طماطم شرائح</v>
      </c>
      <c r="C68" s="1252" t="str">
        <f t="shared" si="14"/>
        <v>gm</v>
      </c>
      <c r="D68" s="1426">
        <f t="shared" si="14"/>
        <v>25</v>
      </c>
      <c r="E68" s="940">
        <f t="shared" si="15"/>
        <v>178</v>
      </c>
      <c r="F68" s="948">
        <f t="shared" si="16"/>
        <v>1</v>
      </c>
      <c r="G68" s="944">
        <f t="shared" si="17"/>
        <v>4450</v>
      </c>
      <c r="H68" s="943">
        <f t="shared" si="18"/>
        <v>4450</v>
      </c>
      <c r="K68" s="890"/>
    </row>
    <row r="69" spans="1:12" x14ac:dyDescent="0.25">
      <c r="A69" s="861"/>
      <c r="B69" s="951" t="str">
        <f t="shared" si="14"/>
        <v>Sliced cheese - جبنة شرائح</v>
      </c>
      <c r="C69" s="1252" t="str">
        <f t="shared" si="14"/>
        <v>Piece</v>
      </c>
      <c r="D69" s="1426">
        <f t="shared" si="14"/>
        <v>1</v>
      </c>
      <c r="E69" s="940">
        <f t="shared" si="15"/>
        <v>178</v>
      </c>
      <c r="F69" s="948">
        <f t="shared" si="16"/>
        <v>1</v>
      </c>
      <c r="G69" s="944">
        <f t="shared" si="17"/>
        <v>178</v>
      </c>
      <c r="H69" s="943">
        <f t="shared" si="18"/>
        <v>178</v>
      </c>
      <c r="K69" s="890"/>
    </row>
    <row r="70" spans="1:12" ht="18" x14ac:dyDescent="0.25">
      <c r="B70" s="1041" t="s">
        <v>287</v>
      </c>
      <c r="C70" s="1042" t="s">
        <v>273</v>
      </c>
      <c r="D70" s="1041" t="s">
        <v>537</v>
      </c>
      <c r="E70" s="1254" t="s">
        <v>288</v>
      </c>
      <c r="F70" s="1054"/>
      <c r="G70" s="1255" t="s">
        <v>264</v>
      </c>
      <c r="H70" s="1256" t="s">
        <v>661</v>
      </c>
      <c r="K70" s="890"/>
    </row>
    <row r="71" spans="1:12" ht="20.25" x14ac:dyDescent="0.3">
      <c r="B71" s="1429">
        <f>$J$53</f>
        <v>14240</v>
      </c>
      <c r="C71" s="1283">
        <f>E71+G71</f>
        <v>0</v>
      </c>
      <c r="D71" s="1047">
        <f>$AF$1</f>
        <v>178</v>
      </c>
      <c r="E71" s="1047">
        <f>$C$53*$S$44</f>
        <v>0</v>
      </c>
      <c r="F71" s="1050"/>
      <c r="G71" s="1048">
        <f>$D$53*$T$44</f>
        <v>0</v>
      </c>
      <c r="H71" s="1047">
        <f>B71+E71</f>
        <v>14240</v>
      </c>
      <c r="K71" s="890"/>
    </row>
    <row r="72" spans="1:12" ht="14.25" customHeight="1" x14ac:dyDescent="0.25">
      <c r="E72" s="80"/>
      <c r="F72" s="80"/>
    </row>
    <row r="73" spans="1:12" ht="14.25" customHeight="1" x14ac:dyDescent="0.25">
      <c r="B73" s="1191" t="s">
        <v>1015</v>
      </c>
      <c r="C73" s="1783" t="s">
        <v>832</v>
      </c>
      <c r="D73" s="1783"/>
      <c r="E73" s="1783"/>
      <c r="F73" s="1783"/>
      <c r="G73" s="930"/>
      <c r="H73" s="930"/>
    </row>
    <row r="74" spans="1:12" ht="12.75" customHeight="1" x14ac:dyDescent="0.25">
      <c r="B74" s="926" t="s">
        <v>250</v>
      </c>
      <c r="C74" s="926">
        <v>10000</v>
      </c>
      <c r="D74" s="927" t="s">
        <v>476</v>
      </c>
      <c r="E74" s="928">
        <f>$S$32*$T$1</f>
        <v>14240</v>
      </c>
      <c r="F74" s="926" t="s">
        <v>239</v>
      </c>
      <c r="G74" s="929">
        <f>(($S$32*$T$1)/$R$1)/$C$74</f>
        <v>1.6</v>
      </c>
      <c r="H74" s="1207"/>
    </row>
    <row r="75" spans="1:12" ht="38.25" x14ac:dyDescent="0.25">
      <c r="B75" s="926" t="s">
        <v>241</v>
      </c>
      <c r="C75" s="926" t="s">
        <v>242</v>
      </c>
      <c r="D75" s="926" t="s">
        <v>250</v>
      </c>
      <c r="E75" s="926" t="s">
        <v>234</v>
      </c>
      <c r="F75" s="926" t="s">
        <v>243</v>
      </c>
      <c r="G75" s="926" t="s">
        <v>244</v>
      </c>
      <c r="H75" s="926" t="s">
        <v>245</v>
      </c>
    </row>
    <row r="76" spans="1:12" x14ac:dyDescent="0.25">
      <c r="B76" s="1130" t="s">
        <v>12</v>
      </c>
      <c r="C76" s="951" t="s">
        <v>14</v>
      </c>
      <c r="D76" s="1248">
        <v>800</v>
      </c>
      <c r="E76" s="1250">
        <f>$G$74</f>
        <v>1.6</v>
      </c>
      <c r="F76" s="948">
        <v>1</v>
      </c>
      <c r="G76" s="944">
        <f t="shared" ref="G76:G83" si="19">D76*E76</f>
        <v>1280</v>
      </c>
      <c r="H76" s="943">
        <f t="shared" ref="H76:H83" si="20">G76*F76</f>
        <v>1280</v>
      </c>
    </row>
    <row r="77" spans="1:12" ht="28.5" x14ac:dyDescent="0.25">
      <c r="B77" s="1130" t="s">
        <v>99</v>
      </c>
      <c r="C77" s="951" t="s">
        <v>14</v>
      </c>
      <c r="D77" s="1248">
        <v>30</v>
      </c>
      <c r="E77" s="1250">
        <f t="shared" ref="E77:E83" si="21">$G$74</f>
        <v>1.6</v>
      </c>
      <c r="F77" s="948">
        <v>1</v>
      </c>
      <c r="G77" s="944">
        <f t="shared" si="19"/>
        <v>48</v>
      </c>
      <c r="H77" s="943">
        <f t="shared" si="20"/>
        <v>48</v>
      </c>
    </row>
    <row r="78" spans="1:12" x14ac:dyDescent="0.25">
      <c r="B78" s="1130" t="s">
        <v>202</v>
      </c>
      <c r="C78" s="951" t="s">
        <v>14</v>
      </c>
      <c r="D78" s="1248">
        <v>400</v>
      </c>
      <c r="E78" s="1250">
        <f t="shared" si="21"/>
        <v>1.6</v>
      </c>
      <c r="F78" s="948">
        <v>1</v>
      </c>
      <c r="G78" s="944">
        <f t="shared" si="19"/>
        <v>640</v>
      </c>
      <c r="H78" s="943">
        <f t="shared" si="20"/>
        <v>640</v>
      </c>
    </row>
    <row r="79" spans="1:12" x14ac:dyDescent="0.25">
      <c r="B79" s="1130" t="s">
        <v>229</v>
      </c>
      <c r="C79" s="951" t="s">
        <v>360</v>
      </c>
      <c r="D79" s="1248">
        <v>12</v>
      </c>
      <c r="E79" s="1250">
        <f t="shared" si="21"/>
        <v>1.6</v>
      </c>
      <c r="F79" s="948">
        <v>1</v>
      </c>
      <c r="G79" s="944">
        <f t="shared" si="19"/>
        <v>19.200000000000003</v>
      </c>
      <c r="H79" s="943">
        <f t="shared" si="20"/>
        <v>19.200000000000003</v>
      </c>
    </row>
    <row r="80" spans="1:12" x14ac:dyDescent="0.25">
      <c r="B80" s="1130" t="s">
        <v>93</v>
      </c>
      <c r="C80" s="951" t="s">
        <v>14</v>
      </c>
      <c r="D80" s="1248">
        <v>25</v>
      </c>
      <c r="E80" s="1250">
        <f t="shared" si="21"/>
        <v>1.6</v>
      </c>
      <c r="F80" s="948">
        <v>1</v>
      </c>
      <c r="G80" s="944">
        <f t="shared" si="19"/>
        <v>40</v>
      </c>
      <c r="H80" s="943">
        <f t="shared" si="20"/>
        <v>40</v>
      </c>
    </row>
    <row r="81" spans="2:8" ht="28.5" x14ac:dyDescent="0.25">
      <c r="B81" s="1130" t="s">
        <v>188</v>
      </c>
      <c r="C81" s="951" t="s">
        <v>14</v>
      </c>
      <c r="D81" s="1248">
        <v>1200</v>
      </c>
      <c r="E81" s="1250">
        <f t="shared" si="21"/>
        <v>1.6</v>
      </c>
      <c r="F81" s="948">
        <v>1</v>
      </c>
      <c r="G81" s="944">
        <f t="shared" si="19"/>
        <v>1920</v>
      </c>
      <c r="H81" s="943">
        <f t="shared" si="20"/>
        <v>1920</v>
      </c>
    </row>
    <row r="82" spans="2:8" x14ac:dyDescent="0.25">
      <c r="B82" s="1130" t="s">
        <v>189</v>
      </c>
      <c r="C82" s="951" t="s">
        <v>14</v>
      </c>
      <c r="D82" s="1248">
        <v>1000</v>
      </c>
      <c r="E82" s="1250">
        <f t="shared" si="21"/>
        <v>1.6</v>
      </c>
      <c r="F82" s="948">
        <v>1</v>
      </c>
      <c r="G82" s="944">
        <f t="shared" si="19"/>
        <v>1600</v>
      </c>
      <c r="H82" s="943">
        <f t="shared" si="20"/>
        <v>1600</v>
      </c>
    </row>
    <row r="83" spans="2:8" x14ac:dyDescent="0.25">
      <c r="B83" s="1130" t="s">
        <v>149</v>
      </c>
      <c r="C83" s="951" t="s">
        <v>14</v>
      </c>
      <c r="D83" s="1248">
        <v>200</v>
      </c>
      <c r="E83" s="1250">
        <f t="shared" si="21"/>
        <v>1.6</v>
      </c>
      <c r="F83" s="948">
        <v>1</v>
      </c>
      <c r="G83" s="944">
        <f t="shared" si="19"/>
        <v>320</v>
      </c>
      <c r="H83" s="943">
        <f t="shared" si="20"/>
        <v>320</v>
      </c>
    </row>
    <row r="84" spans="2:8" x14ac:dyDescent="0.25">
      <c r="B84" s="14"/>
    </row>
  </sheetData>
  <mergeCells count="10">
    <mergeCell ref="B2:H3"/>
    <mergeCell ref="R25:U25"/>
    <mergeCell ref="R26:U26"/>
    <mergeCell ref="B42:J42"/>
    <mergeCell ref="C73:F73"/>
    <mergeCell ref="C11:F11"/>
    <mergeCell ref="B43:J43"/>
    <mergeCell ref="B58:J58"/>
    <mergeCell ref="B62:H62"/>
    <mergeCell ref="B63:H63"/>
  </mergeCells>
  <printOptions horizontalCentered="1"/>
  <pageMargins left="0.4" right="0.4" top="1" bottom="0.5" header="0.3" footer="0.511811023622047"/>
  <pageSetup paperSize="9" scale="43" orientation="landscape"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9B506-1DC5-4B86-A379-C0C32C36E0AF}">
  <sheetPr codeName="Sheet92">
    <tabColor theme="8" tint="-0.249977111117893"/>
    <pageSetUpPr fitToPage="1"/>
  </sheetPr>
  <dimension ref="A1:AF85"/>
  <sheetViews>
    <sheetView topLeftCell="A40" zoomScale="55" zoomScaleNormal="55" workbookViewId="0">
      <selection activeCell="D72" sqref="D72"/>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3.7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625" style="14" customWidth="1"/>
    <col min="25" max="25" width="8.625" style="14" customWidth="1"/>
    <col min="26" max="28" width="12.625" style="14" customWidth="1"/>
    <col min="29" max="29" width="18.625" style="14" customWidth="1"/>
    <col min="30" max="30" width="8.625" style="14" customWidth="1"/>
    <col min="31" max="31" width="12.625" style="14" customWidth="1"/>
    <col min="32" max="32" width="8.625" style="14" customWidth="1"/>
    <col min="33" max="35" width="2.875" style="14" customWidth="1"/>
    <col min="36" max="16384" width="12.5" style="14"/>
  </cols>
  <sheetData>
    <row r="1" spans="1:32" ht="25.5" x14ac:dyDescent="0.25">
      <c r="B1" s="913" t="s">
        <v>330</v>
      </c>
      <c r="C1" s="914">
        <v>1</v>
      </c>
      <c r="D1" s="915" t="s">
        <v>232</v>
      </c>
      <c r="E1" s="941">
        <f>U32</f>
        <v>148</v>
      </c>
      <c r="F1" s="913" t="s">
        <v>233</v>
      </c>
      <c r="G1" s="941">
        <f>E1/C1</f>
        <v>148</v>
      </c>
      <c r="H1" s="913" t="s">
        <v>234</v>
      </c>
      <c r="I1" s="1185"/>
      <c r="J1" s="209" t="s">
        <v>235</v>
      </c>
      <c r="K1" s="210">
        <v>1</v>
      </c>
      <c r="L1" s="80"/>
      <c r="M1" s="80"/>
      <c r="N1" s="80"/>
      <c r="O1" s="923" t="s">
        <v>236</v>
      </c>
      <c r="P1" s="914" t="s">
        <v>237</v>
      </c>
      <c r="Q1" s="924" t="s">
        <v>238</v>
      </c>
      <c r="R1" s="914">
        <v>0.89</v>
      </c>
      <c r="S1" s="924" t="s">
        <v>332</v>
      </c>
      <c r="T1" s="1186">
        <v>86</v>
      </c>
      <c r="U1" s="80"/>
      <c r="W1" s="890"/>
      <c r="Y1" s="923" t="s">
        <v>444</v>
      </c>
      <c r="Z1" s="925">
        <v>143</v>
      </c>
      <c r="AA1" s="923" t="s">
        <v>544</v>
      </c>
      <c r="AB1" s="925">
        <v>5</v>
      </c>
      <c r="AC1" s="923" t="s">
        <v>537</v>
      </c>
      <c r="AD1" s="925">
        <v>143</v>
      </c>
      <c r="AE1" s="923" t="s">
        <v>529</v>
      </c>
      <c r="AF1" s="925">
        <f>Z1+AB1</f>
        <v>148</v>
      </c>
    </row>
    <row r="2" spans="1:32" x14ac:dyDescent="0.25">
      <c r="A2" s="863"/>
      <c r="B2" s="1784" t="s">
        <v>833</v>
      </c>
      <c r="C2" s="1784"/>
      <c r="D2" s="1784"/>
      <c r="E2" s="1784"/>
      <c r="F2" s="1784"/>
      <c r="G2" s="1784"/>
      <c r="H2" s="1784"/>
      <c r="I2" s="327"/>
      <c r="J2" s="327"/>
      <c r="K2" s="1183"/>
      <c r="L2" s="187"/>
      <c r="M2" s="80"/>
      <c r="N2" s="80"/>
      <c r="O2" s="80"/>
      <c r="P2" s="80"/>
      <c r="Q2" s="80"/>
      <c r="R2" s="80"/>
      <c r="S2" s="80"/>
      <c r="T2" s="80"/>
      <c r="W2" s="890"/>
    </row>
    <row r="3" spans="1:32" x14ac:dyDescent="0.25">
      <c r="A3" s="863"/>
      <c r="B3" s="1791"/>
      <c r="C3" s="1791"/>
      <c r="D3" s="1791"/>
      <c r="E3" s="1791"/>
      <c r="F3" s="1791"/>
      <c r="G3" s="1791"/>
      <c r="H3" s="1791"/>
      <c r="I3" s="1187"/>
      <c r="J3" s="1187"/>
      <c r="K3" s="1188"/>
      <c r="L3" s="187"/>
      <c r="M3" s="80"/>
      <c r="N3" s="80"/>
      <c r="O3" s="80"/>
      <c r="P3" s="80"/>
      <c r="Q3" s="80"/>
      <c r="R3" s="80"/>
      <c r="S3" s="80"/>
      <c r="T3" s="80"/>
      <c r="W3" s="890"/>
    </row>
    <row r="4" spans="1:32" ht="25.5" x14ac:dyDescent="0.2">
      <c r="A4" s="1350" t="s">
        <v>864</v>
      </c>
      <c r="B4" s="923" t="s">
        <v>241</v>
      </c>
      <c r="C4" s="934" t="s">
        <v>242</v>
      </c>
      <c r="D4" s="923" t="s">
        <v>231</v>
      </c>
      <c r="E4" s="935" t="s">
        <v>234</v>
      </c>
      <c r="F4" s="935" t="s">
        <v>243</v>
      </c>
      <c r="G4" s="923" t="s">
        <v>244</v>
      </c>
      <c r="H4" s="936" t="s">
        <v>334</v>
      </c>
      <c r="I4" s="923" t="s">
        <v>246</v>
      </c>
      <c r="J4" s="923" t="s">
        <v>247</v>
      </c>
      <c r="K4" s="923" t="s">
        <v>248</v>
      </c>
      <c r="L4" s="923" t="s">
        <v>249</v>
      </c>
      <c r="M4" s="235"/>
      <c r="N4" s="80"/>
      <c r="O4" s="80"/>
      <c r="P4" s="80"/>
      <c r="Q4" s="80"/>
      <c r="R4" s="80"/>
      <c r="S4" s="80"/>
      <c r="T4" s="890"/>
      <c r="W4" s="890"/>
    </row>
    <row r="5" spans="1:32" x14ac:dyDescent="0.25">
      <c r="A5" s="949" t="s">
        <v>877</v>
      </c>
      <c r="B5" s="1130" t="s">
        <v>821</v>
      </c>
      <c r="C5" s="1247" t="s">
        <v>14</v>
      </c>
      <c r="D5" s="1248">
        <v>120</v>
      </c>
      <c r="E5" s="940">
        <f>$G$1</f>
        <v>148</v>
      </c>
      <c r="F5" s="948">
        <v>1</v>
      </c>
      <c r="G5" s="940">
        <f>D5*E5</f>
        <v>17760</v>
      </c>
      <c r="H5" s="943">
        <f>G5*F5</f>
        <v>17760</v>
      </c>
      <c r="I5" s="914">
        <f>VLOOKUP(B5,All_Ingredients!$A$1:$F$161,6,FALSE())</f>
        <v>0.95</v>
      </c>
      <c r="J5" s="940">
        <f>VLOOKUP(B5,All_Ingredients!$A$1:$J$161,10,FALSE())</f>
        <v>17.100000000000001</v>
      </c>
      <c r="K5" s="945">
        <f t="shared" ref="K5" si="0">(H5/I5)/1000</f>
        <v>18.694736842105264</v>
      </c>
      <c r="L5" s="945">
        <f t="shared" ref="L5" si="1">K5*J5</f>
        <v>319.68000000000006</v>
      </c>
      <c r="M5" s="87"/>
      <c r="R5" s="890"/>
      <c r="T5" s="890"/>
      <c r="W5" s="890"/>
    </row>
    <row r="6" spans="1:32" ht="28.5" x14ac:dyDescent="0.25">
      <c r="A6" s="949"/>
      <c r="B6" s="1130" t="s">
        <v>775</v>
      </c>
      <c r="C6" s="947" t="s">
        <v>230</v>
      </c>
      <c r="D6" s="1248">
        <v>1</v>
      </c>
      <c r="E6" s="940">
        <f>$G$1</f>
        <v>148</v>
      </c>
      <c r="F6" s="948">
        <v>1</v>
      </c>
      <c r="G6" s="940">
        <f>D6*E6</f>
        <v>148</v>
      </c>
      <c r="H6" s="943">
        <f>G6*F6</f>
        <v>148</v>
      </c>
      <c r="I6" s="914">
        <f>VLOOKUP(B6,All_Ingredients!$A$1:$F$161,6,FALSE())</f>
        <v>1</v>
      </c>
      <c r="J6" s="940">
        <f>VLOOKUP(B6,All_Ingredients!$A$1:$J$161,10,FALSE())</f>
        <v>0.6</v>
      </c>
      <c r="K6" s="945">
        <f t="shared" ref="K6:K9" si="2">(H6/I6)/1000</f>
        <v>0.14799999999999999</v>
      </c>
      <c r="L6" s="945">
        <f t="shared" ref="L6:L9" si="3">K6*J6</f>
        <v>8.879999999999999E-2</v>
      </c>
      <c r="M6" s="87"/>
      <c r="R6" s="890"/>
      <c r="T6" s="890"/>
      <c r="W6" s="890"/>
    </row>
    <row r="7" spans="1:32" ht="28.5" x14ac:dyDescent="0.25">
      <c r="A7" s="1249" t="s">
        <v>888</v>
      </c>
      <c r="B7" s="1130" t="s">
        <v>951</v>
      </c>
      <c r="C7" s="1247" t="s">
        <v>14</v>
      </c>
      <c r="D7" s="1248">
        <v>10</v>
      </c>
      <c r="E7" s="940">
        <f t="shared" ref="E7:E10" si="4">$G$1</f>
        <v>148</v>
      </c>
      <c r="F7" s="948">
        <v>1</v>
      </c>
      <c r="G7" s="944">
        <f>D7*($Z$1+$AB$1)</f>
        <v>1480</v>
      </c>
      <c r="H7" s="943">
        <f>G7*F7</f>
        <v>1480</v>
      </c>
      <c r="I7" s="914">
        <f>VLOOKUP(B7,All_Ingredients!$A$1:$F$161,6,FALSE())</f>
        <v>0.5</v>
      </c>
      <c r="J7" s="940">
        <f>VLOOKUP(B7,All_Ingredients!$A$1:$J$161,10,FALSE())</f>
        <v>8.5</v>
      </c>
      <c r="K7" s="945">
        <f t="shared" si="2"/>
        <v>2.96</v>
      </c>
      <c r="L7" s="945">
        <f t="shared" si="3"/>
        <v>25.16</v>
      </c>
      <c r="M7" s="87"/>
      <c r="R7" s="890"/>
      <c r="T7" s="890"/>
      <c r="W7" s="890"/>
    </row>
    <row r="8" spans="1:32" x14ac:dyDescent="0.25">
      <c r="A8" s="1249"/>
      <c r="B8" s="1130" t="s">
        <v>798</v>
      </c>
      <c r="C8" s="947" t="s">
        <v>230</v>
      </c>
      <c r="D8" s="1248">
        <v>1</v>
      </c>
      <c r="E8" s="940">
        <f t="shared" si="4"/>
        <v>148</v>
      </c>
      <c r="F8" s="948">
        <v>1</v>
      </c>
      <c r="G8" s="940">
        <f t="shared" ref="G8" si="5">D8*E8</f>
        <v>148</v>
      </c>
      <c r="H8" s="943">
        <f t="shared" ref="H8:H10" si="6">G8*F8</f>
        <v>148</v>
      </c>
      <c r="I8" s="914">
        <f>VLOOKUP(B8,All_Ingredients!$A$1:$F$161,6,FALSE())</f>
        <v>1</v>
      </c>
      <c r="J8" s="940">
        <f>VLOOKUP(B8,All_Ingredients!$A$1:$J$161,10,FALSE())</f>
        <v>0.58333333333333337</v>
      </c>
      <c r="K8" s="945">
        <f t="shared" si="2"/>
        <v>0.14799999999999999</v>
      </c>
      <c r="L8" s="945">
        <f t="shared" si="3"/>
        <v>8.6333333333333331E-2</v>
      </c>
      <c r="M8" s="87"/>
      <c r="R8" s="890"/>
      <c r="T8" s="890"/>
      <c r="W8" s="890"/>
    </row>
    <row r="9" spans="1:32" x14ac:dyDescent="0.25">
      <c r="A9" s="1249" t="s">
        <v>882</v>
      </c>
      <c r="B9" s="1130" t="s">
        <v>12</v>
      </c>
      <c r="C9" s="1247" t="s">
        <v>14</v>
      </c>
      <c r="D9" s="1248">
        <v>10</v>
      </c>
      <c r="E9" s="940">
        <f t="shared" si="4"/>
        <v>148</v>
      </c>
      <c r="F9" s="948">
        <v>1</v>
      </c>
      <c r="G9" s="944">
        <f t="shared" ref="G9" si="7">D9*($Z$1+$AB$1)</f>
        <v>1480</v>
      </c>
      <c r="H9" s="943">
        <f t="shared" si="6"/>
        <v>1480</v>
      </c>
      <c r="I9" s="914">
        <f>VLOOKUP(B9,All_Ingredients!$A$1:$F$161,6,FALSE())</f>
        <v>0.9</v>
      </c>
      <c r="J9" s="940">
        <f>VLOOKUP(B9,All_Ingredients!$A$1:$J$161,10,FALSE())</f>
        <v>3</v>
      </c>
      <c r="K9" s="945">
        <f t="shared" si="2"/>
        <v>1.6444444444444444</v>
      </c>
      <c r="L9" s="945">
        <f t="shared" si="3"/>
        <v>4.9333333333333336</v>
      </c>
      <c r="M9" s="87"/>
      <c r="R9" s="890"/>
      <c r="T9" s="890"/>
      <c r="W9" s="890"/>
    </row>
    <row r="10" spans="1:32" x14ac:dyDescent="0.25">
      <c r="A10" s="1249" t="s">
        <v>882</v>
      </c>
      <c r="B10" s="951" t="s">
        <v>807</v>
      </c>
      <c r="C10" s="1247" t="s">
        <v>14</v>
      </c>
      <c r="D10" s="1248">
        <v>25</v>
      </c>
      <c r="E10" s="940">
        <f t="shared" si="4"/>
        <v>148</v>
      </c>
      <c r="F10" s="948">
        <v>1</v>
      </c>
      <c r="G10" s="940">
        <f t="shared" ref="G10" si="8">D10*E10</f>
        <v>3700</v>
      </c>
      <c r="H10" s="943">
        <f t="shared" si="6"/>
        <v>3700</v>
      </c>
      <c r="I10" s="914">
        <f>VLOOKUP(B10,All_Ingredients!$A$1:$F$161,6,FALSE())</f>
        <v>0.66</v>
      </c>
      <c r="J10" s="940">
        <f>VLOOKUP(B10,All_Ingredients!$A$1:$J$161,10,FALSE())</f>
        <v>3.5</v>
      </c>
      <c r="K10" s="945">
        <f t="shared" ref="K10" si="9">(H10/I10)/1000</f>
        <v>5.6060606060606064</v>
      </c>
      <c r="L10" s="945">
        <f t="shared" ref="L10" si="10">K10*J10</f>
        <v>19.621212121212121</v>
      </c>
      <c r="M10" s="87"/>
      <c r="R10" s="890"/>
      <c r="T10" s="890"/>
      <c r="W10" s="890"/>
    </row>
    <row r="11" spans="1:32" x14ac:dyDescent="0.25">
      <c r="B11" s="1175"/>
      <c r="C11" s="228"/>
      <c r="D11" s="92"/>
      <c r="E11" s="92"/>
      <c r="F11" s="900"/>
      <c r="G11" s="92"/>
      <c r="H11" s="901"/>
      <c r="I11" s="73"/>
      <c r="J11" s="92"/>
      <c r="K11" s="87"/>
      <c r="L11" s="87"/>
      <c r="M11" s="87"/>
      <c r="R11" s="890"/>
      <c r="T11" s="890"/>
      <c r="W11" s="890"/>
    </row>
    <row r="12" spans="1:32" x14ac:dyDescent="0.25">
      <c r="B12" s="1175"/>
      <c r="C12" s="228"/>
      <c r="D12" s="92"/>
      <c r="E12" s="92"/>
      <c r="F12" s="900"/>
      <c r="G12" s="92"/>
      <c r="H12" s="901"/>
      <c r="I12" s="73"/>
      <c r="J12" s="92"/>
      <c r="K12" s="87"/>
      <c r="L12" s="87"/>
      <c r="M12" s="87"/>
      <c r="R12" s="890"/>
      <c r="T12" s="890"/>
      <c r="W12" s="890"/>
    </row>
    <row r="13" spans="1:32" ht="15.75" x14ac:dyDescent="0.25">
      <c r="B13" s="1191" t="s">
        <v>1015</v>
      </c>
      <c r="C13" s="1783" t="s">
        <v>833</v>
      </c>
      <c r="D13" s="1783"/>
      <c r="E13" s="1783"/>
      <c r="F13" s="1783"/>
      <c r="G13" s="930"/>
      <c r="H13" s="930"/>
      <c r="I13" s="930"/>
      <c r="J13" s="930"/>
      <c r="K13" s="930"/>
      <c r="L13" s="930"/>
      <c r="M13" s="87"/>
      <c r="R13" s="890"/>
      <c r="T13" s="890"/>
      <c r="W13" s="890"/>
    </row>
    <row r="14" spans="1:32" x14ac:dyDescent="0.25">
      <c r="B14" s="926" t="s">
        <v>250</v>
      </c>
      <c r="C14" s="926">
        <v>10000</v>
      </c>
      <c r="D14" s="927" t="s">
        <v>474</v>
      </c>
      <c r="E14" s="928">
        <f>$S$32*$T$1</f>
        <v>12728</v>
      </c>
      <c r="F14" s="926" t="s">
        <v>239</v>
      </c>
      <c r="G14" s="929">
        <f>(($S$32*$T$1)/$R$1)/$C$75</f>
        <v>1.4301123595505618</v>
      </c>
      <c r="H14" s="1207"/>
      <c r="I14" s="1207"/>
      <c r="J14" s="1207"/>
      <c r="K14" s="1207"/>
      <c r="L14" s="1207"/>
      <c r="M14" s="87"/>
      <c r="R14" s="890"/>
      <c r="T14" s="890"/>
      <c r="W14" s="890"/>
    </row>
    <row r="15" spans="1:32" ht="38.25" x14ac:dyDescent="0.25">
      <c r="B15" s="926" t="s">
        <v>241</v>
      </c>
      <c r="C15" s="926" t="s">
        <v>242</v>
      </c>
      <c r="D15" s="926" t="s">
        <v>250</v>
      </c>
      <c r="E15" s="926" t="s">
        <v>234</v>
      </c>
      <c r="F15" s="926" t="s">
        <v>243</v>
      </c>
      <c r="G15" s="926" t="s">
        <v>244</v>
      </c>
      <c r="H15" s="926" t="s">
        <v>245</v>
      </c>
      <c r="I15" s="926" t="s">
        <v>246</v>
      </c>
      <c r="J15" s="926" t="s">
        <v>247</v>
      </c>
      <c r="K15" s="926" t="s">
        <v>248</v>
      </c>
      <c r="L15" s="926" t="s">
        <v>249</v>
      </c>
    </row>
    <row r="16" spans="1:32" x14ac:dyDescent="0.25">
      <c r="B16" s="1130" t="s">
        <v>93</v>
      </c>
      <c r="C16" s="951" t="s">
        <v>14</v>
      </c>
      <c r="D16" s="1248">
        <v>30</v>
      </c>
      <c r="E16" s="1250">
        <f>$G$75</f>
        <v>1.4301123595505618</v>
      </c>
      <c r="F16" s="948">
        <v>1</v>
      </c>
      <c r="G16" s="944">
        <f t="shared" ref="G16:G24" si="11">D16*E16</f>
        <v>42.903370786516852</v>
      </c>
      <c r="H16" s="943">
        <f t="shared" ref="H16:H24" si="12">G16*F16</f>
        <v>42.903370786516852</v>
      </c>
      <c r="I16" s="914">
        <f>VLOOKUP(B16,All_Ingredients!$A$1:$F$161,6,FALSE())</f>
        <v>1</v>
      </c>
      <c r="J16" s="940">
        <f>VLOOKUP(B16,All_Ingredients!$A$1:$J$161,10,FALSE())</f>
        <v>0.74</v>
      </c>
      <c r="K16" s="945">
        <f t="shared" ref="K16" si="13">(H16/I16)/1000</f>
        <v>4.2903370786516855E-2</v>
      </c>
      <c r="L16" s="945">
        <f t="shared" ref="L16" si="14">K16*J16</f>
        <v>3.1748494382022471E-2</v>
      </c>
    </row>
    <row r="17" spans="2:31" x14ac:dyDescent="0.25">
      <c r="B17" s="1130" t="s">
        <v>101</v>
      </c>
      <c r="C17" s="951" t="s">
        <v>14</v>
      </c>
      <c r="D17" s="1248">
        <v>50</v>
      </c>
      <c r="E17" s="1250">
        <f t="shared" ref="E17:E24" si="15">$G$75</f>
        <v>1.4301123595505618</v>
      </c>
      <c r="F17" s="948">
        <v>1</v>
      </c>
      <c r="G17" s="944">
        <f t="shared" si="11"/>
        <v>71.50561797752809</v>
      </c>
      <c r="H17" s="943">
        <f t="shared" si="12"/>
        <v>71.50561797752809</v>
      </c>
      <c r="I17" s="914">
        <f>VLOOKUP(B17,All_Ingredients!$A$1:$F$161,6,FALSE())</f>
        <v>1</v>
      </c>
      <c r="J17" s="940">
        <f>VLOOKUP(B17,All_Ingredients!$A$1:$J$161,10,FALSE())</f>
        <v>47</v>
      </c>
      <c r="K17" s="945">
        <f t="shared" ref="K17:K24" si="16">(H17/I17)/1000</f>
        <v>7.1505617977528094E-2</v>
      </c>
      <c r="L17" s="945">
        <f t="shared" ref="L17:L24" si="17">K17*J17</f>
        <v>3.3607640449438203</v>
      </c>
    </row>
    <row r="18" spans="2:31" x14ac:dyDescent="0.25">
      <c r="B18" s="1130" t="s">
        <v>149</v>
      </c>
      <c r="C18" s="951" t="s">
        <v>14</v>
      </c>
      <c r="D18" s="1248">
        <v>50</v>
      </c>
      <c r="E18" s="1250">
        <f t="shared" si="15"/>
        <v>1.4301123595505618</v>
      </c>
      <c r="F18" s="948">
        <v>1</v>
      </c>
      <c r="G18" s="944">
        <f t="shared" si="11"/>
        <v>71.50561797752809</v>
      </c>
      <c r="H18" s="943">
        <f t="shared" si="12"/>
        <v>71.50561797752809</v>
      </c>
      <c r="I18" s="914">
        <f>VLOOKUP(B18,All_Ingredients!$A$1:$F$161,6,FALSE())</f>
        <v>1</v>
      </c>
      <c r="J18" s="940">
        <f>VLOOKUP(B18,All_Ingredients!$A$1:$J$161,10,FALSE())</f>
        <v>10</v>
      </c>
      <c r="K18" s="945">
        <f t="shared" si="16"/>
        <v>7.1505617977528094E-2</v>
      </c>
      <c r="L18" s="945">
        <f t="shared" si="17"/>
        <v>0.71505617977528091</v>
      </c>
    </row>
    <row r="19" spans="2:31" x14ac:dyDescent="0.25">
      <c r="B19" s="1130" t="s">
        <v>146</v>
      </c>
      <c r="C19" s="951" t="s">
        <v>14</v>
      </c>
      <c r="D19" s="1248">
        <v>50</v>
      </c>
      <c r="E19" s="1250">
        <f t="shared" si="15"/>
        <v>1.4301123595505618</v>
      </c>
      <c r="F19" s="948">
        <v>1</v>
      </c>
      <c r="G19" s="944">
        <f t="shared" si="11"/>
        <v>71.50561797752809</v>
      </c>
      <c r="H19" s="943">
        <f t="shared" si="12"/>
        <v>71.50561797752809</v>
      </c>
      <c r="I19" s="914">
        <f>VLOOKUP(B19,All_Ingredients!$A$1:$F$161,6,FALSE())</f>
        <v>1</v>
      </c>
      <c r="J19" s="940">
        <f>VLOOKUP(B19,All_Ingredients!$A$1:$J$161,10,FALSE())</f>
        <v>12</v>
      </c>
      <c r="K19" s="945">
        <f t="shared" si="16"/>
        <v>7.1505617977528094E-2</v>
      </c>
      <c r="L19" s="945">
        <f t="shared" si="17"/>
        <v>0.85806741573033718</v>
      </c>
    </row>
    <row r="20" spans="2:31" x14ac:dyDescent="0.25">
      <c r="B20" s="1130" t="s">
        <v>202</v>
      </c>
      <c r="C20" s="951" t="s">
        <v>14</v>
      </c>
      <c r="D20" s="1248">
        <v>200</v>
      </c>
      <c r="E20" s="1250">
        <f t="shared" si="15"/>
        <v>1.4301123595505618</v>
      </c>
      <c r="F20" s="948">
        <v>1</v>
      </c>
      <c r="G20" s="944">
        <f t="shared" si="11"/>
        <v>286.02247191011236</v>
      </c>
      <c r="H20" s="943">
        <f t="shared" si="12"/>
        <v>286.02247191011236</v>
      </c>
      <c r="I20" s="914">
        <f>VLOOKUP(B20,All_Ingredients!$A$1:$F$161,6,FALSE())</f>
        <v>1</v>
      </c>
      <c r="J20" s="940">
        <f>VLOOKUP(B20,All_Ingredients!$A$1:$J$161,10,FALSE())</f>
        <v>11.243386243386244</v>
      </c>
      <c r="K20" s="945">
        <f t="shared" si="16"/>
        <v>0.28602247191011237</v>
      </c>
      <c r="L20" s="945">
        <f t="shared" si="17"/>
        <v>3.2158611259734857</v>
      </c>
    </row>
    <row r="21" spans="2:31" x14ac:dyDescent="0.25">
      <c r="B21" s="1130" t="s">
        <v>229</v>
      </c>
      <c r="C21" s="951" t="s">
        <v>230</v>
      </c>
      <c r="D21" s="1248">
        <v>10</v>
      </c>
      <c r="E21" s="1250">
        <f t="shared" si="15"/>
        <v>1.4301123595505618</v>
      </c>
      <c r="F21" s="948">
        <v>1</v>
      </c>
      <c r="G21" s="944">
        <f t="shared" si="11"/>
        <v>14.301123595505619</v>
      </c>
      <c r="H21" s="943">
        <f t="shared" si="12"/>
        <v>14.301123595505619</v>
      </c>
      <c r="I21" s="914">
        <f>VLOOKUP(B21,All_Ingredients!$A$1:$F$161,6,FALSE())</f>
        <v>1</v>
      </c>
      <c r="J21" s="940">
        <f>VLOOKUP(B21,All_Ingredients!$A$1:$J$161,10,FALSE())</f>
        <v>0.43333333333333335</v>
      </c>
      <c r="K21" s="945">
        <f t="shared" si="16"/>
        <v>1.4301123595505619E-2</v>
      </c>
      <c r="L21" s="945">
        <f t="shared" si="17"/>
        <v>6.1971535580524354E-3</v>
      </c>
    </row>
    <row r="22" spans="2:31" x14ac:dyDescent="0.25">
      <c r="B22" s="1130" t="s">
        <v>829</v>
      </c>
      <c r="C22" s="951" t="s">
        <v>14</v>
      </c>
      <c r="D22" s="1248">
        <v>600</v>
      </c>
      <c r="E22" s="1250">
        <f t="shared" si="15"/>
        <v>1.4301123595505618</v>
      </c>
      <c r="F22" s="948">
        <v>1</v>
      </c>
      <c r="G22" s="944">
        <f t="shared" si="11"/>
        <v>858.06741573033707</v>
      </c>
      <c r="H22" s="943">
        <f t="shared" si="12"/>
        <v>858.06741573033707</v>
      </c>
      <c r="I22" s="914">
        <f>VLOOKUP(B22,All_Ingredients!$A$1:$F$161,6,FALSE())</f>
        <v>1</v>
      </c>
      <c r="J22" s="940">
        <f>VLOOKUP(B22,All_Ingredients!$A$1:$J$161,10,FALSE())</f>
        <v>0</v>
      </c>
      <c r="K22" s="945">
        <f t="shared" si="16"/>
        <v>0.85806741573033707</v>
      </c>
      <c r="L22" s="945">
        <f t="shared" si="17"/>
        <v>0</v>
      </c>
    </row>
    <row r="23" spans="2:31" ht="28.5" x14ac:dyDescent="0.25">
      <c r="B23" s="1130" t="s">
        <v>188</v>
      </c>
      <c r="C23" s="951" t="s">
        <v>14</v>
      </c>
      <c r="D23" s="1248">
        <v>1000</v>
      </c>
      <c r="E23" s="1250">
        <f t="shared" si="15"/>
        <v>1.4301123595505618</v>
      </c>
      <c r="F23" s="948">
        <v>1</v>
      </c>
      <c r="G23" s="944">
        <f t="shared" si="11"/>
        <v>1430.1123595505619</v>
      </c>
      <c r="H23" s="943">
        <f t="shared" si="12"/>
        <v>1430.1123595505619</v>
      </c>
      <c r="I23" s="914">
        <f>VLOOKUP(B23,All_Ingredients!$A$1:$F$161,6,FALSE())</f>
        <v>1</v>
      </c>
      <c r="J23" s="940">
        <f>VLOOKUP(B23,All_Ingredients!$A$1:$J$161,10,FALSE())</f>
        <v>8.5</v>
      </c>
      <c r="K23" s="945">
        <f t="shared" si="16"/>
        <v>1.4301123595505618</v>
      </c>
      <c r="L23" s="945">
        <f t="shared" si="17"/>
        <v>12.155955056179776</v>
      </c>
    </row>
    <row r="24" spans="2:31" x14ac:dyDescent="0.25">
      <c r="B24" s="1130" t="s">
        <v>222</v>
      </c>
      <c r="C24" s="951" t="s">
        <v>14</v>
      </c>
      <c r="D24" s="1248">
        <v>500</v>
      </c>
      <c r="E24" s="1250">
        <f t="shared" si="15"/>
        <v>1.4301123595505618</v>
      </c>
      <c r="F24" s="948">
        <v>1</v>
      </c>
      <c r="G24" s="944">
        <f t="shared" si="11"/>
        <v>715.05617977528095</v>
      </c>
      <c r="H24" s="943">
        <f t="shared" si="12"/>
        <v>715.05617977528095</v>
      </c>
      <c r="I24" s="914">
        <f>VLOOKUP(B24,All_Ingredients!$A$1:$F$161,6,FALSE())</f>
        <v>1</v>
      </c>
      <c r="J24" s="940">
        <f>VLOOKUP(B24,All_Ingredients!$A$1:$J$161,10,FALSE())</f>
        <v>30</v>
      </c>
      <c r="K24" s="945">
        <f t="shared" si="16"/>
        <v>0.71505617977528091</v>
      </c>
      <c r="L24" s="945">
        <f t="shared" si="17"/>
        <v>21.451685393258426</v>
      </c>
    </row>
    <row r="25" spans="2:31" x14ac:dyDescent="0.25">
      <c r="R25" s="1792" t="s">
        <v>833</v>
      </c>
      <c r="S25" s="1787"/>
      <c r="T25" s="1788"/>
      <c r="U25" s="1787"/>
      <c r="V25" s="956"/>
      <c r="W25" s="1043"/>
      <c r="X25" s="952"/>
      <c r="Z25" s="982" t="s">
        <v>252</v>
      </c>
      <c r="AA25" s="989">
        <v>1</v>
      </c>
      <c r="AB25" s="982" t="s">
        <v>249</v>
      </c>
      <c r="AC25" s="985">
        <f>AE30*AA25</f>
        <v>2.6130009112419006</v>
      </c>
    </row>
    <row r="26" spans="2:31" x14ac:dyDescent="0.25">
      <c r="R26" s="1792" t="s">
        <v>291</v>
      </c>
      <c r="S26" s="1797"/>
      <c r="T26" s="1798"/>
      <c r="U26" s="1797"/>
      <c r="V26" s="956"/>
      <c r="W26" s="1043"/>
      <c r="X26" s="952"/>
    </row>
    <row r="27" spans="2:31" x14ac:dyDescent="0.25">
      <c r="R27" s="961" t="s">
        <v>254</v>
      </c>
      <c r="S27" s="962" t="s">
        <v>354</v>
      </c>
      <c r="T27" s="961" t="s">
        <v>256</v>
      </c>
      <c r="U27" s="962" t="s">
        <v>262</v>
      </c>
      <c r="V27" s="962" t="s">
        <v>746</v>
      </c>
      <c r="W27" s="961" t="s">
        <v>767</v>
      </c>
      <c r="X27" s="962" t="s">
        <v>766</v>
      </c>
      <c r="Z27" s="982" t="s">
        <v>258</v>
      </c>
      <c r="AA27" s="982" t="s">
        <v>746</v>
      </c>
      <c r="AB27" s="982" t="s">
        <v>259</v>
      </c>
      <c r="AC27" s="982" t="s">
        <v>757</v>
      </c>
      <c r="AD27" s="982" t="s">
        <v>754</v>
      </c>
      <c r="AE27" s="982" t="s">
        <v>262</v>
      </c>
    </row>
    <row r="28" spans="2:31" x14ac:dyDescent="0.25">
      <c r="R28" s="961" t="s">
        <v>263</v>
      </c>
      <c r="S28" s="965">
        <f>$Z$1</f>
        <v>143</v>
      </c>
      <c r="T28" s="964"/>
      <c r="U28" s="963">
        <f>S28</f>
        <v>143</v>
      </c>
      <c r="V28" s="966">
        <f>SUM(H16:H24)</f>
        <v>3560.979775280899</v>
      </c>
      <c r="W28" s="967">
        <f>SUM(L6)</f>
        <v>8.879999999999999E-2</v>
      </c>
      <c r="X28" s="966">
        <f>K13</f>
        <v>0</v>
      </c>
      <c r="Z28" s="1086"/>
      <c r="AA28" s="1205"/>
      <c r="AB28" s="985">
        <f>AA25*$S$40</f>
        <v>1</v>
      </c>
      <c r="AC28" s="1205"/>
      <c r="AD28" s="1205"/>
      <c r="AE28" s="1088">
        <f>SUM(AB28:AB28)</f>
        <v>1</v>
      </c>
    </row>
    <row r="29" spans="2:31" x14ac:dyDescent="0.25">
      <c r="R29" s="961" t="s">
        <v>264</v>
      </c>
      <c r="S29" s="968"/>
      <c r="T29" s="967"/>
      <c r="U29" s="963">
        <f>T29</f>
        <v>0</v>
      </c>
      <c r="V29" s="966"/>
      <c r="W29" s="967"/>
      <c r="X29" s="966"/>
      <c r="Z29" s="1086"/>
      <c r="AA29" s="1205"/>
      <c r="AB29" s="1089">
        <f>AB28/$AE$28</f>
        <v>1</v>
      </c>
      <c r="AC29" s="1205"/>
      <c r="AD29" s="1205"/>
      <c r="AE29" s="1089">
        <f>AE28/$AE$28</f>
        <v>1</v>
      </c>
    </row>
    <row r="30" spans="2:31" x14ac:dyDescent="0.25">
      <c r="R30" s="961" t="s">
        <v>265</v>
      </c>
      <c r="S30" s="1204">
        <f>$AB$1</f>
        <v>5</v>
      </c>
      <c r="T30" s="964"/>
      <c r="U30" s="963"/>
      <c r="V30" s="972"/>
      <c r="W30" s="973"/>
      <c r="X30" s="972"/>
      <c r="Z30" s="982" t="s">
        <v>266</v>
      </c>
      <c r="AA30" s="955">
        <f>V35/$AF$1</f>
        <v>0.28240091124190003</v>
      </c>
      <c r="AB30" s="1090">
        <f>S35/(AF1)</f>
        <v>2.1600000000000006</v>
      </c>
      <c r="AC30" s="955">
        <f>W35/AF1</f>
        <v>5.9999999999999995E-4</v>
      </c>
      <c r="AD30" s="955">
        <f>X35/$AF$1</f>
        <v>0.17</v>
      </c>
      <c r="AE30" s="1121">
        <f>AB30+AD30+AC30+AA30</f>
        <v>2.6130009112419006</v>
      </c>
    </row>
    <row r="31" spans="2:31" x14ac:dyDescent="0.25">
      <c r="R31" s="961" t="s">
        <v>267</v>
      </c>
      <c r="S31" s="959" t="s">
        <v>309</v>
      </c>
      <c r="T31" s="967"/>
      <c r="U31" s="966"/>
      <c r="V31" s="966"/>
      <c r="W31" s="967"/>
      <c r="X31" s="966"/>
    </row>
    <row r="32" spans="2:31" x14ac:dyDescent="0.25">
      <c r="R32" s="961" t="s">
        <v>257</v>
      </c>
      <c r="S32" s="1251">
        <f>S28+S30</f>
        <v>148</v>
      </c>
      <c r="T32" s="967">
        <f>SUM(T28:T30)</f>
        <v>0</v>
      </c>
      <c r="U32" s="966">
        <f>T32+S32</f>
        <v>148</v>
      </c>
      <c r="V32" s="966"/>
      <c r="W32" s="967"/>
      <c r="X32" s="966"/>
    </row>
    <row r="33" spans="2:24" x14ac:dyDescent="0.25">
      <c r="B33" s="890"/>
      <c r="D33" s="890"/>
      <c r="E33" s="890"/>
      <c r="F33" s="890"/>
      <c r="H33" s="890"/>
      <c r="K33" s="890"/>
      <c r="R33" s="976" t="s">
        <v>254</v>
      </c>
      <c r="S33" s="959"/>
      <c r="T33" s="960">
        <f>F40+F59</f>
        <v>0</v>
      </c>
      <c r="U33" s="959"/>
      <c r="V33" s="959"/>
      <c r="W33" s="960"/>
      <c r="X33" s="959"/>
    </row>
    <row r="34" spans="2:24" x14ac:dyDescent="0.25">
      <c r="B34" s="890"/>
      <c r="D34" s="890"/>
      <c r="E34" s="890"/>
      <c r="F34" s="890"/>
      <c r="H34" s="890"/>
      <c r="K34" s="890"/>
      <c r="R34" s="961" t="s">
        <v>269</v>
      </c>
      <c r="S34" s="959"/>
      <c r="T34" s="967">
        <f>T33-(T28+T29)</f>
        <v>0</v>
      </c>
      <c r="U34" s="959"/>
      <c r="V34" s="959"/>
      <c r="W34" s="960"/>
      <c r="X34" s="959"/>
    </row>
    <row r="35" spans="2:24" x14ac:dyDescent="0.25">
      <c r="B35" s="890"/>
      <c r="D35" s="890"/>
      <c r="E35" s="890"/>
      <c r="F35" s="890"/>
      <c r="H35" s="890"/>
      <c r="K35" s="890"/>
      <c r="R35" s="977" t="s">
        <v>249</v>
      </c>
      <c r="S35" s="978">
        <f>L5</f>
        <v>319.68000000000006</v>
      </c>
      <c r="T35" s="979">
        <f>SUM(O6:O19)</f>
        <v>0</v>
      </c>
      <c r="U35" s="1136">
        <f>S35+T35+V35+W35+X35</f>
        <v>386.72413486380128</v>
      </c>
      <c r="V35" s="978">
        <f>SUM(L16:L24)</f>
        <v>41.795334863801202</v>
      </c>
      <c r="W35" s="979">
        <f>L6</f>
        <v>8.879999999999999E-2</v>
      </c>
      <c r="X35" s="978">
        <f>L7</f>
        <v>25.16</v>
      </c>
    </row>
    <row r="36" spans="2:24" x14ac:dyDescent="0.25">
      <c r="B36" s="890"/>
      <c r="D36" s="890"/>
      <c r="E36" s="890"/>
      <c r="F36" s="890"/>
      <c r="H36" s="890"/>
      <c r="K36" s="890"/>
      <c r="R36" s="890"/>
      <c r="T36" s="890"/>
      <c r="W36" s="890"/>
    </row>
    <row r="37" spans="2:24" x14ac:dyDescent="0.25">
      <c r="B37" s="890"/>
      <c r="D37" s="890"/>
      <c r="E37" s="890"/>
      <c r="F37" s="890"/>
      <c r="H37" s="890"/>
      <c r="K37" s="890"/>
      <c r="R37" s="890"/>
      <c r="T37" s="890"/>
      <c r="W37" s="890"/>
    </row>
    <row r="38" spans="2:24" x14ac:dyDescent="0.25">
      <c r="B38" s="890"/>
      <c r="D38" s="890"/>
      <c r="E38" s="890"/>
      <c r="F38" s="890"/>
      <c r="H38" s="890"/>
      <c r="K38" s="890"/>
      <c r="R38" s="890"/>
      <c r="T38" s="890"/>
      <c r="W38" s="890"/>
    </row>
    <row r="39" spans="2:24" x14ac:dyDescent="0.25">
      <c r="B39" s="80"/>
      <c r="D39" s="890"/>
      <c r="E39" s="80"/>
      <c r="F39" s="80"/>
      <c r="H39" s="890"/>
      <c r="K39" s="890"/>
      <c r="R39" s="890"/>
      <c r="T39" s="890"/>
      <c r="W39" s="890"/>
    </row>
    <row r="40" spans="2:24" ht="26.25" x14ac:dyDescent="0.25">
      <c r="B40" s="80"/>
      <c r="C40" s="80"/>
      <c r="D40" s="225"/>
      <c r="E40" s="80"/>
      <c r="F40" s="80"/>
      <c r="G40" s="80"/>
      <c r="H40" s="80"/>
      <c r="I40" s="80"/>
      <c r="J40" s="80"/>
      <c r="K40" s="890"/>
      <c r="R40" s="1011" t="s">
        <v>270</v>
      </c>
      <c r="S40" s="1012">
        <v>1</v>
      </c>
      <c r="T40" s="1011" t="s">
        <v>271</v>
      </c>
      <c r="U40" s="1013">
        <v>0</v>
      </c>
      <c r="V40" s="1014">
        <f>S40+U40</f>
        <v>1</v>
      </c>
      <c r="W40" s="890"/>
    </row>
    <row r="41" spans="2:24" x14ac:dyDescent="0.25">
      <c r="B41" s="80"/>
      <c r="C41" s="80"/>
      <c r="D41" s="80"/>
      <c r="E41" s="80"/>
      <c r="F41" s="80"/>
      <c r="G41" s="80"/>
      <c r="H41" s="80"/>
      <c r="I41" s="80"/>
      <c r="J41" s="80"/>
      <c r="K41" s="890"/>
      <c r="R41" s="890"/>
      <c r="T41" s="890"/>
      <c r="U41" s="123"/>
      <c r="W41" s="890"/>
    </row>
    <row r="42" spans="2:24" ht="18" x14ac:dyDescent="0.25">
      <c r="B42" s="186"/>
      <c r="D42" s="890"/>
      <c r="E42" s="890"/>
      <c r="F42" s="890"/>
      <c r="H42" s="890"/>
      <c r="K42" s="890"/>
      <c r="R42" s="890"/>
      <c r="T42" s="890"/>
      <c r="W42" s="890"/>
    </row>
    <row r="43" spans="2:24" ht="26.25" x14ac:dyDescent="0.25">
      <c r="B43" s="176"/>
      <c r="D43" s="890"/>
      <c r="E43" s="890"/>
      <c r="F43" s="890"/>
      <c r="H43" s="890"/>
      <c r="K43" s="890"/>
      <c r="Q43" s="1015" t="s">
        <v>272</v>
      </c>
      <c r="R43" s="1011" t="s">
        <v>273</v>
      </c>
      <c r="S43" s="1015" t="s">
        <v>274</v>
      </c>
      <c r="T43" s="1011" t="s">
        <v>275</v>
      </c>
      <c r="U43" s="1015" t="s">
        <v>276</v>
      </c>
      <c r="V43" s="1015" t="s">
        <v>277</v>
      </c>
      <c r="W43" s="1011" t="s">
        <v>278</v>
      </c>
    </row>
    <row r="44" spans="2:24" x14ac:dyDescent="0.25">
      <c r="B44" s="226"/>
      <c r="C44" s="227"/>
      <c r="D44" s="226"/>
      <c r="E44" s="226"/>
      <c r="F44" s="226"/>
      <c r="G44" s="226"/>
      <c r="H44" s="226"/>
      <c r="I44" s="226"/>
      <c r="J44" s="226"/>
      <c r="K44" s="890"/>
      <c r="Q44" s="1023">
        <v>18841</v>
      </c>
      <c r="R44" s="1017">
        <f>E51</f>
        <v>0</v>
      </c>
      <c r="S44" s="1024">
        <v>0</v>
      </c>
      <c r="T44" s="1025">
        <v>0</v>
      </c>
      <c r="U44" s="1096">
        <f>R44*S44</f>
        <v>0</v>
      </c>
      <c r="V44" s="1021">
        <f>R44*T44</f>
        <v>0</v>
      </c>
      <c r="W44" s="1026">
        <f>Q44-U44</f>
        <v>18841</v>
      </c>
    </row>
    <row r="50" spans="1:14" x14ac:dyDescent="0.25">
      <c r="B50" s="898"/>
      <c r="C50" s="131"/>
      <c r="D50" s="898"/>
      <c r="E50" s="80"/>
      <c r="F50" s="80"/>
      <c r="G50" s="962" t="s">
        <v>280</v>
      </c>
      <c r="H50" s="961" t="s">
        <v>233</v>
      </c>
      <c r="I50" s="962" t="s">
        <v>281</v>
      </c>
      <c r="J50" s="962" t="s">
        <v>282</v>
      </c>
      <c r="K50" s="890"/>
    </row>
    <row r="51" spans="1:14" x14ac:dyDescent="0.25">
      <c r="B51" s="898"/>
      <c r="C51" s="451"/>
      <c r="D51" s="1741"/>
      <c r="E51" s="135"/>
      <c r="F51" s="80"/>
      <c r="G51" s="1033" t="s">
        <v>283</v>
      </c>
      <c r="H51" s="1122">
        <f>I51/$D$5</f>
        <v>176.41385767790263</v>
      </c>
      <c r="I51" s="1028">
        <f>J51/$R$1</f>
        <v>21169.662921348314</v>
      </c>
      <c r="J51" s="1028">
        <f>$W$44</f>
        <v>18841</v>
      </c>
      <c r="K51" s="890"/>
    </row>
    <row r="52" spans="1:14" x14ac:dyDescent="0.25">
      <c r="B52" s="1176"/>
      <c r="C52" s="216"/>
      <c r="D52" s="1181"/>
      <c r="E52" s="80"/>
      <c r="F52" s="80"/>
      <c r="G52" s="962" t="s">
        <v>262</v>
      </c>
      <c r="H52" s="1189">
        <f>I52/$D$5</f>
        <v>119.17602996254682</v>
      </c>
      <c r="I52" s="1021">
        <f>J52/$R$1</f>
        <v>14301.123595505618</v>
      </c>
      <c r="J52" s="1030">
        <f>$U$32*$T$1</f>
        <v>12728</v>
      </c>
      <c r="K52" s="890"/>
    </row>
    <row r="53" spans="1:14" x14ac:dyDescent="0.25">
      <c r="B53" s="1176"/>
      <c r="C53" s="216"/>
      <c r="D53" s="1181"/>
      <c r="E53" s="80"/>
      <c r="F53" s="80"/>
      <c r="G53" s="962" t="s">
        <v>284</v>
      </c>
      <c r="H53" s="1035">
        <f>MIN(H52,H51)</f>
        <v>119.17602996254682</v>
      </c>
      <c r="I53" s="1021">
        <f>J53/$R$1</f>
        <v>14301.123595505618</v>
      </c>
      <c r="J53" s="1021">
        <f>MIN(J52,J51)</f>
        <v>12728</v>
      </c>
      <c r="K53" s="890"/>
    </row>
    <row r="54" spans="1:14" x14ac:dyDescent="0.25">
      <c r="B54" s="1176"/>
      <c r="C54" s="216"/>
      <c r="D54" s="1181"/>
      <c r="E54" s="80"/>
      <c r="F54" s="80"/>
      <c r="G54" s="962" t="s">
        <v>285</v>
      </c>
      <c r="H54" s="1035">
        <f>MIN(MAX(H52-H53),H51)</f>
        <v>0</v>
      </c>
      <c r="I54" s="1021">
        <f>J54/$R$1</f>
        <v>0</v>
      </c>
      <c r="J54" s="1021">
        <f>MIN(MAX(J52-J53),J51)</f>
        <v>0</v>
      </c>
      <c r="K54" s="890"/>
    </row>
    <row r="55" spans="1:14" x14ac:dyDescent="0.25">
      <c r="B55" s="1176"/>
      <c r="C55" s="216"/>
      <c r="D55" s="1181"/>
      <c r="E55" s="80"/>
      <c r="F55" s="80"/>
      <c r="G55" s="962" t="s">
        <v>286</v>
      </c>
      <c r="H55" s="1035">
        <f>MIN(MAX(H52-H53-H54),H51)</f>
        <v>0</v>
      </c>
      <c r="I55" s="1021">
        <f>J55/$R$1</f>
        <v>0</v>
      </c>
      <c r="J55" s="1021">
        <f>MIN(MAX(J52-J53-J54),J51)</f>
        <v>0</v>
      </c>
      <c r="K55" s="890"/>
    </row>
    <row r="56" spans="1:14" x14ac:dyDescent="0.25">
      <c r="B56" s="890"/>
      <c r="D56" s="890"/>
      <c r="E56" s="890"/>
      <c r="F56" s="890"/>
      <c r="H56" s="890"/>
      <c r="K56" s="890"/>
    </row>
    <row r="57" spans="1:14" x14ac:dyDescent="0.25">
      <c r="B57" s="890"/>
      <c r="D57" s="890"/>
      <c r="E57" s="890"/>
      <c r="F57" s="890"/>
      <c r="H57" s="890"/>
      <c r="K57" s="890"/>
    </row>
    <row r="58" spans="1:14" ht="18" x14ac:dyDescent="0.25">
      <c r="B58" s="1803"/>
      <c r="C58" s="1799"/>
      <c r="D58" s="1816"/>
      <c r="E58" s="1816"/>
      <c r="F58" s="1816"/>
      <c r="G58" s="1799"/>
      <c r="H58" s="1816"/>
      <c r="I58" s="1799"/>
      <c r="J58" s="1799"/>
      <c r="K58" s="890"/>
    </row>
    <row r="59" spans="1:14" x14ac:dyDescent="0.25">
      <c r="B59" s="226"/>
      <c r="C59" s="227"/>
      <c r="D59" s="226"/>
      <c r="E59" s="226"/>
      <c r="F59" s="226"/>
      <c r="G59" s="226"/>
      <c r="H59" s="226"/>
      <c r="I59" s="226"/>
      <c r="J59" s="226"/>
      <c r="K59" s="890"/>
    </row>
    <row r="60" spans="1:14" x14ac:dyDescent="0.25">
      <c r="B60" s="1175"/>
      <c r="C60" s="228"/>
      <c r="D60" s="1175"/>
      <c r="E60" s="92"/>
      <c r="F60" s="900"/>
      <c r="G60" s="92"/>
      <c r="H60" s="901"/>
      <c r="I60" s="73"/>
      <c r="J60" s="94"/>
      <c r="K60" s="890"/>
    </row>
    <row r="61" spans="1:14" x14ac:dyDescent="0.25">
      <c r="B61" s="1175"/>
      <c r="C61" s="228"/>
      <c r="D61" s="1175"/>
      <c r="E61" s="92"/>
      <c r="F61" s="900"/>
      <c r="G61" s="92"/>
      <c r="H61" s="901"/>
      <c r="I61" s="73"/>
      <c r="J61" s="94"/>
      <c r="K61" s="890"/>
    </row>
    <row r="62" spans="1:14" ht="18" x14ac:dyDescent="0.25">
      <c r="A62" s="867"/>
      <c r="B62" s="1804"/>
      <c r="C62" s="1817"/>
      <c r="D62" s="1818"/>
      <c r="E62" s="1818"/>
      <c r="F62" s="1818"/>
      <c r="G62" s="1817"/>
      <c r="H62" s="1818"/>
      <c r="K62" s="890"/>
    </row>
    <row r="63" spans="1:14" x14ac:dyDescent="0.25">
      <c r="A63" s="867"/>
      <c r="B63" s="1776" t="s">
        <v>833</v>
      </c>
      <c r="C63" s="1777"/>
      <c r="D63" s="1778"/>
      <c r="E63" s="1778"/>
      <c r="F63" s="1778"/>
      <c r="G63" s="1777"/>
      <c r="H63" s="1778"/>
      <c r="K63" s="890"/>
    </row>
    <row r="64" spans="1:14" ht="38.25" x14ac:dyDescent="0.2">
      <c r="A64" s="1350" t="s">
        <v>864</v>
      </c>
      <c r="B64" s="1104" t="s">
        <v>241</v>
      </c>
      <c r="C64" s="934" t="s">
        <v>242</v>
      </c>
      <c r="D64" s="1104" t="s">
        <v>231</v>
      </c>
      <c r="E64" s="936" t="s">
        <v>234</v>
      </c>
      <c r="F64" s="936" t="s">
        <v>243</v>
      </c>
      <c r="G64" s="1104" t="s">
        <v>244</v>
      </c>
      <c r="H64" s="936" t="s">
        <v>245</v>
      </c>
      <c r="K64" s="890"/>
      <c r="M64" s="87"/>
      <c r="N64" s="87"/>
    </row>
    <row r="65" spans="1:12" x14ac:dyDescent="0.25">
      <c r="A65" s="949" t="s">
        <v>877</v>
      </c>
      <c r="B65" s="1130" t="str">
        <f t="shared" ref="B65:D70" si="18">B5</f>
        <v>Chicken Minced - دجاج مفروم</v>
      </c>
      <c r="C65" s="1252" t="str">
        <f t="shared" si="18"/>
        <v>gm</v>
      </c>
      <c r="D65" s="1426">
        <f t="shared" si="18"/>
        <v>120</v>
      </c>
      <c r="E65" s="940">
        <f>$U$32</f>
        <v>148</v>
      </c>
      <c r="F65" s="948">
        <f>F5</f>
        <v>1</v>
      </c>
      <c r="G65" s="944">
        <f>D65*E65</f>
        <v>17760</v>
      </c>
      <c r="H65" s="943">
        <f>G65*F65</f>
        <v>17760</v>
      </c>
      <c r="I65" s="73"/>
      <c r="J65" s="92"/>
      <c r="K65" s="73"/>
      <c r="L65" s="92"/>
    </row>
    <row r="66" spans="1:12" ht="28.5" x14ac:dyDescent="0.25">
      <c r="A66" s="949"/>
      <c r="B66" s="1130" t="str">
        <f t="shared" si="18"/>
        <v>Whole Wheat Burger Buns 70gm - خبز برجر بني</v>
      </c>
      <c r="C66" s="1252" t="str">
        <f t="shared" si="18"/>
        <v>Piece</v>
      </c>
      <c r="D66" s="1426">
        <f t="shared" si="18"/>
        <v>1</v>
      </c>
      <c r="E66" s="940">
        <f t="shared" ref="E66:E70" si="19">$U$32</f>
        <v>148</v>
      </c>
      <c r="F66" s="948">
        <f t="shared" ref="F66:F70" si="20">F6</f>
        <v>1</v>
      </c>
      <c r="G66" s="944">
        <f t="shared" ref="G66:G70" si="21">D66*E66</f>
        <v>148</v>
      </c>
      <c r="H66" s="943">
        <f t="shared" ref="H66:H67" si="22">G66*F66</f>
        <v>148</v>
      </c>
      <c r="K66" s="890"/>
    </row>
    <row r="67" spans="1:12" ht="28.5" x14ac:dyDescent="0.25">
      <c r="A67" s="1249" t="s">
        <v>888</v>
      </c>
      <c r="B67" s="1130" t="str">
        <f t="shared" si="18"/>
        <v>Iceberg Lettuce - خس مدور أمريكى</v>
      </c>
      <c r="C67" s="1252" t="str">
        <f t="shared" si="18"/>
        <v>gm</v>
      </c>
      <c r="D67" s="1426">
        <f t="shared" si="18"/>
        <v>10</v>
      </c>
      <c r="E67" s="940">
        <f t="shared" si="19"/>
        <v>148</v>
      </c>
      <c r="F67" s="948">
        <f t="shared" si="20"/>
        <v>1</v>
      </c>
      <c r="G67" s="944">
        <f t="shared" si="21"/>
        <v>1480</v>
      </c>
      <c r="H67" s="943">
        <f t="shared" si="22"/>
        <v>1480</v>
      </c>
      <c r="K67" s="890"/>
    </row>
    <row r="68" spans="1:12" x14ac:dyDescent="0.25">
      <c r="A68" s="1249"/>
      <c r="B68" s="1130" t="str">
        <f t="shared" si="18"/>
        <v>Sliced cheese - جبنة شرائح</v>
      </c>
      <c r="C68" s="1252" t="str">
        <f t="shared" si="18"/>
        <v>Piece</v>
      </c>
      <c r="D68" s="1426">
        <f t="shared" si="18"/>
        <v>1</v>
      </c>
      <c r="E68" s="940">
        <f t="shared" si="19"/>
        <v>148</v>
      </c>
      <c r="F68" s="948">
        <f t="shared" si="20"/>
        <v>1</v>
      </c>
      <c r="G68" s="944">
        <f t="shared" si="21"/>
        <v>148</v>
      </c>
      <c r="H68" s="943">
        <f>G68*F68</f>
        <v>148</v>
      </c>
      <c r="K68" s="890"/>
    </row>
    <row r="69" spans="1:12" x14ac:dyDescent="0.25">
      <c r="A69" s="1249" t="s">
        <v>882</v>
      </c>
      <c r="B69" s="1130" t="str">
        <f t="shared" si="18"/>
        <v>Onion - بصل</v>
      </c>
      <c r="C69" s="1252" t="str">
        <f t="shared" si="18"/>
        <v>gm</v>
      </c>
      <c r="D69" s="1426">
        <f t="shared" si="18"/>
        <v>10</v>
      </c>
      <c r="E69" s="940">
        <f t="shared" si="19"/>
        <v>148</v>
      </c>
      <c r="F69" s="948">
        <f t="shared" si="20"/>
        <v>1</v>
      </c>
      <c r="G69" s="944">
        <f t="shared" si="21"/>
        <v>1480</v>
      </c>
      <c r="H69" s="943">
        <f t="shared" ref="H69:H70" si="23">G69*F69</f>
        <v>1480</v>
      </c>
      <c r="K69" s="890"/>
    </row>
    <row r="70" spans="1:12" x14ac:dyDescent="0.25">
      <c r="A70" s="1249" t="s">
        <v>882</v>
      </c>
      <c r="B70" s="1130" t="str">
        <f t="shared" si="18"/>
        <v>Sliced tomato - طماطم شرائح</v>
      </c>
      <c r="C70" s="1252" t="str">
        <f t="shared" si="18"/>
        <v>gm</v>
      </c>
      <c r="D70" s="1426">
        <f t="shared" si="18"/>
        <v>25</v>
      </c>
      <c r="E70" s="940">
        <f t="shared" si="19"/>
        <v>148</v>
      </c>
      <c r="F70" s="948">
        <f t="shared" si="20"/>
        <v>1</v>
      </c>
      <c r="G70" s="944">
        <f t="shared" si="21"/>
        <v>3700</v>
      </c>
      <c r="H70" s="943">
        <f t="shared" si="23"/>
        <v>3700</v>
      </c>
      <c r="K70" s="890"/>
    </row>
    <row r="71" spans="1:12" ht="18" x14ac:dyDescent="0.25">
      <c r="B71" s="1041" t="s">
        <v>287</v>
      </c>
      <c r="C71" s="1042" t="s">
        <v>273</v>
      </c>
      <c r="D71" s="1041" t="s">
        <v>537</v>
      </c>
      <c r="E71" s="1254" t="s">
        <v>288</v>
      </c>
      <c r="F71" s="1054"/>
      <c r="G71" s="1255" t="s">
        <v>264</v>
      </c>
      <c r="H71" s="1256" t="s">
        <v>661</v>
      </c>
      <c r="K71" s="890"/>
    </row>
    <row r="72" spans="1:12" ht="20.25" x14ac:dyDescent="0.3">
      <c r="B72" s="1047">
        <f>$J$53</f>
        <v>12728</v>
      </c>
      <c r="C72" s="1283">
        <f>E72+G72</f>
        <v>0</v>
      </c>
      <c r="D72" s="1047">
        <f>$AF$1</f>
        <v>148</v>
      </c>
      <c r="E72" s="1047">
        <f>$C$53*$S$44</f>
        <v>0</v>
      </c>
      <c r="F72" s="1050"/>
      <c r="G72" s="1048">
        <f>$D$53*$T$44</f>
        <v>0</v>
      </c>
      <c r="H72" s="1047">
        <f>B72+E72</f>
        <v>12728</v>
      </c>
      <c r="K72" s="890"/>
    </row>
    <row r="73" spans="1:12" ht="14.25" customHeight="1" x14ac:dyDescent="0.25">
      <c r="E73" s="80"/>
      <c r="F73" s="80"/>
    </row>
    <row r="74" spans="1:12" ht="12.75" customHeight="1" x14ac:dyDescent="0.25">
      <c r="B74" s="1191" t="s">
        <v>1015</v>
      </c>
      <c r="C74" s="1783" t="s">
        <v>833</v>
      </c>
      <c r="D74" s="1783"/>
      <c r="E74" s="1783"/>
      <c r="F74" s="1783"/>
      <c r="G74" s="930"/>
      <c r="H74" s="930"/>
    </row>
    <row r="75" spans="1:12" x14ac:dyDescent="0.25">
      <c r="B75" s="926" t="s">
        <v>250</v>
      </c>
      <c r="C75" s="926">
        <v>10000</v>
      </c>
      <c r="D75" s="927" t="s">
        <v>474</v>
      </c>
      <c r="E75" s="928">
        <f>$S$32*$T$1</f>
        <v>12728</v>
      </c>
      <c r="F75" s="926" t="s">
        <v>239</v>
      </c>
      <c r="G75" s="929">
        <f>(($S$32*$T$1)/$R$1)/$C$75</f>
        <v>1.4301123595505618</v>
      </c>
      <c r="H75" s="1207"/>
    </row>
    <row r="76" spans="1:12" ht="38.25" x14ac:dyDescent="0.25">
      <c r="B76" s="926" t="s">
        <v>241</v>
      </c>
      <c r="C76" s="926" t="s">
        <v>242</v>
      </c>
      <c r="D76" s="926" t="s">
        <v>250</v>
      </c>
      <c r="E76" s="926" t="s">
        <v>234</v>
      </c>
      <c r="F76" s="926" t="s">
        <v>243</v>
      </c>
      <c r="G76" s="926" t="s">
        <v>244</v>
      </c>
      <c r="H76" s="926" t="s">
        <v>245</v>
      </c>
    </row>
    <row r="77" spans="1:12" x14ac:dyDescent="0.25">
      <c r="B77" s="1130" t="s">
        <v>93</v>
      </c>
      <c r="C77" s="951" t="s">
        <v>14</v>
      </c>
      <c r="D77" s="1248">
        <v>30</v>
      </c>
      <c r="E77" s="1250">
        <f>$G$75</f>
        <v>1.4301123595505618</v>
      </c>
      <c r="F77" s="948">
        <v>1</v>
      </c>
      <c r="G77" s="944">
        <f>D77*E77</f>
        <v>42.903370786516852</v>
      </c>
      <c r="H77" s="943">
        <f>G77*F77</f>
        <v>42.903370786516852</v>
      </c>
    </row>
    <row r="78" spans="1:12" x14ac:dyDescent="0.25">
      <c r="B78" s="1130" t="s">
        <v>101</v>
      </c>
      <c r="C78" s="951" t="s">
        <v>14</v>
      </c>
      <c r="D78" s="1248">
        <v>50</v>
      </c>
      <c r="E78" s="1250">
        <f t="shared" ref="E78:E85" si="24">$G$75</f>
        <v>1.4301123595505618</v>
      </c>
      <c r="F78" s="948">
        <v>1</v>
      </c>
      <c r="G78" s="944">
        <f t="shared" ref="G78:G85" si="25">D78*E78</f>
        <v>71.50561797752809</v>
      </c>
      <c r="H78" s="943">
        <f t="shared" ref="H78:H85" si="26">G78*F78</f>
        <v>71.50561797752809</v>
      </c>
    </row>
    <row r="79" spans="1:12" x14ac:dyDescent="0.25">
      <c r="B79" s="1130" t="s">
        <v>149</v>
      </c>
      <c r="C79" s="951" t="s">
        <v>14</v>
      </c>
      <c r="D79" s="1248">
        <v>50</v>
      </c>
      <c r="E79" s="1250">
        <f t="shared" si="24"/>
        <v>1.4301123595505618</v>
      </c>
      <c r="F79" s="948">
        <v>1</v>
      </c>
      <c r="G79" s="944">
        <f t="shared" si="25"/>
        <v>71.50561797752809</v>
      </c>
      <c r="H79" s="943">
        <f t="shared" si="26"/>
        <v>71.50561797752809</v>
      </c>
    </row>
    <row r="80" spans="1:12" x14ac:dyDescent="0.25">
      <c r="B80" s="1130" t="s">
        <v>146</v>
      </c>
      <c r="C80" s="951" t="s">
        <v>14</v>
      </c>
      <c r="D80" s="1248">
        <v>50</v>
      </c>
      <c r="E80" s="1250">
        <f t="shared" si="24"/>
        <v>1.4301123595505618</v>
      </c>
      <c r="F80" s="948">
        <v>1</v>
      </c>
      <c r="G80" s="944">
        <f t="shared" si="25"/>
        <v>71.50561797752809</v>
      </c>
      <c r="H80" s="943">
        <f t="shared" si="26"/>
        <v>71.50561797752809</v>
      </c>
    </row>
    <row r="81" spans="2:8" x14ac:dyDescent="0.25">
      <c r="B81" s="1130" t="s">
        <v>202</v>
      </c>
      <c r="C81" s="951" t="s">
        <v>14</v>
      </c>
      <c r="D81" s="1248">
        <v>200</v>
      </c>
      <c r="E81" s="1250">
        <f t="shared" si="24"/>
        <v>1.4301123595505618</v>
      </c>
      <c r="F81" s="948">
        <v>1</v>
      </c>
      <c r="G81" s="944">
        <f t="shared" si="25"/>
        <v>286.02247191011236</v>
      </c>
      <c r="H81" s="943">
        <f t="shared" si="26"/>
        <v>286.02247191011236</v>
      </c>
    </row>
    <row r="82" spans="2:8" x14ac:dyDescent="0.25">
      <c r="B82" s="1130" t="s">
        <v>229</v>
      </c>
      <c r="C82" s="951" t="s">
        <v>230</v>
      </c>
      <c r="D82" s="1248">
        <v>10</v>
      </c>
      <c r="E82" s="1250">
        <f t="shared" si="24"/>
        <v>1.4301123595505618</v>
      </c>
      <c r="F82" s="948">
        <v>1</v>
      </c>
      <c r="G82" s="944">
        <f t="shared" si="25"/>
        <v>14.301123595505619</v>
      </c>
      <c r="H82" s="943">
        <f t="shared" si="26"/>
        <v>14.301123595505619</v>
      </c>
    </row>
    <row r="83" spans="2:8" x14ac:dyDescent="0.25">
      <c r="B83" s="1130" t="s">
        <v>829</v>
      </c>
      <c r="C83" s="951" t="s">
        <v>14</v>
      </c>
      <c r="D83" s="1248">
        <v>600</v>
      </c>
      <c r="E83" s="1250">
        <f t="shared" si="24"/>
        <v>1.4301123595505618</v>
      </c>
      <c r="F83" s="948">
        <v>1</v>
      </c>
      <c r="G83" s="944">
        <f t="shared" si="25"/>
        <v>858.06741573033707</v>
      </c>
      <c r="H83" s="943">
        <f t="shared" si="26"/>
        <v>858.06741573033707</v>
      </c>
    </row>
    <row r="84" spans="2:8" ht="28.5" x14ac:dyDescent="0.25">
      <c r="B84" s="1130" t="s">
        <v>188</v>
      </c>
      <c r="C84" s="951" t="s">
        <v>14</v>
      </c>
      <c r="D84" s="1248">
        <v>1000</v>
      </c>
      <c r="E84" s="1250">
        <f t="shared" si="24"/>
        <v>1.4301123595505618</v>
      </c>
      <c r="F84" s="948">
        <v>1</v>
      </c>
      <c r="G84" s="944">
        <f t="shared" si="25"/>
        <v>1430.1123595505619</v>
      </c>
      <c r="H84" s="943">
        <f t="shared" si="26"/>
        <v>1430.1123595505619</v>
      </c>
    </row>
    <row r="85" spans="2:8" x14ac:dyDescent="0.25">
      <c r="B85" s="1130" t="s">
        <v>222</v>
      </c>
      <c r="C85" s="951" t="s">
        <v>14</v>
      </c>
      <c r="D85" s="1248">
        <v>500</v>
      </c>
      <c r="E85" s="1250">
        <f t="shared" si="24"/>
        <v>1.4301123595505618</v>
      </c>
      <c r="F85" s="948">
        <v>1</v>
      </c>
      <c r="G85" s="944">
        <f t="shared" si="25"/>
        <v>715.05617977528095</v>
      </c>
      <c r="H85" s="943">
        <f t="shared" si="26"/>
        <v>715.05617977528095</v>
      </c>
    </row>
  </sheetData>
  <mergeCells count="8">
    <mergeCell ref="B2:H3"/>
    <mergeCell ref="R25:U25"/>
    <mergeCell ref="R26:U26"/>
    <mergeCell ref="C74:F74"/>
    <mergeCell ref="C13:F13"/>
    <mergeCell ref="B58:J58"/>
    <mergeCell ref="B62:H62"/>
    <mergeCell ref="B63:H63"/>
  </mergeCells>
  <printOptions horizontalCentered="1"/>
  <pageMargins left="0.4" right="0.4" top="1" bottom="0.5" header="0.3" footer="0.511811023622047"/>
  <pageSetup paperSize="9" scale="41" orientation="landscape"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70C0"/>
    <pageSetUpPr fitToPage="1"/>
  </sheetPr>
  <dimension ref="A1:AD162"/>
  <sheetViews>
    <sheetView zoomScale="55" zoomScaleNormal="55" workbookViewId="0">
      <selection activeCell="B13" sqref="B13"/>
    </sheetView>
  </sheetViews>
  <sheetFormatPr defaultColWidth="12.5" defaultRowHeight="15" x14ac:dyDescent="0.25"/>
  <cols>
    <col min="1" max="1" width="25.875" style="1" customWidth="1"/>
    <col min="2" max="2" width="25.875" customWidth="1"/>
    <col min="3" max="3" width="18.625" customWidth="1"/>
    <col min="4" max="8" width="25.875" customWidth="1"/>
    <col min="9" max="10" width="18.625" customWidth="1"/>
    <col min="11" max="11" width="25.875" customWidth="1"/>
    <col min="12" max="12" width="12.625" customWidth="1"/>
    <col min="13" max="14" width="4" customWidth="1"/>
    <col min="17" max="17" width="12.625" customWidth="1"/>
    <col min="18" max="18" width="25.875" customWidth="1"/>
    <col min="19" max="22" width="12.625" customWidth="1"/>
    <col min="23" max="23" width="25.875" customWidth="1"/>
    <col min="24" max="24" width="31.75" customWidth="1"/>
    <col min="25" max="25" width="8.625" customWidth="1"/>
    <col min="26" max="27" width="12.625" customWidth="1"/>
    <col min="28" max="28" width="12.625" style="396" customWidth="1"/>
    <col min="29" max="29" width="8.625" style="396" customWidth="1"/>
    <col min="30" max="30" width="8.625" customWidth="1"/>
  </cols>
  <sheetData>
    <row r="1" spans="1:30" x14ac:dyDescent="0.2">
      <c r="A1" s="1350" t="s">
        <v>231</v>
      </c>
      <c r="B1" s="914">
        <v>1000</v>
      </c>
      <c r="C1" s="923" t="s">
        <v>312</v>
      </c>
      <c r="D1" s="1262">
        <f>$S$30/J1</f>
        <v>49490.566037735844</v>
      </c>
      <c r="E1" s="923" t="s">
        <v>236</v>
      </c>
      <c r="F1" s="914" t="s">
        <v>313</v>
      </c>
      <c r="G1" s="923" t="s">
        <v>314</v>
      </c>
      <c r="H1" s="1263">
        <f>H52</f>
        <v>26.229999999999997</v>
      </c>
      <c r="I1" s="924" t="s">
        <v>238</v>
      </c>
      <c r="J1" s="1264">
        <v>0.53</v>
      </c>
      <c r="K1" s="80"/>
      <c r="R1" s="830"/>
      <c r="W1" s="830"/>
      <c r="Y1" s="923" t="s">
        <v>444</v>
      </c>
      <c r="Z1" s="925">
        <v>25730</v>
      </c>
      <c r="AA1" s="923" t="s">
        <v>544</v>
      </c>
      <c r="AB1" s="925">
        <v>500</v>
      </c>
      <c r="AC1" s="923" t="s">
        <v>537</v>
      </c>
      <c r="AD1" s="925">
        <v>183</v>
      </c>
    </row>
    <row r="2" spans="1:30" x14ac:dyDescent="0.25">
      <c r="A2" s="1265"/>
      <c r="B2" s="1784" t="s">
        <v>911</v>
      </c>
      <c r="C2" s="1787"/>
      <c r="D2" s="1788"/>
      <c r="E2" s="1788"/>
      <c r="F2" s="1788"/>
      <c r="G2" s="1788"/>
      <c r="H2" s="1788"/>
      <c r="I2" s="1787"/>
      <c r="J2" s="1787"/>
      <c r="K2" s="1785"/>
      <c r="L2" s="187"/>
      <c r="M2" s="80"/>
      <c r="N2" s="80"/>
      <c r="R2" s="830"/>
      <c r="W2" s="830"/>
    </row>
    <row r="3" spans="1:30" x14ac:dyDescent="0.25">
      <c r="A3" s="1257"/>
      <c r="B3" s="1785"/>
      <c r="C3" s="1796"/>
      <c r="D3" s="1785"/>
      <c r="E3" s="1785"/>
      <c r="F3" s="1785"/>
      <c r="G3" s="1785"/>
      <c r="H3" s="1785"/>
      <c r="I3" s="1796"/>
      <c r="J3" s="1796"/>
      <c r="K3" s="1785"/>
      <c r="L3" s="187"/>
      <c r="M3" s="80"/>
      <c r="N3" s="80"/>
      <c r="R3" s="830"/>
      <c r="W3" s="830"/>
    </row>
    <row r="4" spans="1:30" ht="38.25" x14ac:dyDescent="0.2">
      <c r="A4" s="1350" t="s">
        <v>864</v>
      </c>
      <c r="B4" s="923" t="s">
        <v>241</v>
      </c>
      <c r="C4" s="1104" t="s">
        <v>316</v>
      </c>
      <c r="D4" s="923" t="s">
        <v>317</v>
      </c>
      <c r="E4" s="935" t="s">
        <v>318</v>
      </c>
      <c r="F4" s="935" t="s">
        <v>319</v>
      </c>
      <c r="G4" s="1266" t="s">
        <v>320</v>
      </c>
      <c r="H4" s="936" t="s">
        <v>321</v>
      </c>
      <c r="I4" s="923" t="s">
        <v>246</v>
      </c>
      <c r="J4" s="923" t="s">
        <v>247</v>
      </c>
      <c r="K4" s="923" t="s">
        <v>248</v>
      </c>
      <c r="L4" s="923" t="s">
        <v>249</v>
      </c>
      <c r="R4" s="830"/>
      <c r="W4" s="830"/>
    </row>
    <row r="5" spans="1:30" x14ac:dyDescent="0.2">
      <c r="A5" s="937" t="s">
        <v>873</v>
      </c>
      <c r="B5" s="1118" t="s">
        <v>223</v>
      </c>
      <c r="C5" s="947" t="s">
        <v>14</v>
      </c>
      <c r="D5" s="940">
        <f>I51/H51</f>
        <v>1886.7924528301887</v>
      </c>
      <c r="E5" s="940">
        <f>I52/D5</f>
        <v>26.229999999999997</v>
      </c>
      <c r="F5" s="948">
        <v>1</v>
      </c>
      <c r="G5" s="941">
        <f t="shared" ref="G5:G18" si="0">D5*E5</f>
        <v>49490.566037735844</v>
      </c>
      <c r="H5" s="1432">
        <f>D1</f>
        <v>49490.566037735844</v>
      </c>
      <c r="I5" s="914">
        <f>VLOOKUP(B5,All_Ingredients!$A$1:$F$161,6,FALSE())</f>
        <v>0.55000000000000004</v>
      </c>
      <c r="J5" s="940">
        <f>VLOOKUP(B5,All_Ingredients!$A$1:$J$161,10,FALSE())</f>
        <v>14.361111111111111</v>
      </c>
      <c r="K5" s="945">
        <f t="shared" ref="K5" si="1">(H5/I5)/1000</f>
        <v>89.982847341337902</v>
      </c>
      <c r="L5" s="945">
        <f t="shared" ref="L5" si="2">K5*J5</f>
        <v>1292.2536687631025</v>
      </c>
      <c r="R5" s="830"/>
      <c r="W5" s="830"/>
    </row>
    <row r="6" spans="1:30" x14ac:dyDescent="0.25">
      <c r="A6" s="1268" t="s">
        <v>881</v>
      </c>
      <c r="B6" s="1130" t="s">
        <v>12</v>
      </c>
      <c r="C6" s="947" t="s">
        <v>14</v>
      </c>
      <c r="D6" s="914">
        <v>200</v>
      </c>
      <c r="E6" s="1040">
        <f t="shared" ref="E6:E18" si="3">$H$52</f>
        <v>26.229999999999997</v>
      </c>
      <c r="F6" s="948">
        <v>1</v>
      </c>
      <c r="G6" s="940">
        <f t="shared" si="0"/>
        <v>5245.9999999999991</v>
      </c>
      <c r="H6" s="943">
        <f t="shared" ref="H6:H18" si="4">G6*F6</f>
        <v>5245.9999999999991</v>
      </c>
      <c r="I6" s="914">
        <f>VLOOKUP(B6,All_Ingredients!$A$1:$F$161,6,FALSE())</f>
        <v>0.9</v>
      </c>
      <c r="J6" s="940">
        <f>VLOOKUP(B6,All_Ingredients!$A$1:$J$161,10,FALSE())</f>
        <v>3</v>
      </c>
      <c r="K6" s="945">
        <f t="shared" ref="K6:K18" si="5">(H6/I6)/1000</f>
        <v>5.8288888888888879</v>
      </c>
      <c r="L6" s="945">
        <f t="shared" ref="L6:L18" si="6">K6*J6</f>
        <v>17.486666666666665</v>
      </c>
      <c r="R6" s="830"/>
      <c r="W6" s="830"/>
    </row>
    <row r="7" spans="1:30" x14ac:dyDescent="0.25">
      <c r="A7" s="1268" t="s">
        <v>870</v>
      </c>
      <c r="B7" s="1130" t="s">
        <v>17</v>
      </c>
      <c r="C7" s="947" t="s">
        <v>14</v>
      </c>
      <c r="D7" s="914">
        <v>120</v>
      </c>
      <c r="E7" s="1040">
        <f t="shared" si="3"/>
        <v>26.229999999999997</v>
      </c>
      <c r="F7" s="948">
        <v>1</v>
      </c>
      <c r="G7" s="940">
        <f t="shared" si="0"/>
        <v>3147.5999999999995</v>
      </c>
      <c r="H7" s="943">
        <f t="shared" si="4"/>
        <v>3147.5999999999995</v>
      </c>
      <c r="I7" s="914">
        <f>VLOOKUP(B7,All_Ingredients!$A$1:$F$161,6,FALSE())</f>
        <v>0.98</v>
      </c>
      <c r="J7" s="940">
        <f>VLOOKUP(B7,All_Ingredients!$A$1:$J$161,10,FALSE())</f>
        <v>3.5</v>
      </c>
      <c r="K7" s="945">
        <f t="shared" si="5"/>
        <v>3.2118367346938772</v>
      </c>
      <c r="L7" s="945">
        <f t="shared" si="6"/>
        <v>11.241428571428571</v>
      </c>
      <c r="R7" s="830"/>
      <c r="W7" s="830"/>
    </row>
    <row r="8" spans="1:30" x14ac:dyDescent="0.25">
      <c r="A8" s="1268" t="s">
        <v>868</v>
      </c>
      <c r="B8" s="1130" t="s">
        <v>706</v>
      </c>
      <c r="C8" s="947" t="s">
        <v>14</v>
      </c>
      <c r="D8" s="914">
        <v>10</v>
      </c>
      <c r="E8" s="1040">
        <f t="shared" si="3"/>
        <v>26.229999999999997</v>
      </c>
      <c r="F8" s="948">
        <v>0.65</v>
      </c>
      <c r="G8" s="940">
        <f t="shared" si="0"/>
        <v>262.29999999999995</v>
      </c>
      <c r="H8" s="943">
        <f t="shared" si="4"/>
        <v>170.49499999999998</v>
      </c>
      <c r="I8" s="914">
        <f>VLOOKUP(B8,All_Ingredients!$A$1:$F$161,6,FALSE())</f>
        <v>1</v>
      </c>
      <c r="J8" s="940">
        <f>VLOOKUP(B8,All_Ingredients!$A$1:$J$161,10,FALSE())</f>
        <v>10.5</v>
      </c>
      <c r="K8" s="945">
        <f t="shared" si="5"/>
        <v>0.17049499999999998</v>
      </c>
      <c r="L8" s="945">
        <f t="shared" si="6"/>
        <v>1.7901974999999999</v>
      </c>
      <c r="R8" s="830"/>
      <c r="W8" s="830"/>
    </row>
    <row r="9" spans="1:30" ht="28.5" x14ac:dyDescent="0.25">
      <c r="A9" s="1268" t="s">
        <v>880</v>
      </c>
      <c r="B9" s="1130" t="s">
        <v>32</v>
      </c>
      <c r="C9" s="947" t="s">
        <v>14</v>
      </c>
      <c r="D9" s="914">
        <v>50</v>
      </c>
      <c r="E9" s="1040">
        <f t="shared" si="3"/>
        <v>26.229999999999997</v>
      </c>
      <c r="F9" s="948">
        <v>0.75</v>
      </c>
      <c r="G9" s="940">
        <f t="shared" si="0"/>
        <v>1311.4999999999998</v>
      </c>
      <c r="H9" s="943">
        <f t="shared" si="4"/>
        <v>983.62499999999977</v>
      </c>
      <c r="I9" s="914">
        <f>VLOOKUP(B9,All_Ingredients!$A$1:$F$161,6,FALSE())</f>
        <v>0.69</v>
      </c>
      <c r="J9" s="940">
        <f>VLOOKUP(B9,All_Ingredients!$A$1:$J$161,10,FALSE())</f>
        <v>4</v>
      </c>
      <c r="K9" s="945">
        <f t="shared" si="5"/>
        <v>1.4255434782608694</v>
      </c>
      <c r="L9" s="945">
        <f t="shared" si="6"/>
        <v>5.7021739130434774</v>
      </c>
      <c r="R9" s="830"/>
      <c r="W9" s="830"/>
    </row>
    <row r="10" spans="1:30" x14ac:dyDescent="0.25">
      <c r="A10" s="1268"/>
      <c r="B10" s="1130" t="s">
        <v>105</v>
      </c>
      <c r="C10" s="947" t="s">
        <v>14</v>
      </c>
      <c r="D10" s="914">
        <v>20</v>
      </c>
      <c r="E10" s="1040">
        <f t="shared" si="3"/>
        <v>26.229999999999997</v>
      </c>
      <c r="F10" s="948">
        <v>0.7</v>
      </c>
      <c r="G10" s="940">
        <f t="shared" si="0"/>
        <v>524.59999999999991</v>
      </c>
      <c r="H10" s="943">
        <f t="shared" si="4"/>
        <v>367.21999999999991</v>
      </c>
      <c r="I10" s="914">
        <f>VLOOKUP(B10,All_Ingredients!$A$1:$F$161,6,FALSE())</f>
        <v>1</v>
      </c>
      <c r="J10" s="940">
        <f>VLOOKUP(B10,All_Ingredients!$A$1:$J$161,10,FALSE())</f>
        <v>15</v>
      </c>
      <c r="K10" s="945">
        <f t="shared" si="5"/>
        <v>0.36721999999999994</v>
      </c>
      <c r="L10" s="945">
        <f t="shared" si="6"/>
        <v>5.5082999999999993</v>
      </c>
      <c r="R10" s="830"/>
      <c r="W10" s="830"/>
    </row>
    <row r="11" spans="1:30" x14ac:dyDescent="0.25">
      <c r="A11" s="1268"/>
      <c r="B11" s="960" t="s">
        <v>139</v>
      </c>
      <c r="C11" s="947" t="s">
        <v>14</v>
      </c>
      <c r="D11" s="914">
        <v>20</v>
      </c>
      <c r="E11" s="1040">
        <f t="shared" si="3"/>
        <v>26.229999999999997</v>
      </c>
      <c r="F11" s="948">
        <v>0.65</v>
      </c>
      <c r="G11" s="940">
        <f t="shared" si="0"/>
        <v>524.59999999999991</v>
      </c>
      <c r="H11" s="943">
        <f t="shared" si="4"/>
        <v>340.98999999999995</v>
      </c>
      <c r="I11" s="914">
        <f>VLOOKUP(B11,All_Ingredients!$A$1:$F$161,6,FALSE())</f>
        <v>1</v>
      </c>
      <c r="J11" s="940">
        <f>VLOOKUP(B11,All_Ingredients!$A$1:$J$161,10,FALSE())</f>
        <v>15.277777777777779</v>
      </c>
      <c r="K11" s="945">
        <f t="shared" si="5"/>
        <v>0.34098999999999996</v>
      </c>
      <c r="L11" s="945">
        <f t="shared" si="6"/>
        <v>5.209569444444444</v>
      </c>
      <c r="R11" s="830"/>
      <c r="W11" s="830"/>
    </row>
    <row r="12" spans="1:30" x14ac:dyDescent="0.25">
      <c r="A12" s="1268"/>
      <c r="B12" s="960" t="s">
        <v>126</v>
      </c>
      <c r="C12" s="947" t="s">
        <v>14</v>
      </c>
      <c r="D12" s="914">
        <v>10</v>
      </c>
      <c r="E12" s="1040">
        <f t="shared" si="3"/>
        <v>26.229999999999997</v>
      </c>
      <c r="F12" s="948">
        <v>0.25</v>
      </c>
      <c r="G12" s="940">
        <f t="shared" si="0"/>
        <v>262.29999999999995</v>
      </c>
      <c r="H12" s="943">
        <f t="shared" si="4"/>
        <v>65.574999999999989</v>
      </c>
      <c r="I12" s="914">
        <f>VLOOKUP(B12,All_Ingredients!$A$1:$F$161,6,FALSE())</f>
        <v>1</v>
      </c>
      <c r="J12" s="940">
        <f>VLOOKUP(B12,All_Ingredients!$A$1:$J$161,10,FALSE())</f>
        <v>125</v>
      </c>
      <c r="K12" s="945">
        <f t="shared" si="5"/>
        <v>6.5574999999999994E-2</v>
      </c>
      <c r="L12" s="945">
        <f t="shared" si="6"/>
        <v>8.1968749999999986</v>
      </c>
      <c r="R12" s="830"/>
      <c r="W12" s="830"/>
    </row>
    <row r="13" spans="1:30" ht="28.5" x14ac:dyDescent="0.25">
      <c r="A13" s="1268"/>
      <c r="B13" s="1130" t="s">
        <v>107</v>
      </c>
      <c r="C13" s="947" t="s">
        <v>14</v>
      </c>
      <c r="D13" s="914">
        <v>20</v>
      </c>
      <c r="E13" s="1040">
        <f t="shared" si="3"/>
        <v>26.229999999999997</v>
      </c>
      <c r="F13" s="948">
        <v>0.7</v>
      </c>
      <c r="G13" s="940">
        <f t="shared" si="0"/>
        <v>524.59999999999991</v>
      </c>
      <c r="H13" s="943">
        <f t="shared" si="4"/>
        <v>367.21999999999991</v>
      </c>
      <c r="I13" s="914">
        <f>VLOOKUP(B13,All_Ingredients!$A$1:$F$161,6,FALSE())</f>
        <v>1</v>
      </c>
      <c r="J13" s="940">
        <f>VLOOKUP(B13,All_Ingredients!$A$1:$J$161,10,FALSE())</f>
        <v>8</v>
      </c>
      <c r="K13" s="945">
        <f t="shared" si="5"/>
        <v>0.36721999999999994</v>
      </c>
      <c r="L13" s="945">
        <f t="shared" si="6"/>
        <v>2.9377599999999995</v>
      </c>
      <c r="R13" s="830"/>
      <c r="W13" s="830"/>
    </row>
    <row r="14" spans="1:30" x14ac:dyDescent="0.25">
      <c r="A14" s="1268"/>
      <c r="B14" s="1130" t="s">
        <v>163</v>
      </c>
      <c r="C14" s="947" t="s">
        <v>14</v>
      </c>
      <c r="D14" s="914">
        <v>150</v>
      </c>
      <c r="E14" s="1040">
        <f t="shared" si="3"/>
        <v>26.229999999999997</v>
      </c>
      <c r="F14" s="948">
        <v>0.85</v>
      </c>
      <c r="G14" s="940">
        <f t="shared" si="0"/>
        <v>3934.4999999999995</v>
      </c>
      <c r="H14" s="943">
        <f t="shared" si="4"/>
        <v>3344.3249999999994</v>
      </c>
      <c r="I14" s="914">
        <f>VLOOKUP(B14,All_Ingredients!$A$1:$F$161,6,FALSE())</f>
        <v>1</v>
      </c>
      <c r="J14" s="940">
        <f>VLOOKUP(B14,All_Ingredients!$A$1:$J$161,10,FALSE())</f>
        <v>6.6959999999999997</v>
      </c>
      <c r="K14" s="945">
        <f t="shared" si="5"/>
        <v>3.3443249999999995</v>
      </c>
      <c r="L14" s="945">
        <f t="shared" si="6"/>
        <v>22.393600199999995</v>
      </c>
      <c r="R14" s="830"/>
      <c r="W14" s="830"/>
    </row>
    <row r="15" spans="1:30" x14ac:dyDescent="0.25">
      <c r="A15" s="1268"/>
      <c r="B15" s="1130" t="s">
        <v>678</v>
      </c>
      <c r="C15" s="947" t="s">
        <v>14</v>
      </c>
      <c r="D15" s="914">
        <v>70</v>
      </c>
      <c r="E15" s="1040">
        <f t="shared" si="3"/>
        <v>26.229999999999997</v>
      </c>
      <c r="F15" s="948">
        <v>0.8</v>
      </c>
      <c r="G15" s="940">
        <f t="shared" si="0"/>
        <v>1836.0999999999997</v>
      </c>
      <c r="H15" s="943">
        <f t="shared" si="4"/>
        <v>1468.8799999999999</v>
      </c>
      <c r="I15" s="914">
        <f>VLOOKUP(B15,All_Ingredients!$A$1:$F$161,6,FALSE())</f>
        <v>1</v>
      </c>
      <c r="J15" s="940">
        <f>VLOOKUP(B15,All_Ingredients!$A$1:$J$161,10,FALSE())</f>
        <v>8.1520833333333336</v>
      </c>
      <c r="K15" s="945">
        <f t="shared" si="5"/>
        <v>1.46888</v>
      </c>
      <c r="L15" s="945">
        <f t="shared" si="6"/>
        <v>11.974432166666666</v>
      </c>
      <c r="R15" s="830"/>
      <c r="W15" s="830"/>
    </row>
    <row r="16" spans="1:30" x14ac:dyDescent="0.25">
      <c r="A16" s="1268"/>
      <c r="B16" s="1130" t="s">
        <v>93</v>
      </c>
      <c r="C16" s="947" t="s">
        <v>14</v>
      </c>
      <c r="D16" s="914">
        <v>30</v>
      </c>
      <c r="E16" s="1040">
        <f t="shared" si="3"/>
        <v>26.229999999999997</v>
      </c>
      <c r="F16" s="948">
        <v>0.75</v>
      </c>
      <c r="G16" s="940">
        <f t="shared" si="0"/>
        <v>786.89999999999986</v>
      </c>
      <c r="H16" s="943">
        <f t="shared" si="4"/>
        <v>590.17499999999995</v>
      </c>
      <c r="I16" s="914">
        <f>VLOOKUP(B16,All_Ingredients!$A$1:$F$161,6,FALSE())</f>
        <v>1</v>
      </c>
      <c r="J16" s="940">
        <f>VLOOKUP(B16,All_Ingredients!$A$1:$J$161,10,FALSE())</f>
        <v>0.74</v>
      </c>
      <c r="K16" s="945">
        <f t="shared" si="5"/>
        <v>0.59017500000000001</v>
      </c>
      <c r="L16" s="945">
        <f t="shared" si="6"/>
        <v>0.43672949999999999</v>
      </c>
      <c r="R16" s="830"/>
      <c r="W16" s="830"/>
    </row>
    <row r="17" spans="1:29" x14ac:dyDescent="0.25">
      <c r="A17" s="1268"/>
      <c r="B17" s="1130" t="s">
        <v>203</v>
      </c>
      <c r="C17" s="947" t="s">
        <v>160</v>
      </c>
      <c r="D17" s="914">
        <v>200</v>
      </c>
      <c r="E17" s="1040">
        <f t="shared" si="3"/>
        <v>26.229999999999997</v>
      </c>
      <c r="F17" s="948">
        <v>1</v>
      </c>
      <c r="G17" s="940">
        <f t="shared" si="0"/>
        <v>5245.9999999999991</v>
      </c>
      <c r="H17" s="943">
        <f t="shared" si="4"/>
        <v>5245.9999999999991</v>
      </c>
      <c r="I17" s="914">
        <f>VLOOKUP(B17,All_Ingredients!$A$1:$F$161,6,FALSE())</f>
        <v>1</v>
      </c>
      <c r="J17" s="940">
        <f>VLOOKUP(B17,All_Ingredients!$A$1:$J$161,10,FALSE())</f>
        <v>0</v>
      </c>
      <c r="K17" s="945">
        <f t="shared" si="5"/>
        <v>5.2459999999999987</v>
      </c>
      <c r="L17" s="945">
        <f t="shared" si="6"/>
        <v>0</v>
      </c>
      <c r="R17" s="830"/>
      <c r="W17" s="830"/>
    </row>
    <row r="18" spans="1:29" ht="29.25" x14ac:dyDescent="0.25">
      <c r="A18" s="1268"/>
      <c r="B18" s="960" t="s">
        <v>799</v>
      </c>
      <c r="C18" s="947" t="s">
        <v>14</v>
      </c>
      <c r="D18" s="914">
        <v>1</v>
      </c>
      <c r="E18" s="1040">
        <f t="shared" si="3"/>
        <v>26.229999999999997</v>
      </c>
      <c r="F18" s="948">
        <v>0.3</v>
      </c>
      <c r="G18" s="940">
        <f t="shared" si="0"/>
        <v>26.229999999999997</v>
      </c>
      <c r="H18" s="943">
        <f t="shared" si="4"/>
        <v>7.8689999999999989</v>
      </c>
      <c r="I18" s="914">
        <f>VLOOKUP(B18,All_Ingredients!$A$1:$F$161,6,FALSE())</f>
        <v>1</v>
      </c>
      <c r="J18" s="940">
        <f>VLOOKUP(B18,All_Ingredients!$A$1:$J$161,10,FALSE())</f>
        <v>22.5</v>
      </c>
      <c r="K18" s="945">
        <f t="shared" si="5"/>
        <v>7.8689999999999993E-3</v>
      </c>
      <c r="L18" s="945">
        <f t="shared" si="6"/>
        <v>0.17705249999999997</v>
      </c>
      <c r="R18" s="830"/>
      <c r="W18" s="830"/>
    </row>
    <row r="19" spans="1:29" x14ac:dyDescent="0.25">
      <c r="A19" s="874"/>
      <c r="B19" s="80"/>
      <c r="C19" s="80"/>
      <c r="D19" s="80"/>
      <c r="E19" s="80"/>
      <c r="F19" s="80"/>
      <c r="G19" s="830"/>
      <c r="H19" s="830"/>
      <c r="K19" s="830"/>
      <c r="L19" s="144"/>
      <c r="R19" s="830"/>
      <c r="W19" s="830"/>
    </row>
    <row r="20" spans="1:29" x14ac:dyDescent="0.25">
      <c r="A20" s="874"/>
      <c r="B20" s="80"/>
      <c r="C20" s="80"/>
      <c r="D20" s="80"/>
      <c r="E20" s="80"/>
      <c r="F20" s="80"/>
      <c r="G20" s="830"/>
      <c r="H20" s="830"/>
      <c r="K20" s="830"/>
      <c r="L20" s="144"/>
      <c r="R20" s="830"/>
      <c r="W20" s="830"/>
    </row>
    <row r="21" spans="1:29" x14ac:dyDescent="0.25">
      <c r="A21" s="874"/>
      <c r="B21" s="80"/>
      <c r="C21" s="80"/>
      <c r="D21" s="80"/>
      <c r="E21" s="80"/>
      <c r="F21" s="80"/>
      <c r="G21" s="830"/>
      <c r="H21" s="830"/>
      <c r="K21" s="830"/>
      <c r="L21" s="144"/>
      <c r="R21" s="830"/>
      <c r="W21" s="830"/>
    </row>
    <row r="22" spans="1:29" x14ac:dyDescent="0.25">
      <c r="A22" s="874"/>
      <c r="B22" s="830"/>
      <c r="D22" s="830"/>
      <c r="E22" s="830"/>
      <c r="F22" s="80"/>
      <c r="G22" s="830"/>
      <c r="H22" s="830"/>
      <c r="K22" s="830"/>
      <c r="L22" s="144"/>
      <c r="R22" s="830"/>
      <c r="W22" s="830"/>
    </row>
    <row r="23" spans="1:29" x14ac:dyDescent="0.25">
      <c r="A23" s="874"/>
      <c r="B23" s="830"/>
      <c r="D23" s="830"/>
      <c r="E23" s="830"/>
      <c r="F23" s="80"/>
      <c r="G23" s="830"/>
      <c r="H23" s="830"/>
      <c r="K23" s="830"/>
      <c r="L23" s="144"/>
      <c r="R23" s="830"/>
      <c r="W23" s="830"/>
    </row>
    <row r="24" spans="1:29" x14ac:dyDescent="0.25">
      <c r="A24" s="874"/>
      <c r="B24" s="830"/>
      <c r="D24" s="830"/>
      <c r="E24" s="830"/>
      <c r="F24" s="80"/>
      <c r="G24" s="830"/>
      <c r="H24" s="830"/>
      <c r="K24" s="830"/>
      <c r="R24" s="830"/>
      <c r="W24" s="830"/>
      <c r="Z24" s="630"/>
    </row>
    <row r="25" spans="1:29" x14ac:dyDescent="0.25">
      <c r="A25" s="874"/>
      <c r="B25" s="830"/>
      <c r="D25" s="830"/>
      <c r="E25" s="830"/>
      <c r="F25" s="80"/>
      <c r="G25" s="830"/>
      <c r="H25" s="830"/>
      <c r="K25" s="830"/>
      <c r="R25" s="1779" t="str">
        <f>B2</f>
        <v>Beef Zurbian - لحم زربيان</v>
      </c>
      <c r="S25" s="1787"/>
      <c r="T25" s="1787"/>
      <c r="U25" s="959"/>
      <c r="W25" s="830"/>
      <c r="Z25" s="982" t="s">
        <v>252</v>
      </c>
      <c r="AA25" s="989">
        <v>1</v>
      </c>
      <c r="AB25" s="982" t="s">
        <v>249</v>
      </c>
      <c r="AC25" s="1138">
        <f>AC30*AA25</f>
        <v>5.0695406592335061E-2</v>
      </c>
    </row>
    <row r="26" spans="1:29" x14ac:dyDescent="0.25">
      <c r="A26" s="874"/>
      <c r="B26" s="830"/>
      <c r="D26" s="830"/>
      <c r="E26" s="830"/>
      <c r="F26" s="80"/>
      <c r="G26" s="830"/>
      <c r="H26" s="830"/>
      <c r="K26" s="830"/>
      <c r="R26" s="1786" t="s">
        <v>323</v>
      </c>
      <c r="S26" s="1787"/>
      <c r="T26" s="1787"/>
      <c r="U26" s="959"/>
      <c r="W26" s="830"/>
      <c r="AB26" s="14"/>
      <c r="AC26" s="14"/>
    </row>
    <row r="27" spans="1:29" x14ac:dyDescent="0.25">
      <c r="A27" s="874"/>
      <c r="B27" s="830"/>
      <c r="D27" s="830"/>
      <c r="E27" s="830"/>
      <c r="F27" s="80"/>
      <c r="G27" s="830"/>
      <c r="H27" s="830"/>
      <c r="K27" s="830"/>
      <c r="R27" s="961" t="s">
        <v>254</v>
      </c>
      <c r="S27" s="962" t="s">
        <v>297</v>
      </c>
      <c r="T27" s="962" t="s">
        <v>257</v>
      </c>
      <c r="U27" s="962" t="s">
        <v>753</v>
      </c>
      <c r="W27" s="830"/>
      <c r="Z27" s="982" t="s">
        <v>258</v>
      </c>
      <c r="AA27" s="982" t="s">
        <v>259</v>
      </c>
      <c r="AB27" s="984" t="s">
        <v>753</v>
      </c>
      <c r="AC27" s="982" t="s">
        <v>262</v>
      </c>
    </row>
    <row r="28" spans="1:29" x14ac:dyDescent="0.25">
      <c r="A28" s="874"/>
      <c r="B28" s="830"/>
      <c r="D28" s="830"/>
      <c r="E28" s="830"/>
      <c r="F28" s="80"/>
      <c r="G28" s="830"/>
      <c r="H28" s="830"/>
      <c r="K28" s="830"/>
      <c r="R28" s="961" t="s">
        <v>324</v>
      </c>
      <c r="S28" s="965">
        <f>$Z$1</f>
        <v>25730</v>
      </c>
      <c r="T28" s="963">
        <f>S28</f>
        <v>25730</v>
      </c>
      <c r="U28" s="1270">
        <f>SUM(H37:H38)</f>
        <v>927.81</v>
      </c>
      <c r="W28" s="830"/>
      <c r="Z28" s="1086"/>
      <c r="AA28" s="985">
        <f>AA25</f>
        <v>1</v>
      </c>
      <c r="AB28" s="987"/>
      <c r="AC28" s="1088">
        <f>SUM(AA28:AB28)</f>
        <v>1</v>
      </c>
    </row>
    <row r="29" spans="1:29" x14ac:dyDescent="0.25">
      <c r="A29" s="874"/>
      <c r="B29" s="830"/>
      <c r="D29" s="830"/>
      <c r="E29" s="830"/>
      <c r="F29" s="80"/>
      <c r="G29" s="830"/>
      <c r="H29" s="830"/>
      <c r="K29" s="830"/>
      <c r="R29" s="961" t="s">
        <v>325</v>
      </c>
      <c r="S29" s="968">
        <f>$AB$1</f>
        <v>500</v>
      </c>
      <c r="T29" s="974">
        <f>S29</f>
        <v>500</v>
      </c>
      <c r="U29" s="968"/>
      <c r="W29" s="830"/>
      <c r="Z29" s="1086"/>
      <c r="AA29" s="1089">
        <v>1</v>
      </c>
      <c r="AB29" s="991"/>
      <c r="AC29" s="1089">
        <f>AC28/$AC$28</f>
        <v>1</v>
      </c>
    </row>
    <row r="30" spans="1:29" x14ac:dyDescent="0.25">
      <c r="A30" s="874"/>
      <c r="B30" s="80"/>
      <c r="D30" s="830"/>
      <c r="E30" s="80"/>
      <c r="F30" s="80"/>
      <c r="G30" s="830"/>
      <c r="H30" s="830"/>
      <c r="K30" s="830"/>
      <c r="R30" s="961" t="s">
        <v>326</v>
      </c>
      <c r="S30" s="1433">
        <f>S28+S29</f>
        <v>26230</v>
      </c>
      <c r="T30" s="1271">
        <f>T28+T29</f>
        <v>26230</v>
      </c>
      <c r="U30" s="1272">
        <f>U28+U29</f>
        <v>927.81</v>
      </c>
      <c r="W30" s="830"/>
      <c r="Z30" s="982" t="s">
        <v>266</v>
      </c>
      <c r="AA30" s="1090">
        <f>S33/(S30)</f>
        <v>4.9266247379454918E-2</v>
      </c>
      <c r="AB30" s="995">
        <f>U33/T30</f>
        <v>1.4291592128801434E-3</v>
      </c>
      <c r="AC30" s="1164">
        <f>SUMPRODUCT(AA29,AA30)+AB30</f>
        <v>5.0695406592335061E-2</v>
      </c>
    </row>
    <row r="31" spans="1:29" ht="30" x14ac:dyDescent="0.25">
      <c r="A31" s="874"/>
      <c r="B31" s="830"/>
      <c r="D31" s="830"/>
      <c r="E31" s="830"/>
      <c r="F31" s="830"/>
      <c r="G31" s="830"/>
      <c r="H31" s="830"/>
      <c r="K31" s="830"/>
      <c r="R31" s="976" t="s">
        <v>268</v>
      </c>
      <c r="S31" s="959"/>
      <c r="T31" s="959"/>
      <c r="U31" s="959"/>
      <c r="W31" s="830"/>
    </row>
    <row r="32" spans="1:29" x14ac:dyDescent="0.25">
      <c r="A32" s="874"/>
      <c r="B32" s="830"/>
      <c r="D32" s="830"/>
      <c r="E32" s="830"/>
      <c r="F32" s="830"/>
      <c r="G32" s="830"/>
      <c r="H32" s="830"/>
      <c r="K32" s="830"/>
      <c r="R32" s="961" t="s">
        <v>269</v>
      </c>
      <c r="S32" s="959"/>
      <c r="T32" s="959"/>
      <c r="U32" s="959"/>
      <c r="W32" s="830"/>
    </row>
    <row r="33" spans="1:23" x14ac:dyDescent="0.25">
      <c r="A33" s="874"/>
      <c r="B33" s="830"/>
      <c r="D33" s="830"/>
      <c r="E33" s="830"/>
      <c r="F33" s="830"/>
      <c r="G33" s="830"/>
      <c r="H33" s="830"/>
      <c r="K33" s="830"/>
      <c r="R33" s="977" t="s">
        <v>249</v>
      </c>
      <c r="S33" s="978">
        <f>$L$5</f>
        <v>1292.2536687631025</v>
      </c>
      <c r="T33" s="981">
        <f>S33+U33</f>
        <v>1329.7405149169485</v>
      </c>
      <c r="U33" s="1273">
        <f>SUM(L37:L38)</f>
        <v>37.486846153846159</v>
      </c>
      <c r="W33" s="830"/>
    </row>
    <row r="34" spans="1:23" x14ac:dyDescent="0.25">
      <c r="A34" s="874"/>
      <c r="B34" s="830"/>
      <c r="D34" s="830"/>
      <c r="E34" s="830"/>
      <c r="F34" s="830"/>
      <c r="G34" s="830"/>
      <c r="H34" s="830"/>
      <c r="K34" s="830"/>
      <c r="R34" s="830"/>
      <c r="W34" s="830"/>
    </row>
    <row r="35" spans="1:23" ht="15.75" x14ac:dyDescent="0.25">
      <c r="A35" s="1268"/>
      <c r="B35" s="1781" t="s">
        <v>613</v>
      </c>
      <c r="C35" s="1782"/>
      <c r="D35" s="1781"/>
      <c r="E35" s="1781"/>
      <c r="F35" s="1781"/>
      <c r="G35" s="1275"/>
      <c r="H35" s="1434"/>
      <c r="I35" s="1010"/>
      <c r="J35" s="1010"/>
      <c r="K35" s="1009"/>
      <c r="L35" s="1010"/>
      <c r="R35" s="830"/>
      <c r="W35" s="830"/>
    </row>
    <row r="36" spans="1:23" ht="31.5" x14ac:dyDescent="0.2">
      <c r="A36" s="1004" t="s">
        <v>864</v>
      </c>
      <c r="B36" s="1004" t="s">
        <v>241</v>
      </c>
      <c r="C36" s="1004" t="s">
        <v>316</v>
      </c>
      <c r="D36" s="1002" t="s">
        <v>610</v>
      </c>
      <c r="E36" s="1002" t="s">
        <v>611</v>
      </c>
      <c r="F36" s="1002" t="s">
        <v>612</v>
      </c>
      <c r="G36" s="1276"/>
      <c r="H36" s="1002" t="s">
        <v>612</v>
      </c>
      <c r="I36" s="1002" t="s">
        <v>246</v>
      </c>
      <c r="J36" s="1002" t="s">
        <v>247</v>
      </c>
      <c r="K36" s="1002" t="s">
        <v>248</v>
      </c>
      <c r="L36" s="1002" t="s">
        <v>249</v>
      </c>
      <c r="R36" s="830"/>
      <c r="W36" s="830"/>
    </row>
    <row r="37" spans="1:23" x14ac:dyDescent="0.25">
      <c r="A37" s="1268"/>
      <c r="B37" s="1005" t="s">
        <v>666</v>
      </c>
      <c r="C37" s="1006" t="s">
        <v>14</v>
      </c>
      <c r="D37" s="1007">
        <v>7.0000000000000007E-2</v>
      </c>
      <c r="E37" s="1005">
        <f>$AD$1</f>
        <v>183</v>
      </c>
      <c r="F37" s="1005">
        <f>D37*E37</f>
        <v>12.81</v>
      </c>
      <c r="G37" s="890"/>
      <c r="H37" s="1005">
        <f>F37</f>
        <v>12.81</v>
      </c>
      <c r="I37" s="1005">
        <f>VLOOKUP(B37,All_Ingredients!$A$1:$F$161,6,FALSE())</f>
        <v>0.65</v>
      </c>
      <c r="J37" s="1005">
        <f>VLOOKUP(B37,All_Ingredients!$A$1:$J$161,10,FALSE())</f>
        <v>45</v>
      </c>
      <c r="K37" s="1005">
        <f>(H37/I37)/1000</f>
        <v>1.9707692307692308E-2</v>
      </c>
      <c r="L37" s="1005">
        <f t="shared" ref="L37" si="7">K37*J37</f>
        <v>0.88684615384615384</v>
      </c>
      <c r="R37" s="830"/>
      <c r="W37" s="830"/>
    </row>
    <row r="38" spans="1:23" x14ac:dyDescent="0.25">
      <c r="A38" s="1268"/>
      <c r="B38" s="1005" t="s">
        <v>178</v>
      </c>
      <c r="C38" s="1006" t="s">
        <v>14</v>
      </c>
      <c r="D38" s="1007">
        <v>5</v>
      </c>
      <c r="E38" s="1005">
        <f>$AD$1</f>
        <v>183</v>
      </c>
      <c r="F38" s="1005">
        <f>D38*E38</f>
        <v>915</v>
      </c>
      <c r="G38" s="830"/>
      <c r="H38" s="1005">
        <f>F38</f>
        <v>915</v>
      </c>
      <c r="I38" s="1005">
        <f>VLOOKUP(B38,All_Ingredients!$A$1:$F$161,6,FALSE())</f>
        <v>1</v>
      </c>
      <c r="J38" s="1005">
        <f>VLOOKUP(B38,All_Ingredients!$A$1:$J$161,10,FALSE())</f>
        <v>40</v>
      </c>
      <c r="K38" s="1005">
        <f>(H38/I38)/1000</f>
        <v>0.91500000000000004</v>
      </c>
      <c r="L38" s="1005">
        <f t="shared" ref="L38" si="8">K38*J38</f>
        <v>36.6</v>
      </c>
      <c r="R38" s="830"/>
      <c r="W38" s="830"/>
    </row>
    <row r="39" spans="1:23" x14ac:dyDescent="0.25">
      <c r="A39" s="1268" t="s">
        <v>881</v>
      </c>
      <c r="B39" s="1005" t="s">
        <v>12</v>
      </c>
      <c r="C39" s="1006" t="s">
        <v>14</v>
      </c>
      <c r="D39" s="1007">
        <v>10</v>
      </c>
      <c r="E39" s="1005">
        <f>$AD$1</f>
        <v>183</v>
      </c>
      <c r="F39" s="1005">
        <f>D39*E39</f>
        <v>1830</v>
      </c>
      <c r="G39" s="830"/>
      <c r="H39" s="1005">
        <f>F39</f>
        <v>1830</v>
      </c>
      <c r="I39" s="1005">
        <f>VLOOKUP(B39,All_Ingredients!$A$1:$F$161,6,FALSE())</f>
        <v>0.9</v>
      </c>
      <c r="J39" s="1005">
        <f>VLOOKUP(B39,All_Ingredients!$A$1:$J$161,10,FALSE())</f>
        <v>3</v>
      </c>
      <c r="K39" s="1005">
        <f>(H39/I39)/1000</f>
        <v>2.0333333333333332</v>
      </c>
      <c r="L39" s="1005">
        <f t="shared" ref="L39" si="9">K39*J39</f>
        <v>6.1</v>
      </c>
      <c r="R39" s="830"/>
      <c r="W39" s="830"/>
    </row>
    <row r="40" spans="1:23" x14ac:dyDescent="0.25">
      <c r="A40" s="874"/>
      <c r="B40" s="830"/>
      <c r="D40" s="830"/>
      <c r="E40" s="830"/>
      <c r="F40" s="830"/>
      <c r="G40" s="830"/>
      <c r="H40" s="830"/>
      <c r="K40" s="830"/>
      <c r="Q40" s="14"/>
      <c r="R40" s="119" t="s">
        <v>327</v>
      </c>
      <c r="S40" s="163">
        <v>1</v>
      </c>
      <c r="W40" s="830"/>
    </row>
    <row r="41" spans="1:23" x14ac:dyDescent="0.25">
      <c r="A41" s="874"/>
      <c r="B41" s="830"/>
      <c r="D41" s="830"/>
      <c r="E41" s="830"/>
      <c r="F41" s="830"/>
      <c r="G41" s="830"/>
      <c r="H41" s="830"/>
      <c r="K41" s="830"/>
      <c r="Q41" s="14"/>
      <c r="R41" s="890"/>
      <c r="S41" s="14"/>
      <c r="T41" s="14"/>
      <c r="U41" s="123"/>
      <c r="V41" s="14"/>
      <c r="W41" s="890"/>
    </row>
    <row r="42" spans="1:23" x14ac:dyDescent="0.25">
      <c r="A42" s="874"/>
      <c r="B42" s="830"/>
      <c r="D42" s="830"/>
      <c r="E42" s="830"/>
      <c r="F42" s="830"/>
      <c r="G42" s="830"/>
      <c r="H42" s="830"/>
      <c r="K42" s="830"/>
      <c r="Q42" s="14"/>
      <c r="R42" s="890"/>
      <c r="S42" s="14"/>
      <c r="T42" s="14"/>
      <c r="U42" s="14"/>
      <c r="V42" s="14"/>
      <c r="W42" s="890"/>
    </row>
    <row r="43" spans="1:23" ht="26.25" x14ac:dyDescent="0.25">
      <c r="A43" s="874"/>
      <c r="B43" s="830"/>
      <c r="D43" s="830"/>
      <c r="E43" s="830"/>
      <c r="F43" s="830"/>
      <c r="G43" s="830"/>
      <c r="H43" s="830"/>
      <c r="K43" s="830"/>
      <c r="Q43" s="1015" t="s">
        <v>272</v>
      </c>
      <c r="R43" s="1011" t="s">
        <v>273</v>
      </c>
      <c r="S43" s="1015" t="s">
        <v>274</v>
      </c>
      <c r="T43" s="1015" t="s">
        <v>275</v>
      </c>
      <c r="U43" s="1015" t="s">
        <v>276</v>
      </c>
      <c r="V43" s="1015" t="s">
        <v>277</v>
      </c>
      <c r="W43" s="1011" t="s">
        <v>328</v>
      </c>
    </row>
    <row r="44" spans="1:23" x14ac:dyDescent="0.25">
      <c r="A44" s="874"/>
      <c r="B44" s="830"/>
      <c r="D44" s="830"/>
      <c r="E44" s="830"/>
      <c r="F44" s="830"/>
      <c r="G44" s="830"/>
      <c r="H44" s="830"/>
      <c r="K44" s="830"/>
      <c r="Q44" s="1023">
        <v>10000</v>
      </c>
      <c r="R44" s="1017">
        <v>0</v>
      </c>
      <c r="S44" s="1095">
        <v>0</v>
      </c>
      <c r="T44" s="1095">
        <v>0</v>
      </c>
      <c r="U44" s="1096">
        <f>R44*S44</f>
        <v>0</v>
      </c>
      <c r="V44" s="1021">
        <f>R44*T44</f>
        <v>0</v>
      </c>
      <c r="W44" s="1026">
        <f>Q44-U44</f>
        <v>10000</v>
      </c>
    </row>
    <row r="50" spans="1:11" x14ac:dyDescent="0.25">
      <c r="A50" s="874"/>
      <c r="B50" s="830"/>
      <c r="D50" s="830"/>
      <c r="E50" s="830"/>
      <c r="F50" s="830"/>
      <c r="G50" s="961" t="s">
        <v>280</v>
      </c>
      <c r="H50" s="961" t="s">
        <v>233</v>
      </c>
      <c r="I50" s="962" t="s">
        <v>281</v>
      </c>
      <c r="J50" s="962" t="s">
        <v>282</v>
      </c>
      <c r="K50" s="830"/>
    </row>
    <row r="51" spans="1:11" x14ac:dyDescent="0.25">
      <c r="A51" s="874"/>
      <c r="B51" s="830"/>
      <c r="D51" s="830"/>
      <c r="E51" s="830"/>
      <c r="F51" s="830"/>
      <c r="G51" s="1027" t="s">
        <v>322</v>
      </c>
      <c r="H51" s="1034">
        <v>10</v>
      </c>
      <c r="I51" s="1028">
        <f t="shared" ref="I51:I56" si="10">J51/$J$1</f>
        <v>18867.924528301886</v>
      </c>
      <c r="J51" s="1028">
        <f>$W$44</f>
        <v>10000</v>
      </c>
      <c r="K51" s="830"/>
    </row>
    <row r="52" spans="1:11" x14ac:dyDescent="0.25">
      <c r="A52" s="874"/>
      <c r="B52" s="830"/>
      <c r="D52" s="830"/>
      <c r="E52" s="830"/>
      <c r="F52" s="830"/>
      <c r="G52" s="961" t="s">
        <v>262</v>
      </c>
      <c r="H52" s="1277">
        <f>$E$5</f>
        <v>26.229999999999997</v>
      </c>
      <c r="I52" s="1021">
        <f t="shared" si="10"/>
        <v>49490.566037735844</v>
      </c>
      <c r="J52" s="1030">
        <f>$S$30</f>
        <v>26230</v>
      </c>
      <c r="K52" s="830"/>
    </row>
    <row r="53" spans="1:11" x14ac:dyDescent="0.25">
      <c r="A53" s="874"/>
      <c r="B53" s="830"/>
      <c r="D53" s="1259"/>
      <c r="E53" s="830"/>
      <c r="F53" s="830"/>
      <c r="G53" s="961" t="s">
        <v>284</v>
      </c>
      <c r="H53" s="1278">
        <f>MIN($H$52, H51)</f>
        <v>10</v>
      </c>
      <c r="I53" s="1021">
        <f t="shared" si="10"/>
        <v>18867.924528301886</v>
      </c>
      <c r="J53" s="1279">
        <f>MIN(MAX($J$52,0),$J$51)</f>
        <v>10000</v>
      </c>
      <c r="K53" s="830"/>
    </row>
    <row r="54" spans="1:11" x14ac:dyDescent="0.25">
      <c r="A54" s="874"/>
      <c r="B54" s="830"/>
      <c r="D54" s="1259"/>
      <c r="E54" s="830"/>
      <c r="F54" s="830"/>
      <c r="G54" s="961" t="s">
        <v>285</v>
      </c>
      <c r="H54" s="1278">
        <f>MIN(MAX($H$52-H53,0),H51)</f>
        <v>10</v>
      </c>
      <c r="I54" s="1021">
        <f t="shared" si="10"/>
        <v>18867.924528301886</v>
      </c>
      <c r="J54" s="1030">
        <f>MIN(MAX($J$52-J53,0),$J$51)</f>
        <v>10000</v>
      </c>
      <c r="K54" s="830"/>
    </row>
    <row r="55" spans="1:11" x14ac:dyDescent="0.25">
      <c r="A55" s="874"/>
      <c r="B55" s="830"/>
      <c r="D55" s="1259"/>
      <c r="E55" s="830"/>
      <c r="F55" s="830"/>
      <c r="G55" s="961" t="s">
        <v>286</v>
      </c>
      <c r="H55" s="1278">
        <f>MIN(MAX($H$52-H53-H54,0),H51)</f>
        <v>6.2299999999999969</v>
      </c>
      <c r="I55" s="1021">
        <f t="shared" si="10"/>
        <v>11754.716981132075</v>
      </c>
      <c r="J55" s="1279">
        <f>MIN(MAX($J$52-J53-J54,0),$J$51)</f>
        <v>6230</v>
      </c>
      <c r="K55" s="830"/>
    </row>
    <row r="56" spans="1:11" x14ac:dyDescent="0.25">
      <c r="A56" s="874"/>
      <c r="B56" s="830"/>
      <c r="D56" s="830"/>
      <c r="E56" s="830"/>
      <c r="F56" s="830"/>
      <c r="G56" s="961" t="s">
        <v>293</v>
      </c>
      <c r="H56" s="1278">
        <f>MIN(MAX($H$52-H53-H54-H55,0),H51)</f>
        <v>0</v>
      </c>
      <c r="I56" s="1021">
        <f t="shared" si="10"/>
        <v>0</v>
      </c>
      <c r="J56" s="1279">
        <f>MIN(MAX($J$52-J53-J54-J55,0),$J$51)</f>
        <v>0</v>
      </c>
      <c r="K56" s="830"/>
    </row>
    <row r="57" spans="1:11" x14ac:dyDescent="0.25">
      <c r="A57" s="874"/>
      <c r="B57" s="830"/>
      <c r="D57" s="830"/>
      <c r="E57" s="830"/>
      <c r="F57" s="830"/>
      <c r="G57" s="961" t="s">
        <v>343</v>
      </c>
      <c r="H57" s="1278">
        <f>MIN(MAX($H$52-H53-H54-H55-H56,0),H52)</f>
        <v>0</v>
      </c>
      <c r="I57" s="1021">
        <f>J57/$J$1</f>
        <v>0</v>
      </c>
      <c r="J57" s="1279">
        <f>MIN(MAX($J$52-J53-J54-J55-J56,0),$J$51)</f>
        <v>0</v>
      </c>
      <c r="K57" s="830"/>
    </row>
    <row r="58" spans="1:11" x14ac:dyDescent="0.25">
      <c r="A58" s="874"/>
      <c r="B58" s="830"/>
      <c r="D58" s="830"/>
      <c r="E58" s="830"/>
      <c r="F58" s="830"/>
      <c r="G58" s="830"/>
      <c r="H58" s="830"/>
      <c r="K58" s="830"/>
    </row>
    <row r="59" spans="1:11" x14ac:dyDescent="0.25">
      <c r="A59" s="874"/>
      <c r="B59" s="830"/>
      <c r="D59" s="830"/>
      <c r="E59" s="830"/>
      <c r="F59" s="830"/>
      <c r="G59" s="830"/>
      <c r="H59" s="830"/>
      <c r="K59" s="830"/>
    </row>
    <row r="60" spans="1:11" x14ac:dyDescent="0.25">
      <c r="A60" s="874"/>
      <c r="B60" s="830"/>
      <c r="D60" s="830"/>
      <c r="E60" s="830"/>
      <c r="F60" s="830"/>
      <c r="G60" s="830"/>
      <c r="H60" s="830"/>
      <c r="K60" s="830"/>
    </row>
    <row r="61" spans="1:11" x14ac:dyDescent="0.25">
      <c r="A61" s="874"/>
      <c r="B61" s="830"/>
      <c r="D61" s="830"/>
      <c r="E61" s="830"/>
      <c r="F61" s="830"/>
      <c r="G61" s="830"/>
      <c r="H61" s="830"/>
      <c r="K61" s="830"/>
    </row>
    <row r="62" spans="1:11" x14ac:dyDescent="0.2">
      <c r="A62" s="1435"/>
      <c r="B62" s="1776" t="str">
        <f>"لحم زربيان  1 / " &amp; COUNTIF($H$53:$H$57, "&gt;0")</f>
        <v>لحم زربيان  1 / 3</v>
      </c>
      <c r="C62" s="1777"/>
      <c r="D62" s="1778"/>
      <c r="E62" s="1778"/>
      <c r="F62" s="1778"/>
      <c r="G62" s="1778"/>
      <c r="H62" s="1778"/>
      <c r="K62" s="830"/>
    </row>
    <row r="63" spans="1:11" x14ac:dyDescent="0.2">
      <c r="A63" s="1435"/>
      <c r="B63" s="1776" t="str">
        <f>"Beef Zurbian 1 / " &amp; COUNTIF($H$53:$H$57, "&gt;0")</f>
        <v>Beef Zurbian 1 / 3</v>
      </c>
      <c r="C63" s="1777"/>
      <c r="D63" s="1778"/>
      <c r="E63" s="1778"/>
      <c r="F63" s="1778"/>
      <c r="G63" s="1778"/>
      <c r="H63" s="1778"/>
      <c r="K63" s="830"/>
    </row>
    <row r="64" spans="1:11" ht="38.25" x14ac:dyDescent="0.2">
      <c r="A64" s="1350" t="s">
        <v>864</v>
      </c>
      <c r="B64" s="923" t="s">
        <v>241</v>
      </c>
      <c r="C64" s="1104" t="s">
        <v>316</v>
      </c>
      <c r="D64" s="923" t="s">
        <v>317</v>
      </c>
      <c r="E64" s="935" t="s">
        <v>318</v>
      </c>
      <c r="F64" s="935" t="s">
        <v>319</v>
      </c>
      <c r="G64" s="1266" t="s">
        <v>320</v>
      </c>
      <c r="H64" s="936" t="s">
        <v>245</v>
      </c>
      <c r="K64" s="830"/>
    </row>
    <row r="65" spans="1:11" ht="28.5" x14ac:dyDescent="0.2">
      <c r="A65" s="937" t="s">
        <v>873</v>
      </c>
      <c r="B65" s="1130" t="str">
        <f t="shared" ref="B65:D78" si="11">B5</f>
        <v>Indian Meat Alana  - لحم هندى ألانا</v>
      </c>
      <c r="C65" s="1252" t="str">
        <f t="shared" si="11"/>
        <v>gm</v>
      </c>
      <c r="D65" s="1280">
        <f t="shared" si="11"/>
        <v>1886.7924528301887</v>
      </c>
      <c r="E65" s="1040">
        <f t="shared" ref="E65:E78" si="12">$H$53</f>
        <v>10</v>
      </c>
      <c r="F65" s="948">
        <f t="shared" ref="F65:F78" si="13">F5</f>
        <v>1</v>
      </c>
      <c r="G65" s="940">
        <f t="shared" ref="G65:G78" si="14">D65*E65</f>
        <v>18867.924528301886</v>
      </c>
      <c r="H65" s="943">
        <f t="shared" ref="H65:H78" si="15">G65*F65</f>
        <v>18867.924528301886</v>
      </c>
      <c r="K65" s="830"/>
    </row>
    <row r="66" spans="1:11" x14ac:dyDescent="0.25">
      <c r="A66" s="1268" t="s">
        <v>881</v>
      </c>
      <c r="B66" s="1130" t="str">
        <f t="shared" si="11"/>
        <v>Onion - بصل</v>
      </c>
      <c r="C66" s="1252" t="str">
        <f t="shared" si="11"/>
        <v>gm</v>
      </c>
      <c r="D66" s="1130">
        <f t="shared" si="11"/>
        <v>200</v>
      </c>
      <c r="E66" s="1040">
        <f t="shared" si="12"/>
        <v>10</v>
      </c>
      <c r="F66" s="948">
        <f t="shared" si="13"/>
        <v>1</v>
      </c>
      <c r="G66" s="914">
        <f t="shared" si="14"/>
        <v>2000</v>
      </c>
      <c r="H66" s="943">
        <f t="shared" si="15"/>
        <v>2000</v>
      </c>
      <c r="K66" s="830"/>
    </row>
    <row r="67" spans="1:11" x14ac:dyDescent="0.25">
      <c r="A67" s="1268" t="s">
        <v>870</v>
      </c>
      <c r="B67" s="1130" t="str">
        <f t="shared" si="11"/>
        <v>Tomato - طماطم</v>
      </c>
      <c r="C67" s="1252" t="str">
        <f t="shared" si="11"/>
        <v>gm</v>
      </c>
      <c r="D67" s="1130">
        <f t="shared" si="11"/>
        <v>120</v>
      </c>
      <c r="E67" s="1040">
        <f t="shared" si="12"/>
        <v>10</v>
      </c>
      <c r="F67" s="948">
        <f t="shared" si="13"/>
        <v>1</v>
      </c>
      <c r="G67" s="914">
        <f t="shared" si="14"/>
        <v>1200</v>
      </c>
      <c r="H67" s="943">
        <f t="shared" si="15"/>
        <v>1200</v>
      </c>
      <c r="K67" s="830"/>
    </row>
    <row r="68" spans="1:11" x14ac:dyDescent="0.25">
      <c r="A68" s="1268" t="s">
        <v>868</v>
      </c>
      <c r="B68" s="1130" t="str">
        <f t="shared" si="11"/>
        <v>Garlic - ثوم مقشر</v>
      </c>
      <c r="C68" s="1252" t="str">
        <f t="shared" si="11"/>
        <v>gm</v>
      </c>
      <c r="D68" s="1130">
        <f t="shared" si="11"/>
        <v>10</v>
      </c>
      <c r="E68" s="1040">
        <f t="shared" si="12"/>
        <v>10</v>
      </c>
      <c r="F68" s="948">
        <f t="shared" si="13"/>
        <v>0.65</v>
      </c>
      <c r="G68" s="914">
        <f t="shared" si="14"/>
        <v>100</v>
      </c>
      <c r="H68" s="943">
        <f t="shared" si="15"/>
        <v>65</v>
      </c>
      <c r="K68" s="830"/>
    </row>
    <row r="69" spans="1:11" ht="28.5" x14ac:dyDescent="0.25">
      <c r="A69" s="1268" t="s">
        <v>880</v>
      </c>
      <c r="B69" s="1130" t="str">
        <f t="shared" si="11"/>
        <v>Green Bell Pepper - فلفل أخضر رومى</v>
      </c>
      <c r="C69" s="1252" t="str">
        <f t="shared" si="11"/>
        <v>gm</v>
      </c>
      <c r="D69" s="1130">
        <f t="shared" si="11"/>
        <v>50</v>
      </c>
      <c r="E69" s="1040">
        <f t="shared" si="12"/>
        <v>10</v>
      </c>
      <c r="F69" s="948">
        <f t="shared" si="13"/>
        <v>0.75</v>
      </c>
      <c r="G69" s="914">
        <f t="shared" si="14"/>
        <v>500</v>
      </c>
      <c r="H69" s="943">
        <f t="shared" si="15"/>
        <v>375</v>
      </c>
      <c r="K69" s="830"/>
    </row>
    <row r="70" spans="1:11" x14ac:dyDescent="0.25">
      <c r="A70" s="1268"/>
      <c r="B70" s="1130" t="str">
        <f t="shared" si="11"/>
        <v>Cumin Powder - كمون مطحون</v>
      </c>
      <c r="C70" s="1252" t="str">
        <f t="shared" si="11"/>
        <v>gm</v>
      </c>
      <c r="D70" s="1130">
        <f t="shared" si="11"/>
        <v>20</v>
      </c>
      <c r="E70" s="1040">
        <f t="shared" si="12"/>
        <v>10</v>
      </c>
      <c r="F70" s="948">
        <f t="shared" si="13"/>
        <v>0.7</v>
      </c>
      <c r="G70" s="914">
        <f t="shared" si="14"/>
        <v>200</v>
      </c>
      <c r="H70" s="943">
        <f t="shared" si="15"/>
        <v>140</v>
      </c>
      <c r="K70" s="830"/>
    </row>
    <row r="71" spans="1:11" x14ac:dyDescent="0.25">
      <c r="A71" s="1268"/>
      <c r="B71" s="1130" t="str">
        <f t="shared" si="11"/>
        <v>Maggi Cubes - مكعبات ماجي</v>
      </c>
      <c r="C71" s="1252" t="str">
        <f t="shared" si="11"/>
        <v>gm</v>
      </c>
      <c r="D71" s="1130">
        <f t="shared" si="11"/>
        <v>20</v>
      </c>
      <c r="E71" s="1040">
        <f t="shared" si="12"/>
        <v>10</v>
      </c>
      <c r="F71" s="948">
        <f t="shared" si="13"/>
        <v>0.65</v>
      </c>
      <c r="G71" s="914">
        <f t="shared" si="14"/>
        <v>200</v>
      </c>
      <c r="H71" s="943">
        <f t="shared" si="15"/>
        <v>130</v>
      </c>
      <c r="K71" s="830"/>
    </row>
    <row r="72" spans="1:11" x14ac:dyDescent="0.25">
      <c r="A72" s="1268"/>
      <c r="B72" s="1130" t="str">
        <f t="shared" si="11"/>
        <v>Cardamom Whole - هيل حب</v>
      </c>
      <c r="C72" s="1252" t="str">
        <f t="shared" si="11"/>
        <v>gm</v>
      </c>
      <c r="D72" s="1130">
        <f t="shared" si="11"/>
        <v>10</v>
      </c>
      <c r="E72" s="1040">
        <f t="shared" si="12"/>
        <v>10</v>
      </c>
      <c r="F72" s="948">
        <f t="shared" si="13"/>
        <v>0.25</v>
      </c>
      <c r="G72" s="914">
        <f t="shared" si="14"/>
        <v>100</v>
      </c>
      <c r="H72" s="943">
        <f t="shared" si="15"/>
        <v>25</v>
      </c>
      <c r="K72" s="830"/>
    </row>
    <row r="73" spans="1:11" ht="28.5" x14ac:dyDescent="0.25">
      <c r="A73" s="1268"/>
      <c r="B73" s="1130" t="str">
        <f t="shared" si="11"/>
        <v>Coriander Powder - كزبرة مطحونة</v>
      </c>
      <c r="C73" s="1252" t="str">
        <f t="shared" si="11"/>
        <v>gm</v>
      </c>
      <c r="D73" s="1130">
        <f t="shared" si="11"/>
        <v>20</v>
      </c>
      <c r="E73" s="1040">
        <f t="shared" si="12"/>
        <v>10</v>
      </c>
      <c r="F73" s="948">
        <f t="shared" si="13"/>
        <v>0.7</v>
      </c>
      <c r="G73" s="914">
        <f t="shared" si="14"/>
        <v>200</v>
      </c>
      <c r="H73" s="943">
        <f t="shared" si="15"/>
        <v>140</v>
      </c>
      <c r="K73" s="830"/>
    </row>
    <row r="74" spans="1:11" x14ac:dyDescent="0.25">
      <c r="A74" s="1268"/>
      <c r="B74" s="1130" t="str">
        <f t="shared" si="11"/>
        <v>Yogurt - زبادي</v>
      </c>
      <c r="C74" s="1252" t="str">
        <f t="shared" si="11"/>
        <v>gm</v>
      </c>
      <c r="D74" s="1130">
        <f t="shared" si="11"/>
        <v>150</v>
      </c>
      <c r="E74" s="1040">
        <f t="shared" si="12"/>
        <v>10</v>
      </c>
      <c r="F74" s="948">
        <f t="shared" si="13"/>
        <v>0.85</v>
      </c>
      <c r="G74" s="914">
        <f t="shared" si="14"/>
        <v>1500</v>
      </c>
      <c r="H74" s="943">
        <f t="shared" si="15"/>
        <v>1275</v>
      </c>
      <c r="K74" s="830"/>
    </row>
    <row r="75" spans="1:11" x14ac:dyDescent="0.25">
      <c r="A75" s="1268"/>
      <c r="B75" s="1130" t="str">
        <f t="shared" si="11"/>
        <v>Tomato Paste - صلصة طماطم</v>
      </c>
      <c r="C75" s="1252" t="str">
        <f t="shared" si="11"/>
        <v>gm</v>
      </c>
      <c r="D75" s="1130">
        <f t="shared" si="11"/>
        <v>70</v>
      </c>
      <c r="E75" s="1040">
        <f t="shared" si="12"/>
        <v>10</v>
      </c>
      <c r="F75" s="948">
        <f t="shared" si="13"/>
        <v>0.8</v>
      </c>
      <c r="G75" s="914">
        <f t="shared" si="14"/>
        <v>700</v>
      </c>
      <c r="H75" s="943">
        <f t="shared" si="15"/>
        <v>560</v>
      </c>
      <c r="K75" s="830"/>
    </row>
    <row r="76" spans="1:11" x14ac:dyDescent="0.25">
      <c r="A76" s="1268"/>
      <c r="B76" s="1130" t="str">
        <f t="shared" si="11"/>
        <v>Salt - ملح</v>
      </c>
      <c r="C76" s="1252" t="str">
        <f t="shared" si="11"/>
        <v>gm</v>
      </c>
      <c r="D76" s="1130">
        <f t="shared" si="11"/>
        <v>30</v>
      </c>
      <c r="E76" s="1040">
        <f t="shared" si="12"/>
        <v>10</v>
      </c>
      <c r="F76" s="948">
        <f t="shared" si="13"/>
        <v>0.75</v>
      </c>
      <c r="G76" s="914">
        <f t="shared" si="14"/>
        <v>300</v>
      </c>
      <c r="H76" s="943">
        <f t="shared" si="15"/>
        <v>225</v>
      </c>
      <c r="K76" s="830"/>
    </row>
    <row r="77" spans="1:11" x14ac:dyDescent="0.25">
      <c r="A77" s="1268"/>
      <c r="B77" s="1130" t="str">
        <f t="shared" si="11"/>
        <v>Water - ماء</v>
      </c>
      <c r="C77" s="1252" t="str">
        <f t="shared" si="11"/>
        <v>ml</v>
      </c>
      <c r="D77" s="1130">
        <f t="shared" si="11"/>
        <v>200</v>
      </c>
      <c r="E77" s="1040">
        <f t="shared" si="12"/>
        <v>10</v>
      </c>
      <c r="F77" s="948">
        <f t="shared" si="13"/>
        <v>1</v>
      </c>
      <c r="G77" s="914">
        <f t="shared" si="14"/>
        <v>2000</v>
      </c>
      <c r="H77" s="943">
        <f t="shared" si="15"/>
        <v>2000</v>
      </c>
      <c r="K77" s="830"/>
    </row>
    <row r="78" spans="1:11" ht="28.5" x14ac:dyDescent="0.25">
      <c r="A78" s="1268"/>
      <c r="B78" s="1130" t="str">
        <f t="shared" si="11"/>
        <v>Saffron yellow color powder - لون صفار زعفران بودر</v>
      </c>
      <c r="C78" s="1252" t="str">
        <f t="shared" si="11"/>
        <v>gm</v>
      </c>
      <c r="D78" s="1130">
        <f t="shared" si="11"/>
        <v>1</v>
      </c>
      <c r="E78" s="1040">
        <f t="shared" si="12"/>
        <v>10</v>
      </c>
      <c r="F78" s="948">
        <f t="shared" si="13"/>
        <v>0.3</v>
      </c>
      <c r="G78" s="914">
        <f t="shared" si="14"/>
        <v>10</v>
      </c>
      <c r="H78" s="943">
        <f t="shared" si="15"/>
        <v>3</v>
      </c>
      <c r="K78" s="830"/>
    </row>
    <row r="79" spans="1:11" ht="18" x14ac:dyDescent="0.25">
      <c r="A79" s="1436"/>
      <c r="B79" s="1041" t="s">
        <v>287</v>
      </c>
      <c r="C79" s="1042" t="s">
        <v>273</v>
      </c>
      <c r="D79" s="1043"/>
      <c r="E79" s="1044" t="s">
        <v>288</v>
      </c>
      <c r="F79" s="1043"/>
      <c r="G79" s="1046" t="s">
        <v>264</v>
      </c>
      <c r="H79" s="1046" t="s">
        <v>661</v>
      </c>
      <c r="K79" s="830"/>
    </row>
    <row r="80" spans="1:11" ht="20.25" x14ac:dyDescent="0.3">
      <c r="A80" s="1436"/>
      <c r="B80" s="1047">
        <f>$J$53</f>
        <v>10000</v>
      </c>
      <c r="C80" s="1283">
        <f>E80+G80</f>
        <v>0</v>
      </c>
      <c r="D80" s="973"/>
      <c r="E80" s="1284">
        <f>$C$54*$S$44</f>
        <v>0</v>
      </c>
      <c r="F80" s="1208"/>
      <c r="G80" s="1285">
        <f>$H$53*$T$44</f>
        <v>0</v>
      </c>
      <c r="H80" s="1285">
        <f>B80+E80</f>
        <v>10000</v>
      </c>
      <c r="K80" s="830"/>
    </row>
    <row r="81" spans="1:11" x14ac:dyDescent="0.25">
      <c r="A81" s="874"/>
      <c r="B81" s="80"/>
      <c r="D81" s="830"/>
      <c r="E81" s="80"/>
      <c r="F81" s="80"/>
      <c r="G81" s="830"/>
      <c r="H81" s="830"/>
      <c r="K81" s="830"/>
    </row>
    <row r="82" spans="1:11" x14ac:dyDescent="0.25">
      <c r="A82" s="1437"/>
      <c r="B82" s="1776" t="str">
        <f>"لحم زربيان  2 / " &amp; COUNTIF($H$53:$H$57, "&gt;0")</f>
        <v>لحم زربيان  2 / 3</v>
      </c>
      <c r="C82" s="1777"/>
      <c r="D82" s="1778"/>
      <c r="E82" s="1778"/>
      <c r="F82" s="1778"/>
      <c r="G82" s="1778"/>
      <c r="H82" s="1778"/>
      <c r="K82" s="830"/>
    </row>
    <row r="83" spans="1:11" x14ac:dyDescent="0.25">
      <c r="A83" s="1437"/>
      <c r="B83" s="1776" t="str">
        <f>"Beef Zurbian 2 / " &amp; COUNTIF($H$53:$H$57, "&gt;0")</f>
        <v>Beef Zurbian 2 / 3</v>
      </c>
      <c r="C83" s="1777"/>
      <c r="D83" s="1778"/>
      <c r="E83" s="1778"/>
      <c r="F83" s="1778"/>
      <c r="G83" s="1778"/>
      <c r="H83" s="1778"/>
      <c r="K83" s="830"/>
    </row>
    <row r="84" spans="1:11" ht="38.25" x14ac:dyDescent="0.2">
      <c r="A84" s="1350" t="s">
        <v>864</v>
      </c>
      <c r="B84" s="923" t="s">
        <v>241</v>
      </c>
      <c r="C84" s="934" t="s">
        <v>242</v>
      </c>
      <c r="D84" s="923" t="s">
        <v>231</v>
      </c>
      <c r="E84" s="936" t="s">
        <v>234</v>
      </c>
      <c r="F84" s="935" t="s">
        <v>329</v>
      </c>
      <c r="G84" s="923" t="s">
        <v>244</v>
      </c>
      <c r="H84" s="936" t="s">
        <v>245</v>
      </c>
      <c r="K84" s="830"/>
    </row>
    <row r="85" spans="1:11" ht="28.5" x14ac:dyDescent="0.2">
      <c r="A85" s="937" t="s">
        <v>873</v>
      </c>
      <c r="B85" s="1130" t="str">
        <f t="shared" ref="B85:D98" si="16">B5</f>
        <v>Indian Meat Alana  - لحم هندى ألانا</v>
      </c>
      <c r="C85" s="1252" t="str">
        <f t="shared" si="16"/>
        <v>gm</v>
      </c>
      <c r="D85" s="940">
        <f t="shared" si="16"/>
        <v>1886.7924528301887</v>
      </c>
      <c r="E85" s="1040">
        <f t="shared" ref="E85:E98" si="17">$H$54</f>
        <v>10</v>
      </c>
      <c r="F85" s="948">
        <f t="shared" ref="F85:F98" si="18">F5</f>
        <v>1</v>
      </c>
      <c r="G85" s="940">
        <f t="shared" ref="G85:G98" si="19">D85*E85</f>
        <v>18867.924528301886</v>
      </c>
      <c r="H85" s="943">
        <f t="shared" ref="H85:H98" si="20">G85*F85</f>
        <v>18867.924528301886</v>
      </c>
      <c r="K85" s="830"/>
    </row>
    <row r="86" spans="1:11" x14ac:dyDescent="0.25">
      <c r="A86" s="1268" t="s">
        <v>881</v>
      </c>
      <c r="B86" s="1130" t="str">
        <f t="shared" si="16"/>
        <v>Onion - بصل</v>
      </c>
      <c r="C86" s="1252" t="str">
        <f t="shared" si="16"/>
        <v>gm</v>
      </c>
      <c r="D86" s="1130">
        <f t="shared" si="16"/>
        <v>200</v>
      </c>
      <c r="E86" s="1040">
        <f t="shared" si="17"/>
        <v>10</v>
      </c>
      <c r="F86" s="948">
        <f t="shared" si="18"/>
        <v>1</v>
      </c>
      <c r="G86" s="940">
        <f t="shared" si="19"/>
        <v>2000</v>
      </c>
      <c r="H86" s="943">
        <f t="shared" si="20"/>
        <v>2000</v>
      </c>
      <c r="K86" s="830"/>
    </row>
    <row r="87" spans="1:11" x14ac:dyDescent="0.25">
      <c r="A87" s="1268" t="s">
        <v>870</v>
      </c>
      <c r="B87" s="1130" t="str">
        <f t="shared" si="16"/>
        <v>Tomato - طماطم</v>
      </c>
      <c r="C87" s="1252" t="str">
        <f t="shared" si="16"/>
        <v>gm</v>
      </c>
      <c r="D87" s="1130">
        <f t="shared" si="16"/>
        <v>120</v>
      </c>
      <c r="E87" s="1040">
        <f t="shared" si="17"/>
        <v>10</v>
      </c>
      <c r="F87" s="948">
        <f t="shared" si="18"/>
        <v>1</v>
      </c>
      <c r="G87" s="940">
        <f t="shared" si="19"/>
        <v>1200</v>
      </c>
      <c r="H87" s="943">
        <f t="shared" si="20"/>
        <v>1200</v>
      </c>
      <c r="K87" s="830"/>
    </row>
    <row r="88" spans="1:11" x14ac:dyDescent="0.25">
      <c r="A88" s="1268" t="s">
        <v>868</v>
      </c>
      <c r="B88" s="1130" t="str">
        <f t="shared" si="16"/>
        <v>Garlic - ثوم مقشر</v>
      </c>
      <c r="C88" s="1252" t="str">
        <f t="shared" si="16"/>
        <v>gm</v>
      </c>
      <c r="D88" s="1130">
        <f t="shared" si="16"/>
        <v>10</v>
      </c>
      <c r="E88" s="1040">
        <f t="shared" si="17"/>
        <v>10</v>
      </c>
      <c r="F88" s="948">
        <f t="shared" si="18"/>
        <v>0.65</v>
      </c>
      <c r="G88" s="940">
        <f t="shared" si="19"/>
        <v>100</v>
      </c>
      <c r="H88" s="943">
        <f t="shared" si="20"/>
        <v>65</v>
      </c>
      <c r="K88" s="830"/>
    </row>
    <row r="89" spans="1:11" ht="28.5" x14ac:dyDescent="0.25">
      <c r="A89" s="1268" t="s">
        <v>880</v>
      </c>
      <c r="B89" s="1130" t="str">
        <f t="shared" si="16"/>
        <v>Green Bell Pepper - فلفل أخضر رومى</v>
      </c>
      <c r="C89" s="1252" t="str">
        <f t="shared" si="16"/>
        <v>gm</v>
      </c>
      <c r="D89" s="1130">
        <f t="shared" si="16"/>
        <v>50</v>
      </c>
      <c r="E89" s="1040">
        <f t="shared" si="17"/>
        <v>10</v>
      </c>
      <c r="F89" s="948">
        <f t="shared" si="18"/>
        <v>0.75</v>
      </c>
      <c r="G89" s="940">
        <f t="shared" si="19"/>
        <v>500</v>
      </c>
      <c r="H89" s="943">
        <f t="shared" si="20"/>
        <v>375</v>
      </c>
      <c r="K89" s="830"/>
    </row>
    <row r="90" spans="1:11" x14ac:dyDescent="0.25">
      <c r="A90" s="1268"/>
      <c r="B90" s="1130" t="str">
        <f t="shared" si="16"/>
        <v>Cumin Powder - كمون مطحون</v>
      </c>
      <c r="C90" s="1252" t="str">
        <f t="shared" si="16"/>
        <v>gm</v>
      </c>
      <c r="D90" s="1130">
        <f t="shared" si="16"/>
        <v>20</v>
      </c>
      <c r="E90" s="1040">
        <f t="shared" si="17"/>
        <v>10</v>
      </c>
      <c r="F90" s="948">
        <f t="shared" si="18"/>
        <v>0.7</v>
      </c>
      <c r="G90" s="940">
        <f t="shared" si="19"/>
        <v>200</v>
      </c>
      <c r="H90" s="943">
        <f t="shared" si="20"/>
        <v>140</v>
      </c>
      <c r="K90" s="830"/>
    </row>
    <row r="91" spans="1:11" ht="20.25" x14ac:dyDescent="0.3">
      <c r="A91" s="1268"/>
      <c r="B91" s="1130" t="str">
        <f t="shared" si="16"/>
        <v>Maggi Cubes - مكعبات ماجي</v>
      </c>
      <c r="C91" s="1252" t="str">
        <f t="shared" si="16"/>
        <v>gm</v>
      </c>
      <c r="D91" s="1130">
        <f t="shared" si="16"/>
        <v>20</v>
      </c>
      <c r="E91" s="1040">
        <f t="shared" si="17"/>
        <v>10</v>
      </c>
      <c r="F91" s="948">
        <f t="shared" si="18"/>
        <v>0.65</v>
      </c>
      <c r="G91" s="940">
        <f t="shared" si="19"/>
        <v>200</v>
      </c>
      <c r="H91" s="943">
        <f t="shared" si="20"/>
        <v>130</v>
      </c>
      <c r="I91" s="142"/>
      <c r="J91" s="141"/>
      <c r="K91" s="830"/>
    </row>
    <row r="92" spans="1:11" x14ac:dyDescent="0.25">
      <c r="A92" s="1268"/>
      <c r="B92" s="1130" t="str">
        <f t="shared" si="16"/>
        <v>Cardamom Whole - هيل حب</v>
      </c>
      <c r="C92" s="1252" t="str">
        <f t="shared" si="16"/>
        <v>gm</v>
      </c>
      <c r="D92" s="1130">
        <f t="shared" si="16"/>
        <v>10</v>
      </c>
      <c r="E92" s="1040">
        <f t="shared" si="17"/>
        <v>10</v>
      </c>
      <c r="F92" s="948">
        <f t="shared" si="18"/>
        <v>0.25</v>
      </c>
      <c r="G92" s="940">
        <f t="shared" si="19"/>
        <v>100</v>
      </c>
      <c r="H92" s="943">
        <f t="shared" si="20"/>
        <v>25</v>
      </c>
      <c r="K92" s="830"/>
    </row>
    <row r="93" spans="1:11" ht="28.5" x14ac:dyDescent="0.25">
      <c r="A93" s="1268"/>
      <c r="B93" s="1130" t="str">
        <f t="shared" si="16"/>
        <v>Coriander Powder - كزبرة مطحونة</v>
      </c>
      <c r="C93" s="1252" t="str">
        <f t="shared" si="16"/>
        <v>gm</v>
      </c>
      <c r="D93" s="1130">
        <f t="shared" si="16"/>
        <v>20</v>
      </c>
      <c r="E93" s="1040">
        <f t="shared" si="17"/>
        <v>10</v>
      </c>
      <c r="F93" s="948">
        <f t="shared" si="18"/>
        <v>0.7</v>
      </c>
      <c r="G93" s="940">
        <f t="shared" si="19"/>
        <v>200</v>
      </c>
      <c r="H93" s="943">
        <f t="shared" si="20"/>
        <v>140</v>
      </c>
      <c r="K93" s="830"/>
    </row>
    <row r="94" spans="1:11" x14ac:dyDescent="0.25">
      <c r="A94" s="1268"/>
      <c r="B94" s="1130" t="str">
        <f t="shared" si="16"/>
        <v>Yogurt - زبادي</v>
      </c>
      <c r="C94" s="1252" t="str">
        <f t="shared" si="16"/>
        <v>gm</v>
      </c>
      <c r="D94" s="1130">
        <f t="shared" si="16"/>
        <v>150</v>
      </c>
      <c r="E94" s="1040">
        <f t="shared" si="17"/>
        <v>10</v>
      </c>
      <c r="F94" s="948">
        <f t="shared" si="18"/>
        <v>0.85</v>
      </c>
      <c r="G94" s="940">
        <f t="shared" si="19"/>
        <v>1500</v>
      </c>
      <c r="H94" s="943">
        <f t="shared" si="20"/>
        <v>1275</v>
      </c>
      <c r="K94" s="830"/>
    </row>
    <row r="95" spans="1:11" x14ac:dyDescent="0.25">
      <c r="A95" s="1268"/>
      <c r="B95" s="1130" t="str">
        <f t="shared" si="16"/>
        <v>Tomato Paste - صلصة طماطم</v>
      </c>
      <c r="C95" s="1252" t="str">
        <f t="shared" si="16"/>
        <v>gm</v>
      </c>
      <c r="D95" s="1130">
        <f t="shared" si="16"/>
        <v>70</v>
      </c>
      <c r="E95" s="1040">
        <f t="shared" si="17"/>
        <v>10</v>
      </c>
      <c r="F95" s="948">
        <f t="shared" si="18"/>
        <v>0.8</v>
      </c>
      <c r="G95" s="940">
        <f t="shared" si="19"/>
        <v>700</v>
      </c>
      <c r="H95" s="943">
        <f t="shared" si="20"/>
        <v>560</v>
      </c>
      <c r="K95" s="830"/>
    </row>
    <row r="96" spans="1:11" x14ac:dyDescent="0.25">
      <c r="A96" s="1268"/>
      <c r="B96" s="1130" t="str">
        <f t="shared" si="16"/>
        <v>Salt - ملح</v>
      </c>
      <c r="C96" s="1252" t="str">
        <f t="shared" si="16"/>
        <v>gm</v>
      </c>
      <c r="D96" s="1130">
        <f t="shared" si="16"/>
        <v>30</v>
      </c>
      <c r="E96" s="1040">
        <f t="shared" si="17"/>
        <v>10</v>
      </c>
      <c r="F96" s="948">
        <f t="shared" si="18"/>
        <v>0.75</v>
      </c>
      <c r="G96" s="940">
        <f t="shared" si="19"/>
        <v>300</v>
      </c>
      <c r="H96" s="943">
        <f t="shared" si="20"/>
        <v>225</v>
      </c>
      <c r="K96" s="830"/>
    </row>
    <row r="97" spans="1:11" x14ac:dyDescent="0.25">
      <c r="A97" s="1268"/>
      <c r="B97" s="1130" t="str">
        <f t="shared" si="16"/>
        <v>Water - ماء</v>
      </c>
      <c r="C97" s="1252" t="str">
        <f t="shared" si="16"/>
        <v>ml</v>
      </c>
      <c r="D97" s="1130">
        <f t="shared" si="16"/>
        <v>200</v>
      </c>
      <c r="E97" s="1040">
        <f t="shared" si="17"/>
        <v>10</v>
      </c>
      <c r="F97" s="948">
        <f t="shared" si="18"/>
        <v>1</v>
      </c>
      <c r="G97" s="940">
        <f t="shared" si="19"/>
        <v>2000</v>
      </c>
      <c r="H97" s="943">
        <f t="shared" si="20"/>
        <v>2000</v>
      </c>
      <c r="K97" s="830"/>
    </row>
    <row r="98" spans="1:11" ht="28.5" x14ac:dyDescent="0.25">
      <c r="A98" s="1268"/>
      <c r="B98" s="1130" t="str">
        <f t="shared" si="16"/>
        <v>Saffron yellow color powder - لون صفار زعفران بودر</v>
      </c>
      <c r="C98" s="1252" t="str">
        <f t="shared" si="16"/>
        <v>gm</v>
      </c>
      <c r="D98" s="1130">
        <f t="shared" si="16"/>
        <v>1</v>
      </c>
      <c r="E98" s="1040">
        <f t="shared" si="17"/>
        <v>10</v>
      </c>
      <c r="F98" s="948">
        <f t="shared" si="18"/>
        <v>0.3</v>
      </c>
      <c r="G98" s="940">
        <f t="shared" si="19"/>
        <v>10</v>
      </c>
      <c r="H98" s="943">
        <f t="shared" si="20"/>
        <v>3</v>
      </c>
      <c r="K98" s="830"/>
    </row>
    <row r="99" spans="1:11" ht="18" x14ac:dyDescent="0.25">
      <c r="A99" s="1436"/>
      <c r="B99" s="1041" t="s">
        <v>287</v>
      </c>
      <c r="C99" s="1042" t="s">
        <v>273</v>
      </c>
      <c r="D99" s="1043"/>
      <c r="E99" s="1044" t="s">
        <v>288</v>
      </c>
      <c r="F99" s="1043"/>
      <c r="G99" s="1046" t="s">
        <v>264</v>
      </c>
      <c r="H99" s="1046" t="s">
        <v>661</v>
      </c>
      <c r="K99" s="830"/>
    </row>
    <row r="100" spans="1:11" ht="20.25" x14ac:dyDescent="0.25">
      <c r="A100" s="1436"/>
      <c r="B100" s="1438">
        <f>$J$54</f>
        <v>10000</v>
      </c>
      <c r="C100" s="1439">
        <f>E100+G100</f>
        <v>0</v>
      </c>
      <c r="D100" s="1440"/>
      <c r="E100" s="1438">
        <f>$H$54*$S$44</f>
        <v>0</v>
      </c>
      <c r="F100" s="1441"/>
      <c r="G100" s="1438">
        <f>$H$54*$T$44</f>
        <v>0</v>
      </c>
      <c r="H100" s="1438">
        <f>B100+E100</f>
        <v>10000</v>
      </c>
      <c r="K100" s="830"/>
    </row>
    <row r="101" spans="1:11" x14ac:dyDescent="0.25">
      <c r="A101" s="874"/>
      <c r="B101" s="464"/>
      <c r="C101" s="463"/>
      <c r="D101" s="1430"/>
      <c r="E101" s="464"/>
      <c r="F101" s="464"/>
      <c r="G101" s="1430"/>
      <c r="H101" s="1430"/>
      <c r="K101" s="830"/>
    </row>
    <row r="102" spans="1:11" x14ac:dyDescent="0.25">
      <c r="A102" s="874"/>
      <c r="B102" s="464"/>
      <c r="C102" s="463"/>
      <c r="D102" s="1430"/>
      <c r="E102" s="464"/>
      <c r="F102" s="464"/>
      <c r="G102" s="1430"/>
      <c r="H102" s="1430"/>
      <c r="K102" s="830"/>
    </row>
    <row r="103" spans="1:11" x14ac:dyDescent="0.25">
      <c r="A103" s="874"/>
      <c r="B103" s="464"/>
      <c r="C103" s="463"/>
      <c r="D103" s="1430"/>
      <c r="E103" s="464"/>
      <c r="F103" s="464"/>
      <c r="G103" s="1430"/>
      <c r="H103" s="1430"/>
      <c r="K103" s="830"/>
    </row>
    <row r="104" spans="1:11" x14ac:dyDescent="0.25">
      <c r="A104" s="1437"/>
      <c r="B104" s="1836" t="str">
        <f>"لحم زربيان  3 / " &amp; COUNTIF(H53:H57, "&gt;0")</f>
        <v>لحم زربيان  3 / 3</v>
      </c>
      <c r="C104" s="1837"/>
      <c r="D104" s="1838"/>
      <c r="E104" s="1838"/>
      <c r="F104" s="1838"/>
      <c r="G104" s="1838"/>
      <c r="H104" s="1838"/>
      <c r="K104" s="830"/>
    </row>
    <row r="105" spans="1:11" x14ac:dyDescent="0.25">
      <c r="A105" s="1437"/>
      <c r="B105" s="1836" t="str">
        <f>"Beef Zurbian  3 / " &amp; COUNTIF(H53:H57, "&gt;0")</f>
        <v>Beef Zurbian  3 / 3</v>
      </c>
      <c r="C105" s="1837"/>
      <c r="D105" s="1838"/>
      <c r="E105" s="1838"/>
      <c r="F105" s="1838"/>
      <c r="G105" s="1838"/>
      <c r="H105" s="1838"/>
      <c r="K105" s="830"/>
    </row>
    <row r="106" spans="1:11" ht="38.25" x14ac:dyDescent="0.2">
      <c r="A106" s="1350" t="s">
        <v>864</v>
      </c>
      <c r="B106" s="1442" t="s">
        <v>241</v>
      </c>
      <c r="C106" s="1443" t="s">
        <v>242</v>
      </c>
      <c r="D106" s="1442" t="s">
        <v>231</v>
      </c>
      <c r="E106" s="1444" t="s">
        <v>234</v>
      </c>
      <c r="F106" s="1445" t="s">
        <v>329</v>
      </c>
      <c r="G106" s="1442" t="s">
        <v>244</v>
      </c>
      <c r="H106" s="1444" t="s">
        <v>245</v>
      </c>
      <c r="K106" s="830"/>
    </row>
    <row r="107" spans="1:11" x14ac:dyDescent="0.2">
      <c r="A107" s="937" t="s">
        <v>873</v>
      </c>
      <c r="B107" s="1441" t="str">
        <f t="shared" ref="B107:D120" si="21">B5</f>
        <v>Indian Meat Alana  - لحم هندى ألانا</v>
      </c>
      <c r="C107" s="1441" t="str">
        <f t="shared" si="21"/>
        <v>gm</v>
      </c>
      <c r="D107" s="1441">
        <f t="shared" si="21"/>
        <v>1886.7924528301887</v>
      </c>
      <c r="E107" s="1441">
        <f t="shared" ref="E107:E120" si="22">$H$55</f>
        <v>6.2299999999999969</v>
      </c>
      <c r="F107" s="1446">
        <f t="shared" ref="F107:F120" si="23">F5</f>
        <v>1</v>
      </c>
      <c r="G107" s="1441">
        <f t="shared" ref="G107:G120" si="24">D107*E107</f>
        <v>11754.716981132069</v>
      </c>
      <c r="H107" s="1440">
        <f t="shared" ref="H107:H120" si="25">G107*F107</f>
        <v>11754.716981132069</v>
      </c>
      <c r="K107" s="830"/>
    </row>
    <row r="108" spans="1:11" x14ac:dyDescent="0.2">
      <c r="A108" s="1067" t="s">
        <v>881</v>
      </c>
      <c r="B108" s="1441" t="str">
        <f t="shared" si="21"/>
        <v>Onion - بصل</v>
      </c>
      <c r="C108" s="1441" t="str">
        <f t="shared" si="21"/>
        <v>gm</v>
      </c>
      <c r="D108" s="1441">
        <f t="shared" si="21"/>
        <v>200</v>
      </c>
      <c r="E108" s="1441">
        <f t="shared" si="22"/>
        <v>6.2299999999999969</v>
      </c>
      <c r="F108" s="1446">
        <f t="shared" si="23"/>
        <v>1</v>
      </c>
      <c r="G108" s="1441">
        <f t="shared" si="24"/>
        <v>1245.9999999999993</v>
      </c>
      <c r="H108" s="1440">
        <f t="shared" si="25"/>
        <v>1245.9999999999993</v>
      </c>
      <c r="K108" s="830"/>
    </row>
    <row r="109" spans="1:11" x14ac:dyDescent="0.2">
      <c r="A109" s="1067" t="s">
        <v>870</v>
      </c>
      <c r="B109" s="1441" t="str">
        <f t="shared" si="21"/>
        <v>Tomato - طماطم</v>
      </c>
      <c r="C109" s="1441" t="str">
        <f t="shared" si="21"/>
        <v>gm</v>
      </c>
      <c r="D109" s="1441">
        <f t="shared" si="21"/>
        <v>120</v>
      </c>
      <c r="E109" s="1441">
        <f t="shared" si="22"/>
        <v>6.2299999999999969</v>
      </c>
      <c r="F109" s="1446">
        <f t="shared" si="23"/>
        <v>1</v>
      </c>
      <c r="G109" s="1441">
        <f t="shared" si="24"/>
        <v>747.59999999999968</v>
      </c>
      <c r="H109" s="1440">
        <f t="shared" si="25"/>
        <v>747.59999999999968</v>
      </c>
      <c r="K109" s="830"/>
    </row>
    <row r="110" spans="1:11" x14ac:dyDescent="0.2">
      <c r="A110" s="1067" t="s">
        <v>868</v>
      </c>
      <c r="B110" s="1441" t="str">
        <f t="shared" si="21"/>
        <v>Garlic - ثوم مقشر</v>
      </c>
      <c r="C110" s="1441" t="str">
        <f t="shared" si="21"/>
        <v>gm</v>
      </c>
      <c r="D110" s="1441">
        <f t="shared" si="21"/>
        <v>10</v>
      </c>
      <c r="E110" s="1441">
        <f t="shared" si="22"/>
        <v>6.2299999999999969</v>
      </c>
      <c r="F110" s="1446">
        <f t="shared" si="23"/>
        <v>0.65</v>
      </c>
      <c r="G110" s="1441">
        <f t="shared" si="24"/>
        <v>62.299999999999969</v>
      </c>
      <c r="H110" s="1440">
        <f t="shared" si="25"/>
        <v>40.494999999999983</v>
      </c>
      <c r="K110" s="830"/>
    </row>
    <row r="111" spans="1:11" ht="25.5" x14ac:dyDescent="0.2">
      <c r="A111" s="1067" t="s">
        <v>880</v>
      </c>
      <c r="B111" s="1441" t="str">
        <f t="shared" si="21"/>
        <v>Green Bell Pepper - فلفل أخضر رومى</v>
      </c>
      <c r="C111" s="1441" t="str">
        <f t="shared" si="21"/>
        <v>gm</v>
      </c>
      <c r="D111" s="1441">
        <f t="shared" si="21"/>
        <v>50</v>
      </c>
      <c r="E111" s="1441">
        <f t="shared" si="22"/>
        <v>6.2299999999999969</v>
      </c>
      <c r="F111" s="1446">
        <f t="shared" si="23"/>
        <v>0.75</v>
      </c>
      <c r="G111" s="1441">
        <f t="shared" si="24"/>
        <v>311.49999999999983</v>
      </c>
      <c r="H111" s="1440">
        <f t="shared" si="25"/>
        <v>233.62499999999989</v>
      </c>
      <c r="K111" s="830"/>
    </row>
    <row r="112" spans="1:11" x14ac:dyDescent="0.2">
      <c r="A112" s="1067"/>
      <c r="B112" s="1441" t="str">
        <f t="shared" si="21"/>
        <v>Cumin Powder - كمون مطحون</v>
      </c>
      <c r="C112" s="1441" t="str">
        <f t="shared" si="21"/>
        <v>gm</v>
      </c>
      <c r="D112" s="1441">
        <f t="shared" si="21"/>
        <v>20</v>
      </c>
      <c r="E112" s="1441">
        <f t="shared" si="22"/>
        <v>6.2299999999999969</v>
      </c>
      <c r="F112" s="1446">
        <f t="shared" si="23"/>
        <v>0.7</v>
      </c>
      <c r="G112" s="1441">
        <f t="shared" si="24"/>
        <v>124.59999999999994</v>
      </c>
      <c r="H112" s="1440">
        <f t="shared" si="25"/>
        <v>87.219999999999956</v>
      </c>
      <c r="K112" s="830"/>
    </row>
    <row r="113" spans="1:11" x14ac:dyDescent="0.2">
      <c r="A113" s="1067"/>
      <c r="B113" s="1441" t="str">
        <f t="shared" si="21"/>
        <v>Maggi Cubes - مكعبات ماجي</v>
      </c>
      <c r="C113" s="1441" t="str">
        <f t="shared" si="21"/>
        <v>gm</v>
      </c>
      <c r="D113" s="1441">
        <f t="shared" si="21"/>
        <v>20</v>
      </c>
      <c r="E113" s="1441">
        <f t="shared" si="22"/>
        <v>6.2299999999999969</v>
      </c>
      <c r="F113" s="1446">
        <f t="shared" si="23"/>
        <v>0.65</v>
      </c>
      <c r="G113" s="1441">
        <f t="shared" si="24"/>
        <v>124.59999999999994</v>
      </c>
      <c r="H113" s="1440">
        <f t="shared" si="25"/>
        <v>80.989999999999966</v>
      </c>
      <c r="K113" s="830"/>
    </row>
    <row r="114" spans="1:11" x14ac:dyDescent="0.2">
      <c r="A114" s="1067"/>
      <c r="B114" s="1441" t="str">
        <f t="shared" si="21"/>
        <v>Cardamom Whole - هيل حب</v>
      </c>
      <c r="C114" s="1441" t="str">
        <f t="shared" si="21"/>
        <v>gm</v>
      </c>
      <c r="D114" s="1441">
        <f t="shared" si="21"/>
        <v>10</v>
      </c>
      <c r="E114" s="1441">
        <f t="shared" si="22"/>
        <v>6.2299999999999969</v>
      </c>
      <c r="F114" s="1446">
        <f t="shared" si="23"/>
        <v>0.25</v>
      </c>
      <c r="G114" s="1441">
        <f t="shared" si="24"/>
        <v>62.299999999999969</v>
      </c>
      <c r="H114" s="1440">
        <f t="shared" si="25"/>
        <v>15.574999999999992</v>
      </c>
      <c r="K114" s="830"/>
    </row>
    <row r="115" spans="1:11" x14ac:dyDescent="0.2">
      <c r="A115" s="1067"/>
      <c r="B115" s="1441" t="str">
        <f t="shared" si="21"/>
        <v>Coriander Powder - كزبرة مطحونة</v>
      </c>
      <c r="C115" s="1441" t="str">
        <f t="shared" si="21"/>
        <v>gm</v>
      </c>
      <c r="D115" s="1441">
        <f t="shared" si="21"/>
        <v>20</v>
      </c>
      <c r="E115" s="1441">
        <f t="shared" si="22"/>
        <v>6.2299999999999969</v>
      </c>
      <c r="F115" s="1446">
        <f t="shared" si="23"/>
        <v>0.7</v>
      </c>
      <c r="G115" s="1441">
        <f t="shared" si="24"/>
        <v>124.59999999999994</v>
      </c>
      <c r="H115" s="1440">
        <f t="shared" si="25"/>
        <v>87.219999999999956</v>
      </c>
      <c r="K115" s="830"/>
    </row>
    <row r="116" spans="1:11" x14ac:dyDescent="0.2">
      <c r="A116" s="1067"/>
      <c r="B116" s="1441" t="str">
        <f t="shared" si="21"/>
        <v>Yogurt - زبادي</v>
      </c>
      <c r="C116" s="1441" t="str">
        <f t="shared" si="21"/>
        <v>gm</v>
      </c>
      <c r="D116" s="1441">
        <f t="shared" si="21"/>
        <v>150</v>
      </c>
      <c r="E116" s="1441">
        <f t="shared" si="22"/>
        <v>6.2299999999999969</v>
      </c>
      <c r="F116" s="1446">
        <f t="shared" si="23"/>
        <v>0.85</v>
      </c>
      <c r="G116" s="1441">
        <f t="shared" si="24"/>
        <v>934.49999999999955</v>
      </c>
      <c r="H116" s="1440">
        <f t="shared" si="25"/>
        <v>794.32499999999959</v>
      </c>
      <c r="K116" s="830"/>
    </row>
    <row r="117" spans="1:11" x14ac:dyDescent="0.2">
      <c r="A117" s="1067"/>
      <c r="B117" s="1441" t="str">
        <f t="shared" si="21"/>
        <v>Tomato Paste - صلصة طماطم</v>
      </c>
      <c r="C117" s="1441" t="str">
        <f t="shared" si="21"/>
        <v>gm</v>
      </c>
      <c r="D117" s="1441">
        <f t="shared" si="21"/>
        <v>70</v>
      </c>
      <c r="E117" s="1441">
        <f t="shared" si="22"/>
        <v>6.2299999999999969</v>
      </c>
      <c r="F117" s="1446">
        <f t="shared" si="23"/>
        <v>0.8</v>
      </c>
      <c r="G117" s="1441">
        <f t="shared" si="24"/>
        <v>436.0999999999998</v>
      </c>
      <c r="H117" s="1440">
        <f t="shared" si="25"/>
        <v>348.87999999999988</v>
      </c>
      <c r="K117" s="830"/>
    </row>
    <row r="118" spans="1:11" x14ac:dyDescent="0.2">
      <c r="A118" s="1067"/>
      <c r="B118" s="1441" t="str">
        <f t="shared" si="21"/>
        <v>Salt - ملح</v>
      </c>
      <c r="C118" s="1441" t="str">
        <f t="shared" si="21"/>
        <v>gm</v>
      </c>
      <c r="D118" s="1441">
        <f t="shared" si="21"/>
        <v>30</v>
      </c>
      <c r="E118" s="1441">
        <f t="shared" si="22"/>
        <v>6.2299999999999969</v>
      </c>
      <c r="F118" s="1446">
        <f t="shared" si="23"/>
        <v>0.75</v>
      </c>
      <c r="G118" s="1441">
        <f t="shared" si="24"/>
        <v>186.89999999999992</v>
      </c>
      <c r="H118" s="1440">
        <f t="shared" si="25"/>
        <v>140.17499999999995</v>
      </c>
      <c r="K118" s="830"/>
    </row>
    <row r="119" spans="1:11" x14ac:dyDescent="0.2">
      <c r="A119" s="1067"/>
      <c r="B119" s="1441" t="str">
        <f t="shared" si="21"/>
        <v>Water - ماء</v>
      </c>
      <c r="C119" s="1441" t="str">
        <f t="shared" si="21"/>
        <v>ml</v>
      </c>
      <c r="D119" s="1441">
        <f t="shared" si="21"/>
        <v>200</v>
      </c>
      <c r="E119" s="1441">
        <f t="shared" si="22"/>
        <v>6.2299999999999969</v>
      </c>
      <c r="F119" s="1446">
        <f t="shared" si="23"/>
        <v>1</v>
      </c>
      <c r="G119" s="1441">
        <f t="shared" si="24"/>
        <v>1245.9999999999993</v>
      </c>
      <c r="H119" s="1440">
        <f t="shared" si="25"/>
        <v>1245.9999999999993</v>
      </c>
      <c r="K119" s="830"/>
    </row>
    <row r="120" spans="1:11" ht="25.5" x14ac:dyDescent="0.2">
      <c r="A120" s="1067"/>
      <c r="B120" s="1441" t="str">
        <f t="shared" si="21"/>
        <v>Saffron yellow color powder - لون صفار زعفران بودر</v>
      </c>
      <c r="C120" s="1441" t="str">
        <f t="shared" si="21"/>
        <v>gm</v>
      </c>
      <c r="D120" s="1441">
        <f t="shared" si="21"/>
        <v>1</v>
      </c>
      <c r="E120" s="1441">
        <f t="shared" si="22"/>
        <v>6.2299999999999969</v>
      </c>
      <c r="F120" s="1446">
        <f t="shared" si="23"/>
        <v>0.3</v>
      </c>
      <c r="G120" s="1441">
        <f t="shared" si="24"/>
        <v>6.2299999999999969</v>
      </c>
      <c r="H120" s="1440">
        <f t="shared" si="25"/>
        <v>1.8689999999999989</v>
      </c>
      <c r="K120" s="830"/>
    </row>
    <row r="121" spans="1:11" ht="18" x14ac:dyDescent="0.25">
      <c r="A121" s="1267"/>
      <c r="B121" s="1447" t="s">
        <v>287</v>
      </c>
      <c r="C121" s="1448" t="s">
        <v>273</v>
      </c>
      <c r="D121" s="1449"/>
      <c r="E121" s="1450" t="s">
        <v>288</v>
      </c>
      <c r="F121" s="1449"/>
      <c r="G121" s="1451" t="s">
        <v>264</v>
      </c>
      <c r="H121" s="1451" t="s">
        <v>661</v>
      </c>
      <c r="K121" s="830"/>
    </row>
    <row r="122" spans="1:11" ht="20.25" x14ac:dyDescent="0.25">
      <c r="A122" s="1267"/>
      <c r="B122" s="1438">
        <f>$J$55</f>
        <v>6230</v>
      </c>
      <c r="C122" s="1439">
        <f>E122+G122</f>
        <v>0</v>
      </c>
      <c r="D122" s="1449"/>
      <c r="E122" s="1438">
        <f>$H$55*$S$44</f>
        <v>0</v>
      </c>
      <c r="F122" s="1449"/>
      <c r="G122" s="1438">
        <f>$H$55*$T$44</f>
        <v>0</v>
      </c>
      <c r="H122" s="1438">
        <f>B122+E122</f>
        <v>6230</v>
      </c>
      <c r="K122" s="830"/>
    </row>
    <row r="123" spans="1:11" x14ac:dyDescent="0.25">
      <c r="A123" s="874"/>
      <c r="B123" s="1430"/>
      <c r="C123" s="463"/>
      <c r="D123" s="1430"/>
      <c r="E123" s="1430"/>
      <c r="F123" s="1430"/>
      <c r="G123" s="1430"/>
      <c r="H123" s="1430"/>
      <c r="K123" s="830"/>
    </row>
    <row r="124" spans="1:11" x14ac:dyDescent="0.25">
      <c r="A124" s="1437"/>
      <c r="B124" s="1836" t="str">
        <f>"لحم زربيان  4 / " &amp; COUNTIF(H53:H57, "&gt;0")</f>
        <v>لحم زربيان  4 / 3</v>
      </c>
      <c r="C124" s="1837"/>
      <c r="D124" s="1838"/>
      <c r="E124" s="1838"/>
      <c r="F124" s="1838"/>
      <c r="G124" s="1838"/>
      <c r="H124" s="1838"/>
      <c r="K124" s="830"/>
    </row>
    <row r="125" spans="1:11" x14ac:dyDescent="0.25">
      <c r="A125" s="1437"/>
      <c r="B125" s="1836" t="str">
        <f>"Beef Zurbian  4 / " &amp; COUNTIF(H53:H57, "&gt;0")</f>
        <v>Beef Zurbian  4 / 3</v>
      </c>
      <c r="C125" s="1837"/>
      <c r="D125" s="1838"/>
      <c r="E125" s="1838"/>
      <c r="F125" s="1838"/>
      <c r="G125" s="1838"/>
      <c r="H125" s="1838"/>
      <c r="K125" s="830"/>
    </row>
    <row r="126" spans="1:11" ht="38.25" x14ac:dyDescent="0.2">
      <c r="A126" s="1350" t="s">
        <v>864</v>
      </c>
      <c r="B126" s="1442" t="s">
        <v>241</v>
      </c>
      <c r="C126" s="1443" t="s">
        <v>242</v>
      </c>
      <c r="D126" s="1442" t="s">
        <v>231</v>
      </c>
      <c r="E126" s="1444" t="s">
        <v>234</v>
      </c>
      <c r="F126" s="1445" t="s">
        <v>329</v>
      </c>
      <c r="G126" s="1442" t="s">
        <v>244</v>
      </c>
      <c r="H126" s="1444" t="s">
        <v>245</v>
      </c>
      <c r="K126" s="830"/>
    </row>
    <row r="127" spans="1:11" x14ac:dyDescent="0.2">
      <c r="A127" s="937" t="s">
        <v>873</v>
      </c>
      <c r="B127" s="1441" t="str">
        <f t="shared" ref="B127:D140" si="26">B5</f>
        <v>Indian Meat Alana  - لحم هندى ألانا</v>
      </c>
      <c r="C127" s="1441" t="str">
        <f t="shared" si="26"/>
        <v>gm</v>
      </c>
      <c r="D127" s="1441">
        <f t="shared" si="26"/>
        <v>1886.7924528301887</v>
      </c>
      <c r="E127" s="1441">
        <f t="shared" ref="E127:E140" si="27">$H$56</f>
        <v>0</v>
      </c>
      <c r="F127" s="1446">
        <f>F5</f>
        <v>1</v>
      </c>
      <c r="G127" s="1441">
        <f t="shared" ref="G127:G140" si="28">D127*E127</f>
        <v>0</v>
      </c>
      <c r="H127" s="1440">
        <f t="shared" ref="H127:H140" si="29">G127*F127</f>
        <v>0</v>
      </c>
      <c r="K127" s="830"/>
    </row>
    <row r="128" spans="1:11" x14ac:dyDescent="0.2">
      <c r="A128" s="1067" t="s">
        <v>881</v>
      </c>
      <c r="B128" s="1441" t="str">
        <f t="shared" si="26"/>
        <v>Onion - بصل</v>
      </c>
      <c r="C128" s="1441" t="str">
        <f t="shared" si="26"/>
        <v>gm</v>
      </c>
      <c r="D128" s="1441">
        <f t="shared" si="26"/>
        <v>200</v>
      </c>
      <c r="E128" s="1441">
        <f t="shared" si="27"/>
        <v>0</v>
      </c>
      <c r="F128" s="1446">
        <f t="shared" ref="F128:F140" si="30">F6</f>
        <v>1</v>
      </c>
      <c r="G128" s="1441">
        <f t="shared" si="28"/>
        <v>0</v>
      </c>
      <c r="H128" s="1440">
        <f t="shared" si="29"/>
        <v>0</v>
      </c>
      <c r="K128" s="830"/>
    </row>
    <row r="129" spans="1:8" x14ac:dyDescent="0.2">
      <c r="A129" s="1067" t="s">
        <v>870</v>
      </c>
      <c r="B129" s="1441" t="str">
        <f t="shared" si="26"/>
        <v>Tomato - طماطم</v>
      </c>
      <c r="C129" s="1441" t="str">
        <f t="shared" si="26"/>
        <v>gm</v>
      </c>
      <c r="D129" s="1441">
        <f t="shared" si="26"/>
        <v>120</v>
      </c>
      <c r="E129" s="1441">
        <f t="shared" si="27"/>
        <v>0</v>
      </c>
      <c r="F129" s="1446">
        <f t="shared" si="30"/>
        <v>1</v>
      </c>
      <c r="G129" s="1441">
        <f t="shared" si="28"/>
        <v>0</v>
      </c>
      <c r="H129" s="1440">
        <f t="shared" si="29"/>
        <v>0</v>
      </c>
    </row>
    <row r="130" spans="1:8" x14ac:dyDescent="0.2">
      <c r="A130" s="1067" t="s">
        <v>868</v>
      </c>
      <c r="B130" s="1441" t="str">
        <f t="shared" si="26"/>
        <v>Garlic - ثوم مقشر</v>
      </c>
      <c r="C130" s="1441" t="str">
        <f t="shared" si="26"/>
        <v>gm</v>
      </c>
      <c r="D130" s="1441">
        <f t="shared" si="26"/>
        <v>10</v>
      </c>
      <c r="E130" s="1441">
        <f t="shared" si="27"/>
        <v>0</v>
      </c>
      <c r="F130" s="1446">
        <f t="shared" si="30"/>
        <v>0.65</v>
      </c>
      <c r="G130" s="1441">
        <f t="shared" si="28"/>
        <v>0</v>
      </c>
      <c r="H130" s="1440">
        <f t="shared" si="29"/>
        <v>0</v>
      </c>
    </row>
    <row r="131" spans="1:8" ht="25.5" x14ac:dyDescent="0.2">
      <c r="A131" s="1067" t="s">
        <v>880</v>
      </c>
      <c r="B131" s="1441" t="str">
        <f t="shared" si="26"/>
        <v>Green Bell Pepper - فلفل أخضر رومى</v>
      </c>
      <c r="C131" s="1441" t="str">
        <f t="shared" si="26"/>
        <v>gm</v>
      </c>
      <c r="D131" s="1441">
        <f t="shared" si="26"/>
        <v>50</v>
      </c>
      <c r="E131" s="1441">
        <f t="shared" si="27"/>
        <v>0</v>
      </c>
      <c r="F131" s="1446">
        <f t="shared" si="30"/>
        <v>0.75</v>
      </c>
      <c r="G131" s="1441">
        <f t="shared" si="28"/>
        <v>0</v>
      </c>
      <c r="H131" s="1440">
        <f t="shared" si="29"/>
        <v>0</v>
      </c>
    </row>
    <row r="132" spans="1:8" x14ac:dyDescent="0.2">
      <c r="A132" s="1067"/>
      <c r="B132" s="1441" t="str">
        <f t="shared" si="26"/>
        <v>Cumin Powder - كمون مطحون</v>
      </c>
      <c r="C132" s="1441" t="str">
        <f t="shared" si="26"/>
        <v>gm</v>
      </c>
      <c r="D132" s="1441">
        <f t="shared" si="26"/>
        <v>20</v>
      </c>
      <c r="E132" s="1441">
        <f t="shared" si="27"/>
        <v>0</v>
      </c>
      <c r="F132" s="1446">
        <f t="shared" si="30"/>
        <v>0.7</v>
      </c>
      <c r="G132" s="1441">
        <f t="shared" si="28"/>
        <v>0</v>
      </c>
      <c r="H132" s="1440">
        <f t="shared" si="29"/>
        <v>0</v>
      </c>
    </row>
    <row r="133" spans="1:8" x14ac:dyDescent="0.2">
      <c r="A133" s="1067"/>
      <c r="B133" s="1441" t="str">
        <f t="shared" si="26"/>
        <v>Maggi Cubes - مكعبات ماجي</v>
      </c>
      <c r="C133" s="1441" t="str">
        <f t="shared" si="26"/>
        <v>gm</v>
      </c>
      <c r="D133" s="1441">
        <f t="shared" si="26"/>
        <v>20</v>
      </c>
      <c r="E133" s="1441">
        <f t="shared" si="27"/>
        <v>0</v>
      </c>
      <c r="F133" s="1446">
        <f t="shared" si="30"/>
        <v>0.65</v>
      </c>
      <c r="G133" s="1441">
        <f t="shared" si="28"/>
        <v>0</v>
      </c>
      <c r="H133" s="1440">
        <f t="shared" si="29"/>
        <v>0</v>
      </c>
    </row>
    <row r="134" spans="1:8" x14ac:dyDescent="0.2">
      <c r="A134" s="1067"/>
      <c r="B134" s="1441" t="str">
        <f t="shared" si="26"/>
        <v>Cardamom Whole - هيل حب</v>
      </c>
      <c r="C134" s="1441" t="str">
        <f t="shared" si="26"/>
        <v>gm</v>
      </c>
      <c r="D134" s="1441">
        <f t="shared" si="26"/>
        <v>10</v>
      </c>
      <c r="E134" s="1441">
        <f t="shared" si="27"/>
        <v>0</v>
      </c>
      <c r="F134" s="1446">
        <f t="shared" si="30"/>
        <v>0.25</v>
      </c>
      <c r="G134" s="1441">
        <f t="shared" si="28"/>
        <v>0</v>
      </c>
      <c r="H134" s="1440">
        <f t="shared" si="29"/>
        <v>0</v>
      </c>
    </row>
    <row r="135" spans="1:8" x14ac:dyDescent="0.2">
      <c r="A135" s="1067"/>
      <c r="B135" s="1441" t="str">
        <f t="shared" si="26"/>
        <v>Coriander Powder - كزبرة مطحونة</v>
      </c>
      <c r="C135" s="1441" t="str">
        <f t="shared" si="26"/>
        <v>gm</v>
      </c>
      <c r="D135" s="1441">
        <f t="shared" si="26"/>
        <v>20</v>
      </c>
      <c r="E135" s="1441">
        <f t="shared" si="27"/>
        <v>0</v>
      </c>
      <c r="F135" s="1446">
        <f t="shared" si="30"/>
        <v>0.7</v>
      </c>
      <c r="G135" s="1441">
        <f t="shared" si="28"/>
        <v>0</v>
      </c>
      <c r="H135" s="1440">
        <f t="shared" si="29"/>
        <v>0</v>
      </c>
    </row>
    <row r="136" spans="1:8" x14ac:dyDescent="0.2">
      <c r="A136" s="1067"/>
      <c r="B136" s="1441" t="str">
        <f t="shared" si="26"/>
        <v>Yogurt - زبادي</v>
      </c>
      <c r="C136" s="1441" t="str">
        <f t="shared" si="26"/>
        <v>gm</v>
      </c>
      <c r="D136" s="1441">
        <f t="shared" si="26"/>
        <v>150</v>
      </c>
      <c r="E136" s="1441">
        <f t="shared" si="27"/>
        <v>0</v>
      </c>
      <c r="F136" s="1446">
        <f t="shared" si="30"/>
        <v>0.85</v>
      </c>
      <c r="G136" s="1441">
        <f t="shared" si="28"/>
        <v>0</v>
      </c>
      <c r="H136" s="1440">
        <f t="shared" si="29"/>
        <v>0</v>
      </c>
    </row>
    <row r="137" spans="1:8" x14ac:dyDescent="0.2">
      <c r="A137" s="1067"/>
      <c r="B137" s="1441" t="str">
        <f t="shared" si="26"/>
        <v>Tomato Paste - صلصة طماطم</v>
      </c>
      <c r="C137" s="1441" t="str">
        <f t="shared" si="26"/>
        <v>gm</v>
      </c>
      <c r="D137" s="1441">
        <f t="shared" si="26"/>
        <v>70</v>
      </c>
      <c r="E137" s="1441">
        <f t="shared" si="27"/>
        <v>0</v>
      </c>
      <c r="F137" s="1446">
        <f t="shared" si="30"/>
        <v>0.8</v>
      </c>
      <c r="G137" s="1441">
        <f t="shared" si="28"/>
        <v>0</v>
      </c>
      <c r="H137" s="1440">
        <f t="shared" si="29"/>
        <v>0</v>
      </c>
    </row>
    <row r="138" spans="1:8" x14ac:dyDescent="0.2">
      <c r="A138" s="1067"/>
      <c r="B138" s="1441" t="str">
        <f t="shared" si="26"/>
        <v>Salt - ملح</v>
      </c>
      <c r="C138" s="1441" t="str">
        <f t="shared" si="26"/>
        <v>gm</v>
      </c>
      <c r="D138" s="1441">
        <f t="shared" si="26"/>
        <v>30</v>
      </c>
      <c r="E138" s="1441">
        <f t="shared" si="27"/>
        <v>0</v>
      </c>
      <c r="F138" s="1446">
        <f t="shared" si="30"/>
        <v>0.75</v>
      </c>
      <c r="G138" s="1441">
        <f t="shared" si="28"/>
        <v>0</v>
      </c>
      <c r="H138" s="1440">
        <f t="shared" si="29"/>
        <v>0</v>
      </c>
    </row>
    <row r="139" spans="1:8" x14ac:dyDescent="0.2">
      <c r="A139" s="1067"/>
      <c r="B139" s="1441" t="str">
        <f t="shared" si="26"/>
        <v>Water - ماء</v>
      </c>
      <c r="C139" s="1441" t="str">
        <f t="shared" si="26"/>
        <v>ml</v>
      </c>
      <c r="D139" s="1441">
        <f t="shared" si="26"/>
        <v>200</v>
      </c>
      <c r="E139" s="1441">
        <f t="shared" si="27"/>
        <v>0</v>
      </c>
      <c r="F139" s="1446">
        <f t="shared" si="30"/>
        <v>1</v>
      </c>
      <c r="G139" s="1441">
        <f t="shared" si="28"/>
        <v>0</v>
      </c>
      <c r="H139" s="1440">
        <f t="shared" si="29"/>
        <v>0</v>
      </c>
    </row>
    <row r="140" spans="1:8" ht="25.5" x14ac:dyDescent="0.2">
      <c r="A140" s="1067"/>
      <c r="B140" s="1441" t="str">
        <f t="shared" si="26"/>
        <v>Saffron yellow color powder - لون صفار زعفران بودر</v>
      </c>
      <c r="C140" s="1441" t="str">
        <f t="shared" si="26"/>
        <v>gm</v>
      </c>
      <c r="D140" s="1441">
        <f t="shared" si="26"/>
        <v>1</v>
      </c>
      <c r="E140" s="1441">
        <f t="shared" si="27"/>
        <v>0</v>
      </c>
      <c r="F140" s="1446">
        <f t="shared" si="30"/>
        <v>0.3</v>
      </c>
      <c r="G140" s="1441">
        <f t="shared" si="28"/>
        <v>0</v>
      </c>
      <c r="H140" s="1440">
        <f t="shared" si="29"/>
        <v>0</v>
      </c>
    </row>
    <row r="141" spans="1:8" ht="18" x14ac:dyDescent="0.25">
      <c r="A141" s="1267"/>
      <c r="B141" s="1447" t="s">
        <v>287</v>
      </c>
      <c r="C141" s="1448" t="s">
        <v>273</v>
      </c>
      <c r="D141" s="1449"/>
      <c r="E141" s="1450" t="s">
        <v>288</v>
      </c>
      <c r="F141" s="1449"/>
      <c r="G141" s="1451" t="s">
        <v>264</v>
      </c>
      <c r="H141" s="1451" t="s">
        <v>661</v>
      </c>
    </row>
    <row r="142" spans="1:8" ht="20.25" x14ac:dyDescent="0.25">
      <c r="A142" s="1267"/>
      <c r="B142" s="1438">
        <f>$J$56</f>
        <v>0</v>
      </c>
      <c r="C142" s="1439">
        <f>E142+G142</f>
        <v>0</v>
      </c>
      <c r="D142" s="1449"/>
      <c r="E142" s="1438">
        <f>$H$56*$S$44</f>
        <v>0</v>
      </c>
      <c r="F142" s="1449"/>
      <c r="G142" s="1438">
        <f>$H$56*$T$44</f>
        <v>0</v>
      </c>
      <c r="H142" s="1438">
        <f>B142+E142</f>
        <v>0</v>
      </c>
    </row>
    <row r="143" spans="1:8" x14ac:dyDescent="0.25">
      <c r="A143" s="874"/>
      <c r="B143" s="1430"/>
      <c r="C143" s="463"/>
      <c r="D143" s="1430"/>
      <c r="E143" s="1430"/>
      <c r="F143" s="1430"/>
      <c r="G143" s="1430"/>
      <c r="H143" s="1430"/>
    </row>
    <row r="144" spans="1:8" x14ac:dyDescent="0.25">
      <c r="A144" s="1437"/>
      <c r="B144" s="1836" t="str">
        <f>"لحم زربيان  5 / " &amp; COUNTIF($H$53:$H$57, "&gt;0")</f>
        <v>لحم زربيان  5 / 3</v>
      </c>
      <c r="C144" s="1837"/>
      <c r="D144" s="1838"/>
      <c r="E144" s="1838"/>
      <c r="F144" s="1838"/>
      <c r="G144" s="1838"/>
      <c r="H144" s="1838"/>
    </row>
    <row r="145" spans="1:8" x14ac:dyDescent="0.25">
      <c r="A145" s="1437"/>
      <c r="B145" s="1836" t="str">
        <f>"Beef Zurbian 5 / " &amp; COUNTIF($H$53:$H$57, "&gt;0")</f>
        <v>Beef Zurbian 5 / 3</v>
      </c>
      <c r="C145" s="1837"/>
      <c r="D145" s="1838"/>
      <c r="E145" s="1838"/>
      <c r="F145" s="1838"/>
      <c r="G145" s="1838"/>
      <c r="H145" s="1838"/>
    </row>
    <row r="146" spans="1:8" ht="38.25" x14ac:dyDescent="0.2">
      <c r="A146" s="1350" t="s">
        <v>864</v>
      </c>
      <c r="B146" s="1442" t="s">
        <v>241</v>
      </c>
      <c r="C146" s="1443" t="s">
        <v>242</v>
      </c>
      <c r="D146" s="1442" t="s">
        <v>231</v>
      </c>
      <c r="E146" s="1444" t="s">
        <v>234</v>
      </c>
      <c r="F146" s="1445" t="s">
        <v>329</v>
      </c>
      <c r="G146" s="1442" t="s">
        <v>244</v>
      </c>
      <c r="H146" s="1444" t="s">
        <v>245</v>
      </c>
    </row>
    <row r="147" spans="1:8" x14ac:dyDescent="0.2">
      <c r="A147" s="937" t="s">
        <v>873</v>
      </c>
      <c r="B147" s="1441" t="str">
        <f t="shared" ref="B147:D158" si="31">B5</f>
        <v>Indian Meat Alana  - لحم هندى ألانا</v>
      </c>
      <c r="C147" s="1441" t="str">
        <f t="shared" si="31"/>
        <v>gm</v>
      </c>
      <c r="D147" s="1441">
        <f t="shared" si="31"/>
        <v>1886.7924528301887</v>
      </c>
      <c r="E147" s="1441">
        <f t="shared" ref="E147:E160" si="32">$H$57</f>
        <v>0</v>
      </c>
      <c r="F147" s="1446">
        <f>F5</f>
        <v>1</v>
      </c>
      <c r="G147" s="1441">
        <f t="shared" ref="G147:G160" si="33">D147*E147</f>
        <v>0</v>
      </c>
      <c r="H147" s="1440">
        <f t="shared" ref="H147:H160" si="34">G147*F147</f>
        <v>0</v>
      </c>
    </row>
    <row r="148" spans="1:8" x14ac:dyDescent="0.2">
      <c r="A148" s="1067" t="s">
        <v>881</v>
      </c>
      <c r="B148" s="1441" t="str">
        <f t="shared" si="31"/>
        <v>Onion - بصل</v>
      </c>
      <c r="C148" s="1441" t="str">
        <f t="shared" si="31"/>
        <v>gm</v>
      </c>
      <c r="D148" s="1441">
        <f t="shared" si="31"/>
        <v>200</v>
      </c>
      <c r="E148" s="1441">
        <f t="shared" si="32"/>
        <v>0</v>
      </c>
      <c r="F148" s="1446">
        <f t="shared" ref="F148:F160" si="35">F6</f>
        <v>1</v>
      </c>
      <c r="G148" s="1441">
        <f t="shared" si="33"/>
        <v>0</v>
      </c>
      <c r="H148" s="1440">
        <f t="shared" si="34"/>
        <v>0</v>
      </c>
    </row>
    <row r="149" spans="1:8" x14ac:dyDescent="0.2">
      <c r="A149" s="1067" t="s">
        <v>870</v>
      </c>
      <c r="B149" s="1441" t="str">
        <f t="shared" si="31"/>
        <v>Tomato - طماطم</v>
      </c>
      <c r="C149" s="1441" t="str">
        <f t="shared" si="31"/>
        <v>gm</v>
      </c>
      <c r="D149" s="1441">
        <f t="shared" si="31"/>
        <v>120</v>
      </c>
      <c r="E149" s="1441">
        <f t="shared" si="32"/>
        <v>0</v>
      </c>
      <c r="F149" s="1446">
        <f t="shared" si="35"/>
        <v>1</v>
      </c>
      <c r="G149" s="1441">
        <f t="shared" si="33"/>
        <v>0</v>
      </c>
      <c r="H149" s="1440">
        <f t="shared" si="34"/>
        <v>0</v>
      </c>
    </row>
    <row r="150" spans="1:8" x14ac:dyDescent="0.2">
      <c r="A150" s="1067" t="s">
        <v>868</v>
      </c>
      <c r="B150" s="1441" t="str">
        <f t="shared" si="31"/>
        <v>Garlic - ثوم مقشر</v>
      </c>
      <c r="C150" s="1441" t="str">
        <f t="shared" si="31"/>
        <v>gm</v>
      </c>
      <c r="D150" s="1441">
        <f t="shared" si="31"/>
        <v>10</v>
      </c>
      <c r="E150" s="1441">
        <f t="shared" si="32"/>
        <v>0</v>
      </c>
      <c r="F150" s="1446">
        <f t="shared" si="35"/>
        <v>0.65</v>
      </c>
      <c r="G150" s="1441">
        <f t="shared" si="33"/>
        <v>0</v>
      </c>
      <c r="H150" s="1440">
        <f t="shared" si="34"/>
        <v>0</v>
      </c>
    </row>
    <row r="151" spans="1:8" ht="25.5" x14ac:dyDescent="0.2">
      <c r="A151" s="1067" t="s">
        <v>880</v>
      </c>
      <c r="B151" s="1441" t="str">
        <f t="shared" si="31"/>
        <v>Green Bell Pepper - فلفل أخضر رومى</v>
      </c>
      <c r="C151" s="1441" t="str">
        <f t="shared" si="31"/>
        <v>gm</v>
      </c>
      <c r="D151" s="1441">
        <f t="shared" si="31"/>
        <v>50</v>
      </c>
      <c r="E151" s="1441">
        <f t="shared" si="32"/>
        <v>0</v>
      </c>
      <c r="F151" s="1446">
        <f t="shared" si="35"/>
        <v>0.75</v>
      </c>
      <c r="G151" s="1441">
        <f t="shared" si="33"/>
        <v>0</v>
      </c>
      <c r="H151" s="1440">
        <f t="shared" si="34"/>
        <v>0</v>
      </c>
    </row>
    <row r="152" spans="1:8" x14ac:dyDescent="0.2">
      <c r="A152" s="1067"/>
      <c r="B152" s="1441" t="str">
        <f t="shared" si="31"/>
        <v>Cumin Powder - كمون مطحون</v>
      </c>
      <c r="C152" s="1441" t="str">
        <f t="shared" si="31"/>
        <v>gm</v>
      </c>
      <c r="D152" s="1441">
        <f t="shared" si="31"/>
        <v>20</v>
      </c>
      <c r="E152" s="1441">
        <f t="shared" si="32"/>
        <v>0</v>
      </c>
      <c r="F152" s="1446">
        <f t="shared" si="35"/>
        <v>0.7</v>
      </c>
      <c r="G152" s="1441">
        <f t="shared" si="33"/>
        <v>0</v>
      </c>
      <c r="H152" s="1440">
        <f t="shared" si="34"/>
        <v>0</v>
      </c>
    </row>
    <row r="153" spans="1:8" x14ac:dyDescent="0.2">
      <c r="A153" s="1067"/>
      <c r="B153" s="1441" t="str">
        <f t="shared" si="31"/>
        <v>Maggi Cubes - مكعبات ماجي</v>
      </c>
      <c r="C153" s="1441" t="str">
        <f t="shared" si="31"/>
        <v>gm</v>
      </c>
      <c r="D153" s="1441">
        <f t="shared" si="31"/>
        <v>20</v>
      </c>
      <c r="E153" s="1441">
        <f t="shared" si="32"/>
        <v>0</v>
      </c>
      <c r="F153" s="1446">
        <f t="shared" si="35"/>
        <v>0.65</v>
      </c>
      <c r="G153" s="1441">
        <f t="shared" si="33"/>
        <v>0</v>
      </c>
      <c r="H153" s="1440">
        <f t="shared" si="34"/>
        <v>0</v>
      </c>
    </row>
    <row r="154" spans="1:8" x14ac:dyDescent="0.2">
      <c r="A154" s="1067"/>
      <c r="B154" s="1441" t="str">
        <f t="shared" si="31"/>
        <v>Cardamom Whole - هيل حب</v>
      </c>
      <c r="C154" s="1441" t="str">
        <f t="shared" si="31"/>
        <v>gm</v>
      </c>
      <c r="D154" s="1441">
        <f t="shared" si="31"/>
        <v>10</v>
      </c>
      <c r="E154" s="1441">
        <f t="shared" si="32"/>
        <v>0</v>
      </c>
      <c r="F154" s="1446">
        <f t="shared" si="35"/>
        <v>0.25</v>
      </c>
      <c r="G154" s="1441">
        <f t="shared" si="33"/>
        <v>0</v>
      </c>
      <c r="H154" s="1440">
        <f t="shared" si="34"/>
        <v>0</v>
      </c>
    </row>
    <row r="155" spans="1:8" x14ac:dyDescent="0.2">
      <c r="A155" s="1067"/>
      <c r="B155" s="1441" t="str">
        <f t="shared" si="31"/>
        <v>Coriander Powder - كزبرة مطحونة</v>
      </c>
      <c r="C155" s="1441" t="str">
        <f t="shared" si="31"/>
        <v>gm</v>
      </c>
      <c r="D155" s="1441">
        <f t="shared" si="31"/>
        <v>20</v>
      </c>
      <c r="E155" s="1441">
        <f t="shared" si="32"/>
        <v>0</v>
      </c>
      <c r="F155" s="1446">
        <f t="shared" si="35"/>
        <v>0.7</v>
      </c>
      <c r="G155" s="1441">
        <f t="shared" si="33"/>
        <v>0</v>
      </c>
      <c r="H155" s="1440">
        <f t="shared" si="34"/>
        <v>0</v>
      </c>
    </row>
    <row r="156" spans="1:8" x14ac:dyDescent="0.2">
      <c r="A156" s="1067"/>
      <c r="B156" s="1441" t="str">
        <f t="shared" si="31"/>
        <v>Yogurt - زبادي</v>
      </c>
      <c r="C156" s="1441" t="str">
        <f t="shared" si="31"/>
        <v>gm</v>
      </c>
      <c r="D156" s="1441">
        <f t="shared" si="31"/>
        <v>150</v>
      </c>
      <c r="E156" s="1441">
        <f t="shared" si="32"/>
        <v>0</v>
      </c>
      <c r="F156" s="1446">
        <f t="shared" si="35"/>
        <v>0.85</v>
      </c>
      <c r="G156" s="1441">
        <f t="shared" si="33"/>
        <v>0</v>
      </c>
      <c r="H156" s="1440">
        <f t="shared" si="34"/>
        <v>0</v>
      </c>
    </row>
    <row r="157" spans="1:8" x14ac:dyDescent="0.2">
      <c r="A157" s="1067"/>
      <c r="B157" s="1441" t="str">
        <f t="shared" si="31"/>
        <v>Tomato Paste - صلصة طماطم</v>
      </c>
      <c r="C157" s="1441" t="str">
        <f t="shared" si="31"/>
        <v>gm</v>
      </c>
      <c r="D157" s="1441">
        <f t="shared" si="31"/>
        <v>70</v>
      </c>
      <c r="E157" s="1441">
        <f t="shared" si="32"/>
        <v>0</v>
      </c>
      <c r="F157" s="1446">
        <f t="shared" si="35"/>
        <v>0.8</v>
      </c>
      <c r="G157" s="1441">
        <f t="shared" si="33"/>
        <v>0</v>
      </c>
      <c r="H157" s="1440">
        <f t="shared" si="34"/>
        <v>0</v>
      </c>
    </row>
    <row r="158" spans="1:8" x14ac:dyDescent="0.2">
      <c r="A158" s="1067"/>
      <c r="B158" s="1441" t="str">
        <f t="shared" si="31"/>
        <v>Salt - ملح</v>
      </c>
      <c r="C158" s="1441" t="str">
        <f t="shared" si="31"/>
        <v>gm</v>
      </c>
      <c r="D158" s="1441">
        <f t="shared" si="31"/>
        <v>30</v>
      </c>
      <c r="E158" s="1441">
        <f t="shared" si="32"/>
        <v>0</v>
      </c>
      <c r="F158" s="1446">
        <f t="shared" si="35"/>
        <v>0.75</v>
      </c>
      <c r="G158" s="1441">
        <f t="shared" si="33"/>
        <v>0</v>
      </c>
      <c r="H158" s="1440">
        <f t="shared" si="34"/>
        <v>0</v>
      </c>
    </row>
    <row r="159" spans="1:8" x14ac:dyDescent="0.2">
      <c r="A159" s="1067"/>
      <c r="B159" s="1441" t="str">
        <f t="shared" ref="B159:D160" si="36">B17</f>
        <v>Water - ماء</v>
      </c>
      <c r="C159" s="1441" t="str">
        <f t="shared" si="36"/>
        <v>ml</v>
      </c>
      <c r="D159" s="1441">
        <f t="shared" si="36"/>
        <v>200</v>
      </c>
      <c r="E159" s="1441">
        <f t="shared" si="32"/>
        <v>0</v>
      </c>
      <c r="F159" s="1446">
        <f t="shared" si="35"/>
        <v>1</v>
      </c>
      <c r="G159" s="1441">
        <f t="shared" si="33"/>
        <v>0</v>
      </c>
      <c r="H159" s="1440">
        <f t="shared" si="34"/>
        <v>0</v>
      </c>
    </row>
    <row r="160" spans="1:8" ht="25.5" x14ac:dyDescent="0.2">
      <c r="A160" s="1067"/>
      <c r="B160" s="1441" t="str">
        <f>B18</f>
        <v>Saffron yellow color powder - لون صفار زعفران بودر</v>
      </c>
      <c r="C160" s="1441" t="str">
        <f t="shared" si="36"/>
        <v>gm</v>
      </c>
      <c r="D160" s="1441">
        <f t="shared" si="36"/>
        <v>1</v>
      </c>
      <c r="E160" s="1441">
        <f t="shared" si="32"/>
        <v>0</v>
      </c>
      <c r="F160" s="1446">
        <f t="shared" si="35"/>
        <v>0.3</v>
      </c>
      <c r="G160" s="1441">
        <f t="shared" si="33"/>
        <v>0</v>
      </c>
      <c r="H160" s="1440">
        <f t="shared" si="34"/>
        <v>0</v>
      </c>
    </row>
    <row r="161" spans="1:8" ht="18" x14ac:dyDescent="0.25">
      <c r="A161" s="1267"/>
      <c r="B161" s="1447" t="s">
        <v>287</v>
      </c>
      <c r="C161" s="1448" t="s">
        <v>273</v>
      </c>
      <c r="D161" s="1449"/>
      <c r="E161" s="1450" t="s">
        <v>288</v>
      </c>
      <c r="F161" s="1449"/>
      <c r="G161" s="1451" t="s">
        <v>264</v>
      </c>
      <c r="H161" s="1451" t="s">
        <v>661</v>
      </c>
    </row>
    <row r="162" spans="1:8" ht="20.25" x14ac:dyDescent="0.25">
      <c r="A162" s="1267"/>
      <c r="B162" s="1438">
        <f>$J$57</f>
        <v>0</v>
      </c>
      <c r="C162" s="1439">
        <f>E162+G162</f>
        <v>0</v>
      </c>
      <c r="D162" s="1449"/>
      <c r="E162" s="1438">
        <f>$H$57*$S$44</f>
        <v>0</v>
      </c>
      <c r="F162" s="1449"/>
      <c r="G162" s="1438">
        <f>$H$57*$T$44</f>
        <v>0</v>
      </c>
      <c r="H162" s="1438">
        <f>B162+E162</f>
        <v>0</v>
      </c>
    </row>
  </sheetData>
  <mergeCells count="14">
    <mergeCell ref="R25:T25"/>
    <mergeCell ref="B2:K3"/>
    <mergeCell ref="B63:H63"/>
    <mergeCell ref="B83:H83"/>
    <mergeCell ref="B82:H82"/>
    <mergeCell ref="B62:H62"/>
    <mergeCell ref="R26:T26"/>
    <mergeCell ref="B35:F35"/>
    <mergeCell ref="B104:H104"/>
    <mergeCell ref="B144:H144"/>
    <mergeCell ref="B145:H145"/>
    <mergeCell ref="B124:H124"/>
    <mergeCell ref="B125:H125"/>
    <mergeCell ref="B105:H105"/>
  </mergeCells>
  <phoneticPr fontId="62" type="noConversion"/>
  <printOptions horizontalCentered="1"/>
  <pageMargins left="0.5" right="0.5" top="1" bottom="0.5" header="0.3" footer="0.511811023622047"/>
  <pageSetup paperSize="9" scale="30" orientation="portrait"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rgb="FFFFFF00"/>
    <pageSetUpPr fitToPage="1"/>
  </sheetPr>
  <dimension ref="A1:AG103"/>
  <sheetViews>
    <sheetView zoomScaleNormal="100" workbookViewId="0">
      <selection activeCell="B63" sqref="B63:H63"/>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3" width="12.625" style="14" customWidth="1"/>
    <col min="14" max="16" width="4.75" style="14" customWidth="1"/>
    <col min="17" max="17" width="12.5" style="14"/>
    <col min="18" max="18" width="25.875" style="14" customWidth="1"/>
    <col min="19" max="19" width="18.625" style="14" customWidth="1"/>
    <col min="20" max="20" width="12.625" style="14" customWidth="1"/>
    <col min="21" max="24" width="12.5" style="14"/>
    <col min="25" max="30" width="8.625" style="14" customWidth="1"/>
    <col min="31" max="16384" width="12.5" style="14"/>
  </cols>
  <sheetData>
    <row r="1" spans="1:33" x14ac:dyDescent="0.25">
      <c r="B1" s="913" t="s">
        <v>231</v>
      </c>
      <c r="C1" s="914">
        <v>1000</v>
      </c>
      <c r="D1" s="915" t="s">
        <v>232</v>
      </c>
      <c r="E1" s="941">
        <f>S30</f>
        <v>11400</v>
      </c>
      <c r="F1" s="913" t="s">
        <v>233</v>
      </c>
      <c r="G1" s="941">
        <f>E1/C1</f>
        <v>11.4</v>
      </c>
      <c r="H1" s="913" t="s">
        <v>234</v>
      </c>
      <c r="I1" s="941">
        <f>G1/K1</f>
        <v>11.4</v>
      </c>
      <c r="J1" s="913" t="s">
        <v>235</v>
      </c>
      <c r="K1" s="1208">
        <v>1</v>
      </c>
      <c r="L1" s="80"/>
      <c r="M1" s="80" t="s">
        <v>361</v>
      </c>
      <c r="N1" s="80"/>
      <c r="O1" s="80"/>
      <c r="P1" s="80"/>
      <c r="Q1" s="80"/>
      <c r="R1" s="80"/>
      <c r="S1" s="80"/>
      <c r="T1" s="80"/>
      <c r="U1" s="80"/>
      <c r="V1" s="80"/>
      <c r="Y1" s="923" t="s">
        <v>444</v>
      </c>
      <c r="Z1" s="925">
        <v>11400</v>
      </c>
      <c r="AA1" s="923" t="s">
        <v>544</v>
      </c>
      <c r="AB1" s="925">
        <v>0</v>
      </c>
      <c r="AC1" s="923" t="s">
        <v>537</v>
      </c>
      <c r="AD1" s="925">
        <v>76</v>
      </c>
    </row>
    <row r="2" spans="1:33" ht="15.75" x14ac:dyDescent="0.25">
      <c r="A2" s="863"/>
      <c r="B2" s="1784" t="s">
        <v>362</v>
      </c>
      <c r="C2" s="1787"/>
      <c r="D2" s="1788"/>
      <c r="E2" s="1788"/>
      <c r="F2" s="1788"/>
      <c r="G2" s="1787"/>
      <c r="H2" s="1788"/>
      <c r="I2" s="1287"/>
      <c r="J2" s="1287"/>
      <c r="K2" s="1287"/>
      <c r="L2" s="80"/>
      <c r="M2" s="80"/>
      <c r="N2" s="80"/>
      <c r="O2" s="80"/>
      <c r="P2" s="80"/>
      <c r="Q2" s="80"/>
      <c r="R2" s="80"/>
      <c r="S2" s="80"/>
      <c r="T2" s="80"/>
      <c r="U2" s="80"/>
      <c r="AE2" s="1821"/>
      <c r="AF2" s="1799"/>
      <c r="AG2" s="1799"/>
    </row>
    <row r="3" spans="1:33" x14ac:dyDescent="0.25">
      <c r="A3" s="863"/>
      <c r="B3" s="1785"/>
      <c r="C3" s="1796"/>
      <c r="D3" s="1785"/>
      <c r="E3" s="1785"/>
      <c r="F3" s="1785"/>
      <c r="G3" s="1796"/>
      <c r="H3" s="1785"/>
      <c r="I3" s="80"/>
      <c r="J3" s="80"/>
      <c r="K3" s="80"/>
      <c r="L3" s="80"/>
      <c r="M3" s="80"/>
      <c r="N3" s="80"/>
      <c r="O3" s="80"/>
      <c r="P3" s="80"/>
      <c r="Q3" s="80"/>
      <c r="R3" s="80"/>
      <c r="S3" s="80"/>
      <c r="T3" s="80"/>
      <c r="U3" s="80"/>
      <c r="AE3" s="1799"/>
      <c r="AF3" s="1799"/>
      <c r="AG3" s="1799"/>
    </row>
    <row r="4" spans="1:33" ht="25.5"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Q4" s="80"/>
      <c r="R4" s="80"/>
      <c r="S4" s="80"/>
      <c r="T4" s="80"/>
      <c r="U4" s="80"/>
    </row>
    <row r="5" spans="1:33" x14ac:dyDescent="0.2">
      <c r="A5" s="876"/>
      <c r="B5" s="1288"/>
      <c r="C5" s="1289"/>
      <c r="D5" s="1290"/>
      <c r="E5" s="1291"/>
      <c r="F5" s="1290"/>
      <c r="G5" s="1290"/>
      <c r="H5" s="1334"/>
      <c r="I5" s="1195"/>
      <c r="J5" s="1452"/>
      <c r="K5" s="1200"/>
      <c r="L5" s="1200"/>
      <c r="M5" s="80"/>
      <c r="R5" s="890"/>
    </row>
    <row r="6" spans="1:33" x14ac:dyDescent="0.25">
      <c r="B6" s="1130" t="s">
        <v>19</v>
      </c>
      <c r="C6" s="947" t="s">
        <v>14</v>
      </c>
      <c r="D6" s="1335">
        <v>450</v>
      </c>
      <c r="E6" s="940">
        <f t="shared" ref="E6:E13" si="0">$I$1</f>
        <v>11.4</v>
      </c>
      <c r="F6" s="948">
        <v>1</v>
      </c>
      <c r="G6" s="940">
        <f t="shared" ref="G6:G13" si="1">D6*E6</f>
        <v>5130</v>
      </c>
      <c r="H6" s="943">
        <f t="shared" ref="H6:H13" si="2">G6*F6</f>
        <v>5130</v>
      </c>
      <c r="I6" s="914">
        <f>VLOOKUP(B6,All_Ingredients!$A$1:$F$161,6,FALSE())</f>
        <v>0.8</v>
      </c>
      <c r="J6" s="944">
        <f>VLOOKUP(B6,All_Ingredients!$A$1:$J$161,10,FALSE())</f>
        <v>2.6</v>
      </c>
      <c r="K6" s="945">
        <f t="shared" ref="K6:K13" si="3">(H6/I6)/1000</f>
        <v>6.4124999999999996</v>
      </c>
      <c r="L6" s="945">
        <f t="shared" ref="L6:L13" si="4">K6*J6</f>
        <v>16.672499999999999</v>
      </c>
      <c r="R6" s="890"/>
    </row>
    <row r="7" spans="1:33" x14ac:dyDescent="0.25">
      <c r="B7" s="1130" t="s">
        <v>47</v>
      </c>
      <c r="C7" s="947" t="s">
        <v>14</v>
      </c>
      <c r="D7" s="1335">
        <v>450</v>
      </c>
      <c r="E7" s="940">
        <f t="shared" si="0"/>
        <v>11.4</v>
      </c>
      <c r="F7" s="948">
        <v>1</v>
      </c>
      <c r="G7" s="940">
        <f t="shared" si="1"/>
        <v>5130</v>
      </c>
      <c r="H7" s="943">
        <f t="shared" si="2"/>
        <v>5130</v>
      </c>
      <c r="I7" s="914">
        <f>VLOOKUP(B7,All_Ingredients!$A$1:$F$161,6,FALSE())</f>
        <v>0.78</v>
      </c>
      <c r="J7" s="944">
        <f>VLOOKUP(B7,All_Ingredients!$A$1:$J$161,10,FALSE())</f>
        <v>3.7</v>
      </c>
      <c r="K7" s="945">
        <f t="shared" si="3"/>
        <v>6.5769230769230775</v>
      </c>
      <c r="L7" s="945">
        <f t="shared" si="4"/>
        <v>24.33461538461539</v>
      </c>
      <c r="R7" s="890"/>
    </row>
    <row r="8" spans="1:33" x14ac:dyDescent="0.25">
      <c r="B8" s="1130" t="s">
        <v>28</v>
      </c>
      <c r="C8" s="947" t="s">
        <v>14</v>
      </c>
      <c r="D8" s="1335">
        <v>80</v>
      </c>
      <c r="E8" s="940">
        <f t="shared" si="0"/>
        <v>11.4</v>
      </c>
      <c r="F8" s="948">
        <v>1</v>
      </c>
      <c r="G8" s="940">
        <f t="shared" si="1"/>
        <v>912</v>
      </c>
      <c r="H8" s="943">
        <f t="shared" si="2"/>
        <v>912</v>
      </c>
      <c r="I8" s="914">
        <f>VLOOKUP(B8,All_Ingredients!$A$1:$F$161,6,FALSE())</f>
        <v>0.73</v>
      </c>
      <c r="J8" s="944">
        <f>VLOOKUP(B8,All_Ingredients!$A$1:$J$161,10,FALSE())</f>
        <v>8.5</v>
      </c>
      <c r="K8" s="945">
        <f t="shared" si="3"/>
        <v>1.2493150684931507</v>
      </c>
      <c r="L8" s="945">
        <f t="shared" si="4"/>
        <v>10.61917808219178</v>
      </c>
      <c r="R8" s="890"/>
    </row>
    <row r="9" spans="1:33" x14ac:dyDescent="0.25">
      <c r="B9" s="1130" t="s">
        <v>30</v>
      </c>
      <c r="C9" s="947" t="s">
        <v>14</v>
      </c>
      <c r="D9" s="1335">
        <v>80</v>
      </c>
      <c r="E9" s="940">
        <f t="shared" si="0"/>
        <v>11.4</v>
      </c>
      <c r="F9" s="948">
        <v>1</v>
      </c>
      <c r="G9" s="940">
        <f t="shared" si="1"/>
        <v>912</v>
      </c>
      <c r="H9" s="943">
        <f t="shared" si="2"/>
        <v>912</v>
      </c>
      <c r="I9" s="914">
        <f>VLOOKUP(B9,All_Ingredients!$A$1:$F$161,6,FALSE())</f>
        <v>0.71</v>
      </c>
      <c r="J9" s="944">
        <f>VLOOKUP(B9,All_Ingredients!$A$1:$J$161,10,FALSE())</f>
        <v>8.5</v>
      </c>
      <c r="K9" s="945">
        <f t="shared" si="3"/>
        <v>1.2845070422535212</v>
      </c>
      <c r="L9" s="945">
        <f t="shared" si="4"/>
        <v>10.918309859154931</v>
      </c>
      <c r="R9" s="890"/>
    </row>
    <row r="10" spans="1:33" ht="28.5" x14ac:dyDescent="0.25">
      <c r="B10" s="1130" t="s">
        <v>32</v>
      </c>
      <c r="C10" s="947" t="s">
        <v>14</v>
      </c>
      <c r="D10" s="1335">
        <v>80</v>
      </c>
      <c r="E10" s="940">
        <f t="shared" si="0"/>
        <v>11.4</v>
      </c>
      <c r="F10" s="948">
        <v>1</v>
      </c>
      <c r="G10" s="940">
        <f t="shared" si="1"/>
        <v>912</v>
      </c>
      <c r="H10" s="943">
        <f t="shared" si="2"/>
        <v>912</v>
      </c>
      <c r="I10" s="914">
        <f>VLOOKUP(B10,All_Ingredients!$A$1:$F$161,6,FALSE())</f>
        <v>0.69</v>
      </c>
      <c r="J10" s="944">
        <f>VLOOKUP(B10,All_Ingredients!$A$1:$J$161,10,FALSE())</f>
        <v>4</v>
      </c>
      <c r="K10" s="945">
        <f t="shared" si="3"/>
        <v>1.3217391304347827</v>
      </c>
      <c r="L10" s="945">
        <f t="shared" si="4"/>
        <v>5.286956521739131</v>
      </c>
      <c r="R10" s="890"/>
    </row>
    <row r="11" spans="1:33" x14ac:dyDescent="0.25">
      <c r="B11" s="1130" t="s">
        <v>50</v>
      </c>
      <c r="C11" s="947" t="s">
        <v>14</v>
      </c>
      <c r="D11" s="1335">
        <v>80</v>
      </c>
      <c r="E11" s="940">
        <f t="shared" si="0"/>
        <v>11.4</v>
      </c>
      <c r="F11" s="948">
        <v>1</v>
      </c>
      <c r="G11" s="940">
        <f t="shared" si="1"/>
        <v>912</v>
      </c>
      <c r="H11" s="943">
        <f t="shared" si="2"/>
        <v>912</v>
      </c>
      <c r="I11" s="914">
        <f>VLOOKUP(B11,All_Ingredients!$A$1:$F$161,6,FALSE())</f>
        <v>0.75</v>
      </c>
      <c r="J11" s="944">
        <f>VLOOKUP(B11,All_Ingredients!$A$1:$J$161,10,FALSE())</f>
        <v>20</v>
      </c>
      <c r="K11" s="945">
        <f t="shared" si="3"/>
        <v>1.216</v>
      </c>
      <c r="L11" s="945">
        <f t="shared" si="4"/>
        <v>24.32</v>
      </c>
      <c r="R11" s="890"/>
    </row>
    <row r="12" spans="1:33" x14ac:dyDescent="0.25">
      <c r="B12" s="1130" t="s">
        <v>93</v>
      </c>
      <c r="C12" s="947" t="s">
        <v>14</v>
      </c>
      <c r="D12" s="940">
        <v>4</v>
      </c>
      <c r="E12" s="940">
        <f t="shared" si="0"/>
        <v>11.4</v>
      </c>
      <c r="F12" s="948">
        <v>0.75</v>
      </c>
      <c r="G12" s="940">
        <f t="shared" si="1"/>
        <v>45.6</v>
      </c>
      <c r="H12" s="943">
        <f t="shared" si="2"/>
        <v>34.200000000000003</v>
      </c>
      <c r="I12" s="914">
        <f>VLOOKUP(B12,All_Ingredients!$A$1:$F$161,6,FALSE())</f>
        <v>1</v>
      </c>
      <c r="J12" s="944">
        <f>VLOOKUP(B12,All_Ingredients!$A$1:$J$161,10,FALSE())</f>
        <v>0.74</v>
      </c>
      <c r="K12" s="945">
        <f t="shared" si="3"/>
        <v>3.4200000000000001E-2</v>
      </c>
      <c r="L12" s="945">
        <f t="shared" si="4"/>
        <v>2.5308000000000001E-2</v>
      </c>
      <c r="R12" s="890"/>
    </row>
    <row r="13" spans="1:33" ht="28.5" x14ac:dyDescent="0.25">
      <c r="B13" s="1130" t="s">
        <v>99</v>
      </c>
      <c r="C13" s="947" t="s">
        <v>14</v>
      </c>
      <c r="D13" s="1040">
        <v>0.5</v>
      </c>
      <c r="E13" s="940">
        <f t="shared" si="0"/>
        <v>11.4</v>
      </c>
      <c r="F13" s="948">
        <v>1</v>
      </c>
      <c r="G13" s="940">
        <f t="shared" si="1"/>
        <v>5.7</v>
      </c>
      <c r="H13" s="943">
        <f t="shared" si="2"/>
        <v>5.7</v>
      </c>
      <c r="I13" s="914">
        <f>VLOOKUP(B13,All_Ingredients!$A$1:$F$161,6,FALSE())</f>
        <v>1</v>
      </c>
      <c r="J13" s="944">
        <f>VLOOKUP(B13,All_Ingredients!$A$1:$J$161,10,FALSE())</f>
        <v>31</v>
      </c>
      <c r="K13" s="945">
        <f t="shared" si="3"/>
        <v>5.7000000000000002E-3</v>
      </c>
      <c r="L13" s="945">
        <f t="shared" si="4"/>
        <v>0.1767</v>
      </c>
      <c r="R13" s="890"/>
    </row>
    <row r="25" spans="18:29" x14ac:dyDescent="0.25">
      <c r="R25" s="1792" t="s">
        <v>363</v>
      </c>
      <c r="S25" s="1787"/>
      <c r="T25" s="1787"/>
      <c r="Z25" s="982" t="s">
        <v>14</v>
      </c>
      <c r="AA25" s="989">
        <v>1</v>
      </c>
      <c r="AB25" s="982" t="s">
        <v>249</v>
      </c>
      <c r="AC25" s="985">
        <f>(S31/S30)*AA25</f>
        <v>8.1011901620790545E-3</v>
      </c>
    </row>
    <row r="26" spans="18:29" x14ac:dyDescent="0.25">
      <c r="R26" s="1792" t="s">
        <v>337</v>
      </c>
      <c r="S26" s="1787"/>
      <c r="T26" s="1787"/>
    </row>
    <row r="27" spans="18:29" x14ac:dyDescent="0.25">
      <c r="R27" s="961" t="s">
        <v>254</v>
      </c>
      <c r="S27" s="962" t="s">
        <v>338</v>
      </c>
      <c r="T27" s="962" t="s">
        <v>257</v>
      </c>
    </row>
    <row r="28" spans="18:29" x14ac:dyDescent="0.25">
      <c r="R28" s="961" t="s">
        <v>263</v>
      </c>
      <c r="S28" s="963">
        <f>T28</f>
        <v>11400</v>
      </c>
      <c r="T28" s="965">
        <f>$Z$1</f>
        <v>11400</v>
      </c>
      <c r="U28" s="685"/>
    </row>
    <row r="29" spans="18:29" x14ac:dyDescent="0.25">
      <c r="R29" s="961" t="s">
        <v>265</v>
      </c>
      <c r="S29" s="965">
        <f>$AB$1</f>
        <v>0</v>
      </c>
      <c r="T29" s="974">
        <f>S29</f>
        <v>0</v>
      </c>
      <c r="U29" s="685"/>
    </row>
    <row r="30" spans="18:29" x14ac:dyDescent="0.25">
      <c r="R30" s="961" t="s">
        <v>257</v>
      </c>
      <c r="S30" s="1271">
        <f>SUM(S28:S29)</f>
        <v>11400</v>
      </c>
      <c r="T30" s="1271">
        <f>S30</f>
        <v>11400</v>
      </c>
      <c r="U30" s="685"/>
    </row>
    <row r="31" spans="18:29" x14ac:dyDescent="0.25">
      <c r="R31" s="977" t="s">
        <v>249</v>
      </c>
      <c r="S31" s="978">
        <f>SUM(L6:L13)</f>
        <v>92.353567847701228</v>
      </c>
      <c r="T31" s="1453">
        <f>S31</f>
        <v>92.353567847701228</v>
      </c>
    </row>
    <row r="50" spans="1:11" x14ac:dyDescent="0.25">
      <c r="B50" s="958"/>
      <c r="C50" s="1076" t="s">
        <v>233</v>
      </c>
      <c r="D50" s="958" t="s">
        <v>279</v>
      </c>
      <c r="E50" s="890"/>
      <c r="F50" s="890"/>
      <c r="H50" s="890"/>
      <c r="K50" s="890"/>
    </row>
    <row r="51" spans="1:11" x14ac:dyDescent="0.25">
      <c r="B51" s="1027" t="s">
        <v>283</v>
      </c>
      <c r="C51" s="1028">
        <f>10/$K$1</f>
        <v>10</v>
      </c>
      <c r="D51" s="1029">
        <f>$C$1*10</f>
        <v>10000</v>
      </c>
      <c r="E51" s="890"/>
      <c r="F51" s="890"/>
      <c r="H51" s="890"/>
      <c r="K51" s="890"/>
    </row>
    <row r="52" spans="1:11" x14ac:dyDescent="0.25">
      <c r="B52" s="958" t="s">
        <v>257</v>
      </c>
      <c r="C52" s="1243">
        <f>G1</f>
        <v>11.4</v>
      </c>
      <c r="D52" s="1100">
        <f>E1</f>
        <v>11400</v>
      </c>
      <c r="E52" s="890"/>
      <c r="F52" s="890"/>
      <c r="H52" s="890"/>
      <c r="K52" s="890"/>
    </row>
    <row r="53" spans="1:11" x14ac:dyDescent="0.25">
      <c r="B53" s="958" t="s">
        <v>284</v>
      </c>
      <c r="C53" s="1101">
        <f>MIN($C$52, $C$51)</f>
        <v>10</v>
      </c>
      <c r="D53" s="1100">
        <f>(C53*$K$1)*$C$1</f>
        <v>10000</v>
      </c>
      <c r="E53" s="890"/>
      <c r="F53" s="890"/>
      <c r="H53" s="890"/>
      <c r="K53" s="890"/>
    </row>
    <row r="54" spans="1:11" x14ac:dyDescent="0.25">
      <c r="B54" s="958" t="s">
        <v>285</v>
      </c>
      <c r="C54" s="1101">
        <f>MIN(MAX($C$52-C53,0),$C$51)</f>
        <v>1.4000000000000004</v>
      </c>
      <c r="D54" s="1100">
        <f>(C54*$K$1)*$C$1</f>
        <v>1400.0000000000005</v>
      </c>
      <c r="E54" s="890"/>
      <c r="F54" s="890"/>
      <c r="H54" s="890"/>
      <c r="K54" s="890"/>
    </row>
    <row r="55" spans="1:11" x14ac:dyDescent="0.25">
      <c r="B55" s="958" t="s">
        <v>286</v>
      </c>
      <c r="C55" s="1101">
        <f>MIN(MAX($C$52-C53-C54,0),$C$51)</f>
        <v>0</v>
      </c>
      <c r="D55" s="1100">
        <f>(C55*$K$1)*$C$1</f>
        <v>0</v>
      </c>
      <c r="E55" s="890"/>
      <c r="F55" s="890"/>
      <c r="H55" s="890"/>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867"/>
      <c r="B62" s="1776" t="s">
        <v>763</v>
      </c>
      <c r="C62" s="1777"/>
      <c r="D62" s="1778"/>
      <c r="E62" s="1778"/>
      <c r="F62" s="1778"/>
      <c r="G62" s="1777"/>
      <c r="H62" s="1778"/>
      <c r="K62" s="890"/>
    </row>
    <row r="63" spans="1:11" x14ac:dyDescent="0.25">
      <c r="A63" s="867"/>
      <c r="B63" s="1776" t="s">
        <v>362</v>
      </c>
      <c r="C63" s="1777"/>
      <c r="D63" s="1778"/>
      <c r="E63" s="1778"/>
      <c r="F63" s="1778"/>
      <c r="G63" s="1777"/>
      <c r="H63" s="1778"/>
      <c r="K63" s="890"/>
    </row>
    <row r="64" spans="1:11" ht="38.25" x14ac:dyDescent="0.2">
      <c r="A64" s="872"/>
      <c r="B64" s="1454" t="s">
        <v>241</v>
      </c>
      <c r="C64" s="1455" t="s">
        <v>242</v>
      </c>
      <c r="D64" s="1454" t="s">
        <v>231</v>
      </c>
      <c r="E64" s="1456" t="s">
        <v>234</v>
      </c>
      <c r="F64" s="1456" t="s">
        <v>243</v>
      </c>
      <c r="G64" s="1454" t="s">
        <v>244</v>
      </c>
      <c r="H64" s="1456" t="s">
        <v>245</v>
      </c>
      <c r="K64" s="890"/>
    </row>
    <row r="65" spans="1:11" x14ac:dyDescent="0.25">
      <c r="B65" s="1130" t="str">
        <f t="shared" ref="B65:D72" si="5">B6</f>
        <v>Carrot - جزر</v>
      </c>
      <c r="C65" s="947" t="str">
        <f t="shared" si="5"/>
        <v>gm</v>
      </c>
      <c r="D65" s="940">
        <f t="shared" si="5"/>
        <v>450</v>
      </c>
      <c r="E65" s="940">
        <f>$C$52</f>
        <v>11.4</v>
      </c>
      <c r="F65" s="948">
        <f t="shared" ref="F65:F72" si="6">F6</f>
        <v>1</v>
      </c>
      <c r="G65" s="940">
        <f t="shared" ref="G65:G72" si="7">D65*E65</f>
        <v>5130</v>
      </c>
      <c r="H65" s="943">
        <f t="shared" ref="H65:H72" si="8">G65*F65</f>
        <v>5130</v>
      </c>
      <c r="K65" s="890"/>
    </row>
    <row r="66" spans="1:11" x14ac:dyDescent="0.25">
      <c r="B66" s="1130" t="str">
        <f t="shared" si="5"/>
        <v>Zucchini - كوسة</v>
      </c>
      <c r="C66" s="947" t="str">
        <f t="shared" si="5"/>
        <v>gm</v>
      </c>
      <c r="D66" s="940">
        <f t="shared" si="5"/>
        <v>450</v>
      </c>
      <c r="E66" s="940">
        <f t="shared" ref="E66:E72" si="9">$C$52</f>
        <v>11.4</v>
      </c>
      <c r="F66" s="948">
        <f t="shared" si="6"/>
        <v>1</v>
      </c>
      <c r="G66" s="940">
        <f t="shared" si="7"/>
        <v>5130</v>
      </c>
      <c r="H66" s="943">
        <f t="shared" si="8"/>
        <v>5130</v>
      </c>
      <c r="K66" s="890"/>
    </row>
    <row r="67" spans="1:11" x14ac:dyDescent="0.25">
      <c r="B67" s="1130" t="str">
        <f t="shared" si="5"/>
        <v xml:space="preserve">Red Bell Pepper - فلفل أحمر </v>
      </c>
      <c r="C67" s="947" t="str">
        <f t="shared" si="5"/>
        <v>gm</v>
      </c>
      <c r="D67" s="940">
        <f t="shared" si="5"/>
        <v>80</v>
      </c>
      <c r="E67" s="940">
        <f t="shared" si="9"/>
        <v>11.4</v>
      </c>
      <c r="F67" s="948">
        <f t="shared" si="6"/>
        <v>1</v>
      </c>
      <c r="G67" s="940">
        <f t="shared" si="7"/>
        <v>912</v>
      </c>
      <c r="H67" s="943">
        <f t="shared" si="8"/>
        <v>912</v>
      </c>
      <c r="K67" s="890"/>
    </row>
    <row r="68" spans="1:11" x14ac:dyDescent="0.25">
      <c r="B68" s="1130" t="str">
        <f t="shared" si="5"/>
        <v xml:space="preserve">Yellow Bell Pepper - فلفل أصفر </v>
      </c>
      <c r="C68" s="947" t="str">
        <f t="shared" si="5"/>
        <v>gm</v>
      </c>
      <c r="D68" s="940">
        <f t="shared" si="5"/>
        <v>80</v>
      </c>
      <c r="E68" s="940">
        <f t="shared" si="9"/>
        <v>11.4</v>
      </c>
      <c r="F68" s="948">
        <f t="shared" si="6"/>
        <v>1</v>
      </c>
      <c r="G68" s="940">
        <f t="shared" si="7"/>
        <v>912</v>
      </c>
      <c r="H68" s="943">
        <f t="shared" si="8"/>
        <v>912</v>
      </c>
      <c r="K68" s="890"/>
    </row>
    <row r="69" spans="1:11" ht="28.5" x14ac:dyDescent="0.25">
      <c r="B69" s="1130" t="str">
        <f t="shared" si="5"/>
        <v>Green Bell Pepper - فلفل أخضر رومى</v>
      </c>
      <c r="C69" s="947" t="str">
        <f t="shared" si="5"/>
        <v>gm</v>
      </c>
      <c r="D69" s="940">
        <f t="shared" si="5"/>
        <v>80</v>
      </c>
      <c r="E69" s="940">
        <f t="shared" si="9"/>
        <v>11.4</v>
      </c>
      <c r="F69" s="948">
        <f t="shared" si="6"/>
        <v>1</v>
      </c>
      <c r="G69" s="940">
        <f t="shared" si="7"/>
        <v>912</v>
      </c>
      <c r="H69" s="943">
        <f t="shared" si="8"/>
        <v>912</v>
      </c>
      <c r="K69" s="890"/>
    </row>
    <row r="70" spans="1:11" x14ac:dyDescent="0.25">
      <c r="B70" s="1130" t="str">
        <f t="shared" si="5"/>
        <v>Chinese Cabbage - ملفوف صيني</v>
      </c>
      <c r="C70" s="947" t="str">
        <f t="shared" si="5"/>
        <v>gm</v>
      </c>
      <c r="D70" s="940">
        <f t="shared" si="5"/>
        <v>80</v>
      </c>
      <c r="E70" s="940">
        <f t="shared" si="9"/>
        <v>11.4</v>
      </c>
      <c r="F70" s="948">
        <f t="shared" si="6"/>
        <v>1</v>
      </c>
      <c r="G70" s="940">
        <f t="shared" si="7"/>
        <v>912</v>
      </c>
      <c r="H70" s="943">
        <f t="shared" si="8"/>
        <v>912</v>
      </c>
      <c r="K70" s="890"/>
    </row>
    <row r="71" spans="1:11" x14ac:dyDescent="0.25">
      <c r="B71" s="1130" t="str">
        <f t="shared" si="5"/>
        <v>Salt - ملح</v>
      </c>
      <c r="C71" s="947" t="str">
        <f t="shared" si="5"/>
        <v>gm</v>
      </c>
      <c r="D71" s="940">
        <f t="shared" si="5"/>
        <v>4</v>
      </c>
      <c r="E71" s="940">
        <f t="shared" si="9"/>
        <v>11.4</v>
      </c>
      <c r="F71" s="948">
        <f t="shared" si="6"/>
        <v>0.75</v>
      </c>
      <c r="G71" s="940">
        <f t="shared" si="7"/>
        <v>45.6</v>
      </c>
      <c r="H71" s="943">
        <f t="shared" si="8"/>
        <v>34.200000000000003</v>
      </c>
      <c r="K71" s="890"/>
    </row>
    <row r="72" spans="1:11" ht="28.5" x14ac:dyDescent="0.25">
      <c r="B72" s="1130" t="str">
        <f t="shared" si="5"/>
        <v>Black Pepper Powder - فلفل أسود مطحون</v>
      </c>
      <c r="C72" s="947" t="str">
        <f t="shared" si="5"/>
        <v>gm</v>
      </c>
      <c r="D72" s="944">
        <f t="shared" si="5"/>
        <v>0.5</v>
      </c>
      <c r="E72" s="940">
        <f t="shared" si="9"/>
        <v>11.4</v>
      </c>
      <c r="F72" s="948">
        <f t="shared" si="6"/>
        <v>1</v>
      </c>
      <c r="G72" s="940">
        <f t="shared" si="7"/>
        <v>5.7</v>
      </c>
      <c r="H72" s="943">
        <f t="shared" si="8"/>
        <v>5.7</v>
      </c>
      <c r="K72" s="890"/>
    </row>
    <row r="73" spans="1:11" ht="15.75" x14ac:dyDescent="0.25">
      <c r="B73" s="1041" t="s">
        <v>686</v>
      </c>
      <c r="C73" s="952"/>
      <c r="D73" s="1043"/>
      <c r="E73" s="1208"/>
      <c r="F73" s="1208"/>
      <c r="G73" s="952"/>
      <c r="H73" s="1043"/>
      <c r="K73" s="890"/>
    </row>
    <row r="74" spans="1:11" ht="20.25" x14ac:dyDescent="0.3">
      <c r="B74" s="1047">
        <f>D52</f>
        <v>11400</v>
      </c>
      <c r="C74" s="1346"/>
      <c r="D74" s="1347"/>
      <c r="E74" s="1208"/>
      <c r="F74" s="1348"/>
      <c r="G74" s="952"/>
      <c r="H74" s="1043"/>
      <c r="K74" s="890"/>
    </row>
    <row r="75" spans="1:11" ht="12.75" customHeight="1" x14ac:dyDescent="0.25">
      <c r="B75" s="80"/>
      <c r="E75" s="80"/>
      <c r="F75" s="80"/>
    </row>
    <row r="76" spans="1:11" ht="12.75" customHeight="1" x14ac:dyDescent="0.25">
      <c r="B76" s="80"/>
      <c r="C76" s="80"/>
      <c r="D76" s="225"/>
      <c r="E76" s="80"/>
      <c r="F76" s="80"/>
      <c r="G76" s="80"/>
      <c r="H76" s="80"/>
    </row>
    <row r="77" spans="1:11" ht="18" customHeight="1" x14ac:dyDescent="0.25">
      <c r="B77" s="80"/>
      <c r="C77" s="80"/>
      <c r="D77" s="80"/>
      <c r="E77" s="80"/>
      <c r="F77" s="80"/>
      <c r="G77" s="80"/>
      <c r="H77" s="80"/>
    </row>
    <row r="78" spans="1:11" ht="18" customHeight="1" x14ac:dyDescent="0.25">
      <c r="A78" s="887"/>
      <c r="B78" s="1819"/>
      <c r="C78" s="1820"/>
      <c r="D78" s="1820"/>
      <c r="E78" s="1820"/>
      <c r="F78" s="1820"/>
      <c r="G78" s="1820"/>
      <c r="H78" s="1820"/>
    </row>
    <row r="79" spans="1:11" ht="18" x14ac:dyDescent="0.25">
      <c r="A79" s="887"/>
      <c r="B79" s="1819"/>
      <c r="C79" s="1820"/>
      <c r="D79" s="1820"/>
      <c r="E79" s="1820"/>
      <c r="F79" s="1820"/>
      <c r="G79" s="1820"/>
      <c r="H79" s="1820"/>
    </row>
    <row r="80" spans="1:11" ht="48" customHeight="1" x14ac:dyDescent="0.2">
      <c r="A80" s="888"/>
      <c r="B80" s="613"/>
      <c r="C80" s="614"/>
      <c r="D80" s="613"/>
      <c r="E80" s="615"/>
      <c r="F80" s="615"/>
      <c r="G80" s="613"/>
      <c r="H80" s="615"/>
    </row>
    <row r="81" spans="1:8" ht="14.25" customHeight="1" x14ac:dyDescent="0.25">
      <c r="A81" s="887"/>
      <c r="B81" s="616"/>
      <c r="C81" s="616"/>
      <c r="D81" s="621"/>
      <c r="E81" s="621"/>
      <c r="F81" s="618"/>
      <c r="G81" s="619"/>
      <c r="H81" s="620"/>
    </row>
    <row r="82" spans="1:8" ht="14.25" customHeight="1" x14ac:dyDescent="0.25">
      <c r="A82" s="887"/>
      <c r="B82" s="616"/>
      <c r="C82" s="616"/>
      <c r="D82" s="621"/>
      <c r="E82" s="621"/>
      <c r="F82" s="618"/>
      <c r="G82" s="619"/>
      <c r="H82" s="620"/>
    </row>
    <row r="83" spans="1:8" ht="14.25" customHeight="1" x14ac:dyDescent="0.25">
      <c r="A83" s="887"/>
      <c r="B83" s="616"/>
      <c r="C83" s="616"/>
      <c r="D83" s="621"/>
      <c r="E83" s="621"/>
      <c r="F83" s="618"/>
      <c r="G83" s="619"/>
      <c r="H83" s="620"/>
    </row>
    <row r="84" spans="1:8" ht="14.25" customHeight="1" x14ac:dyDescent="0.25">
      <c r="A84" s="887"/>
      <c r="B84" s="616"/>
      <c r="C84" s="616"/>
      <c r="D84" s="621"/>
      <c r="E84" s="621"/>
      <c r="F84" s="618"/>
      <c r="G84" s="619"/>
      <c r="H84" s="620"/>
    </row>
    <row r="85" spans="1:8" ht="14.25" customHeight="1" x14ac:dyDescent="0.25">
      <c r="A85" s="887"/>
      <c r="B85" s="616"/>
      <c r="C85" s="616"/>
      <c r="D85" s="621"/>
      <c r="E85" s="621"/>
      <c r="F85" s="618"/>
      <c r="G85" s="619"/>
      <c r="H85" s="620"/>
    </row>
    <row r="86" spans="1:8" ht="14.25" customHeight="1" x14ac:dyDescent="0.25">
      <c r="A86" s="887"/>
      <c r="B86" s="616"/>
      <c r="C86" s="616"/>
      <c r="D86" s="621"/>
      <c r="E86" s="621"/>
      <c r="F86" s="618"/>
      <c r="G86" s="619"/>
      <c r="H86" s="620"/>
    </row>
    <row r="87" spans="1:8" ht="14.25" customHeight="1" x14ac:dyDescent="0.25">
      <c r="A87" s="887"/>
      <c r="B87" s="616"/>
      <c r="C87" s="616"/>
      <c r="D87" s="621"/>
      <c r="E87" s="621"/>
      <c r="F87" s="618"/>
      <c r="G87" s="619"/>
      <c r="H87" s="620"/>
    </row>
    <row r="88" spans="1:8" ht="12.75" customHeight="1" x14ac:dyDescent="0.25">
      <c r="A88" s="887"/>
      <c r="B88" s="616"/>
      <c r="C88" s="616"/>
      <c r="D88" s="622"/>
      <c r="E88" s="621"/>
      <c r="F88" s="618"/>
      <c r="G88" s="619"/>
      <c r="H88" s="620"/>
    </row>
    <row r="89" spans="1:8" ht="14.25" customHeight="1" x14ac:dyDescent="0.25">
      <c r="A89" s="887"/>
      <c r="B89" s="452"/>
      <c r="C89" s="437"/>
      <c r="D89" s="437"/>
      <c r="E89" s="431"/>
      <c r="F89" s="431"/>
      <c r="G89" s="437"/>
      <c r="H89" s="437"/>
    </row>
    <row r="90" spans="1:8" ht="21" customHeight="1" x14ac:dyDescent="0.3">
      <c r="A90" s="887"/>
      <c r="B90" s="453"/>
      <c r="C90" s="454"/>
      <c r="D90" s="624"/>
      <c r="E90" s="431"/>
      <c r="F90" s="625"/>
      <c r="G90" s="437"/>
      <c r="H90" s="437"/>
    </row>
    <row r="91" spans="1:8" ht="12.75" customHeight="1" x14ac:dyDescent="0.25">
      <c r="A91" s="887"/>
      <c r="B91" s="431"/>
      <c r="C91" s="431"/>
      <c r="D91" s="431"/>
      <c r="E91" s="431"/>
      <c r="F91" s="431"/>
      <c r="G91" s="431"/>
      <c r="H91" s="431"/>
    </row>
    <row r="92" spans="1:8" ht="18" customHeight="1" x14ac:dyDescent="0.25">
      <c r="A92" s="887"/>
      <c r="B92" s="431"/>
      <c r="C92" s="431"/>
      <c r="D92" s="431"/>
      <c r="E92" s="431"/>
      <c r="F92" s="431"/>
      <c r="G92" s="431"/>
      <c r="H92" s="431"/>
    </row>
    <row r="93" spans="1:8" ht="18" customHeight="1" x14ac:dyDescent="0.25">
      <c r="A93" s="887"/>
      <c r="B93" s="1819"/>
      <c r="C93" s="1820"/>
      <c r="D93" s="1820"/>
      <c r="E93" s="1820"/>
      <c r="F93" s="1820"/>
      <c r="G93" s="1820"/>
      <c r="H93" s="1820"/>
    </row>
    <row r="94" spans="1:8" ht="18" x14ac:dyDescent="0.25">
      <c r="A94" s="887"/>
      <c r="B94" s="1819"/>
      <c r="C94" s="1820"/>
      <c r="D94" s="1820"/>
      <c r="E94" s="1820"/>
      <c r="F94" s="1820"/>
      <c r="G94" s="1820"/>
      <c r="H94" s="1820"/>
    </row>
    <row r="95" spans="1:8" ht="57.75" customHeight="1" x14ac:dyDescent="0.2">
      <c r="A95" s="888"/>
      <c r="B95" s="613"/>
      <c r="C95" s="614"/>
      <c r="D95" s="613"/>
      <c r="E95" s="615"/>
      <c r="F95" s="615"/>
      <c r="G95" s="613"/>
      <c r="H95" s="615"/>
    </row>
    <row r="96" spans="1:8" ht="14.25" customHeight="1" x14ac:dyDescent="0.25">
      <c r="A96" s="887"/>
      <c r="B96" s="616"/>
      <c r="C96" s="616"/>
      <c r="D96" s="616"/>
      <c r="E96" s="617"/>
      <c r="F96" s="618"/>
      <c r="G96" s="619"/>
      <c r="H96" s="620"/>
    </row>
    <row r="97" spans="1:8" ht="14.25" customHeight="1" x14ac:dyDescent="0.25">
      <c r="A97" s="887"/>
      <c r="B97" s="616"/>
      <c r="C97" s="616"/>
      <c r="D97" s="616"/>
      <c r="E97" s="617"/>
      <c r="F97" s="618"/>
      <c r="G97" s="619"/>
      <c r="H97" s="620"/>
    </row>
    <row r="98" spans="1:8" ht="14.25" customHeight="1" x14ac:dyDescent="0.25">
      <c r="A98" s="887"/>
      <c r="B98" s="616"/>
      <c r="C98" s="616"/>
      <c r="D98" s="616"/>
      <c r="E98" s="617"/>
      <c r="F98" s="618"/>
      <c r="G98" s="619"/>
      <c r="H98" s="620"/>
    </row>
    <row r="99" spans="1:8" ht="14.25" customHeight="1" x14ac:dyDescent="0.25">
      <c r="A99" s="887"/>
      <c r="B99" s="616"/>
      <c r="C99" s="616"/>
      <c r="D99" s="616"/>
      <c r="E99" s="617"/>
      <c r="F99" s="618"/>
      <c r="G99" s="619"/>
      <c r="H99" s="620"/>
    </row>
    <row r="100" spans="1:8" ht="14.25" customHeight="1" x14ac:dyDescent="0.25">
      <c r="A100" s="887"/>
      <c r="B100" s="616"/>
      <c r="C100" s="616"/>
      <c r="D100" s="616"/>
      <c r="E100" s="617"/>
      <c r="F100" s="618"/>
      <c r="G100" s="619"/>
      <c r="H100" s="620"/>
    </row>
    <row r="101" spans="1:8" ht="14.25" customHeight="1" x14ac:dyDescent="0.25">
      <c r="A101" s="887"/>
      <c r="B101" s="616"/>
      <c r="C101" s="616"/>
      <c r="D101" s="616"/>
      <c r="E101" s="617"/>
      <c r="F101" s="618"/>
      <c r="G101" s="619"/>
      <c r="H101" s="620"/>
    </row>
    <row r="102" spans="1:8" ht="14.25" customHeight="1" x14ac:dyDescent="0.25">
      <c r="A102" s="887"/>
      <c r="B102" s="616"/>
      <c r="C102" s="616"/>
      <c r="D102" s="616"/>
      <c r="E102" s="617"/>
      <c r="F102" s="618"/>
      <c r="G102" s="619"/>
      <c r="H102" s="620"/>
    </row>
    <row r="103" spans="1:8" x14ac:dyDescent="0.25">
      <c r="A103" s="887"/>
      <c r="B103" s="616"/>
      <c r="C103" s="616"/>
      <c r="D103" s="616"/>
      <c r="E103" s="617"/>
      <c r="F103" s="618"/>
      <c r="G103" s="619"/>
      <c r="H103" s="620"/>
    </row>
  </sheetData>
  <mergeCells count="10">
    <mergeCell ref="AE2:AG3"/>
    <mergeCell ref="B93:H93"/>
    <mergeCell ref="B94:H94"/>
    <mergeCell ref="B79:H79"/>
    <mergeCell ref="B62:H62"/>
    <mergeCell ref="R26:T26"/>
    <mergeCell ref="B78:H78"/>
    <mergeCell ref="B2:H3"/>
    <mergeCell ref="R25:T25"/>
    <mergeCell ref="B63:H63"/>
  </mergeCells>
  <printOptions horizontalCentered="1"/>
  <pageMargins left="0.5" right="0.5" top="1" bottom="0.5" header="0.3" footer="0.511811023622047"/>
  <pageSetup paperSize="9" scale="33"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BF9000"/>
    <pageSetUpPr fitToPage="1"/>
  </sheetPr>
  <dimension ref="A1:AT79"/>
  <sheetViews>
    <sheetView topLeftCell="A17" zoomScale="55" zoomScaleNormal="55" workbookViewId="0">
      <selection activeCell="A39" sqref="A39"/>
    </sheetView>
  </sheetViews>
  <sheetFormatPr defaultColWidth="12.5" defaultRowHeight="15" x14ac:dyDescent="0.25"/>
  <cols>
    <col min="1" max="1" width="26.75" style="61" customWidth="1"/>
    <col min="2" max="2" width="25.875" style="14" customWidth="1"/>
    <col min="3" max="3" width="18.625" style="14" customWidth="1"/>
    <col min="4" max="4" width="25.875" style="14" customWidth="1"/>
    <col min="5" max="5" width="25.875" style="190" customWidth="1"/>
    <col min="6"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3.37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ustomWidth="1"/>
    <col min="25" max="25" width="8.625" style="14" customWidth="1"/>
    <col min="26" max="31" width="12.625" style="14" customWidth="1"/>
    <col min="32" max="34" width="12.5" style="14" customWidth="1"/>
    <col min="35" max="35" width="12.6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ht="25.5" x14ac:dyDescent="0.25">
      <c r="B1" s="913" t="s">
        <v>231</v>
      </c>
      <c r="C1" s="914">
        <v>1000</v>
      </c>
      <c r="D1" s="915" t="s">
        <v>232</v>
      </c>
      <c r="E1" s="916">
        <f>T32</f>
        <v>4558.9184186000002</v>
      </c>
      <c r="F1" s="1368" t="s">
        <v>233</v>
      </c>
      <c r="G1" s="1154">
        <f>E1/C1</f>
        <v>4.5589184186000002</v>
      </c>
      <c r="H1" s="913" t="s">
        <v>234</v>
      </c>
      <c r="I1" s="918">
        <f>G1</f>
        <v>4.5589184186000002</v>
      </c>
      <c r="J1" s="919" t="s">
        <v>514</v>
      </c>
      <c r="K1" s="1409">
        <v>0.6</v>
      </c>
      <c r="L1" s="1458"/>
      <c r="M1" s="70"/>
      <c r="N1" s="922"/>
      <c r="O1" s="923" t="s">
        <v>236</v>
      </c>
      <c r="P1" s="914" t="s">
        <v>298</v>
      </c>
      <c r="Q1" s="924" t="s">
        <v>238</v>
      </c>
      <c r="R1" s="914">
        <v>0.78</v>
      </c>
      <c r="T1" s="890"/>
      <c r="W1" s="890"/>
      <c r="Y1" s="923" t="s">
        <v>444</v>
      </c>
      <c r="Z1" s="925">
        <v>27420</v>
      </c>
      <c r="AA1" s="923" t="s">
        <v>544</v>
      </c>
      <c r="AB1" s="925">
        <v>1000</v>
      </c>
      <c r="AC1" s="923" t="s">
        <v>537</v>
      </c>
      <c r="AD1" s="925">
        <v>192</v>
      </c>
      <c r="AE1" s="168"/>
      <c r="AF1" s="170"/>
      <c r="AG1" s="73"/>
      <c r="AI1" s="61"/>
      <c r="AJ1" s="926" t="s">
        <v>250</v>
      </c>
      <c r="AK1" s="926">
        <v>10000</v>
      </c>
      <c r="AL1" s="927" t="s">
        <v>474</v>
      </c>
      <c r="AM1" s="928">
        <f>$S$32</f>
        <v>23861.062539999999</v>
      </c>
      <c r="AN1" s="926" t="s">
        <v>239</v>
      </c>
      <c r="AO1" s="1349">
        <f>($S$32/$R$1)/$AK$1</f>
        <v>3.0591105820512818</v>
      </c>
      <c r="AP1" s="76"/>
      <c r="AS1" s="890"/>
    </row>
    <row r="2" spans="1:46" ht="15.75" x14ac:dyDescent="0.25">
      <c r="A2" s="863"/>
      <c r="B2" s="1784" t="s">
        <v>912</v>
      </c>
      <c r="C2" s="1784"/>
      <c r="D2" s="1784"/>
      <c r="E2" s="1784"/>
      <c r="F2" s="1784"/>
      <c r="G2" s="1784"/>
      <c r="H2" s="1784"/>
      <c r="I2" s="1156"/>
      <c r="J2" s="1156"/>
      <c r="K2" s="1156"/>
      <c r="L2" s="187"/>
      <c r="M2" s="87"/>
      <c r="N2" s="87"/>
      <c r="O2" s="80"/>
      <c r="P2" s="80"/>
      <c r="Q2" s="80"/>
      <c r="R2" s="80"/>
      <c r="T2" s="890"/>
      <c r="W2" s="890"/>
      <c r="AC2" s="79"/>
      <c r="AD2" s="79"/>
      <c r="AE2" s="1795"/>
      <c r="AF2" s="1799"/>
      <c r="AG2" s="1799"/>
      <c r="AI2" s="61"/>
      <c r="AJ2" s="930"/>
      <c r="AK2" s="1783" t="s">
        <v>369</v>
      </c>
      <c r="AL2" s="1783"/>
      <c r="AM2" s="1783"/>
      <c r="AN2" s="931"/>
      <c r="AO2" s="930"/>
      <c r="AP2" s="81"/>
      <c r="AS2" s="890"/>
    </row>
    <row r="3" spans="1:46" ht="15.75" x14ac:dyDescent="0.25">
      <c r="A3" s="863"/>
      <c r="B3" s="1791"/>
      <c r="C3" s="1791"/>
      <c r="D3" s="1791"/>
      <c r="E3" s="1791"/>
      <c r="F3" s="1791"/>
      <c r="G3" s="1791"/>
      <c r="H3" s="1791"/>
      <c r="I3" s="187"/>
      <c r="J3" s="187"/>
      <c r="K3" s="187"/>
      <c r="L3" s="187"/>
      <c r="M3" s="87"/>
      <c r="N3" s="87"/>
      <c r="O3" s="80"/>
      <c r="P3" s="80"/>
      <c r="Q3" s="80"/>
      <c r="R3" s="80"/>
      <c r="T3" s="890"/>
      <c r="W3" s="890"/>
      <c r="AC3" s="79"/>
      <c r="AD3" s="79"/>
      <c r="AE3" s="1799"/>
      <c r="AF3" s="1799"/>
      <c r="AG3" s="1799"/>
      <c r="AI3" s="61"/>
      <c r="AJ3" s="81"/>
      <c r="AK3" s="81"/>
      <c r="AL3" s="82"/>
      <c r="AM3" s="82"/>
      <c r="AN3" s="82"/>
      <c r="AO3" s="81"/>
      <c r="AP3" s="81"/>
      <c r="AS3" s="890"/>
    </row>
    <row r="4" spans="1:46" ht="38.25" x14ac:dyDescent="0.25">
      <c r="A4" s="1350" t="s">
        <v>864</v>
      </c>
      <c r="B4" s="923" t="s">
        <v>241</v>
      </c>
      <c r="C4" s="934" t="s">
        <v>242</v>
      </c>
      <c r="D4" s="923" t="s">
        <v>231</v>
      </c>
      <c r="E4" s="935" t="s">
        <v>234</v>
      </c>
      <c r="F4" s="935" t="s">
        <v>243</v>
      </c>
      <c r="G4" s="923" t="s">
        <v>244</v>
      </c>
      <c r="H4" s="936" t="s">
        <v>245</v>
      </c>
      <c r="I4" s="923" t="s">
        <v>246</v>
      </c>
      <c r="J4" s="923" t="s">
        <v>247</v>
      </c>
      <c r="K4" s="923" t="s">
        <v>248</v>
      </c>
      <c r="L4" s="923" t="s">
        <v>249</v>
      </c>
      <c r="M4" s="87"/>
      <c r="N4" s="87"/>
      <c r="O4" s="80"/>
      <c r="P4" s="80"/>
      <c r="Q4" s="80"/>
      <c r="R4" s="80"/>
      <c r="T4" s="890"/>
      <c r="W4" s="890"/>
      <c r="AC4" s="169"/>
      <c r="AD4" s="171"/>
      <c r="AE4" s="169"/>
      <c r="AF4" s="169"/>
      <c r="AG4" s="169"/>
      <c r="AI4" s="949"/>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937" t="s">
        <v>893</v>
      </c>
      <c r="B5" s="1118" t="s">
        <v>220</v>
      </c>
      <c r="C5" s="939" t="s">
        <v>14</v>
      </c>
      <c r="D5" s="944">
        <f>I51/10</f>
        <v>4999.3589743589746</v>
      </c>
      <c r="E5" s="941">
        <f>H52</f>
        <v>6.1190056520066669</v>
      </c>
      <c r="F5" s="948">
        <v>1</v>
      </c>
      <c r="G5" s="944">
        <f>D5*E5</f>
        <v>30591.105820512817</v>
      </c>
      <c r="H5" s="943">
        <f>G5*F5</f>
        <v>30591.105820512817</v>
      </c>
      <c r="I5" s="914">
        <f>VLOOKUP(B5,All_Ingredients!$A$1:$F$161,6,FALSE())</f>
        <v>0.86</v>
      </c>
      <c r="J5" s="944">
        <f>VLOOKUP(B5,All_Ingredients!$A$1:$J$161,10,FALSE())</f>
        <v>17.100000000000001</v>
      </c>
      <c r="K5" s="945">
        <f>(H5/I5)/1000</f>
        <v>35.571053279666067</v>
      </c>
      <c r="L5" s="945">
        <f>K5*J5</f>
        <v>608.26501108228979</v>
      </c>
      <c r="O5" s="80"/>
      <c r="P5" s="80"/>
      <c r="Q5" s="80"/>
      <c r="R5" s="80"/>
      <c r="T5" s="890"/>
      <c r="W5" s="890"/>
      <c r="AC5" s="73"/>
      <c r="AD5" s="89"/>
      <c r="AE5" s="172"/>
      <c r="AF5" s="90"/>
      <c r="AG5" s="91"/>
      <c r="AI5" s="949"/>
      <c r="AJ5" s="938" t="s">
        <v>220</v>
      </c>
      <c r="AK5" s="951" t="s">
        <v>227</v>
      </c>
      <c r="AL5" s="940">
        <v>10</v>
      </c>
      <c r="AM5" s="918">
        <f t="shared" ref="AM5:AM16" si="0">$AO$1</f>
        <v>3.0591105820512818</v>
      </c>
      <c r="AN5" s="948">
        <v>1</v>
      </c>
      <c r="AO5" s="944">
        <f t="shared" ref="AO5:AO15" si="1">AL5*AM5</f>
        <v>30.591105820512819</v>
      </c>
      <c r="AP5" s="943">
        <f t="shared" ref="AP5:AP15" si="2">AO5*AN5</f>
        <v>30.591105820512819</v>
      </c>
      <c r="AQ5" s="952"/>
      <c r="AR5" s="953"/>
      <c r="AS5" s="954"/>
      <c r="AT5" s="955"/>
    </row>
    <row r="6" spans="1:46" ht="29.25" x14ac:dyDescent="0.25">
      <c r="A6" s="949"/>
      <c r="B6" s="960" t="s">
        <v>188</v>
      </c>
      <c r="C6" s="947" t="s">
        <v>14</v>
      </c>
      <c r="D6" s="1459">
        <f>600/K1</f>
        <v>1000</v>
      </c>
      <c r="E6" s="918">
        <f>$I$1</f>
        <v>4.5589184186000002</v>
      </c>
      <c r="F6" s="948">
        <v>1</v>
      </c>
      <c r="G6" s="944">
        <f>D6*E6</f>
        <v>4558.9184186000002</v>
      </c>
      <c r="H6" s="943">
        <f>G6*F6</f>
        <v>4558.9184186000002</v>
      </c>
      <c r="I6" s="914">
        <f>VLOOKUP(B6,All_Ingredients!$A$1:$F$161,6,FALSE())</f>
        <v>1</v>
      </c>
      <c r="J6" s="944">
        <f>VLOOKUP(B6,All_Ingredients!$A$1:$J$161,10,FALSE())</f>
        <v>8.5</v>
      </c>
      <c r="K6" s="945">
        <f t="shared" ref="K6:K8" si="3">(H6/I6)/1000</f>
        <v>4.5589184186000002</v>
      </c>
      <c r="L6" s="945">
        <f t="shared" ref="L6:L8" si="4">K6*J6</f>
        <v>38.750806558100003</v>
      </c>
      <c r="R6" s="890"/>
      <c r="T6" s="890"/>
      <c r="W6" s="890"/>
      <c r="AI6" s="949" t="s">
        <v>55</v>
      </c>
      <c r="AJ6" s="1130" t="s">
        <v>54</v>
      </c>
      <c r="AK6" s="951" t="s">
        <v>14</v>
      </c>
      <c r="AL6" s="940">
        <v>100</v>
      </c>
      <c r="AM6" s="918">
        <f t="shared" si="0"/>
        <v>3.0591105820512818</v>
      </c>
      <c r="AN6" s="948">
        <v>1</v>
      </c>
      <c r="AO6" s="944">
        <f t="shared" si="1"/>
        <v>305.9110582051282</v>
      </c>
      <c r="AP6" s="943">
        <f t="shared" si="2"/>
        <v>305.9110582051282</v>
      </c>
      <c r="AQ6" s="955">
        <f>VLOOKUP(AJ6,Marination_Ordering!$A:$J,6,FALSE)</f>
        <v>0.87</v>
      </c>
      <c r="AR6" s="955">
        <f>VLOOKUP(AJ6,Marination_Ordering!$A:$J,10,FALSE)</f>
        <v>7</v>
      </c>
      <c r="AS6" s="954">
        <f>AP6/AQ6</f>
        <v>351.62190598290596</v>
      </c>
      <c r="AT6" s="955">
        <f>AR6*(AS6/1000)</f>
        <v>2.4613533418803417</v>
      </c>
    </row>
    <row r="7" spans="1:46" x14ac:dyDescent="0.25">
      <c r="A7" s="949"/>
      <c r="B7" s="960" t="s">
        <v>176</v>
      </c>
      <c r="C7" s="947" t="s">
        <v>14</v>
      </c>
      <c r="D7" s="1459">
        <f>400/K1</f>
        <v>666.66666666666674</v>
      </c>
      <c r="E7" s="918">
        <f>$I$1</f>
        <v>4.5589184186000002</v>
      </c>
      <c r="F7" s="948">
        <v>1</v>
      </c>
      <c r="G7" s="944">
        <f>D7*E7</f>
        <v>3039.2789457333338</v>
      </c>
      <c r="H7" s="943">
        <f>G7*F7</f>
        <v>3039.2789457333338</v>
      </c>
      <c r="I7" s="914">
        <f>VLOOKUP(B7,All_Ingredients!$A$1:$F$161,6,FALSE())</f>
        <v>1</v>
      </c>
      <c r="J7" s="944">
        <f>VLOOKUP(B7,All_Ingredients!$A$1:$J$161,10,FALSE())</f>
        <v>39</v>
      </c>
      <c r="K7" s="945">
        <f t="shared" si="3"/>
        <v>3.0392789457333338</v>
      </c>
      <c r="L7" s="945">
        <f t="shared" si="4"/>
        <v>118.53187888360002</v>
      </c>
      <c r="R7" s="890"/>
      <c r="T7" s="890"/>
      <c r="W7" s="890"/>
      <c r="AI7" s="949" t="s">
        <v>13</v>
      </c>
      <c r="AJ7" s="1130" t="s">
        <v>706</v>
      </c>
      <c r="AK7" s="951" t="s">
        <v>14</v>
      </c>
      <c r="AL7" s="940">
        <v>100</v>
      </c>
      <c r="AM7" s="918">
        <f t="shared" si="0"/>
        <v>3.0591105820512818</v>
      </c>
      <c r="AN7" s="948">
        <v>1</v>
      </c>
      <c r="AO7" s="944">
        <f t="shared" si="1"/>
        <v>305.9110582051282</v>
      </c>
      <c r="AP7" s="943">
        <f t="shared" si="2"/>
        <v>305.9110582051282</v>
      </c>
      <c r="AQ7" s="955">
        <f>VLOOKUP(AJ7,Marination_Ordering!$A:$J,6,FALSE)</f>
        <v>1</v>
      </c>
      <c r="AR7" s="955">
        <f>VLOOKUP(AJ7,Marination_Ordering!$A:$J,10,FALSE)</f>
        <v>10.5</v>
      </c>
      <c r="AS7" s="954">
        <f t="shared" ref="AS7:AS9" si="5">AP7/AQ7</f>
        <v>305.9110582051282</v>
      </c>
      <c r="AT7" s="955">
        <f t="shared" ref="AT7:AT9" si="6">AR7*(AS7/1000)</f>
        <v>3.2120661111538462</v>
      </c>
    </row>
    <row r="8" spans="1:46" x14ac:dyDescent="0.25">
      <c r="A8" s="949"/>
      <c r="B8" s="960" t="s">
        <v>110</v>
      </c>
      <c r="C8" s="947" t="s">
        <v>14</v>
      </c>
      <c r="D8" s="1459">
        <f>20/K1</f>
        <v>33.333333333333336</v>
      </c>
      <c r="E8" s="918">
        <f>$I$1</f>
        <v>4.5589184186000002</v>
      </c>
      <c r="F8" s="948">
        <v>0.75</v>
      </c>
      <c r="G8" s="944">
        <f>D8*E8</f>
        <v>151.96394728666669</v>
      </c>
      <c r="H8" s="943">
        <f>G8*F8</f>
        <v>113.97296046500003</v>
      </c>
      <c r="I8" s="914">
        <f>VLOOKUP(B8,All_Ingredients!$A$1:$F$161,6,FALSE())</f>
        <v>1</v>
      </c>
      <c r="J8" s="944">
        <f>VLOOKUP(B8,All_Ingredients!$A$1:$J$161,10,FALSE())</f>
        <v>64.243759177679877</v>
      </c>
      <c r="K8" s="945">
        <f t="shared" si="3"/>
        <v>0.11397296046500002</v>
      </c>
      <c r="L8" s="945">
        <f t="shared" si="4"/>
        <v>7.3220514248806907</v>
      </c>
      <c r="P8" s="243">
        <v>24350</v>
      </c>
      <c r="R8" s="890"/>
      <c r="T8" s="890"/>
      <c r="W8" s="890"/>
      <c r="AI8" s="949" t="s">
        <v>204</v>
      </c>
      <c r="AJ8" s="1130" t="s">
        <v>212</v>
      </c>
      <c r="AK8" s="951" t="s">
        <v>160</v>
      </c>
      <c r="AL8" s="940">
        <v>500</v>
      </c>
      <c r="AM8" s="918">
        <f t="shared" si="0"/>
        <v>3.0591105820512818</v>
      </c>
      <c r="AN8" s="948">
        <v>1</v>
      </c>
      <c r="AO8" s="944">
        <f t="shared" si="1"/>
        <v>1529.5552910256408</v>
      </c>
      <c r="AP8" s="943">
        <f t="shared" si="2"/>
        <v>1529.5552910256408</v>
      </c>
      <c r="AQ8" s="955">
        <f>VLOOKUP(AJ8,Marination_Ordering!$A:$J,6,FALSE)</f>
        <v>1</v>
      </c>
      <c r="AR8" s="955">
        <f>VLOOKUP(AJ8,Marination_Ordering!$A:$J,10,FALSE)</f>
        <v>5</v>
      </c>
      <c r="AS8" s="954">
        <f t="shared" si="5"/>
        <v>1529.5552910256408</v>
      </c>
      <c r="AT8" s="955">
        <f t="shared" si="6"/>
        <v>7.6477764551282048</v>
      </c>
    </row>
    <row r="9" spans="1:46" x14ac:dyDescent="0.25">
      <c r="B9" s="80"/>
      <c r="C9" s="125"/>
      <c r="D9" s="80"/>
      <c r="E9" s="80"/>
      <c r="F9" s="80"/>
      <c r="G9" s="125"/>
      <c r="H9" s="80"/>
      <c r="I9" s="125"/>
      <c r="J9" s="125"/>
      <c r="K9" s="80"/>
      <c r="L9" s="190"/>
      <c r="P9" s="243">
        <v>36610</v>
      </c>
      <c r="R9" s="890"/>
      <c r="T9" s="890"/>
      <c r="W9" s="890"/>
      <c r="AI9" s="949" t="s">
        <v>204</v>
      </c>
      <c r="AJ9" s="1130" t="s">
        <v>208</v>
      </c>
      <c r="AK9" s="951" t="s">
        <v>160</v>
      </c>
      <c r="AL9" s="944">
        <v>200</v>
      </c>
      <c r="AM9" s="918">
        <f t="shared" si="0"/>
        <v>3.0591105820512818</v>
      </c>
      <c r="AN9" s="948">
        <v>1</v>
      </c>
      <c r="AO9" s="944">
        <f t="shared" si="1"/>
        <v>611.8221164102564</v>
      </c>
      <c r="AP9" s="943">
        <f t="shared" si="2"/>
        <v>611.8221164102564</v>
      </c>
      <c r="AQ9" s="955">
        <f>VLOOKUP(AJ9,Marination_Ordering!$A:$J,6,FALSE)</f>
        <v>1</v>
      </c>
      <c r="AR9" s="955">
        <f>VLOOKUP(AJ9,Marination_Ordering!$A:$J,10,FALSE)</f>
        <v>2.1621621621621623</v>
      </c>
      <c r="AS9" s="954">
        <f t="shared" si="5"/>
        <v>611.8221164102564</v>
      </c>
      <c r="AT9" s="955">
        <f t="shared" si="6"/>
        <v>1.3228586300762302</v>
      </c>
    </row>
    <row r="10" spans="1:46" x14ac:dyDescent="0.25">
      <c r="B10" s="80"/>
      <c r="C10" s="125"/>
      <c r="D10" s="80"/>
      <c r="E10" s="225"/>
      <c r="F10" s="80"/>
      <c r="G10" s="125"/>
      <c r="H10" s="890"/>
      <c r="K10" s="890"/>
      <c r="L10" s="190"/>
      <c r="M10" s="191"/>
      <c r="P10" s="243">
        <v>47350</v>
      </c>
      <c r="R10" s="890"/>
      <c r="T10" s="890"/>
      <c r="W10" s="890"/>
      <c r="AI10" s="949" t="s">
        <v>94</v>
      </c>
      <c r="AJ10" s="1130" t="s">
        <v>93</v>
      </c>
      <c r="AK10" s="951" t="s">
        <v>14</v>
      </c>
      <c r="AL10" s="940">
        <v>25</v>
      </c>
      <c r="AM10" s="918">
        <f t="shared" si="0"/>
        <v>3.0591105820512818</v>
      </c>
      <c r="AN10" s="948">
        <v>1</v>
      </c>
      <c r="AO10" s="944">
        <f t="shared" si="1"/>
        <v>76.47776455128205</v>
      </c>
      <c r="AP10" s="943">
        <f t="shared" si="2"/>
        <v>76.47776455128205</v>
      </c>
      <c r="AQ10" s="955">
        <f>VLOOKUP(AJ10,Marination_Ordering!$A:$J,6,FALSE)</f>
        <v>1</v>
      </c>
      <c r="AR10" s="955">
        <f>VLOOKUP(AJ10,Marination_Ordering!$A:$J,10,FALSE)</f>
        <v>0.74</v>
      </c>
      <c r="AS10" s="954">
        <f t="shared" ref="AS10:AS16" si="7">AP10/AQ10</f>
        <v>76.47776455128205</v>
      </c>
      <c r="AT10" s="955">
        <f t="shared" ref="AT10:AT16" si="8">AR10*(AS10/1000)</f>
        <v>5.6593545767948721E-2</v>
      </c>
    </row>
    <row r="11" spans="1:46" x14ac:dyDescent="0.25">
      <c r="B11" s="890"/>
      <c r="D11" s="890"/>
      <c r="E11" s="1150"/>
      <c r="F11" s="890"/>
      <c r="H11" s="890"/>
      <c r="K11" s="890"/>
      <c r="L11" s="190"/>
      <c r="R11" s="890"/>
      <c r="T11" s="890"/>
      <c r="W11" s="890"/>
      <c r="AI11" s="949" t="s">
        <v>94</v>
      </c>
      <c r="AJ11" s="1355" t="s">
        <v>110</v>
      </c>
      <c r="AK11" s="951" t="s">
        <v>14</v>
      </c>
      <c r="AL11" s="940">
        <v>25</v>
      </c>
      <c r="AM11" s="918">
        <f t="shared" si="0"/>
        <v>3.0591105820512818</v>
      </c>
      <c r="AN11" s="948">
        <v>1</v>
      </c>
      <c r="AO11" s="944">
        <f t="shared" si="1"/>
        <v>76.47776455128205</v>
      </c>
      <c r="AP11" s="943">
        <f t="shared" si="2"/>
        <v>76.47776455128205</v>
      </c>
      <c r="AQ11" s="955">
        <f>VLOOKUP(AJ11,Marination_Ordering!$A:$J,6,FALSE)</f>
        <v>1</v>
      </c>
      <c r="AR11" s="955">
        <f>VLOOKUP(AJ11,Marination_Ordering!$A:$J,10,FALSE)</f>
        <v>64.243759177679877</v>
      </c>
      <c r="AS11" s="954">
        <f t="shared" si="7"/>
        <v>76.47776455128205</v>
      </c>
      <c r="AT11" s="955">
        <f t="shared" si="8"/>
        <v>4.9132190882798668</v>
      </c>
    </row>
    <row r="12" spans="1:46" x14ac:dyDescent="0.25">
      <c r="B12" s="890"/>
      <c r="D12" s="890"/>
      <c r="E12" s="1150"/>
      <c r="F12" s="890"/>
      <c r="H12" s="890"/>
      <c r="K12" s="890"/>
      <c r="L12" s="190"/>
      <c r="R12" s="890"/>
      <c r="T12" s="890"/>
      <c r="W12" s="890"/>
      <c r="AI12" s="949" t="s">
        <v>94</v>
      </c>
      <c r="AJ12" s="1130" t="s">
        <v>105</v>
      </c>
      <c r="AK12" s="951" t="s">
        <v>14</v>
      </c>
      <c r="AL12" s="940">
        <v>30</v>
      </c>
      <c r="AM12" s="918">
        <f t="shared" si="0"/>
        <v>3.0591105820512818</v>
      </c>
      <c r="AN12" s="948">
        <v>1</v>
      </c>
      <c r="AO12" s="944">
        <f t="shared" si="1"/>
        <v>91.773317461538454</v>
      </c>
      <c r="AP12" s="943">
        <f t="shared" si="2"/>
        <v>91.773317461538454</v>
      </c>
      <c r="AQ12" s="955">
        <f>VLOOKUP(AJ12,Marination_Ordering!$A:$J,6,FALSE)</f>
        <v>1</v>
      </c>
      <c r="AR12" s="955">
        <f>VLOOKUP(AJ12,Marination_Ordering!$A:$J,10,FALSE)</f>
        <v>15</v>
      </c>
      <c r="AS12" s="954">
        <f t="shared" si="7"/>
        <v>91.773317461538454</v>
      </c>
      <c r="AT12" s="955">
        <f t="shared" si="8"/>
        <v>1.3765997619230768</v>
      </c>
    </row>
    <row r="13" spans="1:46" ht="29.25" x14ac:dyDescent="0.25">
      <c r="B13" s="890"/>
      <c r="D13" s="890"/>
      <c r="E13" s="1150"/>
      <c r="F13" s="890"/>
      <c r="H13" s="890"/>
      <c r="K13" s="890"/>
      <c r="L13" s="190"/>
      <c r="P13" s="952" t="s">
        <v>354</v>
      </c>
      <c r="Q13" s="952" t="s">
        <v>364</v>
      </c>
      <c r="R13" s="1043" t="s">
        <v>365</v>
      </c>
      <c r="S13" s="952" t="s">
        <v>366</v>
      </c>
      <c r="T13" s="1043" t="s">
        <v>6</v>
      </c>
      <c r="W13" s="890"/>
      <c r="AI13" s="949" t="s">
        <v>94</v>
      </c>
      <c r="AJ13" s="1352" t="s">
        <v>107</v>
      </c>
      <c r="AK13" s="951" t="s">
        <v>14</v>
      </c>
      <c r="AL13" s="914">
        <v>40</v>
      </c>
      <c r="AM13" s="918">
        <f t="shared" si="0"/>
        <v>3.0591105820512818</v>
      </c>
      <c r="AN13" s="948">
        <v>1</v>
      </c>
      <c r="AO13" s="944">
        <f t="shared" si="1"/>
        <v>122.36442328205128</v>
      </c>
      <c r="AP13" s="943">
        <f t="shared" si="2"/>
        <v>122.36442328205128</v>
      </c>
      <c r="AQ13" s="955">
        <f>VLOOKUP(AJ13,Marination_Ordering!$A:$J,6,FALSE)</f>
        <v>1</v>
      </c>
      <c r="AR13" s="955">
        <f>VLOOKUP(AJ13,Marination_Ordering!$A:$J,10,FALSE)</f>
        <v>8</v>
      </c>
      <c r="AS13" s="954">
        <f t="shared" si="7"/>
        <v>122.36442328205128</v>
      </c>
      <c r="AT13" s="955">
        <f t="shared" si="8"/>
        <v>0.97891538625641017</v>
      </c>
    </row>
    <row r="14" spans="1:46" ht="29.25" x14ac:dyDescent="0.25">
      <c r="B14" s="890"/>
      <c r="D14" s="890"/>
      <c r="E14" s="1150"/>
      <c r="F14" s="890"/>
      <c r="H14" s="890"/>
      <c r="K14" s="890"/>
      <c r="L14" s="190"/>
      <c r="P14" s="1242">
        <v>41100</v>
      </c>
      <c r="Q14" s="1242">
        <v>10540</v>
      </c>
      <c r="R14" s="1031">
        <f>P14+Q14</f>
        <v>51640</v>
      </c>
      <c r="S14" s="952">
        <v>39100</v>
      </c>
      <c r="T14" s="1026">
        <f>S14/R14</f>
        <v>0.75716498838109991</v>
      </c>
      <c r="W14" s="890"/>
      <c r="AI14" s="949" t="s">
        <v>94</v>
      </c>
      <c r="AJ14" s="1352" t="s">
        <v>122</v>
      </c>
      <c r="AK14" s="951" t="s">
        <v>14</v>
      </c>
      <c r="AL14" s="1073">
        <v>5</v>
      </c>
      <c r="AM14" s="918">
        <f t="shared" si="0"/>
        <v>3.0591105820512818</v>
      </c>
      <c r="AN14" s="948">
        <v>1</v>
      </c>
      <c r="AO14" s="944">
        <f t="shared" si="1"/>
        <v>15.29555291025641</v>
      </c>
      <c r="AP14" s="943">
        <f t="shared" si="2"/>
        <v>15.29555291025641</v>
      </c>
      <c r="AQ14" s="955">
        <f>VLOOKUP(AJ14,Marination_Ordering!$A:$J,6,FALSE)</f>
        <v>1</v>
      </c>
      <c r="AR14" s="955">
        <f>VLOOKUP(AJ14,Marination_Ordering!$A:$J,10,FALSE)</f>
        <v>14</v>
      </c>
      <c r="AS14" s="954">
        <f t="shared" si="7"/>
        <v>15.29555291025641</v>
      </c>
      <c r="AT14" s="955">
        <f t="shared" si="8"/>
        <v>0.21413774074358971</v>
      </c>
    </row>
    <row r="15" spans="1:46" ht="29.25" x14ac:dyDescent="0.25">
      <c r="B15" s="890"/>
      <c r="D15" s="890"/>
      <c r="E15" s="1150"/>
      <c r="F15" s="890"/>
      <c r="H15" s="890"/>
      <c r="K15" s="890"/>
      <c r="L15" s="190"/>
      <c r="R15" s="890"/>
      <c r="T15" s="890"/>
      <c r="W15" s="890"/>
      <c r="AI15" s="949" t="s">
        <v>94</v>
      </c>
      <c r="AJ15" s="1352" t="s">
        <v>113</v>
      </c>
      <c r="AK15" s="951" t="s">
        <v>14</v>
      </c>
      <c r="AL15" s="1073">
        <v>25</v>
      </c>
      <c r="AM15" s="918">
        <f t="shared" si="0"/>
        <v>3.0591105820512818</v>
      </c>
      <c r="AN15" s="948">
        <v>1</v>
      </c>
      <c r="AO15" s="944">
        <f t="shared" si="1"/>
        <v>76.47776455128205</v>
      </c>
      <c r="AP15" s="943">
        <f t="shared" si="2"/>
        <v>76.47776455128205</v>
      </c>
      <c r="AQ15" s="955">
        <f>VLOOKUP(AJ15,Marination_Ordering!$A:$J,6,FALSE)</f>
        <v>1</v>
      </c>
      <c r="AR15" s="955">
        <f>VLOOKUP(AJ15,Marination_Ordering!$A:$J,10,FALSE)</f>
        <v>20</v>
      </c>
      <c r="AS15" s="954">
        <f t="shared" si="7"/>
        <v>76.47776455128205</v>
      </c>
      <c r="AT15" s="955">
        <f t="shared" si="8"/>
        <v>1.5295552910256411</v>
      </c>
    </row>
    <row r="16" spans="1:46" ht="29.25" x14ac:dyDescent="0.25">
      <c r="B16" s="890"/>
      <c r="D16" s="890"/>
      <c r="E16" s="1150"/>
      <c r="F16" s="890"/>
      <c r="H16" s="890"/>
      <c r="K16" s="890"/>
      <c r="L16" s="190"/>
      <c r="P16" s="14">
        <f>P14/R14</f>
        <v>0.79589465530596437</v>
      </c>
      <c r="Q16" s="14">
        <f>Q14/R14</f>
        <v>0.20410534469403563</v>
      </c>
      <c r="R16" s="890"/>
      <c r="T16" s="890"/>
      <c r="W16" s="890"/>
      <c r="AI16" s="952"/>
      <c r="AJ16" s="1352" t="s">
        <v>799</v>
      </c>
      <c r="AK16" s="951" t="s">
        <v>14</v>
      </c>
      <c r="AL16" s="1073">
        <v>3</v>
      </c>
      <c r="AM16" s="918">
        <f t="shared" si="0"/>
        <v>3.0591105820512818</v>
      </c>
      <c r="AN16" s="948">
        <v>1</v>
      </c>
      <c r="AO16" s="944">
        <f>AL16*AM16</f>
        <v>9.1773317461538451</v>
      </c>
      <c r="AP16" s="943">
        <f>AO16*AN16</f>
        <v>9.1773317461538451</v>
      </c>
      <c r="AQ16" s="955">
        <f>VLOOKUP(AJ16,Marination_Ordering!$A:$J,6,FALSE)</f>
        <v>1</v>
      </c>
      <c r="AR16" s="955">
        <f>VLOOKUP(AJ16,Marination_Ordering!$A:$J,10,FALSE)</f>
        <v>22.5</v>
      </c>
      <c r="AS16" s="954">
        <f t="shared" si="7"/>
        <v>9.1773317461538451</v>
      </c>
      <c r="AT16" s="955">
        <f t="shared" si="8"/>
        <v>0.20648996428846153</v>
      </c>
    </row>
    <row r="19" spans="18:31" x14ac:dyDescent="0.25">
      <c r="R19" s="1387" t="s">
        <v>367</v>
      </c>
      <c r="T19" s="890"/>
      <c r="W19" s="890"/>
    </row>
    <row r="20" spans="18:31" x14ac:dyDescent="0.25">
      <c r="R20" s="890"/>
      <c r="T20" s="890"/>
      <c r="W20" s="890"/>
    </row>
    <row r="21" spans="18:31" x14ac:dyDescent="0.25">
      <c r="R21" s="890"/>
      <c r="T21" s="890"/>
      <c r="W21" s="890"/>
    </row>
    <row r="22" spans="18:31" x14ac:dyDescent="0.25">
      <c r="R22" s="890"/>
      <c r="T22" s="890"/>
      <c r="W22" s="890"/>
    </row>
    <row r="23" spans="18:31" x14ac:dyDescent="0.25">
      <c r="R23" s="890"/>
      <c r="T23" s="890"/>
      <c r="W23" s="890"/>
    </row>
    <row r="24" spans="18:31" x14ac:dyDescent="0.25">
      <c r="R24" s="890"/>
      <c r="T24" s="890"/>
      <c r="W24" s="890"/>
      <c r="Z24" s="597"/>
    </row>
    <row r="25" spans="18:31" x14ac:dyDescent="0.25">
      <c r="R25" s="1779" t="s">
        <v>912</v>
      </c>
      <c r="S25" s="1787"/>
      <c r="T25" s="1788"/>
      <c r="U25" s="1787"/>
      <c r="V25" s="956"/>
      <c r="W25" s="1043"/>
      <c r="Z25" s="982" t="s">
        <v>252</v>
      </c>
      <c r="AA25" s="989">
        <v>1</v>
      </c>
      <c r="AB25" s="982" t="s">
        <v>249</v>
      </c>
      <c r="AC25" s="985">
        <f>(AA25)*AE30+(AA30*(AB28/R1))</f>
        <v>2.8503945769907807E-2</v>
      </c>
    </row>
    <row r="26" spans="18:31" x14ac:dyDescent="0.25">
      <c r="R26" s="1786" t="s">
        <v>291</v>
      </c>
      <c r="S26" s="1787"/>
      <c r="T26" s="1788"/>
      <c r="U26" s="1787"/>
      <c r="V26" s="956"/>
      <c r="W26" s="1043"/>
    </row>
    <row r="27" spans="18:31" x14ac:dyDescent="0.25">
      <c r="R27" s="961" t="s">
        <v>254</v>
      </c>
      <c r="S27" s="962" t="s">
        <v>255</v>
      </c>
      <c r="T27" s="961" t="s">
        <v>368</v>
      </c>
      <c r="U27" s="962" t="s">
        <v>257</v>
      </c>
      <c r="V27" s="962" t="s">
        <v>746</v>
      </c>
      <c r="W27" s="961" t="s">
        <v>753</v>
      </c>
      <c r="Z27" s="982" t="s">
        <v>258</v>
      </c>
      <c r="AA27" s="984" t="s">
        <v>311</v>
      </c>
      <c r="AB27" s="982" t="s">
        <v>259</v>
      </c>
      <c r="AC27" s="982" t="s">
        <v>368</v>
      </c>
      <c r="AD27" s="984" t="s">
        <v>753</v>
      </c>
      <c r="AE27" s="982" t="s">
        <v>262</v>
      </c>
    </row>
    <row r="28" spans="18:31" x14ac:dyDescent="0.25">
      <c r="R28" s="961" t="s">
        <v>263</v>
      </c>
      <c r="S28" s="975">
        <f>U28*S40</f>
        <v>23021.475539999999</v>
      </c>
      <c r="T28" s="1132">
        <f>U28*U40</f>
        <v>4398.5060886000001</v>
      </c>
      <c r="U28" s="1391">
        <f>$Z$1</f>
        <v>27420</v>
      </c>
      <c r="V28" s="966">
        <f>SUM(AP5:AP13)</f>
        <v>3150.8838995128203</v>
      </c>
      <c r="W28" s="967">
        <f>H37</f>
        <v>192</v>
      </c>
      <c r="Z28" s="1086"/>
      <c r="AA28" s="987"/>
      <c r="AB28" s="985">
        <f>AA25*S40</f>
        <v>0.83958699999999997</v>
      </c>
      <c r="AC28" s="985">
        <f>AA25*U40</f>
        <v>0.16041232999999999</v>
      </c>
      <c r="AD28" s="987"/>
      <c r="AE28" s="1088">
        <f>SUM(AB28:AC28)</f>
        <v>0.99999932999999996</v>
      </c>
    </row>
    <row r="29" spans="18:31" x14ac:dyDescent="0.25">
      <c r="R29" s="961" t="s">
        <v>264</v>
      </c>
      <c r="S29" s="974"/>
      <c r="T29" s="1132"/>
      <c r="U29" s="966">
        <f>T29</f>
        <v>0</v>
      </c>
      <c r="V29" s="966"/>
      <c r="W29" s="967"/>
      <c r="Z29" s="1086"/>
      <c r="AA29" s="991"/>
      <c r="AB29" s="1089">
        <f>AB28/$AE$28</f>
        <v>0.83958756252366684</v>
      </c>
      <c r="AC29" s="1089">
        <f>AC28/$AE$28</f>
        <v>0.1604124374763331</v>
      </c>
      <c r="AD29" s="991"/>
      <c r="AE29" s="1089">
        <f>AE28/$AE$28</f>
        <v>1</v>
      </c>
    </row>
    <row r="30" spans="18:31" x14ac:dyDescent="0.25">
      <c r="R30" s="961" t="s">
        <v>265</v>
      </c>
      <c r="S30" s="1460">
        <f>U30*S40</f>
        <v>839.58699999999999</v>
      </c>
      <c r="T30" s="1461">
        <f>U30*U40</f>
        <v>160.41233</v>
      </c>
      <c r="U30" s="1391">
        <f>$AB$1</f>
        <v>1000</v>
      </c>
      <c r="V30" s="972"/>
      <c r="W30" s="973"/>
      <c r="Z30" s="982" t="s">
        <v>266</v>
      </c>
      <c r="AA30" s="994">
        <f>V35/(S32/R1)</f>
        <v>7.8191241130238555E-4</v>
      </c>
      <c r="AB30" s="1090">
        <f>S35/(S32)</f>
        <v>2.5491949910554562E-2</v>
      </c>
      <c r="AC30" s="1090">
        <f>T35/(T32)</f>
        <v>3.6106093979441999E-2</v>
      </c>
      <c r="AD30" s="995">
        <f>W35/U32</f>
        <v>4.6770963027120661E-4</v>
      </c>
      <c r="AE30" s="1092">
        <f>SUMPRODUCT(AB30:AC30,AB29:AC29)+AD30</f>
        <v>2.7662300262640965E-2</v>
      </c>
    </row>
    <row r="31" spans="18:31" x14ac:dyDescent="0.25">
      <c r="R31" s="961" t="s">
        <v>267</v>
      </c>
      <c r="S31" s="959"/>
      <c r="T31" s="967"/>
      <c r="U31" s="966"/>
      <c r="V31" s="966"/>
      <c r="W31" s="967"/>
    </row>
    <row r="32" spans="18:31" x14ac:dyDescent="0.25">
      <c r="R32" s="961" t="s">
        <v>257</v>
      </c>
      <c r="S32" s="966">
        <f>S28+S30</f>
        <v>23861.062539999999</v>
      </c>
      <c r="T32" s="967">
        <f>SUM(T28:T30)</f>
        <v>4558.9184186000002</v>
      </c>
      <c r="U32" s="966">
        <f>U28+U30</f>
        <v>28420</v>
      </c>
      <c r="V32" s="966"/>
      <c r="W32" s="967">
        <f>SUM(W28:W30)</f>
        <v>192</v>
      </c>
    </row>
    <row r="33" spans="2:23" ht="30" x14ac:dyDescent="0.25">
      <c r="B33" s="890"/>
      <c r="D33" s="890"/>
      <c r="E33" s="1150"/>
      <c r="F33" s="890"/>
      <c r="H33" s="890"/>
      <c r="K33" s="890"/>
      <c r="R33" s="976" t="s">
        <v>268</v>
      </c>
      <c r="S33" s="959"/>
      <c r="T33" s="960"/>
      <c r="U33" s="959"/>
      <c r="V33" s="959"/>
      <c r="W33" s="960"/>
    </row>
    <row r="34" spans="2:23" x14ac:dyDescent="0.25">
      <c r="B34" s="890"/>
      <c r="D34" s="890"/>
      <c r="E34" s="1150"/>
      <c r="F34" s="890"/>
      <c r="H34" s="890"/>
      <c r="K34" s="890"/>
      <c r="R34" s="961" t="s">
        <v>269</v>
      </c>
      <c r="S34" s="959"/>
      <c r="T34" s="967"/>
      <c r="U34" s="959"/>
      <c r="V34" s="959"/>
      <c r="W34" s="960"/>
    </row>
    <row r="35" spans="2:23" ht="15.75" x14ac:dyDescent="0.25">
      <c r="B35" s="1781" t="s">
        <v>624</v>
      </c>
      <c r="C35" s="1782"/>
      <c r="D35" s="1781"/>
      <c r="E35" s="1781"/>
      <c r="F35" s="1781"/>
      <c r="G35" s="1001"/>
      <c r="H35" s="1434"/>
      <c r="I35" s="1010"/>
      <c r="J35" s="1010"/>
      <c r="K35" s="1009"/>
      <c r="L35" s="1010"/>
      <c r="R35" s="977" t="s">
        <v>249</v>
      </c>
      <c r="S35" s="978">
        <f>$L$5</f>
        <v>608.26501108228979</v>
      </c>
      <c r="T35" s="979">
        <f>SUM(L6:L8)</f>
        <v>164.60473686658071</v>
      </c>
      <c r="U35" s="978">
        <f>S35+T35+V35+W35</f>
        <v>810.08162095770183</v>
      </c>
      <c r="V35" s="978">
        <f>SUM(AT6:AT16)</f>
        <v>23.91956531652362</v>
      </c>
      <c r="W35" s="979">
        <f>L37</f>
        <v>13.292307692307691</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row>
    <row r="37" spans="2:23" x14ac:dyDescent="0.25">
      <c r="B37" s="1005" t="s">
        <v>666</v>
      </c>
      <c r="C37" s="1006" t="s">
        <v>14</v>
      </c>
      <c r="D37" s="1007">
        <v>1</v>
      </c>
      <c r="E37" s="1005">
        <f>$AD$1</f>
        <v>192</v>
      </c>
      <c r="F37" s="1005">
        <f>D37*E37</f>
        <v>192</v>
      </c>
      <c r="H37" s="1005">
        <f>F37</f>
        <v>192</v>
      </c>
      <c r="I37" s="1005">
        <f>VLOOKUP(B37,All_Ingredients!$A$1:$F$161,6,FALSE())</f>
        <v>0.65</v>
      </c>
      <c r="J37" s="1005">
        <f>VLOOKUP(B37,All_Ingredients!$A$1:$J$161,10,FALSE())</f>
        <v>45</v>
      </c>
      <c r="K37" s="1005">
        <f>(H37/I37)/1000</f>
        <v>0.29538461538461536</v>
      </c>
      <c r="L37" s="1005">
        <f t="shared" ref="L37" si="9">K37*J37</f>
        <v>13.292307692307691</v>
      </c>
      <c r="R37" s="890"/>
      <c r="T37" s="890"/>
      <c r="W37" s="890"/>
    </row>
    <row r="38" spans="2:23" x14ac:dyDescent="0.25">
      <c r="B38" s="890"/>
      <c r="D38" s="890"/>
      <c r="E38" s="1150"/>
      <c r="F38" s="890"/>
      <c r="H38" s="890"/>
      <c r="K38" s="890"/>
      <c r="R38" s="890"/>
      <c r="T38" s="890"/>
      <c r="U38" s="344"/>
      <c r="W38" s="890"/>
    </row>
    <row r="39" spans="2:23" x14ac:dyDescent="0.25">
      <c r="B39" s="890"/>
      <c r="D39" s="890"/>
      <c r="E39" s="1150"/>
      <c r="F39" s="890"/>
      <c r="H39" s="890"/>
      <c r="K39" s="890"/>
      <c r="R39" s="890"/>
      <c r="S39" s="345"/>
      <c r="T39" s="890"/>
      <c r="W39" s="890"/>
    </row>
    <row r="40" spans="2:23" ht="26.25" x14ac:dyDescent="0.25">
      <c r="B40" s="890"/>
      <c r="D40" s="890"/>
      <c r="E40" s="1150"/>
      <c r="F40" s="890"/>
      <c r="H40" s="890"/>
      <c r="K40" s="890"/>
      <c r="R40" s="1011" t="s">
        <v>270</v>
      </c>
      <c r="S40" s="1093">
        <v>0.83958699999999997</v>
      </c>
      <c r="T40" s="1011" t="s">
        <v>271</v>
      </c>
      <c r="U40" s="1093">
        <v>0.16041232999999999</v>
      </c>
      <c r="V40" s="1014">
        <f>S40+U40</f>
        <v>0.99999932999999996</v>
      </c>
      <c r="W40" s="890"/>
    </row>
    <row r="41" spans="2:23" x14ac:dyDescent="0.25">
      <c r="B41" s="890"/>
      <c r="D41" s="890"/>
      <c r="E41" s="1150"/>
      <c r="F41" s="890"/>
      <c r="H41" s="890"/>
      <c r="K41" s="890"/>
      <c r="R41" s="890"/>
      <c r="T41" s="890"/>
      <c r="U41" s="123"/>
      <c r="W41" s="890"/>
    </row>
    <row r="42" spans="2:23" x14ac:dyDescent="0.25">
      <c r="B42" s="890"/>
      <c r="D42" s="890"/>
      <c r="E42" s="1150"/>
      <c r="F42" s="890"/>
      <c r="H42" s="890"/>
      <c r="K42" s="890"/>
      <c r="R42" s="890"/>
      <c r="T42" s="890"/>
      <c r="W42" s="890"/>
    </row>
    <row r="43" spans="2:23" ht="26.25" x14ac:dyDescent="0.25">
      <c r="B43" s="890"/>
      <c r="D43" s="890"/>
      <c r="E43" s="1150"/>
      <c r="F43" s="890"/>
      <c r="H43" s="890"/>
      <c r="K43" s="890"/>
      <c r="Q43" s="1015" t="s">
        <v>272</v>
      </c>
      <c r="R43" s="1011" t="s">
        <v>273</v>
      </c>
      <c r="S43" s="1015" t="s">
        <v>274</v>
      </c>
      <c r="T43" s="1011" t="s">
        <v>275</v>
      </c>
      <c r="U43" s="1015" t="s">
        <v>276</v>
      </c>
      <c r="V43" s="1015" t="s">
        <v>277</v>
      </c>
      <c r="W43" s="1011" t="s">
        <v>278</v>
      </c>
    </row>
    <row r="44" spans="2:23" x14ac:dyDescent="0.25">
      <c r="B44" s="890"/>
      <c r="D44" s="890"/>
      <c r="E44" s="1150"/>
      <c r="F44" s="890"/>
      <c r="H44" s="890"/>
      <c r="K44" s="890"/>
      <c r="Q44" s="1023">
        <v>48995</v>
      </c>
      <c r="R44" s="1017">
        <f>D51</f>
        <v>10000</v>
      </c>
      <c r="S44" s="1024">
        <v>1</v>
      </c>
      <c r="T44" s="1025">
        <v>0</v>
      </c>
      <c r="U44" s="1096">
        <f>R44*S44</f>
        <v>10000</v>
      </c>
      <c r="V44" s="1021">
        <f>R44*T44</f>
        <v>0</v>
      </c>
      <c r="W44" s="1026">
        <f>Q44-U44</f>
        <v>38995</v>
      </c>
    </row>
    <row r="50" spans="1:11" x14ac:dyDescent="0.25">
      <c r="B50" s="961"/>
      <c r="C50" s="962" t="s">
        <v>233</v>
      </c>
      <c r="D50" s="961" t="s">
        <v>279</v>
      </c>
      <c r="E50" s="246"/>
      <c r="F50" s="80"/>
      <c r="G50" s="962" t="s">
        <v>280</v>
      </c>
      <c r="H50" s="961" t="s">
        <v>233</v>
      </c>
      <c r="I50" s="962" t="s">
        <v>281</v>
      </c>
      <c r="J50" s="962" t="s">
        <v>282</v>
      </c>
      <c r="K50" s="890"/>
    </row>
    <row r="51" spans="1:11" x14ac:dyDescent="0.25">
      <c r="B51" s="1027" t="s">
        <v>283</v>
      </c>
      <c r="C51" s="1028">
        <f>10/$K$1</f>
        <v>16.666666666666668</v>
      </c>
      <c r="D51" s="1029">
        <f>$C$1*10</f>
        <v>10000</v>
      </c>
      <c r="E51" s="135"/>
      <c r="F51" s="80"/>
      <c r="G51" s="1033" t="s">
        <v>283</v>
      </c>
      <c r="H51" s="1122">
        <f>I51/$D$5</f>
        <v>10</v>
      </c>
      <c r="I51" s="1028">
        <f>J51/$R$1</f>
        <v>49993.589743589742</v>
      </c>
      <c r="J51" s="1028">
        <f>$W$44</f>
        <v>38995</v>
      </c>
      <c r="K51" s="890"/>
    </row>
    <row r="52" spans="1:11" x14ac:dyDescent="0.25">
      <c r="B52" s="958" t="s">
        <v>262</v>
      </c>
      <c r="C52" s="1099">
        <f>$I$1</f>
        <v>4.5589184186000002</v>
      </c>
      <c r="D52" s="1100">
        <f>$E$1</f>
        <v>4558.9184186000002</v>
      </c>
      <c r="E52" s="80"/>
      <c r="F52" s="80"/>
      <c r="G52" s="962" t="s">
        <v>262</v>
      </c>
      <c r="H52" s="1052">
        <f>I52/$D$5</f>
        <v>6.1190056520066669</v>
      </c>
      <c r="I52" s="1021">
        <f>J52/$R$1</f>
        <v>30591.105820512817</v>
      </c>
      <c r="J52" s="1030">
        <f>$S$32</f>
        <v>23861.062539999999</v>
      </c>
      <c r="K52" s="890"/>
    </row>
    <row r="53" spans="1:11" x14ac:dyDescent="0.25">
      <c r="B53" s="958" t="s">
        <v>284</v>
      </c>
      <c r="C53" s="1101">
        <f>MIN(C52, C51)</f>
        <v>4.5589184186000002</v>
      </c>
      <c r="D53" s="1100">
        <f>(C53*$K$1)*$C$1</f>
        <v>2735.3510511599998</v>
      </c>
      <c r="E53" s="80"/>
      <c r="F53" s="80"/>
      <c r="G53" s="962" t="s">
        <v>284</v>
      </c>
      <c r="H53" s="1035">
        <f>MIN(H52,H51)</f>
        <v>6.1190056520066669</v>
      </c>
      <c r="I53" s="1021">
        <f>J53/$R$1</f>
        <v>30591.105820512817</v>
      </c>
      <c r="J53" s="1021">
        <f>MIN(J52,J51)</f>
        <v>23861.062539999999</v>
      </c>
      <c r="K53" s="89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62" spans="1:11" ht="18" customHeight="1" x14ac:dyDescent="0.25">
      <c r="A62" s="863"/>
      <c r="B62" s="1784" t="s">
        <v>912</v>
      </c>
      <c r="C62" s="1784"/>
      <c r="D62" s="1784"/>
      <c r="E62" s="1784"/>
      <c r="F62" s="1784"/>
      <c r="G62" s="1784"/>
      <c r="H62" s="1784"/>
    </row>
    <row r="63" spans="1:11" ht="18" customHeight="1" x14ac:dyDescent="0.25">
      <c r="A63" s="863"/>
      <c r="B63" s="1791"/>
      <c r="C63" s="1791"/>
      <c r="D63" s="1791"/>
      <c r="E63" s="1791"/>
      <c r="F63" s="1791"/>
      <c r="G63" s="1791"/>
      <c r="H63" s="1791"/>
    </row>
    <row r="64" spans="1:11" ht="25.5" customHeight="1" x14ac:dyDescent="0.2">
      <c r="A64" s="1350" t="s">
        <v>864</v>
      </c>
      <c r="B64" s="923" t="s">
        <v>241</v>
      </c>
      <c r="C64" s="934" t="s">
        <v>242</v>
      </c>
      <c r="D64" s="923" t="s">
        <v>231</v>
      </c>
      <c r="E64" s="935" t="s">
        <v>234</v>
      </c>
      <c r="F64" s="935" t="s">
        <v>243</v>
      </c>
      <c r="G64" s="923" t="s">
        <v>244</v>
      </c>
      <c r="H64" s="936" t="s">
        <v>245</v>
      </c>
    </row>
    <row r="65" spans="1:8" ht="14.25" customHeight="1" x14ac:dyDescent="0.2">
      <c r="A65" s="937" t="s">
        <v>893</v>
      </c>
      <c r="B65" s="1118" t="str">
        <f>B5</f>
        <v>Chicken - دجاج</v>
      </c>
      <c r="C65" s="1118" t="str">
        <f t="shared" ref="C65:F65" si="10">C5</f>
        <v>gm</v>
      </c>
      <c r="D65" s="940">
        <f t="shared" si="10"/>
        <v>4999.3589743589746</v>
      </c>
      <c r="E65" s="944">
        <f t="shared" si="10"/>
        <v>6.1190056520066669</v>
      </c>
      <c r="F65" s="1742">
        <f t="shared" si="10"/>
        <v>1</v>
      </c>
      <c r="G65" s="944">
        <f>D65*E65</f>
        <v>30591.105820512817</v>
      </c>
      <c r="H65" s="943">
        <f>G65*F65</f>
        <v>30591.105820512817</v>
      </c>
    </row>
    <row r="66" spans="1:8" ht="14.25" customHeight="1" x14ac:dyDescent="0.25">
      <c r="A66" s="949"/>
      <c r="B66" s="1118" t="str">
        <f t="shared" ref="B66:F66" si="11">B6</f>
        <v>Bread Crumbs - فتات الخبز (بقسماط)</v>
      </c>
      <c r="C66" s="1118" t="str">
        <f t="shared" si="11"/>
        <v>gm</v>
      </c>
      <c r="D66" s="940">
        <f t="shared" si="11"/>
        <v>1000</v>
      </c>
      <c r="E66" s="944">
        <f t="shared" si="11"/>
        <v>4.5589184186000002</v>
      </c>
      <c r="F66" s="1742">
        <f t="shared" si="11"/>
        <v>1</v>
      </c>
      <c r="G66" s="944">
        <f>D66*E66</f>
        <v>4558.9184186000002</v>
      </c>
      <c r="H66" s="943">
        <f>G66*F66</f>
        <v>4558.9184186000002</v>
      </c>
    </row>
    <row r="67" spans="1:8" ht="14.25" customHeight="1" x14ac:dyDescent="0.25">
      <c r="A67" s="949"/>
      <c r="B67" s="1118" t="str">
        <f t="shared" ref="B67:F67" si="12">B7</f>
        <v>Almond Whole - لوز كامل</v>
      </c>
      <c r="C67" s="1118" t="str">
        <f t="shared" si="12"/>
        <v>gm</v>
      </c>
      <c r="D67" s="940">
        <f t="shared" si="12"/>
        <v>666.66666666666674</v>
      </c>
      <c r="E67" s="944">
        <f t="shared" si="12"/>
        <v>4.5589184186000002</v>
      </c>
      <c r="F67" s="1742">
        <f t="shared" si="12"/>
        <v>1</v>
      </c>
      <c r="G67" s="944">
        <f>D67*E67</f>
        <v>3039.2789457333338</v>
      </c>
      <c r="H67" s="943">
        <f>G67*F67</f>
        <v>3039.2789457333338</v>
      </c>
    </row>
    <row r="68" spans="1:8" ht="14.25" customHeight="1" x14ac:dyDescent="0.25">
      <c r="A68" s="949"/>
      <c r="B68" s="1118" t="str">
        <f t="shared" ref="B68:F68" si="13">B8</f>
        <v>Paprika Powder - بابريكا مطحون</v>
      </c>
      <c r="C68" s="1118" t="str">
        <f t="shared" si="13"/>
        <v>gm</v>
      </c>
      <c r="D68" s="940">
        <f t="shared" si="13"/>
        <v>33.333333333333336</v>
      </c>
      <c r="E68" s="944">
        <f t="shared" si="13"/>
        <v>4.5589184186000002</v>
      </c>
      <c r="F68" s="1742">
        <f t="shared" si="13"/>
        <v>0.75</v>
      </c>
      <c r="G68" s="944">
        <f>D68*E68</f>
        <v>151.96394728666669</v>
      </c>
      <c r="H68" s="943">
        <f>G68*F68</f>
        <v>113.97296046500003</v>
      </c>
    </row>
    <row r="69" spans="1:8" ht="20.25" customHeight="1" x14ac:dyDescent="0.25">
      <c r="B69" s="1041" t="s">
        <v>287</v>
      </c>
      <c r="C69" s="1042" t="s">
        <v>273</v>
      </c>
      <c r="D69" s="1043"/>
      <c r="E69" s="1044" t="s">
        <v>288</v>
      </c>
      <c r="F69" s="1043"/>
      <c r="G69" s="1045" t="s">
        <v>264</v>
      </c>
      <c r="H69" s="1046" t="s">
        <v>661</v>
      </c>
    </row>
    <row r="70" spans="1:8" ht="27" customHeight="1" x14ac:dyDescent="0.3">
      <c r="B70" s="1047">
        <f>$J$52</f>
        <v>23861.062539999999</v>
      </c>
      <c r="C70" s="1048">
        <f>E70+G70</f>
        <v>4558.9184186000002</v>
      </c>
      <c r="D70" s="1049"/>
      <c r="E70" s="1047">
        <f>$D$52*$S$44</f>
        <v>4558.9184186000002</v>
      </c>
      <c r="F70" s="1050"/>
      <c r="G70" s="1048">
        <f>$D$53*$T$44</f>
        <v>0</v>
      </c>
      <c r="H70" s="1047">
        <f>B70+E70</f>
        <v>28419.980958599997</v>
      </c>
    </row>
    <row r="73" spans="1:8" ht="18" customHeight="1" x14ac:dyDescent="0.25"/>
    <row r="74" spans="1:8" ht="18" customHeight="1" x14ac:dyDescent="0.25"/>
    <row r="75" spans="1:8" ht="25.5" customHeight="1" x14ac:dyDescent="0.25"/>
    <row r="76" spans="1:8" ht="14.25" customHeight="1" x14ac:dyDescent="0.25"/>
    <row r="77" spans="1:8" ht="14.25" customHeight="1" x14ac:dyDescent="0.25"/>
    <row r="78" spans="1:8" ht="14.25" customHeight="1" x14ac:dyDescent="0.25"/>
    <row r="79" spans="1:8" ht="14.25" customHeight="1" x14ac:dyDescent="0.25"/>
  </sheetData>
  <mergeCells count="7">
    <mergeCell ref="B62:H63"/>
    <mergeCell ref="B35:F35"/>
    <mergeCell ref="AK2:AM2"/>
    <mergeCell ref="AE2:AG3"/>
    <mergeCell ref="R26:U26"/>
    <mergeCell ref="R25:U25"/>
    <mergeCell ref="B2:H3"/>
  </mergeCells>
  <printOptions horizontalCentered="1"/>
  <pageMargins left="0.4" right="0.4" top="1" bottom="0.5" header="0.3" footer="0.511811023622047"/>
  <pageSetup paperSize="9" scale="41" orientation="landscape"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BF9000"/>
    <pageSetUpPr fitToPage="1"/>
  </sheetPr>
  <dimension ref="A1:AT82"/>
  <sheetViews>
    <sheetView topLeftCell="A44" zoomScale="70" zoomScaleNormal="70" workbookViewId="0">
      <selection activeCell="A39" sqref="A39"/>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3" width="14.75" style="14" customWidth="1"/>
    <col min="14" max="14" width="12.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ol min="25" max="25" width="8.625" style="14" customWidth="1"/>
    <col min="26" max="31" width="12.625" style="14" customWidth="1"/>
    <col min="32" max="34" width="5.75" style="14" customWidth="1"/>
    <col min="35" max="35" width="18.6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ht="25.5" x14ac:dyDescent="0.25">
      <c r="B1" s="913" t="s">
        <v>231</v>
      </c>
      <c r="C1" s="914">
        <v>1000</v>
      </c>
      <c r="D1" s="915" t="s">
        <v>232</v>
      </c>
      <c r="E1" s="941">
        <f>T32</f>
        <v>5460.0000000000055</v>
      </c>
      <c r="F1" s="913" t="s">
        <v>233</v>
      </c>
      <c r="G1" s="914">
        <f>E1/C1</f>
        <v>5.4600000000000053</v>
      </c>
      <c r="H1" s="913" t="s">
        <v>234</v>
      </c>
      <c r="I1" s="1040">
        <f>(G1/K1)</f>
        <v>5.5151515151515209</v>
      </c>
      <c r="J1" s="919" t="s">
        <v>235</v>
      </c>
      <c r="K1" s="914">
        <v>0.99</v>
      </c>
      <c r="L1" s="80"/>
      <c r="M1" s="148"/>
      <c r="N1" s="1064"/>
      <c r="O1" s="923" t="s">
        <v>236</v>
      </c>
      <c r="P1" s="914" t="s">
        <v>237</v>
      </c>
      <c r="Q1" s="924" t="s">
        <v>238</v>
      </c>
      <c r="R1" s="914">
        <v>0.59</v>
      </c>
      <c r="T1" s="890"/>
      <c r="W1" s="890"/>
      <c r="Y1" s="923" t="s">
        <v>444</v>
      </c>
      <c r="Z1" s="925">
        <v>23160</v>
      </c>
      <c r="AA1" s="923" t="s">
        <v>544</v>
      </c>
      <c r="AB1" s="925">
        <v>500</v>
      </c>
      <c r="AC1" s="923" t="s">
        <v>537</v>
      </c>
      <c r="AD1" s="925">
        <v>162</v>
      </c>
      <c r="AE1" s="168"/>
      <c r="AF1" s="170"/>
      <c r="AG1" s="73"/>
      <c r="AI1" s="61"/>
      <c r="AJ1" s="926" t="s">
        <v>250</v>
      </c>
      <c r="AK1" s="926">
        <v>10000</v>
      </c>
      <c r="AL1" s="927" t="s">
        <v>474</v>
      </c>
      <c r="AM1" s="928">
        <f>$S$32</f>
        <v>18199.999999999993</v>
      </c>
      <c r="AN1" s="926" t="s">
        <v>239</v>
      </c>
      <c r="AO1" s="1349">
        <f>($S$32/$R$1)/$AK$1</f>
        <v>3.0847457627118633</v>
      </c>
      <c r="AP1" s="76"/>
      <c r="AS1" s="890"/>
    </row>
    <row r="2" spans="1:46" ht="15.75" x14ac:dyDescent="0.25">
      <c r="A2" s="863"/>
      <c r="B2" s="1784" t="s">
        <v>370</v>
      </c>
      <c r="C2" s="1797"/>
      <c r="D2" s="1798"/>
      <c r="E2" s="1798"/>
      <c r="F2" s="1798"/>
      <c r="G2" s="1797"/>
      <c r="H2" s="1798"/>
      <c r="I2" s="1797"/>
      <c r="J2" s="1797"/>
      <c r="K2" s="1784"/>
      <c r="L2" s="1828"/>
      <c r="M2" s="1795"/>
      <c r="N2" s="1795"/>
      <c r="O2" s="80"/>
      <c r="P2" s="80"/>
      <c r="Q2" s="80"/>
      <c r="R2" s="80"/>
      <c r="T2" s="890"/>
      <c r="W2" s="890"/>
      <c r="AC2" s="79"/>
      <c r="AD2" s="79"/>
      <c r="AE2" s="1795"/>
      <c r="AF2" s="1799"/>
      <c r="AG2" s="1799"/>
      <c r="AI2" s="61"/>
      <c r="AJ2" s="930"/>
      <c r="AK2" s="1783" t="s">
        <v>370</v>
      </c>
      <c r="AL2" s="1783"/>
      <c r="AM2" s="1783"/>
      <c r="AN2" s="931"/>
      <c r="AO2" s="930"/>
      <c r="AP2" s="81"/>
      <c r="AS2" s="890"/>
    </row>
    <row r="3" spans="1:46" ht="15.75" x14ac:dyDescent="0.25">
      <c r="A3" s="863"/>
      <c r="B3" s="1785"/>
      <c r="C3" s="1796"/>
      <c r="D3" s="1785"/>
      <c r="E3" s="1785"/>
      <c r="F3" s="1785"/>
      <c r="G3" s="1796"/>
      <c r="H3" s="1785"/>
      <c r="I3" s="1796"/>
      <c r="J3" s="1796"/>
      <c r="K3" s="1802"/>
      <c r="L3" s="1839"/>
      <c r="M3" s="1796"/>
      <c r="N3" s="1796"/>
      <c r="O3" s="80"/>
      <c r="P3" s="80"/>
      <c r="Q3" s="80"/>
      <c r="R3" s="80"/>
      <c r="T3" s="890"/>
      <c r="W3" s="890"/>
      <c r="AC3" s="79"/>
      <c r="AD3" s="79"/>
      <c r="AE3" s="1799"/>
      <c r="AF3" s="1799"/>
      <c r="AG3" s="1799"/>
      <c r="AI3" s="61"/>
      <c r="AJ3" s="1354"/>
      <c r="AK3" s="81"/>
      <c r="AL3" s="82"/>
      <c r="AM3" s="82"/>
      <c r="AN3" s="82"/>
      <c r="AO3" s="81"/>
      <c r="AP3" s="81"/>
      <c r="AS3" s="890"/>
    </row>
    <row r="4" spans="1:46" ht="38.25" x14ac:dyDescent="0.25">
      <c r="A4" s="1350" t="s">
        <v>864</v>
      </c>
      <c r="B4" s="923" t="s">
        <v>241</v>
      </c>
      <c r="C4" s="934" t="s">
        <v>242</v>
      </c>
      <c r="D4" s="923" t="s">
        <v>231</v>
      </c>
      <c r="E4" s="935" t="s">
        <v>234</v>
      </c>
      <c r="F4" s="935" t="s">
        <v>243</v>
      </c>
      <c r="G4" s="923" t="s">
        <v>244</v>
      </c>
      <c r="H4" s="936" t="s">
        <v>334</v>
      </c>
      <c r="I4" s="923" t="s">
        <v>246</v>
      </c>
      <c r="J4" s="923" t="s">
        <v>247</v>
      </c>
      <c r="K4" s="923" t="s">
        <v>248</v>
      </c>
      <c r="L4" s="923" t="s">
        <v>249</v>
      </c>
      <c r="M4" s="235"/>
      <c r="N4" s="235"/>
      <c r="O4" s="80"/>
      <c r="P4" s="80"/>
      <c r="Q4" s="80"/>
      <c r="R4" s="80"/>
      <c r="T4" s="890"/>
      <c r="W4" s="890"/>
      <c r="AC4" s="169"/>
      <c r="AD4" s="171"/>
      <c r="AE4" s="169"/>
      <c r="AF4" s="169"/>
      <c r="AG4" s="169"/>
      <c r="AI4" s="949"/>
      <c r="AJ4" s="926" t="s">
        <v>241</v>
      </c>
      <c r="AK4" s="926" t="s">
        <v>242</v>
      </c>
      <c r="AL4" s="926" t="s">
        <v>250</v>
      </c>
      <c r="AM4" s="926" t="s">
        <v>234</v>
      </c>
      <c r="AN4" s="926" t="s">
        <v>243</v>
      </c>
      <c r="AO4" s="926" t="s">
        <v>244</v>
      </c>
      <c r="AP4" s="926" t="s">
        <v>245</v>
      </c>
      <c r="AQ4" s="923" t="s">
        <v>246</v>
      </c>
      <c r="AR4" s="923" t="s">
        <v>247</v>
      </c>
      <c r="AS4" s="923" t="s">
        <v>248</v>
      </c>
      <c r="AT4" s="923" t="s">
        <v>249</v>
      </c>
    </row>
    <row r="5" spans="1:46" ht="30" x14ac:dyDescent="0.25">
      <c r="A5" s="937" t="s">
        <v>876</v>
      </c>
      <c r="B5" s="1118" t="s">
        <v>220</v>
      </c>
      <c r="C5" s="939" t="s">
        <v>14</v>
      </c>
      <c r="D5" s="944">
        <f>I51/10</f>
        <v>5649.8305084745762</v>
      </c>
      <c r="E5" s="918">
        <f>H52</f>
        <v>5.4598908021839545</v>
      </c>
      <c r="F5" s="948">
        <v>1</v>
      </c>
      <c r="G5" s="944">
        <f t="shared" ref="G5:G20" si="0">D5*E5</f>
        <v>30847.457627118634</v>
      </c>
      <c r="H5" s="943">
        <f t="shared" ref="H5:H20" si="1">G5*F5</f>
        <v>30847.457627118634</v>
      </c>
      <c r="I5" s="914">
        <f>VLOOKUP(B5,All_Ingredients!$A$1:$F$161,6,FALSE())</f>
        <v>0.86</v>
      </c>
      <c r="J5" s="944">
        <f>VLOOKUP(B5,All_Ingredients!$A$1:$J$161,10,FALSE())</f>
        <v>17.100000000000001</v>
      </c>
      <c r="K5" s="945">
        <f>(H5/I5)/1000</f>
        <v>35.86913677571934</v>
      </c>
      <c r="L5" s="945">
        <f>K5*J5</f>
        <v>613.36223886480082</v>
      </c>
      <c r="M5" s="87"/>
      <c r="N5" s="87"/>
      <c r="O5" s="80"/>
      <c r="P5" s="80"/>
      <c r="Q5" s="80"/>
      <c r="R5" s="80"/>
      <c r="T5" s="890"/>
      <c r="W5" s="890"/>
      <c r="AC5" s="73"/>
      <c r="AD5" s="89"/>
      <c r="AE5" s="172"/>
      <c r="AF5" s="90"/>
      <c r="AG5" s="91"/>
      <c r="AI5" s="949"/>
      <c r="AJ5" s="938" t="s">
        <v>220</v>
      </c>
      <c r="AK5" s="951" t="s">
        <v>227</v>
      </c>
      <c r="AL5" s="940">
        <v>10</v>
      </c>
      <c r="AM5" s="1040">
        <f t="shared" ref="AM5:AM12" si="2">$AO$1</f>
        <v>3.0847457627118633</v>
      </c>
      <c r="AN5" s="948">
        <v>1</v>
      </c>
      <c r="AO5" s="944">
        <f t="shared" ref="AO5:AO12" si="3">AL5*AM5</f>
        <v>30.847457627118633</v>
      </c>
      <c r="AP5" s="943">
        <f t="shared" ref="AP5:AP12" si="4">AO5*AN5</f>
        <v>30.847457627118633</v>
      </c>
      <c r="AQ5" s="952"/>
      <c r="AR5" s="953"/>
      <c r="AS5" s="954"/>
      <c r="AT5" s="955"/>
    </row>
    <row r="6" spans="1:46" x14ac:dyDescent="0.25">
      <c r="A6" s="949" t="s">
        <v>868</v>
      </c>
      <c r="B6" s="914" t="s">
        <v>706</v>
      </c>
      <c r="C6" s="947" t="s">
        <v>14</v>
      </c>
      <c r="D6" s="914">
        <v>20</v>
      </c>
      <c r="E6" s="1040">
        <f t="shared" ref="E6:E20" si="5">$I$1</f>
        <v>5.5151515151515209</v>
      </c>
      <c r="F6" s="948">
        <v>1</v>
      </c>
      <c r="G6" s="944">
        <f t="shared" si="0"/>
        <v>110.30303030303043</v>
      </c>
      <c r="H6" s="943">
        <f t="shared" si="1"/>
        <v>110.30303030303043</v>
      </c>
      <c r="I6" s="914">
        <f>VLOOKUP(B6,All_Ingredients!$A$1:$F$161,6,FALSE())</f>
        <v>1</v>
      </c>
      <c r="J6" s="944">
        <f>VLOOKUP(B6,All_Ingredients!$A$1:$J$161,10,FALSE())</f>
        <v>10.5</v>
      </c>
      <c r="K6" s="945">
        <f t="shared" ref="K6:K20" si="6">(H6/I6)/1000</f>
        <v>0.11030303030303043</v>
      </c>
      <c r="L6" s="945">
        <f>K6*J6</f>
        <v>1.1581818181818195</v>
      </c>
      <c r="M6" s="87"/>
      <c r="N6" s="87"/>
      <c r="R6" s="890"/>
      <c r="T6" s="890"/>
      <c r="W6" s="890"/>
      <c r="AI6" s="949" t="s">
        <v>55</v>
      </c>
      <c r="AJ6" s="914" t="s">
        <v>54</v>
      </c>
      <c r="AK6" s="951" t="s">
        <v>14</v>
      </c>
      <c r="AL6" s="940">
        <v>100</v>
      </c>
      <c r="AM6" s="1040">
        <f t="shared" si="2"/>
        <v>3.0847457627118633</v>
      </c>
      <c r="AN6" s="948">
        <v>1</v>
      </c>
      <c r="AO6" s="944">
        <f t="shared" si="3"/>
        <v>308.47457627118632</v>
      </c>
      <c r="AP6" s="943">
        <f t="shared" si="4"/>
        <v>308.47457627118632</v>
      </c>
      <c r="AQ6" s="955">
        <f>VLOOKUP(AJ6,Marination_Ordering!$A:$J,6,FALSE)</f>
        <v>0.87</v>
      </c>
      <c r="AR6" s="955">
        <f>VLOOKUP(AJ6,Marination_Ordering!$A:$J,10,FALSE)</f>
        <v>7</v>
      </c>
      <c r="AS6" s="954">
        <f>AP6/AQ6</f>
        <v>354.56847847262793</v>
      </c>
      <c r="AT6" s="955">
        <f>AR6*(AS6/1000)</f>
        <v>2.4819793493083955</v>
      </c>
    </row>
    <row r="7" spans="1:46" x14ac:dyDescent="0.25">
      <c r="A7" s="949" t="s">
        <v>867</v>
      </c>
      <c r="B7" s="914" t="s">
        <v>54</v>
      </c>
      <c r="C7" s="947" t="s">
        <v>14</v>
      </c>
      <c r="D7" s="914">
        <v>20</v>
      </c>
      <c r="E7" s="1040">
        <f t="shared" si="5"/>
        <v>5.5151515151515209</v>
      </c>
      <c r="F7" s="948">
        <v>1</v>
      </c>
      <c r="G7" s="944">
        <f t="shared" si="0"/>
        <v>110.30303030303043</v>
      </c>
      <c r="H7" s="943">
        <f t="shared" si="1"/>
        <v>110.30303030303043</v>
      </c>
      <c r="I7" s="914">
        <f>VLOOKUP(B7,All_Ingredients!$A$1:$F$161,6,FALSE())</f>
        <v>0.87</v>
      </c>
      <c r="J7" s="944">
        <f>VLOOKUP(B7,All_Ingredients!$A$1:$J$161,10,FALSE())</f>
        <v>7</v>
      </c>
      <c r="K7" s="945">
        <f t="shared" si="6"/>
        <v>0.12678509230233381</v>
      </c>
      <c r="L7" s="945">
        <f t="shared" ref="L7:L20" si="7">K7*J7</f>
        <v>0.88749564611633669</v>
      </c>
      <c r="M7" s="87"/>
      <c r="N7" s="87"/>
      <c r="R7" s="890"/>
      <c r="T7" s="890"/>
      <c r="W7" s="890"/>
      <c r="AI7" s="949" t="s">
        <v>13</v>
      </c>
      <c r="AJ7" s="914" t="s">
        <v>706</v>
      </c>
      <c r="AK7" s="951" t="s">
        <v>14</v>
      </c>
      <c r="AL7" s="940">
        <v>200</v>
      </c>
      <c r="AM7" s="1040">
        <f t="shared" si="2"/>
        <v>3.0847457627118633</v>
      </c>
      <c r="AN7" s="948">
        <v>1</v>
      </c>
      <c r="AO7" s="944">
        <f t="shared" si="3"/>
        <v>616.94915254237264</v>
      </c>
      <c r="AP7" s="943">
        <f t="shared" si="4"/>
        <v>616.94915254237264</v>
      </c>
      <c r="AQ7" s="955">
        <f>VLOOKUP(AJ7,Marination_Ordering!$A:$J,6,FALSE)</f>
        <v>1</v>
      </c>
      <c r="AR7" s="955">
        <f>VLOOKUP(AJ7,Marination_Ordering!$A:$J,10,FALSE)</f>
        <v>10.5</v>
      </c>
      <c r="AS7" s="954">
        <f t="shared" ref="AS7:AS9" si="8">AP7/AQ7</f>
        <v>616.94915254237264</v>
      </c>
      <c r="AT7" s="955">
        <f t="shared" ref="AT7:AT9" si="9">AR7*(AS7/1000)</f>
        <v>6.4779661016949124</v>
      </c>
    </row>
    <row r="8" spans="1:46" x14ac:dyDescent="0.25">
      <c r="A8" s="949"/>
      <c r="B8" s="914" t="s">
        <v>183</v>
      </c>
      <c r="C8" s="947" t="s">
        <v>14</v>
      </c>
      <c r="D8" s="914">
        <v>50</v>
      </c>
      <c r="E8" s="1040">
        <f t="shared" si="5"/>
        <v>5.5151515151515209</v>
      </c>
      <c r="F8" s="948">
        <v>1</v>
      </c>
      <c r="G8" s="944">
        <f t="shared" si="0"/>
        <v>275.75757575757603</v>
      </c>
      <c r="H8" s="943">
        <f t="shared" si="1"/>
        <v>275.75757575757603</v>
      </c>
      <c r="I8" s="914">
        <f>VLOOKUP(B8,All_Ingredients!$A$1:$F$161,6,FALSE())</f>
        <v>1</v>
      </c>
      <c r="J8" s="944">
        <f>VLOOKUP(B8,All_Ingredients!$A$1:$J$161,10,FALSE())</f>
        <v>17</v>
      </c>
      <c r="K8" s="945">
        <f t="shared" si="6"/>
        <v>0.27575757575757603</v>
      </c>
      <c r="L8" s="945">
        <f t="shared" si="7"/>
        <v>4.6878787878787929</v>
      </c>
      <c r="M8" s="87"/>
      <c r="N8" s="87"/>
      <c r="R8" s="890"/>
      <c r="T8" s="890"/>
      <c r="W8" s="890"/>
      <c r="AI8" s="949" t="s">
        <v>204</v>
      </c>
      <c r="AJ8" s="914" t="s">
        <v>212</v>
      </c>
      <c r="AK8" s="951" t="s">
        <v>160</v>
      </c>
      <c r="AL8" s="944">
        <v>350</v>
      </c>
      <c r="AM8" s="1040">
        <f t="shared" si="2"/>
        <v>3.0847457627118633</v>
      </c>
      <c r="AN8" s="948">
        <v>1</v>
      </c>
      <c r="AO8" s="944">
        <f t="shared" si="3"/>
        <v>1079.6610169491521</v>
      </c>
      <c r="AP8" s="943">
        <f t="shared" si="4"/>
        <v>1079.6610169491521</v>
      </c>
      <c r="AQ8" s="955">
        <f>VLOOKUP(AJ8,Marination_Ordering!$A:$J,6,FALSE)</f>
        <v>1</v>
      </c>
      <c r="AR8" s="955">
        <f>VLOOKUP(AJ8,Marination_Ordering!$A:$J,10,FALSE)</f>
        <v>5</v>
      </c>
      <c r="AS8" s="954">
        <f t="shared" si="8"/>
        <v>1079.6610169491521</v>
      </c>
      <c r="AT8" s="955">
        <f t="shared" si="9"/>
        <v>5.3983050847457603</v>
      </c>
    </row>
    <row r="9" spans="1:46" x14ac:dyDescent="0.25">
      <c r="A9" s="949"/>
      <c r="B9" s="914" t="s">
        <v>198</v>
      </c>
      <c r="C9" s="1157" t="s">
        <v>160</v>
      </c>
      <c r="D9" s="914">
        <v>200</v>
      </c>
      <c r="E9" s="1040">
        <f t="shared" si="5"/>
        <v>5.5151515151515209</v>
      </c>
      <c r="F9" s="948">
        <v>1</v>
      </c>
      <c r="G9" s="944">
        <f t="shared" si="0"/>
        <v>1103.0303030303041</v>
      </c>
      <c r="H9" s="943">
        <f t="shared" si="1"/>
        <v>1103.0303030303041</v>
      </c>
      <c r="I9" s="914">
        <f>VLOOKUP(B9,All_Ingredients!$A$1:$F$161,6,FALSE())</f>
        <v>1</v>
      </c>
      <c r="J9" s="944">
        <f>VLOOKUP(B9,All_Ingredients!$A$1:$J$161,10,FALSE())</f>
        <v>3.25</v>
      </c>
      <c r="K9" s="945">
        <f t="shared" si="6"/>
        <v>1.1030303030303041</v>
      </c>
      <c r="L9" s="945">
        <f t="shared" si="7"/>
        <v>3.5848484848484885</v>
      </c>
      <c r="M9" s="87"/>
      <c r="N9" s="87"/>
      <c r="R9" s="890"/>
      <c r="T9" s="890"/>
      <c r="W9" s="890"/>
      <c r="AI9" s="949" t="s">
        <v>204</v>
      </c>
      <c r="AJ9" s="914" t="s">
        <v>208</v>
      </c>
      <c r="AK9" s="951" t="s">
        <v>160</v>
      </c>
      <c r="AL9" s="940">
        <v>70</v>
      </c>
      <c r="AM9" s="1040">
        <f t="shared" si="2"/>
        <v>3.0847457627118633</v>
      </c>
      <c r="AN9" s="948">
        <v>1</v>
      </c>
      <c r="AO9" s="944">
        <f t="shared" si="3"/>
        <v>215.93220338983042</v>
      </c>
      <c r="AP9" s="943">
        <f t="shared" si="4"/>
        <v>215.93220338983042</v>
      </c>
      <c r="AQ9" s="955">
        <f>VLOOKUP(AJ9,Marination_Ordering!$A:$J,6,FALSE)</f>
        <v>1</v>
      </c>
      <c r="AR9" s="955">
        <f>VLOOKUP(AJ9,Marination_Ordering!$A:$J,10,FALSE)</f>
        <v>2.1621621621621623</v>
      </c>
      <c r="AS9" s="954">
        <f t="shared" si="8"/>
        <v>215.93220338983042</v>
      </c>
      <c r="AT9" s="955">
        <f t="shared" si="9"/>
        <v>0.4668804397617955</v>
      </c>
    </row>
    <row r="10" spans="1:46" x14ac:dyDescent="0.25">
      <c r="A10" s="949"/>
      <c r="B10" s="938" t="s">
        <v>678</v>
      </c>
      <c r="C10" s="947" t="s">
        <v>14</v>
      </c>
      <c r="D10" s="914">
        <v>20</v>
      </c>
      <c r="E10" s="1040">
        <f t="shared" si="5"/>
        <v>5.5151515151515209</v>
      </c>
      <c r="F10" s="948">
        <v>1</v>
      </c>
      <c r="G10" s="944">
        <f t="shared" si="0"/>
        <v>110.30303030303043</v>
      </c>
      <c r="H10" s="943">
        <f t="shared" si="1"/>
        <v>110.30303030303043</v>
      </c>
      <c r="I10" s="914">
        <f>VLOOKUP(B10,All_Ingredients!$A$1:$F$161,6,FALSE())</f>
        <v>1</v>
      </c>
      <c r="J10" s="944">
        <f>VLOOKUP(B10,All_Ingredients!$A$1:$J$161,10,FALSE())</f>
        <v>8.1520833333333336</v>
      </c>
      <c r="K10" s="945">
        <f>(H10/I10)/1000</f>
        <v>0.11030303030303043</v>
      </c>
      <c r="L10" s="945">
        <f t="shared" si="7"/>
        <v>0.89919949494949603</v>
      </c>
      <c r="M10" s="87"/>
      <c r="N10" s="87"/>
      <c r="R10" s="890"/>
      <c r="T10" s="890"/>
      <c r="W10" s="890"/>
      <c r="AI10" s="949" t="s">
        <v>94</v>
      </c>
      <c r="AJ10" s="914" t="s">
        <v>93</v>
      </c>
      <c r="AK10" s="951" t="s">
        <v>14</v>
      </c>
      <c r="AL10" s="940">
        <v>2</v>
      </c>
      <c r="AM10" s="1040">
        <f t="shared" si="2"/>
        <v>3.0847457627118633</v>
      </c>
      <c r="AN10" s="948">
        <v>1</v>
      </c>
      <c r="AO10" s="944">
        <f t="shared" si="3"/>
        <v>6.1694915254237266</v>
      </c>
      <c r="AP10" s="943">
        <f t="shared" si="4"/>
        <v>6.1694915254237266</v>
      </c>
      <c r="AQ10" s="955">
        <f>VLOOKUP(AJ10,Marination_Ordering!$A:$J,6,FALSE)</f>
        <v>1</v>
      </c>
      <c r="AR10" s="955">
        <f>VLOOKUP(AJ10,Marination_Ordering!$A:$J,10,FALSE)</f>
        <v>0.74</v>
      </c>
      <c r="AS10" s="954">
        <f t="shared" ref="AS10:AS12" si="10">AP10/AQ10</f>
        <v>6.1694915254237266</v>
      </c>
      <c r="AT10" s="955">
        <f t="shared" ref="AT10:AT12" si="11">AR10*(AS10/1000)</f>
        <v>4.5654237288135571E-3</v>
      </c>
    </row>
    <row r="11" spans="1:46" ht="25.5" x14ac:dyDescent="0.25">
      <c r="A11" s="949"/>
      <c r="B11" s="914" t="s">
        <v>139</v>
      </c>
      <c r="C11" s="947" t="s">
        <v>14</v>
      </c>
      <c r="D11" s="914">
        <v>10</v>
      </c>
      <c r="E11" s="1040">
        <f t="shared" si="5"/>
        <v>5.5151515151515209</v>
      </c>
      <c r="F11" s="948">
        <v>0.75</v>
      </c>
      <c r="G11" s="944">
        <f t="shared" si="0"/>
        <v>55.151515151515213</v>
      </c>
      <c r="H11" s="943">
        <f t="shared" si="1"/>
        <v>41.363636363636409</v>
      </c>
      <c r="I11" s="914">
        <f>VLOOKUP(B11,All_Ingredients!$A$1:$F$161,6,FALSE())</f>
        <v>1</v>
      </c>
      <c r="J11" s="944">
        <f>VLOOKUP(B11,All_Ingredients!$A$1:$J$161,10,FALSE())</f>
        <v>15.277777777777779</v>
      </c>
      <c r="K11" s="945">
        <f t="shared" si="6"/>
        <v>4.1363636363636408E-2</v>
      </c>
      <c r="L11" s="945">
        <f t="shared" si="7"/>
        <v>0.6319444444444452</v>
      </c>
      <c r="M11" s="87"/>
      <c r="N11" s="87"/>
      <c r="R11" s="890"/>
      <c r="T11" s="890"/>
      <c r="W11" s="890"/>
      <c r="AI11" s="949" t="s">
        <v>94</v>
      </c>
      <c r="AJ11" s="914" t="s">
        <v>99</v>
      </c>
      <c r="AK11" s="951" t="s">
        <v>14</v>
      </c>
      <c r="AL11" s="940">
        <v>3</v>
      </c>
      <c r="AM11" s="1040">
        <f t="shared" si="2"/>
        <v>3.0847457627118633</v>
      </c>
      <c r="AN11" s="948">
        <v>1</v>
      </c>
      <c r="AO11" s="944">
        <f t="shared" si="3"/>
        <v>9.2542372881355899</v>
      </c>
      <c r="AP11" s="943">
        <f t="shared" si="4"/>
        <v>9.2542372881355899</v>
      </c>
      <c r="AQ11" s="955">
        <f>VLOOKUP(AJ11,Marination_Ordering!$A:$J,6,FALSE)</f>
        <v>1</v>
      </c>
      <c r="AR11" s="955">
        <f>VLOOKUP(AJ11,Marination_Ordering!$A:$J,10,FALSE)</f>
        <v>31</v>
      </c>
      <c r="AS11" s="954">
        <f t="shared" si="10"/>
        <v>9.2542372881355899</v>
      </c>
      <c r="AT11" s="955">
        <f t="shared" si="11"/>
        <v>0.28688135593220332</v>
      </c>
    </row>
    <row r="12" spans="1:46" ht="29.25" x14ac:dyDescent="0.25">
      <c r="A12" s="949"/>
      <c r="B12" s="914" t="s">
        <v>159</v>
      </c>
      <c r="C12" s="947" t="s">
        <v>160</v>
      </c>
      <c r="D12" s="914">
        <v>100</v>
      </c>
      <c r="E12" s="1040">
        <f t="shared" si="5"/>
        <v>5.5151515151515209</v>
      </c>
      <c r="F12" s="948">
        <v>1</v>
      </c>
      <c r="G12" s="944">
        <f t="shared" si="0"/>
        <v>551.51515151515207</v>
      </c>
      <c r="H12" s="943">
        <f t="shared" si="1"/>
        <v>551.51515151515207</v>
      </c>
      <c r="I12" s="914">
        <f>VLOOKUP(B12,All_Ingredients!$A$1:$F$161,6,FALSE())</f>
        <v>1</v>
      </c>
      <c r="J12" s="944">
        <f>VLOOKUP(B12,All_Ingredients!$A$1:$J$161,10,FALSE())</f>
        <v>4.2033333333333331</v>
      </c>
      <c r="K12" s="945">
        <f t="shared" si="6"/>
        <v>0.55151515151515207</v>
      </c>
      <c r="L12" s="945">
        <f t="shared" si="7"/>
        <v>2.3182020202020226</v>
      </c>
      <c r="M12" s="87"/>
      <c r="N12" s="87"/>
      <c r="R12" s="890"/>
      <c r="T12" s="890"/>
      <c r="W12" s="890"/>
      <c r="AI12" s="949" t="s">
        <v>213</v>
      </c>
      <c r="AJ12" s="960" t="s">
        <v>799</v>
      </c>
      <c r="AK12" s="951" t="s">
        <v>14</v>
      </c>
      <c r="AL12" s="914">
        <v>5</v>
      </c>
      <c r="AM12" s="1040">
        <f t="shared" si="2"/>
        <v>3.0847457627118633</v>
      </c>
      <c r="AN12" s="948">
        <v>1</v>
      </c>
      <c r="AO12" s="944">
        <f t="shared" si="3"/>
        <v>15.423728813559316</v>
      </c>
      <c r="AP12" s="943">
        <f t="shared" si="4"/>
        <v>15.423728813559316</v>
      </c>
      <c r="AQ12" s="955">
        <f>VLOOKUP(AJ12,Marination_Ordering!$A:$J,6,FALSE)</f>
        <v>1</v>
      </c>
      <c r="AR12" s="955">
        <f>VLOOKUP(AJ12,Marination_Ordering!$A:$J,10,FALSE)</f>
        <v>22.5</v>
      </c>
      <c r="AS12" s="954">
        <f t="shared" si="10"/>
        <v>15.423728813559316</v>
      </c>
      <c r="AT12" s="955">
        <f t="shared" si="11"/>
        <v>0.34703389830508463</v>
      </c>
    </row>
    <row r="13" spans="1:46" x14ac:dyDescent="0.25">
      <c r="A13" s="949"/>
      <c r="B13" s="914" t="s">
        <v>202</v>
      </c>
      <c r="C13" s="947" t="s">
        <v>14</v>
      </c>
      <c r="D13" s="914">
        <v>25</v>
      </c>
      <c r="E13" s="1040">
        <f t="shared" si="5"/>
        <v>5.5151515151515209</v>
      </c>
      <c r="F13" s="948">
        <v>1</v>
      </c>
      <c r="G13" s="944">
        <f t="shared" si="0"/>
        <v>137.87878787878802</v>
      </c>
      <c r="H13" s="943">
        <f t="shared" si="1"/>
        <v>137.87878787878802</v>
      </c>
      <c r="I13" s="914">
        <f>VLOOKUP(B13,All_Ingredients!$A$1:$F$161,6,FALSE())</f>
        <v>1</v>
      </c>
      <c r="J13" s="944">
        <f>VLOOKUP(B13,All_Ingredients!$A$1:$J$161,10,FALSE())</f>
        <v>11.243386243386244</v>
      </c>
      <c r="K13" s="945">
        <f t="shared" si="6"/>
        <v>0.13787878787878802</v>
      </c>
      <c r="L13" s="945">
        <f t="shared" si="7"/>
        <v>1.5502244668911351</v>
      </c>
      <c r="M13" s="87"/>
      <c r="N13" s="87"/>
      <c r="R13" s="890"/>
      <c r="T13" s="890"/>
      <c r="W13" s="890"/>
      <c r="AJ13" s="890"/>
      <c r="AK13" s="890"/>
      <c r="AL13" s="890"/>
      <c r="AM13" s="890"/>
      <c r="AN13" s="890"/>
      <c r="AP13" s="890"/>
      <c r="AS13" s="890"/>
    </row>
    <row r="14" spans="1:46" x14ac:dyDescent="0.25">
      <c r="A14" s="949"/>
      <c r="B14" s="914" t="s">
        <v>192</v>
      </c>
      <c r="C14" s="947" t="s">
        <v>160</v>
      </c>
      <c r="D14" s="914">
        <v>30</v>
      </c>
      <c r="E14" s="1040">
        <f t="shared" si="5"/>
        <v>5.5151515151515209</v>
      </c>
      <c r="F14" s="948">
        <v>0.75</v>
      </c>
      <c r="G14" s="944">
        <f t="shared" si="0"/>
        <v>165.45454545454564</v>
      </c>
      <c r="H14" s="943">
        <f t="shared" si="1"/>
        <v>124.09090909090924</v>
      </c>
      <c r="I14" s="914">
        <f>VLOOKUP(B14,All_Ingredients!$A$1:$F$161,6,FALSE())</f>
        <v>1</v>
      </c>
      <c r="J14" s="944">
        <f>VLOOKUP(B14,All_Ingredients!$A$1:$J$161,10,FALSE())</f>
        <v>58.685446009389672</v>
      </c>
      <c r="K14" s="945">
        <f t="shared" si="6"/>
        <v>0.12409090909090924</v>
      </c>
      <c r="L14" s="945">
        <f t="shared" si="7"/>
        <v>7.2823303457106361</v>
      </c>
      <c r="M14" s="87"/>
      <c r="N14" s="87"/>
      <c r="R14" s="890"/>
      <c r="T14" s="890"/>
      <c r="W14" s="890"/>
      <c r="AJ14" s="890"/>
      <c r="AK14" s="890"/>
      <c r="AL14" s="890"/>
      <c r="AM14" s="890"/>
      <c r="AN14" s="890"/>
      <c r="AP14" s="890"/>
      <c r="AS14" s="890"/>
    </row>
    <row r="15" spans="1:46" x14ac:dyDescent="0.25">
      <c r="A15" s="949"/>
      <c r="B15" s="914" t="s">
        <v>166</v>
      </c>
      <c r="C15" s="947" t="s">
        <v>160</v>
      </c>
      <c r="D15" s="914">
        <v>500</v>
      </c>
      <c r="E15" s="1040">
        <f t="shared" si="5"/>
        <v>5.5151515151515209</v>
      </c>
      <c r="F15" s="948">
        <v>1</v>
      </c>
      <c r="G15" s="944">
        <f t="shared" si="0"/>
        <v>2757.5757575757602</v>
      </c>
      <c r="H15" s="943">
        <f t="shared" si="1"/>
        <v>2757.5757575757602</v>
      </c>
      <c r="I15" s="914">
        <f>VLOOKUP(B15,All_Ingredients!$A$1:$F$161,6,FALSE())</f>
        <v>1</v>
      </c>
      <c r="J15" s="944">
        <f>VLOOKUP(B15,All_Ingredients!$A$1:$J$161,10,FALSE())</f>
        <v>12.666666666666666</v>
      </c>
      <c r="K15" s="945">
        <f t="shared" si="6"/>
        <v>2.7575757575757605</v>
      </c>
      <c r="L15" s="945">
        <f t="shared" si="7"/>
        <v>34.929292929292963</v>
      </c>
      <c r="M15" s="87"/>
      <c r="N15" s="87"/>
      <c r="R15" s="890"/>
      <c r="T15" s="890"/>
      <c r="W15" s="890"/>
      <c r="AJ15" s="890"/>
      <c r="AK15" s="890"/>
      <c r="AL15" s="890"/>
      <c r="AM15" s="890"/>
      <c r="AN15" s="890"/>
      <c r="AP15" s="890"/>
      <c r="AS15" s="890"/>
    </row>
    <row r="16" spans="1:46" x14ac:dyDescent="0.25">
      <c r="A16" s="949" t="s">
        <v>866</v>
      </c>
      <c r="B16" s="914" t="s">
        <v>12</v>
      </c>
      <c r="C16" s="947" t="s">
        <v>14</v>
      </c>
      <c r="D16" s="914">
        <v>100</v>
      </c>
      <c r="E16" s="1040">
        <f t="shared" si="5"/>
        <v>5.5151515151515209</v>
      </c>
      <c r="F16" s="948">
        <v>0.95</v>
      </c>
      <c r="G16" s="944">
        <f t="shared" si="0"/>
        <v>551.51515151515207</v>
      </c>
      <c r="H16" s="943">
        <f t="shared" si="1"/>
        <v>523.93939393939445</v>
      </c>
      <c r="I16" s="914">
        <f>VLOOKUP(B16,All_Ingredients!$A$1:$F$161,6,FALSE())</f>
        <v>0.9</v>
      </c>
      <c r="J16" s="944">
        <f>VLOOKUP(B16,All_Ingredients!$A$1:$J$161,10,FALSE())</f>
        <v>3</v>
      </c>
      <c r="K16" s="945">
        <f t="shared" si="6"/>
        <v>0.58215488215488265</v>
      </c>
      <c r="L16" s="945">
        <f t="shared" si="7"/>
        <v>1.7464646464646481</v>
      </c>
      <c r="M16" s="87"/>
      <c r="N16" s="87"/>
      <c r="R16" s="890"/>
      <c r="T16" s="890"/>
      <c r="W16" s="890"/>
      <c r="AJ16" s="890"/>
      <c r="AK16" s="890"/>
      <c r="AL16" s="890"/>
      <c r="AM16" s="890"/>
      <c r="AN16" s="890"/>
      <c r="AP16" s="890"/>
      <c r="AS16" s="890"/>
    </row>
    <row r="17" spans="1:31" x14ac:dyDescent="0.25">
      <c r="A17" s="949"/>
      <c r="B17" s="914" t="s">
        <v>93</v>
      </c>
      <c r="C17" s="947" t="s">
        <v>14</v>
      </c>
      <c r="D17" s="914">
        <v>6</v>
      </c>
      <c r="E17" s="1040">
        <f t="shared" si="5"/>
        <v>5.5151515151515209</v>
      </c>
      <c r="F17" s="948">
        <v>0.75</v>
      </c>
      <c r="G17" s="944">
        <f t="shared" si="0"/>
        <v>33.090909090909122</v>
      </c>
      <c r="H17" s="943">
        <f t="shared" si="1"/>
        <v>24.818181818181841</v>
      </c>
      <c r="I17" s="914">
        <f>VLOOKUP(B17,All_Ingredients!$A$1:$F$161,6,FALSE())</f>
        <v>1</v>
      </c>
      <c r="J17" s="944">
        <f>VLOOKUP(B17,All_Ingredients!$A$1:$J$161,10,FALSE())</f>
        <v>0.74</v>
      </c>
      <c r="K17" s="945">
        <f t="shared" si="6"/>
        <v>2.481818181818184E-2</v>
      </c>
      <c r="L17" s="945">
        <f t="shared" si="7"/>
        <v>1.836545454545456E-2</v>
      </c>
      <c r="M17" s="87"/>
      <c r="N17" s="87"/>
      <c r="R17" s="890"/>
      <c r="T17" s="890"/>
      <c r="W17" s="890"/>
    </row>
    <row r="18" spans="1:31" ht="29.25" x14ac:dyDescent="0.25">
      <c r="A18" s="949"/>
      <c r="B18" s="960" t="s">
        <v>799</v>
      </c>
      <c r="C18" s="947" t="s">
        <v>14</v>
      </c>
      <c r="D18" s="914">
        <v>2</v>
      </c>
      <c r="E18" s="1040">
        <f t="shared" si="5"/>
        <v>5.5151515151515209</v>
      </c>
      <c r="F18" s="948">
        <v>1</v>
      </c>
      <c r="G18" s="944">
        <f t="shared" si="0"/>
        <v>11.030303030303042</v>
      </c>
      <c r="H18" s="943">
        <f t="shared" si="1"/>
        <v>11.030303030303042</v>
      </c>
      <c r="I18" s="914">
        <f>VLOOKUP(B18,All_Ingredients!$A$1:$F$161,6,FALSE())</f>
        <v>1</v>
      </c>
      <c r="J18" s="944">
        <f>VLOOKUP(B18,All_Ingredients!$A$1:$J$161,10,FALSE())</f>
        <v>22.5</v>
      </c>
      <c r="K18" s="945">
        <f t="shared" si="6"/>
        <v>1.1030303030303041E-2</v>
      </c>
      <c r="L18" s="945">
        <f t="shared" si="7"/>
        <v>0.24818181818181842</v>
      </c>
      <c r="M18" s="87"/>
      <c r="N18" s="87"/>
      <c r="R18" s="890"/>
      <c r="T18" s="890"/>
      <c r="W18" s="890"/>
    </row>
    <row r="19" spans="1:31" x14ac:dyDescent="0.25">
      <c r="A19" s="949"/>
      <c r="B19" s="914" t="s">
        <v>152</v>
      </c>
      <c r="C19" s="947" t="s">
        <v>14</v>
      </c>
      <c r="D19" s="914">
        <v>20</v>
      </c>
      <c r="E19" s="1040">
        <f t="shared" si="5"/>
        <v>5.5151515151515209</v>
      </c>
      <c r="F19" s="948">
        <v>1</v>
      </c>
      <c r="G19" s="944">
        <f t="shared" si="0"/>
        <v>110.30303030303043</v>
      </c>
      <c r="H19" s="943">
        <f t="shared" si="1"/>
        <v>110.30303030303043</v>
      </c>
      <c r="I19" s="914">
        <f>VLOOKUP(B19,All_Ingredients!$A$1:$F$161,6,FALSE())</f>
        <v>1</v>
      </c>
      <c r="J19" s="944">
        <f>VLOOKUP(B19,All_Ingredients!$A$1:$J$161,10,FALSE())</f>
        <v>30</v>
      </c>
      <c r="K19" s="945">
        <f t="shared" si="6"/>
        <v>0.11030303030303043</v>
      </c>
      <c r="L19" s="945">
        <f t="shared" si="7"/>
        <v>3.3090909090909131</v>
      </c>
      <c r="M19" s="87"/>
      <c r="N19" s="87"/>
      <c r="R19" s="890"/>
      <c r="T19" s="890"/>
      <c r="W19" s="890"/>
    </row>
    <row r="20" spans="1:31" x14ac:dyDescent="0.25">
      <c r="A20" s="949"/>
      <c r="B20" s="960" t="s">
        <v>187</v>
      </c>
      <c r="C20" s="947" t="s">
        <v>14</v>
      </c>
      <c r="D20" s="914">
        <v>30</v>
      </c>
      <c r="E20" s="944">
        <f t="shared" si="5"/>
        <v>5.5151515151515209</v>
      </c>
      <c r="F20" s="948">
        <v>0.75</v>
      </c>
      <c r="G20" s="940">
        <f t="shared" si="0"/>
        <v>165.45454545454564</v>
      </c>
      <c r="H20" s="943">
        <f t="shared" si="1"/>
        <v>124.09090909090924</v>
      </c>
      <c r="I20" s="914">
        <f>VLOOKUP(B20,All_Ingredients!$A$1:$F$161,6,FALSE())</f>
        <v>0.9</v>
      </c>
      <c r="J20" s="940">
        <f>VLOOKUP(B20,All_Ingredients!$A$1:$J$161,10,FALSE())</f>
        <v>2.3199999999999998</v>
      </c>
      <c r="K20" s="945">
        <f t="shared" si="6"/>
        <v>0.13787878787878804</v>
      </c>
      <c r="L20" s="945">
        <f t="shared" si="7"/>
        <v>0.31987878787878826</v>
      </c>
      <c r="R20" s="890"/>
      <c r="T20" s="890"/>
      <c r="W20" s="890"/>
    </row>
    <row r="21" spans="1:31" x14ac:dyDescent="0.25">
      <c r="B21" s="890"/>
      <c r="D21" s="890"/>
      <c r="E21" s="890"/>
      <c r="F21" s="890"/>
      <c r="H21" s="890"/>
      <c r="K21" s="890"/>
      <c r="L21" s="190"/>
      <c r="R21" s="890"/>
      <c r="T21" s="890"/>
      <c r="W21" s="890"/>
    </row>
    <row r="22" spans="1:31" x14ac:dyDescent="0.25">
      <c r="B22" s="73"/>
      <c r="C22" s="89"/>
      <c r="D22" s="73"/>
      <c r="E22" s="302"/>
      <c r="F22" s="900"/>
      <c r="G22" s="92"/>
      <c r="H22" s="901"/>
      <c r="K22" s="890"/>
      <c r="L22" s="190"/>
      <c r="R22" s="830"/>
      <c r="T22" s="890"/>
      <c r="W22" s="890"/>
    </row>
    <row r="23" spans="1:31" x14ac:dyDescent="0.25">
      <c r="B23" s="73"/>
      <c r="C23" s="89"/>
      <c r="D23" s="73"/>
      <c r="E23" s="302"/>
      <c r="F23" s="900"/>
      <c r="G23" s="92"/>
      <c r="H23" s="901"/>
      <c r="K23" s="890"/>
      <c r="L23" s="190"/>
      <c r="R23" s="890"/>
      <c r="T23" s="890"/>
      <c r="W23" s="890"/>
    </row>
    <row r="24" spans="1:31" x14ac:dyDescent="0.25">
      <c r="B24" s="890"/>
      <c r="D24" s="890"/>
      <c r="E24" s="890"/>
      <c r="F24" s="890"/>
      <c r="H24" s="890"/>
      <c r="K24" s="890"/>
      <c r="L24" s="190"/>
      <c r="R24" s="890"/>
      <c r="T24" s="890"/>
      <c r="W24" s="890"/>
      <c r="Z24" s="597"/>
    </row>
    <row r="25" spans="1:31" x14ac:dyDescent="0.25">
      <c r="B25" s="890"/>
      <c r="D25" s="890"/>
      <c r="E25" s="890"/>
      <c r="F25" s="890"/>
      <c r="H25" s="890"/>
      <c r="K25" s="890"/>
      <c r="L25" s="190"/>
      <c r="R25" s="1779" t="s">
        <v>370</v>
      </c>
      <c r="S25" s="1787"/>
      <c r="T25" s="1788"/>
      <c r="U25" s="1787"/>
      <c r="V25" s="956"/>
      <c r="W25" s="1043"/>
      <c r="Z25" s="982" t="s">
        <v>252</v>
      </c>
      <c r="AA25" s="989">
        <v>1</v>
      </c>
      <c r="AB25" s="982" t="s">
        <v>249</v>
      </c>
      <c r="AC25" s="985">
        <f>(AA25*AE30)+(AA30*(AB28/R1))</f>
        <v>2.9988037625454305E-2</v>
      </c>
    </row>
    <row r="26" spans="1:31" x14ac:dyDescent="0.25">
      <c r="B26" s="890"/>
      <c r="D26" s="890"/>
      <c r="E26" s="890"/>
      <c r="F26" s="890"/>
      <c r="H26" s="890"/>
      <c r="K26" s="890"/>
      <c r="L26" s="190"/>
      <c r="R26" s="1786" t="s">
        <v>296</v>
      </c>
      <c r="S26" s="1787"/>
      <c r="T26" s="1788"/>
      <c r="U26" s="1787"/>
      <c r="V26" s="956"/>
      <c r="W26" s="1043"/>
    </row>
    <row r="27" spans="1:31" x14ac:dyDescent="0.25">
      <c r="B27" s="890"/>
      <c r="D27" s="890"/>
      <c r="E27" s="890"/>
      <c r="F27" s="890"/>
      <c r="H27" s="890"/>
      <c r="K27" s="890"/>
      <c r="R27" s="961" t="s">
        <v>254</v>
      </c>
      <c r="S27" s="962" t="s">
        <v>255</v>
      </c>
      <c r="T27" s="961" t="s">
        <v>256</v>
      </c>
      <c r="U27" s="962" t="s">
        <v>257</v>
      </c>
      <c r="V27" s="962" t="s">
        <v>746</v>
      </c>
      <c r="W27" s="961" t="s">
        <v>753</v>
      </c>
      <c r="Z27" s="982" t="s">
        <v>258</v>
      </c>
      <c r="AA27" s="984" t="s">
        <v>311</v>
      </c>
      <c r="AB27" s="982" t="s">
        <v>259</v>
      </c>
      <c r="AC27" s="982" t="s">
        <v>260</v>
      </c>
      <c r="AD27" s="984" t="s">
        <v>753</v>
      </c>
      <c r="AE27" s="982" t="s">
        <v>262</v>
      </c>
    </row>
    <row r="28" spans="1:31" x14ac:dyDescent="0.25">
      <c r="B28" s="890"/>
      <c r="D28" s="890"/>
      <c r="E28" s="890"/>
      <c r="F28" s="890"/>
      <c r="H28" s="890"/>
      <c r="K28" s="890"/>
      <c r="R28" s="961" t="s">
        <v>263</v>
      </c>
      <c r="S28" s="975">
        <f>U28*S40</f>
        <v>17815.38461538461</v>
      </c>
      <c r="T28" s="1132">
        <f>U28*U40</f>
        <v>5344.6153846153902</v>
      </c>
      <c r="U28" s="1391">
        <f>$Z$1</f>
        <v>23160</v>
      </c>
      <c r="V28" s="966">
        <f>SUM(AP5:AP13)</f>
        <v>2282.7118644067791</v>
      </c>
      <c r="W28" s="967">
        <f>SUM(H37:H39)</f>
        <v>1778.7600000000002</v>
      </c>
      <c r="Z28" s="1086"/>
      <c r="AA28" s="987"/>
      <c r="AB28" s="985">
        <f>AA25*$S$40</f>
        <v>0.76923076923076905</v>
      </c>
      <c r="AC28" s="985">
        <f>AA25*$U$40</f>
        <v>0.230769230769231</v>
      </c>
      <c r="AD28" s="987"/>
      <c r="AE28" s="1088">
        <f>SUM(AB28:AC28)</f>
        <v>1</v>
      </c>
    </row>
    <row r="29" spans="1:31" x14ac:dyDescent="0.25">
      <c r="B29" s="890"/>
      <c r="D29" s="890"/>
      <c r="E29" s="890"/>
      <c r="F29" s="890"/>
      <c r="H29" s="890"/>
      <c r="K29" s="890"/>
      <c r="R29" s="961" t="s">
        <v>264</v>
      </c>
      <c r="S29" s="974"/>
      <c r="T29" s="1132"/>
      <c r="U29" s="966">
        <f>T29</f>
        <v>0</v>
      </c>
      <c r="V29" s="966"/>
      <c r="W29" s="967"/>
      <c r="Z29" s="1086"/>
      <c r="AA29" s="991"/>
      <c r="AB29" s="1089">
        <f>AB28/$AE$28</f>
        <v>0.76923076923076905</v>
      </c>
      <c r="AC29" s="1089">
        <f>AC28/$AE$28</f>
        <v>0.230769230769231</v>
      </c>
      <c r="AD29" s="991"/>
      <c r="AE29" s="1089">
        <f>AE28/$AE$28</f>
        <v>1</v>
      </c>
    </row>
    <row r="30" spans="1:31" x14ac:dyDescent="0.25">
      <c r="B30" s="890"/>
      <c r="D30" s="890"/>
      <c r="E30" s="890"/>
      <c r="F30" s="890"/>
      <c r="H30" s="890"/>
      <c r="K30" s="890"/>
      <c r="R30" s="961" t="s">
        <v>265</v>
      </c>
      <c r="S30" s="1460">
        <f>U30*S40</f>
        <v>384.61538461538453</v>
      </c>
      <c r="T30" s="1132">
        <f>U30*U40</f>
        <v>115.3846153846155</v>
      </c>
      <c r="U30" s="1391">
        <f>$AB$1</f>
        <v>500</v>
      </c>
      <c r="V30" s="972"/>
      <c r="W30" s="973"/>
      <c r="Z30" s="982" t="s">
        <v>266</v>
      </c>
      <c r="AA30" s="994">
        <f>V35/(S32/R1)</f>
        <v>5.0129290525007756E-4</v>
      </c>
      <c r="AB30" s="1090">
        <f>S35/(S32)</f>
        <v>3.3701221915648408E-2</v>
      </c>
      <c r="AC30" s="1091">
        <f>T35/T32</f>
        <v>1.158456067157489E-2</v>
      </c>
      <c r="AD30" s="995">
        <f>W35/U32</f>
        <v>7.3708446463110707E-4</v>
      </c>
      <c r="AE30" s="1092">
        <f>SUMPRODUCT(AB30:AC30,AB29:AC29)+AD30</f>
        <v>2.933446147780101E-2</v>
      </c>
    </row>
    <row r="31" spans="1:31" x14ac:dyDescent="0.25">
      <c r="B31" s="890"/>
      <c r="D31" s="890"/>
      <c r="E31" s="890"/>
      <c r="F31" s="890"/>
      <c r="H31" s="890"/>
      <c r="K31" s="890"/>
      <c r="R31" s="961" t="s">
        <v>267</v>
      </c>
      <c r="S31" s="959"/>
      <c r="T31" s="967"/>
      <c r="U31" s="966"/>
      <c r="V31" s="966"/>
      <c r="W31" s="967"/>
    </row>
    <row r="32" spans="1:31" x14ac:dyDescent="0.25">
      <c r="B32" s="890"/>
      <c r="D32" s="890"/>
      <c r="E32" s="890"/>
      <c r="F32" s="890"/>
      <c r="H32" s="890"/>
      <c r="K32" s="890"/>
      <c r="R32" s="961" t="s">
        <v>257</v>
      </c>
      <c r="S32" s="966">
        <f>S28+S30</f>
        <v>18199.999999999993</v>
      </c>
      <c r="T32" s="967">
        <f>SUM(T28:T30)</f>
        <v>5460.0000000000055</v>
      </c>
      <c r="U32" s="966">
        <f>SUM(U28:U30)</f>
        <v>23660</v>
      </c>
      <c r="V32" s="966"/>
      <c r="W32" s="967">
        <f>SUM(W28:W30)</f>
        <v>1778.7600000000002</v>
      </c>
    </row>
    <row r="33" spans="2:23" ht="30" x14ac:dyDescent="0.25">
      <c r="B33" s="890"/>
      <c r="D33" s="890"/>
      <c r="E33" s="890"/>
      <c r="F33" s="890"/>
      <c r="H33" s="890"/>
      <c r="K33" s="890"/>
      <c r="R33" s="976" t="s">
        <v>268</v>
      </c>
      <c r="S33" s="959"/>
      <c r="T33" s="960"/>
      <c r="U33" s="959"/>
      <c r="V33" s="959"/>
      <c r="W33" s="960"/>
    </row>
    <row r="34" spans="2:23" x14ac:dyDescent="0.25">
      <c r="B34" s="890"/>
      <c r="D34" s="890"/>
      <c r="E34" s="890"/>
      <c r="F34" s="890"/>
      <c r="H34" s="890"/>
      <c r="K34" s="890"/>
      <c r="R34" s="961" t="s">
        <v>269</v>
      </c>
      <c r="S34" s="959"/>
      <c r="T34" s="967"/>
      <c r="U34" s="959"/>
      <c r="V34" s="959"/>
      <c r="W34" s="960"/>
    </row>
    <row r="35" spans="2:23" ht="15.75" x14ac:dyDescent="0.25">
      <c r="B35" s="1781" t="s">
        <v>674</v>
      </c>
      <c r="C35" s="1782"/>
      <c r="D35" s="1781"/>
      <c r="E35" s="1781"/>
      <c r="F35" s="1781"/>
      <c r="G35" s="1001"/>
      <c r="H35" s="1434"/>
      <c r="I35" s="1010"/>
      <c r="J35" s="1010"/>
      <c r="K35" s="1009"/>
      <c r="L35" s="1010"/>
      <c r="R35" s="977" t="s">
        <v>249</v>
      </c>
      <c r="S35" s="978">
        <f>$L$5</f>
        <v>613.36223886480082</v>
      </c>
      <c r="T35" s="979">
        <f>SUM(L6:L19)</f>
        <v>63.251701266798968</v>
      </c>
      <c r="U35" s="1136">
        <f>S35+T35+V35+W35</f>
        <v>709.51697021824873</v>
      </c>
      <c r="V35" s="978">
        <f>SUM(AT6:AT13)</f>
        <v>15.463611653476965</v>
      </c>
      <c r="W35" s="967">
        <f>SUM(L37:L39)</f>
        <v>17.439418433171994</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row>
    <row r="37" spans="2:23" x14ac:dyDescent="0.25">
      <c r="B37" s="1005" t="s">
        <v>28</v>
      </c>
      <c r="C37" s="1006" t="s">
        <v>14</v>
      </c>
      <c r="D37" s="1007">
        <v>3.66</v>
      </c>
      <c r="E37" s="1005">
        <f>$AD$1</f>
        <v>162</v>
      </c>
      <c r="F37" s="1462">
        <f>D37*E37</f>
        <v>592.92000000000007</v>
      </c>
      <c r="H37" s="1005">
        <f>F37</f>
        <v>592.92000000000007</v>
      </c>
      <c r="I37" s="1005">
        <f>VLOOKUP(B37,All_Ingredients!$A$1:$F$161,6,FALSE())</f>
        <v>0.73</v>
      </c>
      <c r="J37" s="1005">
        <f>VLOOKUP(B37,All_Ingredients!$A$1:$J$161,10,FALSE())</f>
        <v>8.5</v>
      </c>
      <c r="K37" s="1005">
        <f>(H37/I37)/1000</f>
        <v>0.81221917808219191</v>
      </c>
      <c r="L37" s="1005">
        <f t="shared" ref="L37" si="12">K37*J37</f>
        <v>6.903863013698631</v>
      </c>
      <c r="R37" s="890"/>
      <c r="T37" s="890"/>
      <c r="W37" s="890"/>
    </row>
    <row r="38" spans="2:23" x14ac:dyDescent="0.25">
      <c r="B38" s="1005" t="s">
        <v>30</v>
      </c>
      <c r="C38" s="1006" t="s">
        <v>14</v>
      </c>
      <c r="D38" s="1007">
        <v>3.66</v>
      </c>
      <c r="E38" s="1005">
        <f>$AD$1</f>
        <v>162</v>
      </c>
      <c r="F38" s="1462">
        <f>D38*E38</f>
        <v>592.92000000000007</v>
      </c>
      <c r="H38" s="1005">
        <f>F38</f>
        <v>592.92000000000007</v>
      </c>
      <c r="I38" s="1005">
        <f>VLOOKUP(B38,All_Ingredients!$A$1:$F$161,6,FALSE())</f>
        <v>0.71</v>
      </c>
      <c r="J38" s="1005">
        <f>VLOOKUP(B38,All_Ingredients!$A$1:$J$161,10,FALSE())</f>
        <v>8.5</v>
      </c>
      <c r="K38" s="1005">
        <f t="shared" ref="K38:K39" si="13">(H38/I38)/1000</f>
        <v>0.835098591549296</v>
      </c>
      <c r="L38" s="1005">
        <f t="shared" ref="L38:L39" si="14">K38*J38</f>
        <v>7.0983380281690156</v>
      </c>
      <c r="R38" s="890"/>
      <c r="T38" s="890"/>
      <c r="W38" s="890"/>
    </row>
    <row r="39" spans="2:23" ht="25.5" x14ac:dyDescent="0.25">
      <c r="B39" s="1005" t="s">
        <v>32</v>
      </c>
      <c r="C39" s="1006" t="s">
        <v>14</v>
      </c>
      <c r="D39" s="1007">
        <v>3.66</v>
      </c>
      <c r="E39" s="1005">
        <f>$AD$1</f>
        <v>162</v>
      </c>
      <c r="F39" s="1462">
        <f>D39*E39</f>
        <v>592.92000000000007</v>
      </c>
      <c r="H39" s="1005">
        <f>F39</f>
        <v>592.92000000000007</v>
      </c>
      <c r="I39" s="1005">
        <f>VLOOKUP(B39,All_Ingredients!$A$1:$F$161,6,FALSE())</f>
        <v>0.69</v>
      </c>
      <c r="J39" s="1005">
        <f>VLOOKUP(B39,All_Ingredients!$A$1:$J$161,10,FALSE())</f>
        <v>4</v>
      </c>
      <c r="K39" s="1005">
        <f t="shared" si="13"/>
        <v>0.85930434782608711</v>
      </c>
      <c r="L39" s="1005">
        <f t="shared" si="14"/>
        <v>3.4372173913043484</v>
      </c>
      <c r="R39" s="890"/>
      <c r="T39" s="890"/>
      <c r="W39" s="890"/>
    </row>
    <row r="40" spans="2:23" ht="26.25" x14ac:dyDescent="0.25">
      <c r="B40" s="890"/>
      <c r="D40" s="890"/>
      <c r="E40" s="890"/>
      <c r="F40" s="890"/>
      <c r="H40" s="890"/>
      <c r="K40" s="890"/>
      <c r="R40" s="1011" t="s">
        <v>270</v>
      </c>
      <c r="S40" s="1012">
        <v>0.76923076923076905</v>
      </c>
      <c r="T40" s="1011" t="s">
        <v>271</v>
      </c>
      <c r="U40" s="1013">
        <v>0.230769230769231</v>
      </c>
      <c r="V40" s="1014">
        <f>S40+U40</f>
        <v>1</v>
      </c>
      <c r="W40" s="890"/>
    </row>
    <row r="41" spans="2:23" x14ac:dyDescent="0.25">
      <c r="B41" s="890"/>
      <c r="D41" s="890"/>
      <c r="E41" s="890"/>
      <c r="F41" s="890"/>
      <c r="H41" s="890"/>
      <c r="K41" s="890"/>
      <c r="R41" s="890"/>
      <c r="T41" s="890"/>
      <c r="U41" s="123"/>
      <c r="W41" s="890"/>
    </row>
    <row r="42" spans="2:23" x14ac:dyDescent="0.25">
      <c r="B42" s="890"/>
      <c r="D42" s="890"/>
      <c r="E42" s="890"/>
      <c r="F42" s="890"/>
      <c r="H42" s="890"/>
      <c r="K42" s="890"/>
      <c r="R42" s="890"/>
      <c r="T42" s="890"/>
      <c r="W42" s="890"/>
    </row>
    <row r="43" spans="2:23" ht="26.25" x14ac:dyDescent="0.25">
      <c r="B43" s="890"/>
      <c r="D43" s="890"/>
      <c r="E43" s="890"/>
      <c r="F43" s="890"/>
      <c r="H43" s="890"/>
      <c r="K43" s="890"/>
      <c r="Q43" s="1015" t="s">
        <v>272</v>
      </c>
      <c r="R43" s="1011" t="s">
        <v>273</v>
      </c>
      <c r="S43" s="1015" t="s">
        <v>274</v>
      </c>
      <c r="T43" s="1011" t="s">
        <v>275</v>
      </c>
      <c r="U43" s="1015" t="s">
        <v>276</v>
      </c>
      <c r="V43" s="1015" t="s">
        <v>277</v>
      </c>
      <c r="W43" s="1011" t="s">
        <v>278</v>
      </c>
    </row>
    <row r="44" spans="2:23" x14ac:dyDescent="0.25">
      <c r="B44" s="890"/>
      <c r="D44" s="890"/>
      <c r="E44" s="890"/>
      <c r="F44" s="890"/>
      <c r="H44" s="890"/>
      <c r="K44" s="890"/>
      <c r="Q44" s="1023">
        <v>43334</v>
      </c>
      <c r="R44" s="1017">
        <f>D51</f>
        <v>10000</v>
      </c>
      <c r="S44" s="1095">
        <v>1</v>
      </c>
      <c r="T44" s="1025">
        <v>0</v>
      </c>
      <c r="U44" s="1096">
        <f>R44*S44</f>
        <v>10000</v>
      </c>
      <c r="V44" s="1021">
        <f>R44*T44</f>
        <v>0</v>
      </c>
      <c r="W44" s="1026">
        <f>Q44-U44</f>
        <v>33334</v>
      </c>
    </row>
    <row r="50" spans="1:10" x14ac:dyDescent="0.25">
      <c r="B50" s="961"/>
      <c r="C50" s="962" t="s">
        <v>233</v>
      </c>
      <c r="D50" s="961" t="s">
        <v>279</v>
      </c>
      <c r="E50" s="135"/>
      <c r="F50" s="80"/>
      <c r="G50" s="962" t="s">
        <v>280</v>
      </c>
      <c r="H50" s="961" t="s">
        <v>233</v>
      </c>
      <c r="I50" s="962" t="s">
        <v>281</v>
      </c>
      <c r="J50" s="962" t="s">
        <v>282</v>
      </c>
    </row>
    <row r="51" spans="1:10" x14ac:dyDescent="0.25">
      <c r="B51" s="1027" t="s">
        <v>283</v>
      </c>
      <c r="C51" s="1028">
        <f>10/$K$1</f>
        <v>10.1010101010101</v>
      </c>
      <c r="D51" s="1029">
        <f>$C$1*10</f>
        <v>10000</v>
      </c>
      <c r="E51" s="135"/>
      <c r="F51" s="80"/>
      <c r="G51" s="1033" t="s">
        <v>283</v>
      </c>
      <c r="H51" s="1122">
        <f>I51/$D$5</f>
        <v>10</v>
      </c>
      <c r="I51" s="1028">
        <f>J51/$R$1</f>
        <v>56498.305084745763</v>
      </c>
      <c r="J51" s="1028">
        <f>$W$44</f>
        <v>33334</v>
      </c>
    </row>
    <row r="52" spans="1:10" x14ac:dyDescent="0.25">
      <c r="B52" s="958" t="s">
        <v>262</v>
      </c>
      <c r="C52" s="1099">
        <f>$I$1</f>
        <v>5.5151515151515209</v>
      </c>
      <c r="D52" s="1100">
        <f>$E$1</f>
        <v>5460.0000000000055</v>
      </c>
      <c r="E52" s="80"/>
      <c r="F52" s="80"/>
      <c r="G52" s="962" t="s">
        <v>262</v>
      </c>
      <c r="H52" s="1052">
        <f>I52/$D$5</f>
        <v>5.4598908021839545</v>
      </c>
      <c r="I52" s="1021">
        <f>J52/$R$1</f>
        <v>30847.457627118634</v>
      </c>
      <c r="J52" s="1030">
        <f>$S$32</f>
        <v>18199.999999999993</v>
      </c>
    </row>
    <row r="53" spans="1:10" x14ac:dyDescent="0.25">
      <c r="B53" s="958" t="s">
        <v>284</v>
      </c>
      <c r="C53" s="1101">
        <f>MIN(C52, C51)</f>
        <v>5.5151515151515209</v>
      </c>
      <c r="D53" s="1100">
        <f>(C53*$K$1)*$C$1</f>
        <v>5460.0000000000055</v>
      </c>
      <c r="E53" s="80"/>
      <c r="F53" s="80"/>
      <c r="G53" s="962" t="s">
        <v>284</v>
      </c>
      <c r="H53" s="1035">
        <f>MIN(H52,H51)</f>
        <v>5.4598908021839545</v>
      </c>
      <c r="I53" s="1021">
        <f>J53/$R$1</f>
        <v>30847.457627118634</v>
      </c>
      <c r="J53" s="1021">
        <f>MIN(J52,J51)</f>
        <v>18199.999999999993</v>
      </c>
    </row>
    <row r="54" spans="1:10" x14ac:dyDescent="0.25">
      <c r="B54" s="958" t="s">
        <v>285</v>
      </c>
      <c r="C54" s="1101">
        <f>MIN(MAX(C52-C53,0),C51)</f>
        <v>0</v>
      </c>
      <c r="D54" s="1100">
        <f>(C54*$K$1)*$C$1</f>
        <v>0</v>
      </c>
      <c r="E54" s="80"/>
      <c r="F54" s="80"/>
      <c r="G54" s="962" t="s">
        <v>285</v>
      </c>
      <c r="H54" s="1035">
        <f>MIN(MAX(H52-H53),H51)</f>
        <v>0</v>
      </c>
      <c r="I54" s="1021">
        <f>J54/$R$1</f>
        <v>0</v>
      </c>
      <c r="J54" s="1021">
        <f>MIN(MAX(J52-J53),J51)</f>
        <v>0</v>
      </c>
    </row>
    <row r="55" spans="1:10" x14ac:dyDescent="0.25">
      <c r="B55" s="958" t="s">
        <v>286</v>
      </c>
      <c r="C55" s="1101">
        <f>MIN(MAX(C52-C53-C54,0),C51)</f>
        <v>0</v>
      </c>
      <c r="D55" s="1100">
        <f>(C55*$K$1)*$C$1</f>
        <v>0</v>
      </c>
      <c r="E55" s="80"/>
      <c r="F55" s="80"/>
      <c r="G55" s="962" t="s">
        <v>286</v>
      </c>
      <c r="H55" s="1035">
        <f>MIN(MAX(H52-H53-H54),H51)</f>
        <v>0</v>
      </c>
      <c r="I55" s="1021">
        <f>J55/$R$1</f>
        <v>0</v>
      </c>
      <c r="J55" s="1021">
        <f>MIN(MAX(J52-J53-J54),J51)</f>
        <v>0</v>
      </c>
    </row>
    <row r="56" spans="1:10" x14ac:dyDescent="0.25">
      <c r="B56" s="890"/>
      <c r="D56" s="890"/>
      <c r="E56" s="890"/>
      <c r="F56" s="890"/>
      <c r="H56" s="890"/>
    </row>
    <row r="57" spans="1:10" x14ac:dyDescent="0.25">
      <c r="B57" s="890"/>
      <c r="D57" s="890"/>
      <c r="E57" s="890"/>
      <c r="F57" s="890"/>
      <c r="H57" s="890"/>
    </row>
    <row r="58" spans="1:10" x14ac:dyDescent="0.25">
      <c r="B58" s="890"/>
      <c r="D58" s="890"/>
      <c r="E58" s="890"/>
      <c r="F58" s="890"/>
      <c r="H58" s="890"/>
    </row>
    <row r="59" spans="1:10" x14ac:dyDescent="0.25">
      <c r="B59" s="890"/>
      <c r="D59" s="890"/>
      <c r="E59" s="890"/>
      <c r="F59" s="890"/>
      <c r="H59" s="890"/>
    </row>
    <row r="60" spans="1:10" x14ac:dyDescent="0.25">
      <c r="B60" s="890"/>
      <c r="D60" s="890"/>
      <c r="E60" s="890"/>
      <c r="F60" s="890"/>
      <c r="H60" s="890"/>
    </row>
    <row r="61" spans="1:10" ht="18" x14ac:dyDescent="0.25">
      <c r="B61" s="890"/>
      <c r="D61" s="890"/>
      <c r="E61" s="890"/>
      <c r="F61" s="890"/>
      <c r="H61" s="890"/>
      <c r="I61" s="176"/>
      <c r="J61" s="176"/>
    </row>
    <row r="62" spans="1:10" ht="18" x14ac:dyDescent="0.25">
      <c r="A62" s="1036"/>
      <c r="B62" s="1776" t="str">
        <f>"  دجاج مكروني بالخضار 1 / " &amp; COUNTIF($C$53:$C$55, "&gt;0")</f>
        <v xml:space="preserve">  دجاج مكروني بالخضار 1 / 1</v>
      </c>
      <c r="C62" s="1777"/>
      <c r="D62" s="1778"/>
      <c r="E62" s="1778"/>
      <c r="F62" s="1778"/>
      <c r="G62" s="1777"/>
      <c r="H62" s="1778"/>
      <c r="I62" s="176"/>
      <c r="J62" s="176"/>
    </row>
    <row r="63" spans="1:10" x14ac:dyDescent="0.25">
      <c r="A63" s="1036"/>
      <c r="B63" s="1776" t="str">
        <f>" Chicken Pasta with Vegetables 1 / " &amp; COUNTIF($C$53:$C$55, "&gt;0")</f>
        <v xml:space="preserve"> Chicken Pasta with Vegetables 1 / 1</v>
      </c>
      <c r="C63" s="1777"/>
      <c r="D63" s="1778"/>
      <c r="E63" s="1778"/>
      <c r="F63" s="1778"/>
      <c r="G63" s="1777"/>
      <c r="H63" s="1778"/>
      <c r="I63" s="235"/>
      <c r="J63" s="235"/>
    </row>
    <row r="64" spans="1:10" ht="38.25" x14ac:dyDescent="0.2">
      <c r="A64" s="1350" t="s">
        <v>864</v>
      </c>
      <c r="B64" s="923" t="s">
        <v>241</v>
      </c>
      <c r="C64" s="934" t="s">
        <v>242</v>
      </c>
      <c r="D64" s="923" t="s">
        <v>231</v>
      </c>
      <c r="E64" s="935" t="s">
        <v>234</v>
      </c>
      <c r="F64" s="935" t="s">
        <v>243</v>
      </c>
      <c r="G64" s="923" t="s">
        <v>244</v>
      </c>
      <c r="H64" s="936" t="s">
        <v>245</v>
      </c>
      <c r="I64" s="73"/>
      <c r="J64" s="94"/>
    </row>
    <row r="65" spans="1:8" ht="30" x14ac:dyDescent="0.2">
      <c r="A65" s="937" t="s">
        <v>876</v>
      </c>
      <c r="B65" s="914" t="str">
        <f t="shared" ref="B65:D78" si="15">B5</f>
        <v>Chicken - دجاج</v>
      </c>
      <c r="C65" s="914" t="str">
        <f t="shared" si="15"/>
        <v>gm</v>
      </c>
      <c r="D65" s="940">
        <f t="shared" si="15"/>
        <v>5649.8305084745762</v>
      </c>
      <c r="E65" s="918">
        <f>H53</f>
        <v>5.4598908021839545</v>
      </c>
      <c r="F65" s="948">
        <f t="shared" ref="F65:F80" si="16">F5</f>
        <v>1</v>
      </c>
      <c r="G65" s="940">
        <f t="shared" ref="G65:G78" si="17">D65*E65</f>
        <v>30847.457627118634</v>
      </c>
      <c r="H65" s="943">
        <f t="shared" ref="H65:H78" si="18">G65*F65</f>
        <v>30847.457627118634</v>
      </c>
    </row>
    <row r="66" spans="1:8" x14ac:dyDescent="0.25">
      <c r="A66" s="949" t="s">
        <v>868</v>
      </c>
      <c r="B66" s="914" t="str">
        <f t="shared" si="15"/>
        <v>Garlic - ثوم مقشر</v>
      </c>
      <c r="C66" s="914" t="str">
        <f t="shared" si="15"/>
        <v>gm</v>
      </c>
      <c r="D66" s="914">
        <f t="shared" si="15"/>
        <v>20</v>
      </c>
      <c r="E66" s="918">
        <f t="shared" ref="E66:E80" si="19">$C$53</f>
        <v>5.5151515151515209</v>
      </c>
      <c r="F66" s="948">
        <f t="shared" si="16"/>
        <v>1</v>
      </c>
      <c r="G66" s="940">
        <f t="shared" si="17"/>
        <v>110.30303030303043</v>
      </c>
      <c r="H66" s="943">
        <f t="shared" si="18"/>
        <v>110.30303030303043</v>
      </c>
    </row>
    <row r="67" spans="1:8" x14ac:dyDescent="0.25">
      <c r="A67" s="949" t="s">
        <v>867</v>
      </c>
      <c r="B67" s="914" t="str">
        <f t="shared" si="15"/>
        <v>Ginger - زنجبيل</v>
      </c>
      <c r="C67" s="914" t="str">
        <f t="shared" si="15"/>
        <v>gm</v>
      </c>
      <c r="D67" s="914">
        <f t="shared" si="15"/>
        <v>20</v>
      </c>
      <c r="E67" s="918">
        <f t="shared" si="19"/>
        <v>5.5151515151515209</v>
      </c>
      <c r="F67" s="948">
        <f t="shared" si="16"/>
        <v>1</v>
      </c>
      <c r="G67" s="940">
        <f t="shared" si="17"/>
        <v>110.30303030303043</v>
      </c>
      <c r="H67" s="943">
        <f t="shared" si="18"/>
        <v>110.30303030303043</v>
      </c>
    </row>
    <row r="68" spans="1:8" x14ac:dyDescent="0.25">
      <c r="A68" s="949"/>
      <c r="B68" s="914" t="str">
        <f t="shared" si="15"/>
        <v>Honey - عسل</v>
      </c>
      <c r="C68" s="914" t="str">
        <f t="shared" si="15"/>
        <v>gm</v>
      </c>
      <c r="D68" s="914">
        <f t="shared" si="15"/>
        <v>50</v>
      </c>
      <c r="E68" s="918">
        <f t="shared" si="19"/>
        <v>5.5151515151515209</v>
      </c>
      <c r="F68" s="948">
        <f t="shared" si="16"/>
        <v>1</v>
      </c>
      <c r="G68" s="940">
        <f t="shared" si="17"/>
        <v>275.75757575757603</v>
      </c>
      <c r="H68" s="943">
        <f t="shared" si="18"/>
        <v>275.75757575757603</v>
      </c>
    </row>
    <row r="69" spans="1:8" x14ac:dyDescent="0.25">
      <c r="A69" s="949"/>
      <c r="B69" s="914" t="str">
        <f t="shared" si="15"/>
        <v>Tomato Ketchup - كاتشب طماطم</v>
      </c>
      <c r="C69" s="914" t="str">
        <f t="shared" si="15"/>
        <v>ml</v>
      </c>
      <c r="D69" s="914">
        <f t="shared" si="15"/>
        <v>200</v>
      </c>
      <c r="E69" s="918">
        <f>$C$53</f>
        <v>5.5151515151515209</v>
      </c>
      <c r="F69" s="948">
        <f t="shared" si="16"/>
        <v>1</v>
      </c>
      <c r="G69" s="940">
        <f t="shared" si="17"/>
        <v>1103.0303030303041</v>
      </c>
      <c r="H69" s="943">
        <f t="shared" si="18"/>
        <v>1103.0303030303041</v>
      </c>
    </row>
    <row r="70" spans="1:8" x14ac:dyDescent="0.25">
      <c r="A70" s="949"/>
      <c r="B70" s="914" t="str">
        <f t="shared" si="15"/>
        <v>Tomato Paste - صلصة طماطم</v>
      </c>
      <c r="C70" s="914" t="str">
        <f t="shared" si="15"/>
        <v>gm</v>
      </c>
      <c r="D70" s="914">
        <f t="shared" si="15"/>
        <v>20</v>
      </c>
      <c r="E70" s="918">
        <f t="shared" si="19"/>
        <v>5.5151515151515209</v>
      </c>
      <c r="F70" s="948">
        <f t="shared" si="16"/>
        <v>1</v>
      </c>
      <c r="G70" s="940">
        <f t="shared" si="17"/>
        <v>110.30303030303043</v>
      </c>
      <c r="H70" s="943">
        <f t="shared" si="18"/>
        <v>110.30303030303043</v>
      </c>
    </row>
    <row r="71" spans="1:8" x14ac:dyDescent="0.25">
      <c r="A71" s="949"/>
      <c r="B71" s="914" t="str">
        <f t="shared" si="15"/>
        <v>Maggi Cubes - مكعبات ماجي</v>
      </c>
      <c r="C71" s="914" t="str">
        <f t="shared" si="15"/>
        <v>gm</v>
      </c>
      <c r="D71" s="914">
        <f t="shared" si="15"/>
        <v>10</v>
      </c>
      <c r="E71" s="918">
        <f t="shared" si="19"/>
        <v>5.5151515151515209</v>
      </c>
      <c r="F71" s="948">
        <f t="shared" si="16"/>
        <v>0.75</v>
      </c>
      <c r="G71" s="940">
        <f t="shared" si="17"/>
        <v>55.151515151515213</v>
      </c>
      <c r="H71" s="943">
        <f t="shared" si="18"/>
        <v>41.363636363636409</v>
      </c>
    </row>
    <row r="72" spans="1:8" x14ac:dyDescent="0.25">
      <c r="A72" s="949"/>
      <c r="B72" s="914" t="str">
        <f t="shared" si="15"/>
        <v>Milk - حليب</v>
      </c>
      <c r="C72" s="914" t="str">
        <f t="shared" si="15"/>
        <v>ml</v>
      </c>
      <c r="D72" s="914">
        <f t="shared" si="15"/>
        <v>100</v>
      </c>
      <c r="E72" s="918">
        <f t="shared" si="19"/>
        <v>5.5151515151515209</v>
      </c>
      <c r="F72" s="948">
        <f t="shared" si="16"/>
        <v>1</v>
      </c>
      <c r="G72" s="940">
        <f t="shared" si="17"/>
        <v>551.51515151515207</v>
      </c>
      <c r="H72" s="943">
        <f t="shared" si="18"/>
        <v>551.51515151515207</v>
      </c>
    </row>
    <row r="73" spans="1:8" x14ac:dyDescent="0.25">
      <c r="A73" s="949"/>
      <c r="B73" s="914" t="str">
        <f t="shared" si="15"/>
        <v>Mustard - خردل</v>
      </c>
      <c r="C73" s="914" t="str">
        <f t="shared" si="15"/>
        <v>gm</v>
      </c>
      <c r="D73" s="914">
        <f t="shared" si="15"/>
        <v>25</v>
      </c>
      <c r="E73" s="918">
        <f t="shared" si="19"/>
        <v>5.5151515151515209</v>
      </c>
      <c r="F73" s="948">
        <f t="shared" si="16"/>
        <v>1</v>
      </c>
      <c r="G73" s="940">
        <f t="shared" si="17"/>
        <v>137.87878787878802</v>
      </c>
      <c r="H73" s="943">
        <f t="shared" si="18"/>
        <v>137.87878787878802</v>
      </c>
    </row>
    <row r="74" spans="1:8" x14ac:dyDescent="0.25">
      <c r="A74" s="949"/>
      <c r="B74" s="914" t="str">
        <f t="shared" si="15"/>
        <v>Sriracha Sauce - صوص سريراتشا</v>
      </c>
      <c r="C74" s="914" t="str">
        <f t="shared" si="15"/>
        <v>ml</v>
      </c>
      <c r="D74" s="914">
        <f t="shared" si="15"/>
        <v>30</v>
      </c>
      <c r="E74" s="918">
        <f t="shared" si="19"/>
        <v>5.5151515151515209</v>
      </c>
      <c r="F74" s="948">
        <f t="shared" si="16"/>
        <v>0.75</v>
      </c>
      <c r="G74" s="940">
        <f t="shared" si="17"/>
        <v>165.45454545454564</v>
      </c>
      <c r="H74" s="943">
        <f t="shared" si="18"/>
        <v>124.09090909090924</v>
      </c>
    </row>
    <row r="75" spans="1:8" x14ac:dyDescent="0.25">
      <c r="A75" s="949"/>
      <c r="B75" s="914" t="str">
        <f t="shared" si="15"/>
        <v>Cooking Cream - كريمة طبخ</v>
      </c>
      <c r="C75" s="914" t="str">
        <f t="shared" si="15"/>
        <v>ml</v>
      </c>
      <c r="D75" s="914">
        <f t="shared" si="15"/>
        <v>500</v>
      </c>
      <c r="E75" s="918">
        <f t="shared" si="19"/>
        <v>5.5151515151515209</v>
      </c>
      <c r="F75" s="948">
        <f t="shared" si="16"/>
        <v>1</v>
      </c>
      <c r="G75" s="940">
        <f t="shared" si="17"/>
        <v>2757.5757575757602</v>
      </c>
      <c r="H75" s="943">
        <f t="shared" si="18"/>
        <v>2757.5757575757602</v>
      </c>
    </row>
    <row r="76" spans="1:8" x14ac:dyDescent="0.25">
      <c r="A76" s="949" t="s">
        <v>866</v>
      </c>
      <c r="B76" s="914" t="str">
        <f t="shared" si="15"/>
        <v>Onion - بصل</v>
      </c>
      <c r="C76" s="914" t="str">
        <f t="shared" si="15"/>
        <v>gm</v>
      </c>
      <c r="D76" s="914">
        <f t="shared" si="15"/>
        <v>100</v>
      </c>
      <c r="E76" s="918">
        <f t="shared" si="19"/>
        <v>5.5151515151515209</v>
      </c>
      <c r="F76" s="948">
        <f t="shared" si="16"/>
        <v>0.95</v>
      </c>
      <c r="G76" s="940">
        <f t="shared" si="17"/>
        <v>551.51515151515207</v>
      </c>
      <c r="H76" s="943">
        <f t="shared" si="18"/>
        <v>523.93939393939445</v>
      </c>
    </row>
    <row r="77" spans="1:8" x14ac:dyDescent="0.25">
      <c r="A77" s="949"/>
      <c r="B77" s="914" t="str">
        <f t="shared" si="15"/>
        <v>Salt - ملح</v>
      </c>
      <c r="C77" s="914" t="str">
        <f t="shared" si="15"/>
        <v>gm</v>
      </c>
      <c r="D77" s="914">
        <f t="shared" si="15"/>
        <v>6</v>
      </c>
      <c r="E77" s="918">
        <f t="shared" si="19"/>
        <v>5.5151515151515209</v>
      </c>
      <c r="F77" s="948">
        <f t="shared" si="16"/>
        <v>0.75</v>
      </c>
      <c r="G77" s="940">
        <f t="shared" si="17"/>
        <v>33.090909090909122</v>
      </c>
      <c r="H77" s="943">
        <f t="shared" si="18"/>
        <v>24.818181818181841</v>
      </c>
    </row>
    <row r="78" spans="1:8" ht="25.5" x14ac:dyDescent="0.25">
      <c r="A78" s="949"/>
      <c r="B78" s="914" t="str">
        <f t="shared" si="15"/>
        <v>Saffron yellow color powder - لون صفار زعفران بودر</v>
      </c>
      <c r="C78" s="914" t="str">
        <f t="shared" si="15"/>
        <v>gm</v>
      </c>
      <c r="D78" s="914">
        <f t="shared" si="15"/>
        <v>2</v>
      </c>
      <c r="E78" s="918">
        <f t="shared" si="19"/>
        <v>5.5151515151515209</v>
      </c>
      <c r="F78" s="948">
        <f t="shared" si="16"/>
        <v>1</v>
      </c>
      <c r="G78" s="940">
        <f t="shared" si="17"/>
        <v>11.030303030303042</v>
      </c>
      <c r="H78" s="943">
        <f t="shared" si="18"/>
        <v>11.030303030303042</v>
      </c>
    </row>
    <row r="79" spans="1:8" x14ac:dyDescent="0.25">
      <c r="A79" s="949"/>
      <c r="B79" s="914" t="str">
        <f t="shared" ref="B79:D79" si="20">B19</f>
        <v>Butter - زبدة</v>
      </c>
      <c r="C79" s="914" t="str">
        <f t="shared" si="20"/>
        <v>gm</v>
      </c>
      <c r="D79" s="914">
        <f t="shared" si="20"/>
        <v>20</v>
      </c>
      <c r="E79" s="918">
        <f t="shared" si="19"/>
        <v>5.5151515151515209</v>
      </c>
      <c r="F79" s="948">
        <f t="shared" si="16"/>
        <v>1</v>
      </c>
      <c r="G79" s="940">
        <f t="shared" ref="G79:G80" si="21">D79*E79</f>
        <v>110.30303030303043</v>
      </c>
      <c r="H79" s="943">
        <f t="shared" ref="H79:H80" si="22">G79*F79</f>
        <v>110.30303030303043</v>
      </c>
    </row>
    <row r="80" spans="1:8" x14ac:dyDescent="0.25">
      <c r="A80" s="949"/>
      <c r="B80" s="914" t="str">
        <f t="shared" ref="B80:D80" si="23">B20</f>
        <v>Corn Starch - نشا ذرة</v>
      </c>
      <c r="C80" s="914" t="str">
        <f t="shared" si="23"/>
        <v>gm</v>
      </c>
      <c r="D80" s="914">
        <f t="shared" si="23"/>
        <v>30</v>
      </c>
      <c r="E80" s="918">
        <f t="shared" si="19"/>
        <v>5.5151515151515209</v>
      </c>
      <c r="F80" s="948">
        <f t="shared" si="16"/>
        <v>0.75</v>
      </c>
      <c r="G80" s="940">
        <f t="shared" si="21"/>
        <v>165.45454545454564</v>
      </c>
      <c r="H80" s="943">
        <f t="shared" si="22"/>
        <v>124.09090909090924</v>
      </c>
    </row>
    <row r="81" spans="1:8" ht="18" x14ac:dyDescent="0.25">
      <c r="A81" s="1070"/>
      <c r="B81" s="1041" t="s">
        <v>287</v>
      </c>
      <c r="C81" s="1042" t="s">
        <v>273</v>
      </c>
      <c r="D81" s="1043"/>
      <c r="E81" s="1044" t="s">
        <v>288</v>
      </c>
      <c r="F81" s="1043"/>
      <c r="G81" s="1045" t="s">
        <v>264</v>
      </c>
      <c r="H81" s="1046" t="s">
        <v>661</v>
      </c>
    </row>
    <row r="82" spans="1:8" ht="20.25" x14ac:dyDescent="0.3">
      <c r="A82" s="1070"/>
      <c r="B82" s="1047">
        <f>$J$53</f>
        <v>18199.999999999993</v>
      </c>
      <c r="C82" s="1048">
        <f>E82+G82</f>
        <v>5460.0000000000055</v>
      </c>
      <c r="D82" s="1049"/>
      <c r="E82" s="1047">
        <f>$D$53*$S$44</f>
        <v>5460.0000000000055</v>
      </c>
      <c r="F82" s="1050"/>
      <c r="G82" s="1048">
        <f>$D$53*$T$44</f>
        <v>0</v>
      </c>
      <c r="H82" s="1047">
        <f>B82+E82</f>
        <v>23660</v>
      </c>
    </row>
  </sheetData>
  <mergeCells count="12">
    <mergeCell ref="AK2:AM2"/>
    <mergeCell ref="B63:H63"/>
    <mergeCell ref="L2:L3"/>
    <mergeCell ref="B2:J3"/>
    <mergeCell ref="AE2:AG3"/>
    <mergeCell ref="R26:U26"/>
    <mergeCell ref="R25:U25"/>
    <mergeCell ref="M2:M3"/>
    <mergeCell ref="B62:H62"/>
    <mergeCell ref="N2:N3"/>
    <mergeCell ref="K2:K3"/>
    <mergeCell ref="B35:F35"/>
  </mergeCells>
  <printOptions horizontalCentered="1"/>
  <pageMargins left="0.4" right="0.4" top="1" bottom="0.5" header="0.3" footer="0.511811023622047"/>
  <pageSetup paperSize="9" scale="69" orientation="landscape" r:id="rId1"/>
  <headerFooter>
    <oddHeader>&amp;C&amp;B&amp;16Chicken Pasta with Vegetable</oddHeader>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BF9000"/>
    <pageSetUpPr fitToPage="1"/>
  </sheetPr>
  <dimension ref="A1:AG104"/>
  <sheetViews>
    <sheetView zoomScale="55" zoomScaleNormal="55" workbookViewId="0">
      <selection activeCell="B63" sqref="B63:H63"/>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5" style="14" customWidth="1"/>
    <col min="15" max="15" width="18.625" style="14" customWidth="1"/>
    <col min="16" max="16" width="1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ol min="25" max="25" width="8.625" style="14" customWidth="1"/>
    <col min="26" max="29" width="12.625" style="14" customWidth="1"/>
    <col min="30" max="30" width="8.625" style="14" customWidth="1"/>
    <col min="31" max="16384" width="12.5" style="14"/>
  </cols>
  <sheetData>
    <row r="1" spans="1:33" ht="25.5" x14ac:dyDescent="0.25">
      <c r="B1" s="913" t="s">
        <v>231</v>
      </c>
      <c r="C1" s="914">
        <v>1000</v>
      </c>
      <c r="D1" s="915" t="s">
        <v>232</v>
      </c>
      <c r="E1" s="941">
        <f>T32</f>
        <v>9464</v>
      </c>
      <c r="F1" s="913" t="s">
        <v>233</v>
      </c>
      <c r="G1" s="1040">
        <f>E1/C1</f>
        <v>9.4640000000000004</v>
      </c>
      <c r="H1" s="913" t="s">
        <v>234</v>
      </c>
      <c r="I1" s="1040">
        <f>(G1/K1)</f>
        <v>9.5595959595959599</v>
      </c>
      <c r="J1" s="919" t="s">
        <v>235</v>
      </c>
      <c r="K1" s="914">
        <v>0.99</v>
      </c>
      <c r="L1" s="80"/>
      <c r="M1" s="70"/>
      <c r="N1" s="71"/>
      <c r="O1" s="72" t="s">
        <v>236</v>
      </c>
      <c r="P1" s="80"/>
      <c r="Q1" s="74" t="s">
        <v>504</v>
      </c>
      <c r="R1" s="890">
        <v>2.5</v>
      </c>
      <c r="T1" s="890"/>
      <c r="W1" s="890"/>
      <c r="Y1" s="923" t="s">
        <v>444</v>
      </c>
      <c r="Z1" s="925">
        <v>23160</v>
      </c>
      <c r="AA1" s="923" t="s">
        <v>544</v>
      </c>
      <c r="AB1" s="925">
        <v>500</v>
      </c>
      <c r="AC1" s="923" t="s">
        <v>537</v>
      </c>
      <c r="AD1" s="925">
        <v>162</v>
      </c>
      <c r="AE1" s="168"/>
      <c r="AF1" s="170"/>
      <c r="AG1" s="73"/>
    </row>
    <row r="2" spans="1:33" ht="15.75" x14ac:dyDescent="0.25">
      <c r="A2" s="863"/>
      <c r="B2" s="1784" t="s">
        <v>371</v>
      </c>
      <c r="C2" s="1797"/>
      <c r="D2" s="1798"/>
      <c r="E2" s="1798"/>
      <c r="F2" s="1798"/>
      <c r="G2" s="1797"/>
      <c r="H2" s="1798"/>
      <c r="I2" s="1797"/>
      <c r="J2" s="1797"/>
      <c r="K2" s="1784"/>
      <c r="L2" s="1840"/>
      <c r="M2" s="80"/>
      <c r="N2" s="80"/>
      <c r="O2" s="80"/>
      <c r="P2" s="80"/>
      <c r="Q2" s="80"/>
      <c r="R2" s="80"/>
      <c r="T2" s="890"/>
      <c r="W2" s="890"/>
      <c r="AC2" s="79"/>
      <c r="AD2" s="79"/>
      <c r="AE2" s="1795"/>
      <c r="AF2" s="1799"/>
      <c r="AG2" s="1799"/>
    </row>
    <row r="3" spans="1:33" ht="15.75" x14ac:dyDescent="0.25">
      <c r="A3" s="863"/>
      <c r="B3" s="1785"/>
      <c r="C3" s="1796"/>
      <c r="D3" s="1785"/>
      <c r="E3" s="1785"/>
      <c r="F3" s="1785"/>
      <c r="G3" s="1796"/>
      <c r="H3" s="1785"/>
      <c r="I3" s="1796"/>
      <c r="J3" s="1796"/>
      <c r="K3" s="1802"/>
      <c r="L3" s="1841"/>
      <c r="M3" s="80"/>
      <c r="N3" s="80"/>
      <c r="O3" s="80"/>
      <c r="P3" s="80"/>
      <c r="Q3" s="80"/>
      <c r="R3" s="80"/>
      <c r="T3" s="890"/>
      <c r="W3" s="890"/>
      <c r="AC3" s="79"/>
      <c r="AD3" s="79"/>
      <c r="AE3" s="1799"/>
      <c r="AF3" s="1799"/>
      <c r="AG3" s="1799"/>
    </row>
    <row r="4" spans="1:33" ht="25.5" x14ac:dyDescent="0.2">
      <c r="A4" s="1350" t="s">
        <v>864</v>
      </c>
      <c r="B4" s="923" t="s">
        <v>241</v>
      </c>
      <c r="C4" s="934" t="s">
        <v>242</v>
      </c>
      <c r="D4" s="923" t="s">
        <v>231</v>
      </c>
      <c r="E4" s="935" t="s">
        <v>234</v>
      </c>
      <c r="F4" s="935" t="s">
        <v>243</v>
      </c>
      <c r="G4" s="923" t="s">
        <v>244</v>
      </c>
      <c r="H4" s="936" t="s">
        <v>334</v>
      </c>
      <c r="I4" s="923" t="s">
        <v>246</v>
      </c>
      <c r="J4" s="923" t="s">
        <v>247</v>
      </c>
      <c r="K4" s="923" t="s">
        <v>248</v>
      </c>
      <c r="L4" s="923" t="s">
        <v>249</v>
      </c>
      <c r="M4" s="80"/>
      <c r="N4" s="80"/>
      <c r="O4" s="80"/>
      <c r="P4" s="80"/>
      <c r="R4" s="890"/>
      <c r="T4" s="890"/>
      <c r="W4" s="890"/>
      <c r="AA4" s="169"/>
      <c r="AB4" s="171"/>
      <c r="AC4" s="169"/>
      <c r="AD4" s="169"/>
      <c r="AE4" s="169"/>
    </row>
    <row r="5" spans="1:33" x14ac:dyDescent="0.2">
      <c r="A5" s="937"/>
      <c r="B5" s="914" t="s">
        <v>505</v>
      </c>
      <c r="C5" s="939" t="s">
        <v>14</v>
      </c>
      <c r="D5" s="944">
        <f>I51/H51</f>
        <v>600</v>
      </c>
      <c r="E5" s="1040">
        <f>$I$1</f>
        <v>9.5595959595959599</v>
      </c>
      <c r="F5" s="942">
        <v>1</v>
      </c>
      <c r="G5" s="944">
        <f>D5*E5</f>
        <v>5735.757575757576</v>
      </c>
      <c r="H5" s="943">
        <f>G5*F5</f>
        <v>5735.757575757576</v>
      </c>
      <c r="I5" s="914">
        <f>VLOOKUP(B5,All_Ingredients!$A$1:$F$161,6,FALSE())</f>
        <v>1</v>
      </c>
      <c r="J5" s="940">
        <f>VLOOKUP(B5,All_Ingredients!$A$1:$J$161,10,FALSE())</f>
        <v>9.2592592592592595</v>
      </c>
      <c r="K5" s="945">
        <f t="shared" ref="K5" si="0">(H5/I5)/1000</f>
        <v>5.7357575757575763</v>
      </c>
      <c r="L5" s="945">
        <f>J5*K5</f>
        <v>53.108866442199783</v>
      </c>
      <c r="M5" s="80"/>
      <c r="N5" s="80"/>
      <c r="O5" s="80"/>
      <c r="P5" s="80"/>
      <c r="R5" s="890"/>
      <c r="T5" s="890"/>
      <c r="W5" s="890"/>
      <c r="AA5" s="73"/>
      <c r="AB5" s="89"/>
      <c r="AC5" s="172"/>
      <c r="AD5" s="90"/>
      <c r="AE5" s="91"/>
    </row>
    <row r="6" spans="1:33" x14ac:dyDescent="0.25">
      <c r="A6" s="949"/>
      <c r="B6" s="914" t="s">
        <v>706</v>
      </c>
      <c r="C6" s="947" t="s">
        <v>14</v>
      </c>
      <c r="D6" s="914">
        <v>20</v>
      </c>
      <c r="E6" s="1040">
        <f t="shared" ref="E6:E19" si="1">$I$1</f>
        <v>9.5595959595959599</v>
      </c>
      <c r="F6" s="948">
        <v>1</v>
      </c>
      <c r="G6" s="944">
        <f t="shared" ref="G6:G19" si="2">D6*E6</f>
        <v>191.1919191919192</v>
      </c>
      <c r="H6" s="943">
        <f t="shared" ref="H6:H19" si="3">G6*F6</f>
        <v>191.1919191919192</v>
      </c>
      <c r="I6" s="914">
        <f>VLOOKUP(B6,All_Ingredients!$A$1:$F$161,6,FALSE())</f>
        <v>1</v>
      </c>
      <c r="J6" s="940">
        <f>VLOOKUP(B6,All_Ingredients!$A$1:$J$161,10,FALSE())</f>
        <v>10.5</v>
      </c>
      <c r="K6" s="945">
        <f t="shared" ref="K6:K19" si="4">(H6/I6)/1000</f>
        <v>0.19119191919191919</v>
      </c>
      <c r="L6" s="945">
        <f>J6*K6</f>
        <v>2.0075151515151517</v>
      </c>
      <c r="R6" s="890"/>
      <c r="T6" s="890"/>
      <c r="W6" s="890"/>
    </row>
    <row r="7" spans="1:33" x14ac:dyDescent="0.25">
      <c r="A7" s="949"/>
      <c r="B7" s="914" t="s">
        <v>54</v>
      </c>
      <c r="C7" s="947" t="s">
        <v>14</v>
      </c>
      <c r="D7" s="914">
        <v>20</v>
      </c>
      <c r="E7" s="1040">
        <f t="shared" si="1"/>
        <v>9.5595959595959599</v>
      </c>
      <c r="F7" s="948">
        <v>1</v>
      </c>
      <c r="G7" s="944">
        <f t="shared" si="2"/>
        <v>191.1919191919192</v>
      </c>
      <c r="H7" s="943">
        <f t="shared" si="3"/>
        <v>191.1919191919192</v>
      </c>
      <c r="I7" s="914">
        <f>VLOOKUP(B7,All_Ingredients!$A$1:$F$161,6,FALSE())</f>
        <v>0.87</v>
      </c>
      <c r="J7" s="940">
        <f>VLOOKUP(B7,All_Ingredients!$A$1:$J$161,10,FALSE())</f>
        <v>7</v>
      </c>
      <c r="K7" s="945">
        <f t="shared" si="4"/>
        <v>0.21976082665737839</v>
      </c>
      <c r="L7" s="945">
        <f t="shared" ref="L7:L19" si="5">J7*K7</f>
        <v>1.5383257866016486</v>
      </c>
      <c r="R7" s="890"/>
      <c r="T7" s="890"/>
      <c r="W7" s="890"/>
    </row>
    <row r="8" spans="1:33" x14ac:dyDescent="0.25">
      <c r="A8" s="949"/>
      <c r="B8" s="914" t="s">
        <v>183</v>
      </c>
      <c r="C8" s="947" t="s">
        <v>14</v>
      </c>
      <c r="D8" s="914">
        <v>50</v>
      </c>
      <c r="E8" s="1040">
        <f t="shared" si="1"/>
        <v>9.5595959595959599</v>
      </c>
      <c r="F8" s="948">
        <v>1</v>
      </c>
      <c r="G8" s="944">
        <f t="shared" si="2"/>
        <v>477.97979797979798</v>
      </c>
      <c r="H8" s="943">
        <f t="shared" si="3"/>
        <v>477.97979797979798</v>
      </c>
      <c r="I8" s="914">
        <f>VLOOKUP(B8,All_Ingredients!$A$1:$F$161,6,FALSE())</f>
        <v>1</v>
      </c>
      <c r="J8" s="940">
        <f>VLOOKUP(B8,All_Ingredients!$A$1:$J$161,10,FALSE())</f>
        <v>17</v>
      </c>
      <c r="K8" s="945">
        <f t="shared" si="4"/>
        <v>0.477979797979798</v>
      </c>
      <c r="L8" s="945">
        <f t="shared" si="5"/>
        <v>8.1256565656565662</v>
      </c>
      <c r="R8" s="890"/>
      <c r="T8" s="890"/>
      <c r="W8" s="890"/>
    </row>
    <row r="9" spans="1:33" x14ac:dyDescent="0.25">
      <c r="A9" s="949"/>
      <c r="B9" s="914" t="s">
        <v>198</v>
      </c>
      <c r="C9" s="1157" t="s">
        <v>160</v>
      </c>
      <c r="D9" s="914">
        <v>200</v>
      </c>
      <c r="E9" s="1040">
        <f t="shared" si="1"/>
        <v>9.5595959595959599</v>
      </c>
      <c r="F9" s="948">
        <v>1</v>
      </c>
      <c r="G9" s="944">
        <f t="shared" si="2"/>
        <v>1911.9191919191919</v>
      </c>
      <c r="H9" s="943">
        <f t="shared" si="3"/>
        <v>1911.9191919191919</v>
      </c>
      <c r="I9" s="914">
        <f>VLOOKUP(B9,All_Ingredients!$A$1:$F$161,6,FALSE())</f>
        <v>1</v>
      </c>
      <c r="J9" s="940">
        <f>VLOOKUP(B9,All_Ingredients!$A$1:$J$161,10,FALSE())</f>
        <v>3.25</v>
      </c>
      <c r="K9" s="945">
        <f t="shared" si="4"/>
        <v>1.911919191919192</v>
      </c>
      <c r="L9" s="945">
        <f t="shared" si="5"/>
        <v>6.2137373737373744</v>
      </c>
      <c r="R9" s="890"/>
      <c r="T9" s="890"/>
      <c r="W9" s="890"/>
    </row>
    <row r="10" spans="1:33" x14ac:dyDescent="0.25">
      <c r="A10" s="949"/>
      <c r="B10" s="938" t="s">
        <v>678</v>
      </c>
      <c r="C10" s="947" t="s">
        <v>14</v>
      </c>
      <c r="D10" s="914">
        <v>20</v>
      </c>
      <c r="E10" s="1040">
        <f t="shared" si="1"/>
        <v>9.5595959595959599</v>
      </c>
      <c r="F10" s="948">
        <v>1</v>
      </c>
      <c r="G10" s="944">
        <f t="shared" si="2"/>
        <v>191.1919191919192</v>
      </c>
      <c r="H10" s="943">
        <f t="shared" si="3"/>
        <v>191.1919191919192</v>
      </c>
      <c r="I10" s="914">
        <f>VLOOKUP(B10,All_Ingredients!$A$1:$F$161,6,FALSE())</f>
        <v>1</v>
      </c>
      <c r="J10" s="940">
        <f>VLOOKUP(B10,All_Ingredients!$A$1:$J$161,10,FALSE())</f>
        <v>8.1520833333333336</v>
      </c>
      <c r="K10" s="945">
        <f t="shared" si="4"/>
        <v>0.19119191919191919</v>
      </c>
      <c r="L10" s="945">
        <f t="shared" si="5"/>
        <v>1.5586124579124578</v>
      </c>
      <c r="R10" s="890"/>
      <c r="T10" s="890"/>
      <c r="W10" s="890"/>
    </row>
    <row r="11" spans="1:33" x14ac:dyDescent="0.25">
      <c r="A11" s="949"/>
      <c r="B11" s="914" t="s">
        <v>139</v>
      </c>
      <c r="C11" s="947" t="s">
        <v>14</v>
      </c>
      <c r="D11" s="914">
        <v>10</v>
      </c>
      <c r="E11" s="1040">
        <f t="shared" si="1"/>
        <v>9.5595959595959599</v>
      </c>
      <c r="F11" s="948">
        <v>0.75</v>
      </c>
      <c r="G11" s="944">
        <f t="shared" si="2"/>
        <v>95.595959595959599</v>
      </c>
      <c r="H11" s="943">
        <f t="shared" si="3"/>
        <v>71.696969696969703</v>
      </c>
      <c r="I11" s="914">
        <f>VLOOKUP(B11,All_Ingredients!$A$1:$F$161,6,FALSE())</f>
        <v>1</v>
      </c>
      <c r="J11" s="940">
        <f>VLOOKUP(B11,All_Ingredients!$A$1:$J$161,10,FALSE())</f>
        <v>15.277777777777779</v>
      </c>
      <c r="K11" s="945">
        <f t="shared" si="4"/>
        <v>7.1696969696969703E-2</v>
      </c>
      <c r="L11" s="945">
        <f t="shared" si="5"/>
        <v>1.0953703703703705</v>
      </c>
      <c r="R11" s="890"/>
      <c r="T11" s="890"/>
      <c r="W11" s="890"/>
    </row>
    <row r="12" spans="1:33" x14ac:dyDescent="0.25">
      <c r="A12" s="949"/>
      <c r="B12" s="914" t="s">
        <v>159</v>
      </c>
      <c r="C12" s="947" t="s">
        <v>160</v>
      </c>
      <c r="D12" s="914">
        <v>100</v>
      </c>
      <c r="E12" s="1040">
        <f t="shared" si="1"/>
        <v>9.5595959595959599</v>
      </c>
      <c r="F12" s="948">
        <v>1</v>
      </c>
      <c r="G12" s="944">
        <f t="shared" si="2"/>
        <v>955.95959595959596</v>
      </c>
      <c r="H12" s="943">
        <f t="shared" si="3"/>
        <v>955.95959595959596</v>
      </c>
      <c r="I12" s="914">
        <f>VLOOKUP(B12,All_Ingredients!$A$1:$F$161,6,FALSE())</f>
        <v>1</v>
      </c>
      <c r="J12" s="940">
        <f>VLOOKUP(B12,All_Ingredients!$A$1:$J$161,10,FALSE())</f>
        <v>4.2033333333333331</v>
      </c>
      <c r="K12" s="945">
        <f t="shared" si="4"/>
        <v>0.95595959595959601</v>
      </c>
      <c r="L12" s="945">
        <f t="shared" si="5"/>
        <v>4.018216835016835</v>
      </c>
      <c r="R12" s="890"/>
      <c r="T12" s="890"/>
      <c r="W12" s="890"/>
    </row>
    <row r="13" spans="1:33" x14ac:dyDescent="0.25">
      <c r="A13" s="949"/>
      <c r="B13" s="914" t="s">
        <v>202</v>
      </c>
      <c r="C13" s="947" t="s">
        <v>14</v>
      </c>
      <c r="D13" s="914">
        <v>25</v>
      </c>
      <c r="E13" s="1040">
        <f t="shared" si="1"/>
        <v>9.5595959595959599</v>
      </c>
      <c r="F13" s="948">
        <v>1</v>
      </c>
      <c r="G13" s="944">
        <f t="shared" si="2"/>
        <v>238.98989898989899</v>
      </c>
      <c r="H13" s="943">
        <f t="shared" si="3"/>
        <v>238.98989898989899</v>
      </c>
      <c r="I13" s="914">
        <f>VLOOKUP(B13,All_Ingredients!$A$1:$F$161,6,FALSE())</f>
        <v>1</v>
      </c>
      <c r="J13" s="940">
        <f>VLOOKUP(B13,All_Ingredients!$A$1:$J$161,10,FALSE())</f>
        <v>11.243386243386244</v>
      </c>
      <c r="K13" s="945">
        <f t="shared" si="4"/>
        <v>0.238989898989899</v>
      </c>
      <c r="L13" s="945">
        <f t="shared" si="5"/>
        <v>2.6870557426112982</v>
      </c>
      <c r="R13" s="890"/>
      <c r="T13" s="890"/>
      <c r="W13" s="890"/>
    </row>
    <row r="14" spans="1:33" x14ac:dyDescent="0.25">
      <c r="A14" s="949"/>
      <c r="B14" s="914" t="s">
        <v>192</v>
      </c>
      <c r="C14" s="947" t="s">
        <v>160</v>
      </c>
      <c r="D14" s="914">
        <v>30</v>
      </c>
      <c r="E14" s="1040">
        <f t="shared" si="1"/>
        <v>9.5595959595959599</v>
      </c>
      <c r="F14" s="948">
        <v>0.75</v>
      </c>
      <c r="G14" s="944">
        <f t="shared" si="2"/>
        <v>286.78787878787881</v>
      </c>
      <c r="H14" s="943">
        <f t="shared" si="3"/>
        <v>215.09090909090912</v>
      </c>
      <c r="I14" s="914">
        <f>VLOOKUP(B14,All_Ingredients!$A$1:$F$161,6,FALSE())</f>
        <v>1</v>
      </c>
      <c r="J14" s="940">
        <f>VLOOKUP(B14,All_Ingredients!$A$1:$J$161,10,FALSE())</f>
        <v>58.685446009389672</v>
      </c>
      <c r="K14" s="945">
        <f t="shared" si="4"/>
        <v>0.21509090909090911</v>
      </c>
      <c r="L14" s="945">
        <f t="shared" si="5"/>
        <v>12.622705932565088</v>
      </c>
      <c r="R14" s="890"/>
      <c r="T14" s="890"/>
      <c r="W14" s="890"/>
    </row>
    <row r="15" spans="1:33" x14ac:dyDescent="0.25">
      <c r="A15" s="949"/>
      <c r="B15" s="914" t="s">
        <v>166</v>
      </c>
      <c r="C15" s="947" t="s">
        <v>160</v>
      </c>
      <c r="D15" s="914">
        <v>500</v>
      </c>
      <c r="E15" s="1040">
        <f t="shared" si="1"/>
        <v>9.5595959595959599</v>
      </c>
      <c r="F15" s="948">
        <v>1</v>
      </c>
      <c r="G15" s="944">
        <f t="shared" si="2"/>
        <v>4779.7979797979797</v>
      </c>
      <c r="H15" s="943">
        <f t="shared" si="3"/>
        <v>4779.7979797979797</v>
      </c>
      <c r="I15" s="914">
        <f>VLOOKUP(B15,All_Ingredients!$A$1:$F$161,6,FALSE())</f>
        <v>1</v>
      </c>
      <c r="J15" s="940">
        <f>VLOOKUP(B15,All_Ingredients!$A$1:$J$161,10,FALSE())</f>
        <v>12.666666666666666</v>
      </c>
      <c r="K15" s="945">
        <f t="shared" si="4"/>
        <v>4.7797979797979799</v>
      </c>
      <c r="L15" s="945">
        <f t="shared" si="5"/>
        <v>60.544107744107741</v>
      </c>
      <c r="R15" s="890"/>
      <c r="T15" s="890"/>
      <c r="W15" s="890"/>
    </row>
    <row r="16" spans="1:33" x14ac:dyDescent="0.25">
      <c r="A16" s="949"/>
      <c r="B16" s="914" t="s">
        <v>12</v>
      </c>
      <c r="C16" s="947" t="s">
        <v>14</v>
      </c>
      <c r="D16" s="914">
        <v>100</v>
      </c>
      <c r="E16" s="1040">
        <f t="shared" si="1"/>
        <v>9.5595959595959599</v>
      </c>
      <c r="F16" s="948">
        <v>0.95</v>
      </c>
      <c r="G16" s="944">
        <f t="shared" si="2"/>
        <v>955.95959595959596</v>
      </c>
      <c r="H16" s="943">
        <f t="shared" si="3"/>
        <v>908.16161616161617</v>
      </c>
      <c r="I16" s="914">
        <f>VLOOKUP(B16,All_Ingredients!$A$1:$F$161,6,FALSE())</f>
        <v>0.9</v>
      </c>
      <c r="J16" s="940">
        <f>VLOOKUP(B16,All_Ingredients!$A$1:$J$161,10,FALSE())</f>
        <v>3</v>
      </c>
      <c r="K16" s="945">
        <f t="shared" si="4"/>
        <v>1.0090684624017958</v>
      </c>
      <c r="L16" s="945">
        <f t="shared" si="5"/>
        <v>3.0272053872053872</v>
      </c>
      <c r="R16" s="890"/>
      <c r="T16" s="890"/>
      <c r="W16" s="890"/>
    </row>
    <row r="17" spans="1:29" x14ac:dyDescent="0.25">
      <c r="A17" s="949"/>
      <c r="B17" s="914" t="s">
        <v>93</v>
      </c>
      <c r="C17" s="947" t="s">
        <v>14</v>
      </c>
      <c r="D17" s="914">
        <v>6</v>
      </c>
      <c r="E17" s="1040">
        <f t="shared" si="1"/>
        <v>9.5595959595959599</v>
      </c>
      <c r="F17" s="948">
        <v>0.75</v>
      </c>
      <c r="G17" s="944">
        <f t="shared" si="2"/>
        <v>57.357575757575759</v>
      </c>
      <c r="H17" s="943">
        <f t="shared" si="3"/>
        <v>43.018181818181816</v>
      </c>
      <c r="I17" s="914">
        <f>VLOOKUP(B17,All_Ingredients!$A$1:$F$161,6,FALSE())</f>
        <v>1</v>
      </c>
      <c r="J17" s="940">
        <f>VLOOKUP(B17,All_Ingredients!$A$1:$J$161,10,FALSE())</f>
        <v>0.74</v>
      </c>
      <c r="K17" s="945">
        <f t="shared" si="4"/>
        <v>4.3018181818181817E-2</v>
      </c>
      <c r="L17" s="945">
        <f t="shared" si="5"/>
        <v>3.1833454545454547E-2</v>
      </c>
      <c r="R17" s="890"/>
      <c r="T17" s="890"/>
      <c r="W17" s="890"/>
    </row>
    <row r="18" spans="1:29" ht="29.25" x14ac:dyDescent="0.25">
      <c r="A18" s="949"/>
      <c r="B18" s="960" t="s">
        <v>799</v>
      </c>
      <c r="C18" s="947" t="s">
        <v>14</v>
      </c>
      <c r="D18" s="914">
        <v>2</v>
      </c>
      <c r="E18" s="1040">
        <f t="shared" si="1"/>
        <v>9.5595959595959599</v>
      </c>
      <c r="F18" s="948">
        <v>1</v>
      </c>
      <c r="G18" s="944">
        <f t="shared" si="2"/>
        <v>19.11919191919192</v>
      </c>
      <c r="H18" s="943">
        <f t="shared" si="3"/>
        <v>19.11919191919192</v>
      </c>
      <c r="I18" s="914">
        <f>VLOOKUP(B18,All_Ingredients!$A$1:$F$161,6,FALSE())</f>
        <v>1</v>
      </c>
      <c r="J18" s="940">
        <f>VLOOKUP(B18,All_Ingredients!$A$1:$J$161,10,FALSE())</f>
        <v>22.5</v>
      </c>
      <c r="K18" s="945">
        <f t="shared" si="4"/>
        <v>1.9119191919191921E-2</v>
      </c>
      <c r="L18" s="945">
        <f t="shared" si="5"/>
        <v>0.43018181818181822</v>
      </c>
      <c r="R18" s="890"/>
      <c r="T18" s="890"/>
      <c r="W18" s="890"/>
    </row>
    <row r="19" spans="1:29" x14ac:dyDescent="0.25">
      <c r="A19" s="949"/>
      <c r="B19" s="914" t="s">
        <v>152</v>
      </c>
      <c r="C19" s="947" t="s">
        <v>14</v>
      </c>
      <c r="D19" s="914">
        <v>20</v>
      </c>
      <c r="E19" s="1040">
        <f t="shared" si="1"/>
        <v>9.5595959595959599</v>
      </c>
      <c r="F19" s="948">
        <v>1</v>
      </c>
      <c r="G19" s="944">
        <f t="shared" si="2"/>
        <v>191.1919191919192</v>
      </c>
      <c r="H19" s="943">
        <f t="shared" si="3"/>
        <v>191.1919191919192</v>
      </c>
      <c r="I19" s="914">
        <f>VLOOKUP(B19,All_Ingredients!$A$1:$F$161,6,FALSE())</f>
        <v>1</v>
      </c>
      <c r="J19" s="940">
        <f>VLOOKUP(B19,All_Ingredients!$A$1:$J$161,10,FALSE())</f>
        <v>30</v>
      </c>
      <c r="K19" s="945">
        <f t="shared" si="4"/>
        <v>0.19119191919191919</v>
      </c>
      <c r="L19" s="945">
        <f t="shared" si="5"/>
        <v>5.7357575757575754</v>
      </c>
      <c r="R19" s="890"/>
      <c r="T19" s="890"/>
      <c r="W19" s="890"/>
    </row>
    <row r="20" spans="1:29" x14ac:dyDescent="0.25">
      <c r="B20" s="80"/>
      <c r="C20" s="125"/>
      <c r="D20" s="80"/>
      <c r="E20" s="80"/>
      <c r="F20" s="80"/>
      <c r="G20" s="125"/>
      <c r="H20" s="890"/>
      <c r="K20" s="890"/>
      <c r="L20" s="190"/>
      <c r="R20" s="890"/>
      <c r="T20" s="890"/>
      <c r="W20" s="890"/>
    </row>
    <row r="21" spans="1:29" x14ac:dyDescent="0.25">
      <c r="B21" s="890"/>
      <c r="D21" s="890"/>
      <c r="E21" s="890"/>
      <c r="F21" s="890"/>
      <c r="H21" s="890"/>
      <c r="K21" s="1150"/>
      <c r="L21" s="190"/>
      <c r="R21" s="890"/>
      <c r="T21" s="890"/>
      <c r="W21" s="890"/>
    </row>
    <row r="22" spans="1:29" x14ac:dyDescent="0.25">
      <c r="B22" s="890"/>
      <c r="D22" s="890"/>
      <c r="E22" s="890"/>
      <c r="F22" s="890"/>
      <c r="H22" s="890"/>
      <c r="K22" s="1150"/>
      <c r="L22" s="190"/>
      <c r="R22" s="890"/>
      <c r="T22" s="890"/>
      <c r="W22" s="890"/>
    </row>
    <row r="23" spans="1:29" x14ac:dyDescent="0.25">
      <c r="B23" s="890"/>
      <c r="D23" s="890"/>
      <c r="E23" s="890"/>
      <c r="F23" s="890"/>
      <c r="H23" s="890"/>
      <c r="K23" s="1150"/>
      <c r="L23" s="190"/>
      <c r="R23" s="830"/>
      <c r="T23" s="890"/>
      <c r="W23" s="890"/>
    </row>
    <row r="24" spans="1:29" x14ac:dyDescent="0.25">
      <c r="B24" s="890"/>
      <c r="D24" s="890"/>
      <c r="E24" s="890"/>
      <c r="F24" s="890"/>
      <c r="H24" s="890"/>
      <c r="K24" s="1150"/>
      <c r="L24" s="190"/>
      <c r="R24" s="890"/>
      <c r="T24" s="890"/>
      <c r="W24" s="890"/>
      <c r="Z24" s="597"/>
    </row>
    <row r="25" spans="1:29" x14ac:dyDescent="0.25">
      <c r="B25" s="890"/>
      <c r="D25" s="890"/>
      <c r="E25" s="890"/>
      <c r="F25" s="890"/>
      <c r="H25" s="890"/>
      <c r="K25" s="1150"/>
      <c r="L25" s="190"/>
      <c r="R25" s="1779" t="s">
        <v>372</v>
      </c>
      <c r="S25" s="1787"/>
      <c r="T25" s="1788"/>
      <c r="U25" s="1787"/>
      <c r="W25" s="890"/>
      <c r="Z25" s="982" t="s">
        <v>252</v>
      </c>
      <c r="AA25" s="989">
        <v>1</v>
      </c>
      <c r="AB25" s="982" t="s">
        <v>249</v>
      </c>
      <c r="AC25" s="985">
        <f>AC30*AA25</f>
        <v>6.8784931799655341E-3</v>
      </c>
    </row>
    <row r="26" spans="1:29" x14ac:dyDescent="0.25">
      <c r="B26" s="890"/>
      <c r="D26" s="890"/>
      <c r="E26" s="890"/>
      <c r="F26" s="890"/>
      <c r="H26" s="890"/>
      <c r="K26" s="1150"/>
      <c r="L26" s="190"/>
      <c r="R26" s="1786" t="s">
        <v>296</v>
      </c>
      <c r="S26" s="1787"/>
      <c r="T26" s="1788"/>
      <c r="U26" s="1787"/>
      <c r="W26" s="890"/>
    </row>
    <row r="27" spans="1:29" x14ac:dyDescent="0.25">
      <c r="B27" s="80"/>
      <c r="D27" s="890"/>
      <c r="E27" s="80"/>
      <c r="F27" s="80"/>
      <c r="H27" s="890"/>
      <c r="K27" s="890"/>
      <c r="R27" s="961" t="s">
        <v>254</v>
      </c>
      <c r="S27" s="962" t="s">
        <v>351</v>
      </c>
      <c r="T27" s="961" t="s">
        <v>256</v>
      </c>
      <c r="U27" s="962" t="s">
        <v>257</v>
      </c>
      <c r="W27" s="890"/>
      <c r="Z27" s="982" t="s">
        <v>258</v>
      </c>
      <c r="AA27" s="982" t="s">
        <v>259</v>
      </c>
      <c r="AB27" s="982" t="s">
        <v>260</v>
      </c>
      <c r="AC27" s="982" t="s">
        <v>262</v>
      </c>
    </row>
    <row r="28" spans="1:29" x14ac:dyDescent="0.25">
      <c r="B28" s="80"/>
      <c r="D28" s="890"/>
      <c r="E28" s="80"/>
      <c r="F28" s="80"/>
      <c r="H28" s="890"/>
      <c r="K28" s="890"/>
      <c r="R28" s="961" t="s">
        <v>263</v>
      </c>
      <c r="S28" s="975">
        <f>U28*S40</f>
        <v>13896</v>
      </c>
      <c r="T28" s="1132">
        <f>U28*U40</f>
        <v>9264</v>
      </c>
      <c r="U28" s="1391">
        <f>$Z$1</f>
        <v>23160</v>
      </c>
      <c r="W28" s="890"/>
      <c r="Z28" s="1086"/>
      <c r="AA28" s="985">
        <f>AA25*$S$40</f>
        <v>0.6</v>
      </c>
      <c r="AB28" s="985">
        <f>AA25*$U$40</f>
        <v>0.4</v>
      </c>
      <c r="AC28" s="1088">
        <f>SUM(AA28:AB28)</f>
        <v>1</v>
      </c>
    </row>
    <row r="29" spans="1:29" x14ac:dyDescent="0.25">
      <c r="B29" s="80"/>
      <c r="D29" s="890"/>
      <c r="E29" s="80"/>
      <c r="F29" s="80"/>
      <c r="H29" s="890"/>
      <c r="K29" s="890"/>
      <c r="R29" s="961" t="s">
        <v>264</v>
      </c>
      <c r="S29" s="974"/>
      <c r="T29" s="1132"/>
      <c r="U29" s="1464">
        <f>T29</f>
        <v>0</v>
      </c>
      <c r="W29" s="890"/>
      <c r="Z29" s="1086"/>
      <c r="AA29" s="1378">
        <f>AA28/$AC$28</f>
        <v>0.6</v>
      </c>
      <c r="AB29" s="1089">
        <f>AB28/$AC$28</f>
        <v>0.4</v>
      </c>
      <c r="AC29" s="1089">
        <f>AC28/$AC$28</f>
        <v>1</v>
      </c>
    </row>
    <row r="30" spans="1:29" x14ac:dyDescent="0.25">
      <c r="B30" s="80"/>
      <c r="D30" s="890"/>
      <c r="E30" s="80"/>
      <c r="F30" s="80"/>
      <c r="H30" s="890"/>
      <c r="K30" s="890"/>
      <c r="R30" s="961" t="s">
        <v>265</v>
      </c>
      <c r="S30" s="1465">
        <f>U30*S40</f>
        <v>300</v>
      </c>
      <c r="T30" s="1466">
        <f>U30*U40</f>
        <v>200</v>
      </c>
      <c r="U30" s="1391">
        <f>$AB$1</f>
        <v>500</v>
      </c>
      <c r="W30" s="890"/>
      <c r="Z30" s="982" t="s">
        <v>266</v>
      </c>
      <c r="AA30" s="1090">
        <f>S35/(S32)</f>
        <v>3.7411148522259641E-3</v>
      </c>
      <c r="AB30" s="1091">
        <f>T35/T32</f>
        <v>1.158456067157489E-2</v>
      </c>
      <c r="AC30" s="1467">
        <f>SUMPRODUCT(AA30:AB30,AA29:AB29)</f>
        <v>6.8784931799655341E-3</v>
      </c>
    </row>
    <row r="31" spans="1:29" x14ac:dyDescent="0.25">
      <c r="B31" s="80"/>
      <c r="D31" s="890"/>
      <c r="E31" s="80"/>
      <c r="F31" s="80"/>
      <c r="H31" s="890"/>
      <c r="K31" s="890"/>
      <c r="R31" s="961" t="s">
        <v>267</v>
      </c>
      <c r="S31" s="959"/>
      <c r="T31" s="967"/>
      <c r="U31" s="966"/>
      <c r="W31" s="890"/>
      <c r="AA31" s="579"/>
    </row>
    <row r="32" spans="1:29" x14ac:dyDescent="0.25">
      <c r="B32" s="80"/>
      <c r="D32" s="890"/>
      <c r="E32" s="80"/>
      <c r="F32" s="80"/>
      <c r="H32" s="890"/>
      <c r="K32" s="890"/>
      <c r="R32" s="961" t="s">
        <v>257</v>
      </c>
      <c r="S32" s="966">
        <f>SUM(S28:S30)</f>
        <v>14196</v>
      </c>
      <c r="T32" s="967">
        <f>SUM(T28:T30)</f>
        <v>9464</v>
      </c>
      <c r="U32" s="966">
        <f>SUM(U28:U30)</f>
        <v>23660</v>
      </c>
      <c r="W32" s="890"/>
    </row>
    <row r="33" spans="17:23" ht="30" x14ac:dyDescent="0.25">
      <c r="R33" s="976" t="s">
        <v>268</v>
      </c>
      <c r="S33" s="959"/>
      <c r="T33" s="960"/>
      <c r="U33" s="959"/>
      <c r="W33" s="890"/>
    </row>
    <row r="34" spans="17:23" x14ac:dyDescent="0.25">
      <c r="R34" s="961" t="s">
        <v>269</v>
      </c>
      <c r="S34" s="959"/>
      <c r="T34" s="967"/>
      <c r="U34" s="959"/>
      <c r="W34" s="890"/>
    </row>
    <row r="35" spans="17:23" x14ac:dyDescent="0.25">
      <c r="R35" s="977" t="s">
        <v>249</v>
      </c>
      <c r="S35" s="978">
        <f>$L$5</f>
        <v>53.108866442199783</v>
      </c>
      <c r="T35" s="979">
        <f>SUM(L6:L19)</f>
        <v>109.63628219578476</v>
      </c>
      <c r="U35" s="1136">
        <f>S35+T35</f>
        <v>162.74514863798453</v>
      </c>
      <c r="W35" s="890"/>
    </row>
    <row r="36" spans="17:23" x14ac:dyDescent="0.25">
      <c r="R36" s="890"/>
      <c r="T36" s="890"/>
      <c r="W36" s="890"/>
    </row>
    <row r="37" spans="17:23" x14ac:dyDescent="0.25">
      <c r="R37" s="890"/>
      <c r="T37" s="890"/>
      <c r="W37" s="890"/>
    </row>
    <row r="38" spans="17:23" x14ac:dyDescent="0.25">
      <c r="R38" s="890"/>
      <c r="T38" s="890"/>
      <c r="W38" s="890"/>
    </row>
    <row r="39" spans="17:23" x14ac:dyDescent="0.25">
      <c r="R39" s="890"/>
      <c r="T39" s="890"/>
      <c r="W39" s="890"/>
    </row>
    <row r="40" spans="17:23" ht="26.25" x14ac:dyDescent="0.25">
      <c r="R40" s="1011" t="s">
        <v>270</v>
      </c>
      <c r="S40" s="1012">
        <v>0.6</v>
      </c>
      <c r="T40" s="1011" t="s">
        <v>271</v>
      </c>
      <c r="U40" s="1013">
        <v>0.4</v>
      </c>
      <c r="V40" s="1014">
        <f>S40+U40</f>
        <v>1</v>
      </c>
      <c r="W40" s="890"/>
    </row>
    <row r="41" spans="17:23" x14ac:dyDescent="0.25">
      <c r="R41" s="890"/>
      <c r="T41" s="890"/>
      <c r="U41" s="123"/>
      <c r="W41" s="890"/>
    </row>
    <row r="42" spans="17:23" x14ac:dyDescent="0.25">
      <c r="R42" s="890"/>
      <c r="T42" s="890"/>
      <c r="W42" s="890"/>
    </row>
    <row r="43" spans="17:23" ht="26.25" x14ac:dyDescent="0.25">
      <c r="Q43" s="1015" t="s">
        <v>272</v>
      </c>
      <c r="R43" s="1011" t="s">
        <v>273</v>
      </c>
      <c r="S43" s="1015" t="s">
        <v>274</v>
      </c>
      <c r="T43" s="1011" t="s">
        <v>275</v>
      </c>
      <c r="U43" s="1015" t="s">
        <v>276</v>
      </c>
      <c r="V43" s="1015" t="s">
        <v>277</v>
      </c>
      <c r="W43" s="1011" t="s">
        <v>498</v>
      </c>
    </row>
    <row r="44" spans="17:23" x14ac:dyDescent="0.25">
      <c r="Q44" s="1380">
        <v>25000</v>
      </c>
      <c r="R44" s="1017">
        <f>D51</f>
        <v>10000</v>
      </c>
      <c r="S44" s="1024">
        <v>1</v>
      </c>
      <c r="T44" s="1025">
        <v>0</v>
      </c>
      <c r="U44" s="1096">
        <f>R44*S44</f>
        <v>10000</v>
      </c>
      <c r="V44" s="1021">
        <f>R44*T44</f>
        <v>0</v>
      </c>
      <c r="W44" s="1043">
        <f>Q44-U44</f>
        <v>15000</v>
      </c>
    </row>
    <row r="50" spans="1:10" x14ac:dyDescent="0.25">
      <c r="B50" s="961"/>
      <c r="C50" s="962" t="s">
        <v>233</v>
      </c>
      <c r="D50" s="961" t="s">
        <v>279</v>
      </c>
      <c r="E50" s="80"/>
      <c r="F50" s="80"/>
      <c r="G50" s="962" t="s">
        <v>280</v>
      </c>
      <c r="H50" s="961" t="s">
        <v>233</v>
      </c>
      <c r="I50" s="962" t="s">
        <v>497</v>
      </c>
      <c r="J50" s="962" t="s">
        <v>496</v>
      </c>
    </row>
    <row r="51" spans="1:10" x14ac:dyDescent="0.25">
      <c r="B51" s="1027" t="s">
        <v>283</v>
      </c>
      <c r="C51" s="1028">
        <f>10/$K$1</f>
        <v>10.1010101010101</v>
      </c>
      <c r="D51" s="1029">
        <f>$C$1*10</f>
        <v>10000</v>
      </c>
      <c r="E51" s="80"/>
      <c r="F51" s="80"/>
      <c r="G51" s="1033" t="s">
        <v>283</v>
      </c>
      <c r="H51" s="1122">
        <v>10</v>
      </c>
      <c r="I51" s="1028">
        <f>J51/$R$1</f>
        <v>6000</v>
      </c>
      <c r="J51" s="1028">
        <f>$W$44</f>
        <v>15000</v>
      </c>
    </row>
    <row r="52" spans="1:10" x14ac:dyDescent="0.25">
      <c r="B52" s="961" t="s">
        <v>262</v>
      </c>
      <c r="C52" s="1030">
        <f>$I$1</f>
        <v>9.5595959595959599</v>
      </c>
      <c r="D52" s="1031">
        <f>$E$1</f>
        <v>9464</v>
      </c>
      <c r="E52" s="80"/>
      <c r="F52" s="80"/>
      <c r="G52" s="962" t="s">
        <v>262</v>
      </c>
      <c r="H52" s="1384">
        <f>I52/$D$5</f>
        <v>9.4639999999999986</v>
      </c>
      <c r="I52" s="1021">
        <f>J52/$R$1</f>
        <v>5678.4</v>
      </c>
      <c r="J52" s="1030">
        <f>$S$32</f>
        <v>14196</v>
      </c>
    </row>
    <row r="53" spans="1:10" x14ac:dyDescent="0.25">
      <c r="B53" s="961" t="s">
        <v>284</v>
      </c>
      <c r="C53" s="1382">
        <f>MIN($C$52, C51)</f>
        <v>9.5595959595959599</v>
      </c>
      <c r="D53" s="1031">
        <f>(C53*$K$1)*$C$1</f>
        <v>9464</v>
      </c>
      <c r="E53" s="80"/>
      <c r="F53" s="80"/>
      <c r="G53" s="962" t="s">
        <v>284</v>
      </c>
      <c r="H53" s="1035">
        <f>MIN(H52,H51)</f>
        <v>9.4639999999999986</v>
      </c>
      <c r="I53" s="1021">
        <f>J53/$R$1</f>
        <v>5678.4</v>
      </c>
      <c r="J53" s="1021">
        <f>MIN(J52,J51)</f>
        <v>14196</v>
      </c>
    </row>
    <row r="54" spans="1:10" x14ac:dyDescent="0.25">
      <c r="B54" s="961"/>
      <c r="C54" s="1101">
        <f>MIN(MAX(C52-C53,0),C51)</f>
        <v>0</v>
      </c>
      <c r="D54" s="1031">
        <f>(C54*$K$1)*$C$1</f>
        <v>0</v>
      </c>
      <c r="E54" s="80"/>
      <c r="F54" s="80"/>
      <c r="G54" s="962" t="s">
        <v>285</v>
      </c>
      <c r="H54" s="1035">
        <f>MIN(MAX(H52-H53),H51)</f>
        <v>0</v>
      </c>
      <c r="I54" s="1021">
        <f>J54/$R$1</f>
        <v>0</v>
      </c>
      <c r="J54" s="1021">
        <f>MIN(MAX(J52-J53),J51)</f>
        <v>0</v>
      </c>
    </row>
    <row r="55" spans="1:10" x14ac:dyDescent="0.25">
      <c r="B55" s="961"/>
      <c r="C55" s="1032">
        <f>MIN(MAX($C$53-C53-C54,0),C51)</f>
        <v>0</v>
      </c>
      <c r="D55" s="1031">
        <f>(C55*$K$1)*$C$1</f>
        <v>0</v>
      </c>
      <c r="E55" s="80"/>
      <c r="F55" s="80"/>
      <c r="G55" s="962" t="s">
        <v>286</v>
      </c>
      <c r="H55" s="1035">
        <f>MIN(MAX(H52-H53-H54),H51)</f>
        <v>0</v>
      </c>
      <c r="I55" s="1021">
        <f>J55/$R$1</f>
        <v>0</v>
      </c>
      <c r="J55" s="1021">
        <f>MIN(MAX(J52-J53-J54),J51)</f>
        <v>0</v>
      </c>
    </row>
    <row r="56" spans="1:10" x14ac:dyDescent="0.25">
      <c r="B56" s="890"/>
      <c r="D56" s="890"/>
      <c r="E56" s="890"/>
      <c r="F56" s="890"/>
      <c r="H56" s="890"/>
    </row>
    <row r="57" spans="1:10" x14ac:dyDescent="0.25">
      <c r="B57" s="890"/>
      <c r="D57" s="890"/>
      <c r="E57" s="890"/>
      <c r="F57" s="890"/>
      <c r="H57" s="890"/>
    </row>
    <row r="58" spans="1:10" x14ac:dyDescent="0.25">
      <c r="B58" s="890"/>
      <c r="D58" s="890"/>
      <c r="E58" s="890"/>
      <c r="F58" s="890"/>
      <c r="H58" s="890"/>
    </row>
    <row r="59" spans="1:10" x14ac:dyDescent="0.25">
      <c r="B59" s="890"/>
      <c r="D59" s="890"/>
      <c r="E59" s="890"/>
      <c r="F59" s="890"/>
      <c r="H59" s="890"/>
    </row>
    <row r="60" spans="1:10" x14ac:dyDescent="0.25">
      <c r="B60" s="890"/>
      <c r="D60" s="890"/>
      <c r="E60" s="890"/>
      <c r="F60" s="890"/>
      <c r="H60" s="890"/>
    </row>
    <row r="61" spans="1:10" x14ac:dyDescent="0.25">
      <c r="B61" s="890"/>
      <c r="D61" s="890"/>
      <c r="E61" s="890"/>
      <c r="F61" s="890"/>
      <c r="H61" s="890"/>
    </row>
    <row r="62" spans="1:10" x14ac:dyDescent="0.25">
      <c r="A62" s="867"/>
      <c r="B62" s="1776" t="str">
        <f>"  باستا مكروني بالخضار 1 / " &amp; COUNTIF($C$53:$C$55, "&gt;0")</f>
        <v xml:space="preserve">  باستا مكروني بالخضار 1 / 1</v>
      </c>
      <c r="C62" s="1777"/>
      <c r="D62" s="1778"/>
      <c r="E62" s="1778"/>
      <c r="F62" s="1778"/>
      <c r="G62" s="1777"/>
      <c r="H62" s="1778"/>
    </row>
    <row r="63" spans="1:10" x14ac:dyDescent="0.25">
      <c r="A63" s="867"/>
      <c r="B63" s="1776" t="str">
        <f>" Pasta with Vegetables 1 / " &amp; COUNTIF($C$53:$C$55, "&gt;0")</f>
        <v xml:space="preserve"> Pasta with Vegetables 1 / 1</v>
      </c>
      <c r="C63" s="1777"/>
      <c r="D63" s="1778"/>
      <c r="E63" s="1778"/>
      <c r="F63" s="1778"/>
      <c r="G63" s="1777"/>
      <c r="H63" s="1778"/>
    </row>
    <row r="64" spans="1:10" ht="38.25" x14ac:dyDescent="0.2">
      <c r="A64" s="872"/>
      <c r="B64" s="923" t="s">
        <v>241</v>
      </c>
      <c r="C64" s="934" t="s">
        <v>242</v>
      </c>
      <c r="D64" s="923" t="s">
        <v>231</v>
      </c>
      <c r="E64" s="935" t="s">
        <v>234</v>
      </c>
      <c r="F64" s="935" t="s">
        <v>243</v>
      </c>
      <c r="G64" s="923" t="s">
        <v>244</v>
      </c>
      <c r="H64" s="936" t="s">
        <v>245</v>
      </c>
    </row>
    <row r="65" spans="1:8" x14ac:dyDescent="0.25">
      <c r="B65" s="914" t="str">
        <f t="shared" ref="B65:D79" si="6">B5</f>
        <v>Pasta Penne - مكرونة أقلام</v>
      </c>
      <c r="C65" s="947" t="str">
        <f t="shared" si="6"/>
        <v>gm</v>
      </c>
      <c r="D65" s="914">
        <f t="shared" si="6"/>
        <v>600</v>
      </c>
      <c r="E65" s="918">
        <f>$H$53</f>
        <v>9.4639999999999986</v>
      </c>
      <c r="F65" s="948">
        <f t="shared" ref="F65:F79" si="7">F5</f>
        <v>1</v>
      </c>
      <c r="G65" s="940">
        <f t="shared" ref="G65:G79" si="8">D65*E65</f>
        <v>5678.4</v>
      </c>
      <c r="H65" s="943">
        <f t="shared" ref="H65:H79" si="9">G65*F65</f>
        <v>5678.4</v>
      </c>
    </row>
    <row r="66" spans="1:8" x14ac:dyDescent="0.25">
      <c r="B66" s="914" t="str">
        <f t="shared" si="6"/>
        <v>Garlic - ثوم مقشر</v>
      </c>
      <c r="C66" s="947" t="str">
        <f t="shared" si="6"/>
        <v>gm</v>
      </c>
      <c r="D66" s="914">
        <f t="shared" si="6"/>
        <v>20</v>
      </c>
      <c r="E66" s="918">
        <f>$C$53</f>
        <v>9.5595959595959599</v>
      </c>
      <c r="F66" s="948">
        <f t="shared" si="7"/>
        <v>1</v>
      </c>
      <c r="G66" s="940">
        <f t="shared" si="8"/>
        <v>191.1919191919192</v>
      </c>
      <c r="H66" s="943">
        <f t="shared" si="9"/>
        <v>191.1919191919192</v>
      </c>
    </row>
    <row r="67" spans="1:8" x14ac:dyDescent="0.25">
      <c r="B67" s="914" t="str">
        <f t="shared" si="6"/>
        <v>Ginger - زنجبيل</v>
      </c>
      <c r="C67" s="947" t="str">
        <f t="shared" si="6"/>
        <v>gm</v>
      </c>
      <c r="D67" s="914">
        <f t="shared" si="6"/>
        <v>20</v>
      </c>
      <c r="E67" s="918">
        <f t="shared" ref="E67:E79" si="10">$C$53</f>
        <v>9.5595959595959599</v>
      </c>
      <c r="F67" s="948">
        <f t="shared" si="7"/>
        <v>1</v>
      </c>
      <c r="G67" s="940">
        <f t="shared" si="8"/>
        <v>191.1919191919192</v>
      </c>
      <c r="H67" s="943">
        <f t="shared" si="9"/>
        <v>191.1919191919192</v>
      </c>
    </row>
    <row r="68" spans="1:8" x14ac:dyDescent="0.25">
      <c r="B68" s="914" t="str">
        <f t="shared" si="6"/>
        <v>Honey - عسل</v>
      </c>
      <c r="C68" s="947" t="str">
        <f t="shared" si="6"/>
        <v>gm</v>
      </c>
      <c r="D68" s="914">
        <f t="shared" si="6"/>
        <v>50</v>
      </c>
      <c r="E68" s="918">
        <f t="shared" si="10"/>
        <v>9.5595959595959599</v>
      </c>
      <c r="F68" s="948">
        <f t="shared" si="7"/>
        <v>1</v>
      </c>
      <c r="G68" s="940">
        <f t="shared" si="8"/>
        <v>477.97979797979798</v>
      </c>
      <c r="H68" s="943">
        <f t="shared" si="9"/>
        <v>477.97979797979798</v>
      </c>
    </row>
    <row r="69" spans="1:8" x14ac:dyDescent="0.25">
      <c r="B69" s="914" t="str">
        <f t="shared" si="6"/>
        <v>Tomato Ketchup - كاتشب طماطم</v>
      </c>
      <c r="C69" s="947" t="str">
        <f t="shared" si="6"/>
        <v>ml</v>
      </c>
      <c r="D69" s="914">
        <f t="shared" si="6"/>
        <v>200</v>
      </c>
      <c r="E69" s="918">
        <f t="shared" si="10"/>
        <v>9.5595959595959599</v>
      </c>
      <c r="F69" s="948">
        <f t="shared" si="7"/>
        <v>1</v>
      </c>
      <c r="G69" s="940">
        <f t="shared" si="8"/>
        <v>1911.9191919191919</v>
      </c>
      <c r="H69" s="943">
        <f t="shared" si="9"/>
        <v>1911.9191919191919</v>
      </c>
    </row>
    <row r="70" spans="1:8" x14ac:dyDescent="0.25">
      <c r="B70" s="914" t="str">
        <f t="shared" si="6"/>
        <v>Tomato Paste - صلصة طماطم</v>
      </c>
      <c r="C70" s="947" t="str">
        <f t="shared" si="6"/>
        <v>gm</v>
      </c>
      <c r="D70" s="914">
        <f t="shared" si="6"/>
        <v>20</v>
      </c>
      <c r="E70" s="918">
        <f t="shared" si="10"/>
        <v>9.5595959595959599</v>
      </c>
      <c r="F70" s="948">
        <f t="shared" si="7"/>
        <v>1</v>
      </c>
      <c r="G70" s="940">
        <f t="shared" si="8"/>
        <v>191.1919191919192</v>
      </c>
      <c r="H70" s="943">
        <f t="shared" si="9"/>
        <v>191.1919191919192</v>
      </c>
    </row>
    <row r="71" spans="1:8" x14ac:dyDescent="0.25">
      <c r="B71" s="914" t="str">
        <f t="shared" si="6"/>
        <v>Maggi Cubes - مكعبات ماجي</v>
      </c>
      <c r="C71" s="947" t="str">
        <f t="shared" si="6"/>
        <v>gm</v>
      </c>
      <c r="D71" s="914">
        <f t="shared" si="6"/>
        <v>10</v>
      </c>
      <c r="E71" s="918">
        <f t="shared" si="10"/>
        <v>9.5595959595959599</v>
      </c>
      <c r="F71" s="948">
        <f t="shared" si="7"/>
        <v>0.75</v>
      </c>
      <c r="G71" s="940">
        <f t="shared" si="8"/>
        <v>95.595959595959599</v>
      </c>
      <c r="H71" s="943">
        <f t="shared" si="9"/>
        <v>71.696969696969703</v>
      </c>
    </row>
    <row r="72" spans="1:8" x14ac:dyDescent="0.25">
      <c r="B72" s="914" t="str">
        <f t="shared" si="6"/>
        <v>Milk - حليب</v>
      </c>
      <c r="C72" s="947" t="str">
        <f t="shared" si="6"/>
        <v>ml</v>
      </c>
      <c r="D72" s="914">
        <f t="shared" si="6"/>
        <v>100</v>
      </c>
      <c r="E72" s="918">
        <f t="shared" si="10"/>
        <v>9.5595959595959599</v>
      </c>
      <c r="F72" s="948">
        <f t="shared" si="7"/>
        <v>1</v>
      </c>
      <c r="G72" s="940">
        <f t="shared" si="8"/>
        <v>955.95959595959596</v>
      </c>
      <c r="H72" s="943">
        <f t="shared" si="9"/>
        <v>955.95959595959596</v>
      </c>
    </row>
    <row r="73" spans="1:8" x14ac:dyDescent="0.25">
      <c r="B73" s="914" t="str">
        <f t="shared" si="6"/>
        <v>Mustard - خردل</v>
      </c>
      <c r="C73" s="947" t="str">
        <f t="shared" si="6"/>
        <v>gm</v>
      </c>
      <c r="D73" s="914">
        <f t="shared" si="6"/>
        <v>25</v>
      </c>
      <c r="E73" s="918">
        <f t="shared" si="10"/>
        <v>9.5595959595959599</v>
      </c>
      <c r="F73" s="948">
        <f t="shared" si="7"/>
        <v>1</v>
      </c>
      <c r="G73" s="940">
        <f t="shared" si="8"/>
        <v>238.98989898989899</v>
      </c>
      <c r="H73" s="943">
        <f t="shared" si="9"/>
        <v>238.98989898989899</v>
      </c>
    </row>
    <row r="74" spans="1:8" x14ac:dyDescent="0.25">
      <c r="B74" s="914" t="str">
        <f t="shared" si="6"/>
        <v>Sriracha Sauce - صوص سريراتشا</v>
      </c>
      <c r="C74" s="947" t="str">
        <f t="shared" si="6"/>
        <v>ml</v>
      </c>
      <c r="D74" s="914">
        <f t="shared" si="6"/>
        <v>30</v>
      </c>
      <c r="E74" s="918">
        <f t="shared" si="10"/>
        <v>9.5595959595959599</v>
      </c>
      <c r="F74" s="948">
        <f t="shared" si="7"/>
        <v>0.75</v>
      </c>
      <c r="G74" s="940">
        <f t="shared" si="8"/>
        <v>286.78787878787881</v>
      </c>
      <c r="H74" s="943">
        <f t="shared" si="9"/>
        <v>215.09090909090912</v>
      </c>
    </row>
    <row r="75" spans="1:8" x14ac:dyDescent="0.25">
      <c r="B75" s="914" t="str">
        <f t="shared" si="6"/>
        <v>Cooking Cream - كريمة طبخ</v>
      </c>
      <c r="C75" s="947" t="str">
        <f t="shared" si="6"/>
        <v>ml</v>
      </c>
      <c r="D75" s="914">
        <f t="shared" si="6"/>
        <v>500</v>
      </c>
      <c r="E75" s="918">
        <f t="shared" si="10"/>
        <v>9.5595959595959599</v>
      </c>
      <c r="F75" s="948">
        <f t="shared" si="7"/>
        <v>1</v>
      </c>
      <c r="G75" s="940">
        <f t="shared" si="8"/>
        <v>4779.7979797979797</v>
      </c>
      <c r="H75" s="943">
        <f t="shared" si="9"/>
        <v>4779.7979797979797</v>
      </c>
    </row>
    <row r="76" spans="1:8" x14ac:dyDescent="0.25">
      <c r="B76" s="914" t="str">
        <f t="shared" si="6"/>
        <v>Onion - بصل</v>
      </c>
      <c r="C76" s="947" t="str">
        <f t="shared" si="6"/>
        <v>gm</v>
      </c>
      <c r="D76" s="914">
        <f t="shared" si="6"/>
        <v>100</v>
      </c>
      <c r="E76" s="918">
        <f t="shared" si="10"/>
        <v>9.5595959595959599</v>
      </c>
      <c r="F76" s="948">
        <f t="shared" si="7"/>
        <v>0.95</v>
      </c>
      <c r="G76" s="940">
        <f t="shared" si="8"/>
        <v>955.95959595959596</v>
      </c>
      <c r="H76" s="943">
        <f t="shared" si="9"/>
        <v>908.16161616161617</v>
      </c>
    </row>
    <row r="77" spans="1:8" x14ac:dyDescent="0.25">
      <c r="B77" s="914" t="str">
        <f t="shared" si="6"/>
        <v>Salt - ملح</v>
      </c>
      <c r="C77" s="947" t="str">
        <f t="shared" si="6"/>
        <v>gm</v>
      </c>
      <c r="D77" s="914">
        <f t="shared" si="6"/>
        <v>6</v>
      </c>
      <c r="E77" s="918">
        <f t="shared" si="10"/>
        <v>9.5595959595959599</v>
      </c>
      <c r="F77" s="948">
        <f t="shared" si="7"/>
        <v>0.75</v>
      </c>
      <c r="G77" s="940">
        <f t="shared" si="8"/>
        <v>57.357575757575759</v>
      </c>
      <c r="H77" s="943">
        <f t="shared" si="9"/>
        <v>43.018181818181816</v>
      </c>
    </row>
    <row r="78" spans="1:8" ht="25.5" x14ac:dyDescent="0.25">
      <c r="B78" s="914" t="str">
        <f t="shared" si="6"/>
        <v>Saffron yellow color powder - لون صفار زعفران بودر</v>
      </c>
      <c r="C78" s="947" t="str">
        <f t="shared" si="6"/>
        <v>gm</v>
      </c>
      <c r="D78" s="914">
        <f t="shared" si="6"/>
        <v>2</v>
      </c>
      <c r="E78" s="918">
        <f t="shared" si="10"/>
        <v>9.5595959595959599</v>
      </c>
      <c r="F78" s="948">
        <f t="shared" si="7"/>
        <v>1</v>
      </c>
      <c r="G78" s="940">
        <f t="shared" si="8"/>
        <v>19.11919191919192</v>
      </c>
      <c r="H78" s="943">
        <f t="shared" si="9"/>
        <v>19.11919191919192</v>
      </c>
    </row>
    <row r="79" spans="1:8" x14ac:dyDescent="0.25">
      <c r="B79" s="914" t="str">
        <f t="shared" si="6"/>
        <v>Butter - زبدة</v>
      </c>
      <c r="C79" s="947" t="str">
        <f t="shared" si="6"/>
        <v>gm</v>
      </c>
      <c r="D79" s="914">
        <f t="shared" si="6"/>
        <v>20</v>
      </c>
      <c r="E79" s="918">
        <f t="shared" si="10"/>
        <v>9.5595959595959599</v>
      </c>
      <c r="F79" s="948">
        <f t="shared" si="7"/>
        <v>1</v>
      </c>
      <c r="G79" s="940">
        <f t="shared" si="8"/>
        <v>191.1919191919192</v>
      </c>
      <c r="H79" s="943">
        <f t="shared" si="9"/>
        <v>191.1919191919192</v>
      </c>
    </row>
    <row r="80" spans="1:8" ht="18" x14ac:dyDescent="0.25">
      <c r="A80" s="861"/>
      <c r="B80" s="1041" t="s">
        <v>682</v>
      </c>
      <c r="C80" s="1042" t="s">
        <v>273</v>
      </c>
      <c r="D80" s="1043"/>
      <c r="E80" s="1044" t="s">
        <v>288</v>
      </c>
      <c r="F80" s="1043"/>
      <c r="G80" s="1045" t="s">
        <v>264</v>
      </c>
      <c r="H80" s="1046" t="s">
        <v>664</v>
      </c>
    </row>
    <row r="81" spans="1:8" ht="20.25" x14ac:dyDescent="0.3">
      <c r="A81" s="861"/>
      <c r="B81" s="1047">
        <f>$J$53</f>
        <v>14196</v>
      </c>
      <c r="C81" s="1048">
        <f>E81+G81</f>
        <v>9464</v>
      </c>
      <c r="D81" s="1049"/>
      <c r="E81" s="1047">
        <f>$D$53*$S$44</f>
        <v>9464</v>
      </c>
      <c r="F81" s="1050"/>
      <c r="G81" s="1048">
        <f>$D$53*$T$44</f>
        <v>0</v>
      </c>
      <c r="H81" s="1047">
        <f>B81+E81</f>
        <v>23660</v>
      </c>
    </row>
    <row r="82" spans="1:8" x14ac:dyDescent="0.25">
      <c r="B82" s="890"/>
      <c r="D82" s="890"/>
      <c r="E82" s="890"/>
      <c r="F82" s="890"/>
      <c r="H82" s="890"/>
    </row>
    <row r="83" spans="1:8" x14ac:dyDescent="0.25">
      <c r="B83" s="890"/>
      <c r="D83" s="890"/>
      <c r="E83" s="890"/>
      <c r="F83" s="890"/>
      <c r="H83" s="890"/>
    </row>
    <row r="84" spans="1:8" x14ac:dyDescent="0.25">
      <c r="B84" s="890"/>
      <c r="D84" s="890"/>
      <c r="E84" s="890"/>
      <c r="F84" s="890"/>
      <c r="H84" s="890"/>
    </row>
    <row r="85" spans="1:8" x14ac:dyDescent="0.25">
      <c r="A85" s="867"/>
      <c r="B85" s="1776" t="str">
        <f>"  باستا مكروني بالخضار 2 / " &amp; COUNTIF($C$53:$C$55, "&gt;0")</f>
        <v xml:space="preserve">  باستا مكروني بالخضار 2 / 1</v>
      </c>
      <c r="C85" s="1777"/>
      <c r="D85" s="1778"/>
      <c r="E85" s="1778"/>
      <c r="F85" s="1778"/>
      <c r="G85" s="1777"/>
      <c r="H85" s="1778"/>
    </row>
    <row r="86" spans="1:8" x14ac:dyDescent="0.25">
      <c r="A86" s="867"/>
      <c r="B86" s="1776" t="str">
        <f>" Pasta with Vegetables 2 / " &amp; COUNTIF($C$53:$C$55, "&gt;0")</f>
        <v xml:space="preserve"> Pasta with Vegetables 2 / 1</v>
      </c>
      <c r="C86" s="1777"/>
      <c r="D86" s="1778"/>
      <c r="E86" s="1778"/>
      <c r="F86" s="1778"/>
      <c r="G86" s="1777"/>
      <c r="H86" s="1778"/>
    </row>
    <row r="87" spans="1:8" ht="38.25" x14ac:dyDescent="0.2">
      <c r="A87" s="872"/>
      <c r="B87" s="923" t="s">
        <v>241</v>
      </c>
      <c r="C87" s="934" t="s">
        <v>242</v>
      </c>
      <c r="D87" s="923" t="s">
        <v>231</v>
      </c>
      <c r="E87" s="935" t="s">
        <v>234</v>
      </c>
      <c r="F87" s="935" t="s">
        <v>243</v>
      </c>
      <c r="G87" s="923" t="s">
        <v>244</v>
      </c>
      <c r="H87" s="936" t="s">
        <v>245</v>
      </c>
    </row>
    <row r="88" spans="1:8" x14ac:dyDescent="0.25">
      <c r="B88" s="914" t="str">
        <f t="shared" ref="B88:D102" si="11">B5</f>
        <v>Pasta Penne - مكرونة أقلام</v>
      </c>
      <c r="C88" s="914" t="str">
        <f t="shared" si="11"/>
        <v>gm</v>
      </c>
      <c r="D88" s="914">
        <f t="shared" si="11"/>
        <v>600</v>
      </c>
      <c r="E88" s="918">
        <f>$H$54</f>
        <v>0</v>
      </c>
      <c r="F88" s="948">
        <f>F5</f>
        <v>1</v>
      </c>
      <c r="G88" s="940">
        <f t="shared" ref="G88:G102" si="12">D88*E88</f>
        <v>0</v>
      </c>
      <c r="H88" s="943">
        <f t="shared" ref="H88:H102" si="13">G88*F88</f>
        <v>0</v>
      </c>
    </row>
    <row r="89" spans="1:8" x14ac:dyDescent="0.25">
      <c r="B89" s="914" t="str">
        <f t="shared" si="11"/>
        <v>Garlic - ثوم مقشر</v>
      </c>
      <c r="C89" s="914" t="str">
        <f t="shared" si="11"/>
        <v>gm</v>
      </c>
      <c r="D89" s="914">
        <f t="shared" si="11"/>
        <v>20</v>
      </c>
      <c r="E89" s="918">
        <f t="shared" ref="E89:E102" si="14">$C$54</f>
        <v>0</v>
      </c>
      <c r="F89" s="948">
        <f t="shared" ref="F89:F102" si="15">F6</f>
        <v>1</v>
      </c>
      <c r="G89" s="940">
        <f t="shared" si="12"/>
        <v>0</v>
      </c>
      <c r="H89" s="943">
        <f t="shared" si="13"/>
        <v>0</v>
      </c>
    </row>
    <row r="90" spans="1:8" x14ac:dyDescent="0.25">
      <c r="B90" s="914" t="str">
        <f t="shared" si="11"/>
        <v>Ginger - زنجبيل</v>
      </c>
      <c r="C90" s="914" t="str">
        <f t="shared" si="11"/>
        <v>gm</v>
      </c>
      <c r="D90" s="914">
        <f t="shared" si="11"/>
        <v>20</v>
      </c>
      <c r="E90" s="918">
        <f t="shared" si="14"/>
        <v>0</v>
      </c>
      <c r="F90" s="948">
        <f t="shared" si="15"/>
        <v>1</v>
      </c>
      <c r="G90" s="940">
        <f t="shared" si="12"/>
        <v>0</v>
      </c>
      <c r="H90" s="943">
        <f t="shared" si="13"/>
        <v>0</v>
      </c>
    </row>
    <row r="91" spans="1:8" x14ac:dyDescent="0.25">
      <c r="B91" s="914" t="str">
        <f t="shared" si="11"/>
        <v>Honey - عسل</v>
      </c>
      <c r="C91" s="914" t="str">
        <f t="shared" si="11"/>
        <v>gm</v>
      </c>
      <c r="D91" s="914">
        <f t="shared" si="11"/>
        <v>50</v>
      </c>
      <c r="E91" s="918">
        <f t="shared" si="14"/>
        <v>0</v>
      </c>
      <c r="F91" s="948">
        <f t="shared" si="15"/>
        <v>1</v>
      </c>
      <c r="G91" s="940">
        <f t="shared" si="12"/>
        <v>0</v>
      </c>
      <c r="H91" s="943">
        <f t="shared" si="13"/>
        <v>0</v>
      </c>
    </row>
    <row r="92" spans="1:8" x14ac:dyDescent="0.25">
      <c r="B92" s="914" t="str">
        <f t="shared" si="11"/>
        <v>Tomato Ketchup - كاتشب طماطم</v>
      </c>
      <c r="C92" s="914" t="str">
        <f t="shared" si="11"/>
        <v>ml</v>
      </c>
      <c r="D92" s="914">
        <f t="shared" si="11"/>
        <v>200</v>
      </c>
      <c r="E92" s="918">
        <f t="shared" si="14"/>
        <v>0</v>
      </c>
      <c r="F92" s="948">
        <f t="shared" si="15"/>
        <v>1</v>
      </c>
      <c r="G92" s="940">
        <f t="shared" si="12"/>
        <v>0</v>
      </c>
      <c r="H92" s="943">
        <f t="shared" si="13"/>
        <v>0</v>
      </c>
    </row>
    <row r="93" spans="1:8" x14ac:dyDescent="0.25">
      <c r="B93" s="914" t="str">
        <f t="shared" si="11"/>
        <v>Tomato Paste - صلصة طماطم</v>
      </c>
      <c r="C93" s="914" t="str">
        <f t="shared" si="11"/>
        <v>gm</v>
      </c>
      <c r="D93" s="914">
        <f t="shared" si="11"/>
        <v>20</v>
      </c>
      <c r="E93" s="918">
        <f t="shared" si="14"/>
        <v>0</v>
      </c>
      <c r="F93" s="948">
        <f t="shared" si="15"/>
        <v>1</v>
      </c>
      <c r="G93" s="940">
        <f t="shared" si="12"/>
        <v>0</v>
      </c>
      <c r="H93" s="943">
        <f t="shared" si="13"/>
        <v>0</v>
      </c>
    </row>
    <row r="94" spans="1:8" x14ac:dyDescent="0.25">
      <c r="B94" s="914" t="str">
        <f t="shared" si="11"/>
        <v>Maggi Cubes - مكعبات ماجي</v>
      </c>
      <c r="C94" s="914" t="str">
        <f t="shared" si="11"/>
        <v>gm</v>
      </c>
      <c r="D94" s="914">
        <f t="shared" si="11"/>
        <v>10</v>
      </c>
      <c r="E94" s="918">
        <f t="shared" si="14"/>
        <v>0</v>
      </c>
      <c r="F94" s="948">
        <f t="shared" si="15"/>
        <v>0.75</v>
      </c>
      <c r="G94" s="940">
        <f t="shared" si="12"/>
        <v>0</v>
      </c>
      <c r="H94" s="943">
        <f t="shared" si="13"/>
        <v>0</v>
      </c>
    </row>
    <row r="95" spans="1:8" x14ac:dyDescent="0.25">
      <c r="B95" s="914" t="str">
        <f t="shared" si="11"/>
        <v>Milk - حليب</v>
      </c>
      <c r="C95" s="914" t="str">
        <f t="shared" si="11"/>
        <v>ml</v>
      </c>
      <c r="D95" s="914">
        <f t="shared" si="11"/>
        <v>100</v>
      </c>
      <c r="E95" s="918">
        <f t="shared" si="14"/>
        <v>0</v>
      </c>
      <c r="F95" s="948">
        <f t="shared" si="15"/>
        <v>1</v>
      </c>
      <c r="G95" s="940">
        <f t="shared" si="12"/>
        <v>0</v>
      </c>
      <c r="H95" s="943">
        <f t="shared" si="13"/>
        <v>0</v>
      </c>
    </row>
    <row r="96" spans="1:8" x14ac:dyDescent="0.25">
      <c r="B96" s="914" t="str">
        <f t="shared" si="11"/>
        <v>Mustard - خردل</v>
      </c>
      <c r="C96" s="914" t="str">
        <f t="shared" si="11"/>
        <v>gm</v>
      </c>
      <c r="D96" s="914">
        <f t="shared" si="11"/>
        <v>25</v>
      </c>
      <c r="E96" s="918">
        <f t="shared" si="14"/>
        <v>0</v>
      </c>
      <c r="F96" s="948">
        <f t="shared" si="15"/>
        <v>1</v>
      </c>
      <c r="G96" s="940">
        <f t="shared" si="12"/>
        <v>0</v>
      </c>
      <c r="H96" s="943">
        <f t="shared" si="13"/>
        <v>0</v>
      </c>
    </row>
    <row r="97" spans="2:8" x14ac:dyDescent="0.25">
      <c r="B97" s="914" t="str">
        <f t="shared" si="11"/>
        <v>Sriracha Sauce - صوص سريراتشا</v>
      </c>
      <c r="C97" s="914" t="str">
        <f t="shared" si="11"/>
        <v>ml</v>
      </c>
      <c r="D97" s="914">
        <f t="shared" si="11"/>
        <v>30</v>
      </c>
      <c r="E97" s="918">
        <f t="shared" si="14"/>
        <v>0</v>
      </c>
      <c r="F97" s="948">
        <f t="shared" si="15"/>
        <v>0.75</v>
      </c>
      <c r="G97" s="940">
        <f t="shared" si="12"/>
        <v>0</v>
      </c>
      <c r="H97" s="943">
        <f t="shared" si="13"/>
        <v>0</v>
      </c>
    </row>
    <row r="98" spans="2:8" x14ac:dyDescent="0.25">
      <c r="B98" s="914" t="str">
        <f t="shared" si="11"/>
        <v>Cooking Cream - كريمة طبخ</v>
      </c>
      <c r="C98" s="914" t="str">
        <f t="shared" si="11"/>
        <v>ml</v>
      </c>
      <c r="D98" s="914">
        <f t="shared" si="11"/>
        <v>500</v>
      </c>
      <c r="E98" s="918">
        <f t="shared" si="14"/>
        <v>0</v>
      </c>
      <c r="F98" s="948">
        <f t="shared" si="15"/>
        <v>1</v>
      </c>
      <c r="G98" s="940">
        <f t="shared" si="12"/>
        <v>0</v>
      </c>
      <c r="H98" s="943">
        <f t="shared" si="13"/>
        <v>0</v>
      </c>
    </row>
    <row r="99" spans="2:8" x14ac:dyDescent="0.25">
      <c r="B99" s="914" t="str">
        <f t="shared" si="11"/>
        <v>Onion - بصل</v>
      </c>
      <c r="C99" s="914" t="str">
        <f t="shared" si="11"/>
        <v>gm</v>
      </c>
      <c r="D99" s="914">
        <f t="shared" si="11"/>
        <v>100</v>
      </c>
      <c r="E99" s="918">
        <f t="shared" si="14"/>
        <v>0</v>
      </c>
      <c r="F99" s="948">
        <f t="shared" si="15"/>
        <v>0.95</v>
      </c>
      <c r="G99" s="940">
        <f t="shared" si="12"/>
        <v>0</v>
      </c>
      <c r="H99" s="943">
        <f t="shared" si="13"/>
        <v>0</v>
      </c>
    </row>
    <row r="100" spans="2:8" x14ac:dyDescent="0.25">
      <c r="B100" s="914" t="str">
        <f t="shared" si="11"/>
        <v>Salt - ملح</v>
      </c>
      <c r="C100" s="914" t="str">
        <f t="shared" si="11"/>
        <v>gm</v>
      </c>
      <c r="D100" s="914">
        <f t="shared" si="11"/>
        <v>6</v>
      </c>
      <c r="E100" s="918">
        <f t="shared" si="14"/>
        <v>0</v>
      </c>
      <c r="F100" s="948">
        <f t="shared" si="15"/>
        <v>0.75</v>
      </c>
      <c r="G100" s="940">
        <f t="shared" si="12"/>
        <v>0</v>
      </c>
      <c r="H100" s="943">
        <f t="shared" si="13"/>
        <v>0</v>
      </c>
    </row>
    <row r="101" spans="2:8" ht="25.5" x14ac:dyDescent="0.25">
      <c r="B101" s="914" t="str">
        <f t="shared" si="11"/>
        <v>Saffron yellow color powder - لون صفار زعفران بودر</v>
      </c>
      <c r="C101" s="914" t="str">
        <f t="shared" si="11"/>
        <v>gm</v>
      </c>
      <c r="D101" s="914">
        <f t="shared" si="11"/>
        <v>2</v>
      </c>
      <c r="E101" s="918">
        <f t="shared" si="14"/>
        <v>0</v>
      </c>
      <c r="F101" s="948">
        <f t="shared" si="15"/>
        <v>1</v>
      </c>
      <c r="G101" s="940">
        <f t="shared" si="12"/>
        <v>0</v>
      </c>
      <c r="H101" s="943">
        <f t="shared" si="13"/>
        <v>0</v>
      </c>
    </row>
    <row r="102" spans="2:8" x14ac:dyDescent="0.25">
      <c r="B102" s="914" t="str">
        <f t="shared" si="11"/>
        <v>Butter - زبدة</v>
      </c>
      <c r="C102" s="914" t="str">
        <f t="shared" si="11"/>
        <v>gm</v>
      </c>
      <c r="D102" s="914">
        <f t="shared" si="11"/>
        <v>20</v>
      </c>
      <c r="E102" s="918">
        <f t="shared" si="14"/>
        <v>0</v>
      </c>
      <c r="F102" s="948">
        <f t="shared" si="15"/>
        <v>1</v>
      </c>
      <c r="G102" s="940">
        <f t="shared" si="12"/>
        <v>0</v>
      </c>
      <c r="H102" s="943">
        <f t="shared" si="13"/>
        <v>0</v>
      </c>
    </row>
    <row r="103" spans="2:8" ht="18" x14ac:dyDescent="0.25">
      <c r="B103" s="1041" t="s">
        <v>682</v>
      </c>
      <c r="C103" s="1042" t="s">
        <v>273</v>
      </c>
      <c r="D103" s="1043"/>
      <c r="E103" s="1044" t="s">
        <v>288</v>
      </c>
      <c r="F103" s="1043"/>
      <c r="G103" s="1045" t="s">
        <v>264</v>
      </c>
      <c r="H103" s="1046" t="s">
        <v>664</v>
      </c>
    </row>
    <row r="104" spans="2:8" ht="20.25" x14ac:dyDescent="0.3">
      <c r="B104" s="1047">
        <f>$J$54</f>
        <v>0</v>
      </c>
      <c r="C104" s="1048">
        <f>E104+G104</f>
        <v>0</v>
      </c>
      <c r="D104" s="1049"/>
      <c r="E104" s="1047">
        <f>$D$54*$S$44</f>
        <v>0</v>
      </c>
      <c r="F104" s="1050"/>
      <c r="G104" s="1048">
        <f>$D$54*$T$44</f>
        <v>0</v>
      </c>
      <c r="H104" s="1047">
        <f>B104+E104</f>
        <v>0</v>
      </c>
    </row>
  </sheetData>
  <mergeCells count="10">
    <mergeCell ref="AE2:AG3"/>
    <mergeCell ref="R26:U26"/>
    <mergeCell ref="R25:U25"/>
    <mergeCell ref="B62:H62"/>
    <mergeCell ref="K2:K3"/>
    <mergeCell ref="B85:H85"/>
    <mergeCell ref="B86:H86"/>
    <mergeCell ref="B63:H63"/>
    <mergeCell ref="L2:L3"/>
    <mergeCell ref="B2:J3"/>
  </mergeCells>
  <printOptions horizontalCentered="1"/>
  <pageMargins left="0.4" right="0.4" top="1" bottom="0.5" header="0.3" footer="0.511811023622047"/>
  <pageSetup paperSize="9" scale="65" fitToHeight="0" orientation="landscape" r:id="rId1"/>
  <headerFooter>
    <oddHeader>&amp;C&amp;B&amp;16Pasta with Vegetable(Pasta)&amp;R&amp;B Day 3</oddHeader>
    <oddFooter>&amp;CPage &amp;P of &amp;N</oddFooter>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7" tint="-0.249977111117893"/>
    <pageSetUpPr fitToPage="1"/>
  </sheetPr>
  <dimension ref="A1:AT107"/>
  <sheetViews>
    <sheetView topLeftCell="E1" zoomScale="55" zoomScaleNormal="55" workbookViewId="0">
      <selection activeCell="F43" sqref="F43"/>
    </sheetView>
  </sheetViews>
  <sheetFormatPr defaultColWidth="12.5" defaultRowHeight="15" x14ac:dyDescent="0.25"/>
  <cols>
    <col min="1" max="1" width="16.75" style="61" bestFit="1" customWidth="1"/>
    <col min="2" max="2" width="25" style="14" bestFit="1" customWidth="1"/>
    <col min="3" max="3" width="16.375" style="14" bestFit="1" customWidth="1"/>
    <col min="4" max="4" width="33.75" style="14" bestFit="1" customWidth="1"/>
    <col min="5" max="5" width="23.875" style="14" bestFit="1" customWidth="1"/>
    <col min="6" max="6" width="43.875" style="14" bestFit="1" customWidth="1"/>
    <col min="7" max="7" width="20.625" style="14" bestFit="1" customWidth="1"/>
    <col min="8" max="8" width="43.875" style="14" bestFit="1" customWidth="1"/>
    <col min="9" max="9" width="18.375" style="14" bestFit="1" customWidth="1"/>
    <col min="10" max="10" width="18" style="14" bestFit="1" customWidth="1"/>
    <col min="11" max="11" width="28.125" style="14" bestFit="1" customWidth="1"/>
    <col min="12" max="12" width="6.75" style="14" bestFit="1" customWidth="1"/>
    <col min="13" max="14" width="4" style="14" customWidth="1"/>
    <col min="15" max="15" width="17.25" style="14" bestFit="1" customWidth="1"/>
    <col min="16" max="16" width="12.75" style="14" bestFit="1" customWidth="1"/>
    <col min="17" max="17" width="18.375" style="14" bestFit="1" customWidth="1"/>
    <col min="18" max="18" width="25.125" style="14" bestFit="1" customWidth="1"/>
    <col min="19" max="19" width="10.5" style="14" bestFit="1" customWidth="1"/>
    <col min="20" max="20" width="24.625" style="14" bestFit="1" customWidth="1"/>
    <col min="21" max="21" width="11.25" style="14" bestFit="1" customWidth="1"/>
    <col min="22" max="22" width="12.125" style="14" bestFit="1" customWidth="1"/>
    <col min="23" max="23" width="25.875" style="14" customWidth="1"/>
    <col min="24" max="24" width="25.125" style="14" bestFit="1" customWidth="1"/>
    <col min="25" max="25" width="11.25" style="14" bestFit="1" customWidth="1"/>
    <col min="26" max="26" width="11.375" style="14" bestFit="1" customWidth="1"/>
    <col min="27" max="27" width="13.125" style="14" bestFit="1" customWidth="1"/>
    <col min="28" max="28" width="13.5" style="14" bestFit="1" customWidth="1"/>
    <col min="29" max="29" width="11.25" style="14" bestFit="1" customWidth="1"/>
    <col min="30" max="30" width="8.5" style="14" bestFit="1" customWidth="1"/>
    <col min="31" max="35" width="4.75" style="14" customWidth="1"/>
    <col min="36" max="36" width="25" style="14" bestFit="1" customWidth="1"/>
    <col min="37" max="37" width="6.5" style="14" bestFit="1" customWidth="1"/>
    <col min="38" max="38" width="24.375" style="14" bestFit="1" customWidth="1"/>
    <col min="39" max="39" width="23.875" style="14" bestFit="1" customWidth="1"/>
    <col min="40" max="40" width="18.125" style="14" bestFit="1" customWidth="1"/>
    <col min="41" max="41" width="14.375" style="14" bestFit="1" customWidth="1"/>
    <col min="42" max="42" width="21" style="14" bestFit="1" customWidth="1"/>
    <col min="43" max="44" width="17.625" style="14" bestFit="1" customWidth="1"/>
    <col min="45" max="45" width="24.375" style="14" bestFit="1" customWidth="1"/>
    <col min="46" max="46" width="6" style="14" bestFit="1" customWidth="1"/>
    <col min="47" max="16384" width="12.5" style="14"/>
  </cols>
  <sheetData>
    <row r="1" spans="1:46" ht="25.5" x14ac:dyDescent="0.25">
      <c r="B1" s="913" t="s">
        <v>231</v>
      </c>
      <c r="C1" s="914">
        <v>1000</v>
      </c>
      <c r="D1" s="915" t="s">
        <v>232</v>
      </c>
      <c r="E1" s="916">
        <f>T32</f>
        <v>3657.6923076923113</v>
      </c>
      <c r="F1" s="913" t="s">
        <v>233</v>
      </c>
      <c r="G1" s="914">
        <f>E1/C1</f>
        <v>3.6576923076923111</v>
      </c>
      <c r="H1" s="913" t="s">
        <v>234</v>
      </c>
      <c r="I1" s="1142">
        <f>(G1/K1)</f>
        <v>3.694638694638698</v>
      </c>
      <c r="J1" s="919" t="s">
        <v>235</v>
      </c>
      <c r="K1" s="1143">
        <v>0.99</v>
      </c>
      <c r="L1" s="80"/>
      <c r="M1" s="70"/>
      <c r="N1" s="922"/>
      <c r="O1" s="923" t="s">
        <v>236</v>
      </c>
      <c r="P1" s="914" t="s">
        <v>331</v>
      </c>
      <c r="Q1" s="924" t="s">
        <v>238</v>
      </c>
      <c r="R1" s="914">
        <v>0.57999999999999996</v>
      </c>
      <c r="S1" s="80"/>
      <c r="T1" s="890"/>
      <c r="W1" s="890"/>
      <c r="X1" s="890"/>
      <c r="Y1" s="923" t="s">
        <v>444</v>
      </c>
      <c r="Z1" s="925">
        <v>14850</v>
      </c>
      <c r="AA1" s="923" t="s">
        <v>544</v>
      </c>
      <c r="AB1" s="925">
        <v>1000</v>
      </c>
      <c r="AC1" s="923" t="s">
        <v>537</v>
      </c>
      <c r="AD1" s="925">
        <v>114</v>
      </c>
      <c r="AE1" s="169"/>
      <c r="AF1" s="170"/>
      <c r="AG1" s="73"/>
      <c r="AJ1" s="926" t="s">
        <v>250</v>
      </c>
      <c r="AK1" s="926">
        <v>10000</v>
      </c>
      <c r="AL1" s="927" t="s">
        <v>474</v>
      </c>
      <c r="AM1" s="928">
        <f>$S$32</f>
        <v>12192.30769230769</v>
      </c>
      <c r="AN1" s="926" t="s">
        <v>239</v>
      </c>
      <c r="AO1" s="1349">
        <f>($S$32/$R$1)/$AK$1</f>
        <v>2.102122015915119</v>
      </c>
      <c r="AP1" s="76"/>
      <c r="AS1" s="890"/>
    </row>
    <row r="2" spans="1:46" ht="15.75" x14ac:dyDescent="0.25">
      <c r="A2" s="863"/>
      <c r="B2" s="1784" t="s">
        <v>104</v>
      </c>
      <c r="C2" s="1797"/>
      <c r="D2" s="1798"/>
      <c r="E2" s="1798"/>
      <c r="F2" s="1798"/>
      <c r="G2" s="1797"/>
      <c r="H2" s="1798"/>
      <c r="I2" s="1797"/>
      <c r="J2" s="1797"/>
      <c r="K2" s="1784"/>
      <c r="L2" s="187"/>
      <c r="M2" s="80"/>
      <c r="N2" s="80"/>
      <c r="O2" s="80"/>
      <c r="P2" s="80"/>
      <c r="Q2" s="80"/>
      <c r="R2" s="80"/>
      <c r="S2" s="80"/>
      <c r="T2" s="890"/>
      <c r="W2" s="890"/>
      <c r="X2" s="890"/>
      <c r="AC2" s="79"/>
      <c r="AD2" s="79"/>
      <c r="AE2" s="1795"/>
      <c r="AF2" s="1799"/>
      <c r="AG2" s="1799"/>
      <c r="AJ2" s="930"/>
      <c r="AK2" s="930"/>
      <c r="AL2" s="1783" t="s">
        <v>408</v>
      </c>
      <c r="AM2" s="1783"/>
      <c r="AN2" s="931"/>
      <c r="AO2" s="930"/>
      <c r="AP2" s="81"/>
      <c r="AS2" s="890"/>
    </row>
    <row r="3" spans="1:46" ht="15.75" x14ac:dyDescent="0.25">
      <c r="A3" s="863"/>
      <c r="B3" s="1785"/>
      <c r="C3" s="1796"/>
      <c r="D3" s="1785"/>
      <c r="E3" s="1785"/>
      <c r="F3" s="1785"/>
      <c r="G3" s="1796"/>
      <c r="H3" s="1785"/>
      <c r="I3" s="1796"/>
      <c r="J3" s="1796"/>
      <c r="K3" s="1802"/>
      <c r="L3" s="187"/>
      <c r="M3" s="80"/>
      <c r="N3" s="80"/>
      <c r="O3" s="80"/>
      <c r="P3" s="80"/>
      <c r="Q3" s="80"/>
      <c r="R3" s="80"/>
      <c r="S3" s="80"/>
      <c r="T3" s="890"/>
      <c r="W3" s="890"/>
      <c r="X3" s="890"/>
      <c r="AC3" s="79"/>
      <c r="AD3" s="79"/>
      <c r="AE3" s="1799"/>
      <c r="AF3" s="1799"/>
      <c r="AG3" s="1799"/>
      <c r="AJ3" s="1354"/>
      <c r="AK3" s="81"/>
      <c r="AL3" s="82"/>
      <c r="AM3" s="82"/>
      <c r="AN3" s="82"/>
      <c r="AO3" s="81"/>
      <c r="AP3" s="81"/>
      <c r="AS3" s="890"/>
    </row>
    <row r="4" spans="1:46" ht="38.25" x14ac:dyDescent="0.2">
      <c r="A4" s="1350" t="s">
        <v>864</v>
      </c>
      <c r="B4" s="923" t="s">
        <v>241</v>
      </c>
      <c r="C4" s="934" t="s">
        <v>242</v>
      </c>
      <c r="D4" s="923" t="s">
        <v>231</v>
      </c>
      <c r="E4" s="935" t="s">
        <v>234</v>
      </c>
      <c r="F4" s="935" t="s">
        <v>243</v>
      </c>
      <c r="G4" s="923" t="s">
        <v>244</v>
      </c>
      <c r="H4" s="936" t="s">
        <v>245</v>
      </c>
      <c r="I4" s="923" t="s">
        <v>246</v>
      </c>
      <c r="J4" s="923" t="s">
        <v>247</v>
      </c>
      <c r="K4" s="923" t="s">
        <v>248</v>
      </c>
      <c r="L4" s="923" t="s">
        <v>249</v>
      </c>
      <c r="M4" s="80"/>
      <c r="N4" s="80"/>
      <c r="O4" s="80"/>
      <c r="P4" s="80"/>
      <c r="Q4" s="80"/>
      <c r="R4" s="890"/>
      <c r="T4" s="890"/>
      <c r="W4" s="890"/>
      <c r="X4" s="890"/>
      <c r="AA4" s="169"/>
      <c r="AB4" s="171"/>
      <c r="AC4" s="169"/>
      <c r="AD4" s="169"/>
      <c r="AE4" s="169"/>
      <c r="AJ4" s="926" t="s">
        <v>241</v>
      </c>
      <c r="AK4" s="1169" t="s">
        <v>242</v>
      </c>
      <c r="AL4" s="926" t="s">
        <v>250</v>
      </c>
      <c r="AM4" s="926" t="s">
        <v>234</v>
      </c>
      <c r="AN4" s="926" t="s">
        <v>243</v>
      </c>
      <c r="AO4" s="926" t="s">
        <v>244</v>
      </c>
      <c r="AP4" s="926" t="s">
        <v>245</v>
      </c>
      <c r="AQ4" s="923" t="s">
        <v>246</v>
      </c>
      <c r="AR4" s="923" t="s">
        <v>247</v>
      </c>
      <c r="AS4" s="923" t="s">
        <v>248</v>
      </c>
      <c r="AT4" s="923" t="s">
        <v>249</v>
      </c>
    </row>
    <row r="5" spans="1:46" x14ac:dyDescent="0.2">
      <c r="A5" s="937" t="s">
        <v>872</v>
      </c>
      <c r="B5" s="1118" t="s">
        <v>220</v>
      </c>
      <c r="C5" s="939" t="s">
        <v>14</v>
      </c>
      <c r="D5" s="944">
        <f>I51/H51</f>
        <v>5747.2413793103451</v>
      </c>
      <c r="E5" s="941">
        <f>H52</f>
        <v>3.657619155309201</v>
      </c>
      <c r="F5" s="948">
        <v>1</v>
      </c>
      <c r="G5" s="940">
        <f t="shared" ref="G5:G21" si="0">D5*E5</f>
        <v>21021.220159151191</v>
      </c>
      <c r="H5" s="943">
        <f t="shared" ref="H5:H21" si="1">G5*F5</f>
        <v>21021.220159151191</v>
      </c>
      <c r="I5" s="914">
        <f>VLOOKUP(B5,All_Ingredients!$A$1:$F$161,6,FALSE())</f>
        <v>0.86</v>
      </c>
      <c r="J5" s="940">
        <f>VLOOKUP(B5,All_Ingredients!$A$1:$J$161,10,FALSE())</f>
        <v>17.100000000000001</v>
      </c>
      <c r="K5" s="945">
        <f t="shared" ref="K5" si="2">(H5/I5)/1000</f>
        <v>24.443279254826969</v>
      </c>
      <c r="L5" s="945">
        <f t="shared" ref="L5" si="3">K5*J5</f>
        <v>417.98007525754122</v>
      </c>
      <c r="M5" s="80"/>
      <c r="N5" s="80"/>
      <c r="O5" s="80"/>
      <c r="P5" s="80"/>
      <c r="Q5" s="80"/>
      <c r="R5" s="890"/>
      <c r="T5" s="890"/>
      <c r="W5" s="890"/>
      <c r="X5" s="890"/>
      <c r="AA5" s="73"/>
      <c r="AB5" s="89"/>
      <c r="AC5" s="172"/>
      <c r="AD5" s="90"/>
      <c r="AE5" s="91"/>
      <c r="AJ5" s="1355" t="s">
        <v>220</v>
      </c>
      <c r="AK5" s="947" t="s">
        <v>227</v>
      </c>
      <c r="AL5" s="1356">
        <v>10</v>
      </c>
      <c r="AM5" s="1357">
        <f t="shared" ref="AM5:AM17" si="4">$AO$1</f>
        <v>2.102122015915119</v>
      </c>
      <c r="AN5" s="1358">
        <v>1</v>
      </c>
      <c r="AO5" s="1356">
        <f t="shared" ref="AO5:AO17" si="5">AL5*AM5</f>
        <v>21.021220159151191</v>
      </c>
      <c r="AP5" s="1359">
        <f t="shared" ref="AP5:AP17" si="6">AO5*AN5</f>
        <v>21.021220159151191</v>
      </c>
      <c r="AQ5" s="952"/>
      <c r="AR5" s="953"/>
      <c r="AS5" s="954"/>
      <c r="AT5" s="955"/>
    </row>
    <row r="6" spans="1:46" x14ac:dyDescent="0.25">
      <c r="A6" s="949" t="s">
        <v>881</v>
      </c>
      <c r="B6" s="960" t="s">
        <v>12</v>
      </c>
      <c r="C6" s="947" t="s">
        <v>14</v>
      </c>
      <c r="D6" s="914">
        <v>200</v>
      </c>
      <c r="E6" s="1040">
        <f t="shared" ref="E6:E21" si="7">$I$1</f>
        <v>3.694638694638698</v>
      </c>
      <c r="F6" s="948">
        <v>0.95</v>
      </c>
      <c r="G6" s="940">
        <f t="shared" si="0"/>
        <v>738.9277389277396</v>
      </c>
      <c r="H6" s="943">
        <f t="shared" si="1"/>
        <v>701.98135198135253</v>
      </c>
      <c r="I6" s="914">
        <f>VLOOKUP(B6,All_Ingredients!$A$1:$F$161,6,FALSE())</f>
        <v>0.9</v>
      </c>
      <c r="J6" s="940">
        <f>VLOOKUP(B6,All_Ingredients!$A$1:$J$161,10,FALSE())</f>
        <v>3</v>
      </c>
      <c r="K6" s="945">
        <f t="shared" ref="K6:K21" si="8">(H6/I6)/1000</f>
        <v>0.77997927997928063</v>
      </c>
      <c r="L6" s="945">
        <f t="shared" ref="L6:L21" si="9">K6*J6</f>
        <v>2.3399378399378419</v>
      </c>
      <c r="R6" s="890"/>
      <c r="T6" s="890"/>
      <c r="W6" s="890"/>
      <c r="X6" s="890"/>
      <c r="AJ6" s="1355" t="s">
        <v>54</v>
      </c>
      <c r="AK6" s="947" t="s">
        <v>14</v>
      </c>
      <c r="AL6" s="1356">
        <v>500</v>
      </c>
      <c r="AM6" s="1357">
        <f t="shared" si="4"/>
        <v>2.102122015915119</v>
      </c>
      <c r="AN6" s="1358">
        <v>1</v>
      </c>
      <c r="AO6" s="1356">
        <f t="shared" si="5"/>
        <v>1051.0610079575595</v>
      </c>
      <c r="AP6" s="1359">
        <f t="shared" si="6"/>
        <v>1051.0610079575595</v>
      </c>
      <c r="AQ6" s="955">
        <f>VLOOKUP(AJ6,Marination_Ordering!$A:$J,6,FALSE)</f>
        <v>0.87</v>
      </c>
      <c r="AR6" s="955">
        <f>VLOOKUP(AJ6,Marination_Ordering!$A:$J,10,FALSE)</f>
        <v>7</v>
      </c>
      <c r="AS6" s="954">
        <f>AP6/AQ6</f>
        <v>1208.1161011006432</v>
      </c>
      <c r="AT6" s="955">
        <f>AR6*(AS6/1000)</f>
        <v>8.4568127077045023</v>
      </c>
    </row>
    <row r="7" spans="1:46" x14ac:dyDescent="0.25">
      <c r="A7" s="949" t="s">
        <v>870</v>
      </c>
      <c r="B7" s="960" t="s">
        <v>17</v>
      </c>
      <c r="C7" s="947" t="s">
        <v>14</v>
      </c>
      <c r="D7" s="914">
        <v>500</v>
      </c>
      <c r="E7" s="1040">
        <f t="shared" si="7"/>
        <v>3.694638694638698</v>
      </c>
      <c r="F7" s="948">
        <v>0.95</v>
      </c>
      <c r="G7" s="940">
        <f t="shared" si="0"/>
        <v>1847.3193473193489</v>
      </c>
      <c r="H7" s="943">
        <f t="shared" si="1"/>
        <v>1754.9533799533815</v>
      </c>
      <c r="I7" s="914">
        <f>VLOOKUP(B7,All_Ingredients!$A$1:$F$161,6,FALSE())</f>
        <v>0.98</v>
      </c>
      <c r="J7" s="940">
        <f>VLOOKUP(B7,All_Ingredients!$A$1:$J$161,10,FALSE())</f>
        <v>3.5</v>
      </c>
      <c r="K7" s="945">
        <f t="shared" si="8"/>
        <v>1.7907687550544711</v>
      </c>
      <c r="L7" s="945">
        <f t="shared" si="9"/>
        <v>6.2676906426906491</v>
      </c>
      <c r="R7" s="890"/>
      <c r="T7" s="890"/>
      <c r="W7" s="890"/>
      <c r="X7" s="890"/>
      <c r="AJ7" s="1355" t="s">
        <v>706</v>
      </c>
      <c r="AK7" s="947" t="s">
        <v>14</v>
      </c>
      <c r="AL7" s="1356">
        <v>300</v>
      </c>
      <c r="AM7" s="1357">
        <f t="shared" si="4"/>
        <v>2.102122015915119</v>
      </c>
      <c r="AN7" s="1358">
        <v>1</v>
      </c>
      <c r="AO7" s="1356">
        <f t="shared" si="5"/>
        <v>630.63660477453573</v>
      </c>
      <c r="AP7" s="1359">
        <f t="shared" si="6"/>
        <v>630.63660477453573</v>
      </c>
      <c r="AQ7" s="955">
        <f>VLOOKUP(AJ7,Marination_Ordering!$A:$J,6,FALSE)</f>
        <v>1</v>
      </c>
      <c r="AR7" s="955">
        <f>VLOOKUP(AJ7,Marination_Ordering!$A:$J,10,FALSE)</f>
        <v>10.5</v>
      </c>
      <c r="AS7" s="954">
        <f t="shared" ref="AS7:AS9" si="10">AP7/AQ7</f>
        <v>630.63660477453573</v>
      </c>
      <c r="AT7" s="955">
        <f t="shared" ref="AT7:AT9" si="11">AR7*(AS7/1000)</f>
        <v>6.6216843501326252</v>
      </c>
    </row>
    <row r="8" spans="1:46" x14ac:dyDescent="0.25">
      <c r="A8" s="949" t="s">
        <v>867</v>
      </c>
      <c r="B8" s="960" t="s">
        <v>54</v>
      </c>
      <c r="C8" s="947" t="s">
        <v>14</v>
      </c>
      <c r="D8" s="914">
        <v>25</v>
      </c>
      <c r="E8" s="1040">
        <f t="shared" si="7"/>
        <v>3.694638694638698</v>
      </c>
      <c r="F8" s="948">
        <v>1</v>
      </c>
      <c r="G8" s="940">
        <f t="shared" si="0"/>
        <v>92.36596736596745</v>
      </c>
      <c r="H8" s="943">
        <f t="shared" si="1"/>
        <v>92.36596736596745</v>
      </c>
      <c r="I8" s="914">
        <f>VLOOKUP(B8,All_Ingredients!$A$1:$F$161,6,FALSE())</f>
        <v>0.87</v>
      </c>
      <c r="J8" s="940">
        <f>VLOOKUP(B8,All_Ingredients!$A$1:$J$161,10,FALSE())</f>
        <v>7</v>
      </c>
      <c r="K8" s="945">
        <f t="shared" si="8"/>
        <v>0.10616777858157178</v>
      </c>
      <c r="L8" s="945">
        <f t="shared" si="9"/>
        <v>0.74317445007100247</v>
      </c>
      <c r="R8" s="890"/>
      <c r="T8" s="890"/>
      <c r="W8" s="890"/>
      <c r="X8" s="890"/>
      <c r="AJ8" s="1355" t="s">
        <v>105</v>
      </c>
      <c r="AK8" s="947" t="s">
        <v>14</v>
      </c>
      <c r="AL8" s="1356">
        <v>10</v>
      </c>
      <c r="AM8" s="1357">
        <f t="shared" si="4"/>
        <v>2.102122015915119</v>
      </c>
      <c r="AN8" s="1358">
        <v>1</v>
      </c>
      <c r="AO8" s="1356">
        <f t="shared" si="5"/>
        <v>21.021220159151191</v>
      </c>
      <c r="AP8" s="1359">
        <f t="shared" si="6"/>
        <v>21.021220159151191</v>
      </c>
      <c r="AQ8" s="955">
        <f>VLOOKUP(AJ8,Marination_Ordering!$A:$J,6,FALSE)</f>
        <v>1</v>
      </c>
      <c r="AR8" s="955">
        <f>VLOOKUP(AJ8,Marination_Ordering!$A:$J,10,FALSE)</f>
        <v>15</v>
      </c>
      <c r="AS8" s="954">
        <f t="shared" si="10"/>
        <v>21.021220159151191</v>
      </c>
      <c r="AT8" s="955">
        <f t="shared" si="11"/>
        <v>0.31531830238726788</v>
      </c>
    </row>
    <row r="9" spans="1:46" ht="28.5" x14ac:dyDescent="0.25">
      <c r="A9" s="949" t="s">
        <v>868</v>
      </c>
      <c r="B9" s="960" t="s">
        <v>706</v>
      </c>
      <c r="C9" s="947" t="s">
        <v>14</v>
      </c>
      <c r="D9" s="914">
        <v>40</v>
      </c>
      <c r="E9" s="1040">
        <f t="shared" si="7"/>
        <v>3.694638694638698</v>
      </c>
      <c r="F9" s="948">
        <v>1</v>
      </c>
      <c r="G9" s="940">
        <f t="shared" si="0"/>
        <v>147.78554778554792</v>
      </c>
      <c r="H9" s="943">
        <f t="shared" si="1"/>
        <v>147.78554778554792</v>
      </c>
      <c r="I9" s="914">
        <f>VLOOKUP(B9,All_Ingredients!$A$1:$F$161,6,FALSE())</f>
        <v>1</v>
      </c>
      <c r="J9" s="940">
        <f>VLOOKUP(B9,All_Ingredients!$A$1:$J$161,10,FALSE())</f>
        <v>10.5</v>
      </c>
      <c r="K9" s="945">
        <f t="shared" si="8"/>
        <v>0.14778554778554792</v>
      </c>
      <c r="L9" s="945">
        <f t="shared" si="9"/>
        <v>1.5517482517482533</v>
      </c>
      <c r="R9" s="890"/>
      <c r="T9" s="890"/>
      <c r="W9" s="890"/>
      <c r="X9" s="890"/>
      <c r="AJ9" s="1355" t="s">
        <v>107</v>
      </c>
      <c r="AK9" s="947" t="s">
        <v>14</v>
      </c>
      <c r="AL9" s="1356">
        <v>150</v>
      </c>
      <c r="AM9" s="1357">
        <f t="shared" si="4"/>
        <v>2.102122015915119</v>
      </c>
      <c r="AN9" s="1358">
        <v>1</v>
      </c>
      <c r="AO9" s="1356">
        <f t="shared" si="5"/>
        <v>315.31830238726786</v>
      </c>
      <c r="AP9" s="1359">
        <f t="shared" si="6"/>
        <v>315.31830238726786</v>
      </c>
      <c r="AQ9" s="955">
        <f>VLOOKUP(AJ9,Marination_Ordering!$A:$J,6,FALSE)</f>
        <v>1</v>
      </c>
      <c r="AR9" s="955">
        <f>VLOOKUP(AJ9,Marination_Ordering!$A:$J,10,FALSE)</f>
        <v>8</v>
      </c>
      <c r="AS9" s="954">
        <f t="shared" si="10"/>
        <v>315.31830238726786</v>
      </c>
      <c r="AT9" s="955">
        <f t="shared" si="11"/>
        <v>2.522546419098143</v>
      </c>
    </row>
    <row r="10" spans="1:46" x14ac:dyDescent="0.25">
      <c r="A10" s="949"/>
      <c r="B10" s="960" t="s">
        <v>118</v>
      </c>
      <c r="C10" s="947" t="s">
        <v>14</v>
      </c>
      <c r="D10" s="914">
        <v>5</v>
      </c>
      <c r="E10" s="1040">
        <f t="shared" si="7"/>
        <v>3.694638694638698</v>
      </c>
      <c r="F10" s="948">
        <v>0.75</v>
      </c>
      <c r="G10" s="940">
        <f t="shared" si="0"/>
        <v>18.47319347319349</v>
      </c>
      <c r="H10" s="943">
        <f t="shared" si="1"/>
        <v>13.854895104895117</v>
      </c>
      <c r="I10" s="914">
        <f>VLOOKUP(B10,All_Ingredients!$A$1:$F$161,6,FALSE())</f>
        <v>1</v>
      </c>
      <c r="J10" s="940">
        <f>VLOOKUP(B10,All_Ingredients!$A$1:$J$161,10,FALSE())</f>
        <v>15</v>
      </c>
      <c r="K10" s="945">
        <f t="shared" si="8"/>
        <v>1.3854895104895118E-2</v>
      </c>
      <c r="L10" s="945">
        <f t="shared" si="9"/>
        <v>0.20782342657342676</v>
      </c>
      <c r="R10" s="890"/>
      <c r="T10" s="890"/>
      <c r="W10" s="890"/>
      <c r="X10" s="890"/>
      <c r="AJ10" s="1355" t="s">
        <v>93</v>
      </c>
      <c r="AK10" s="947" t="s">
        <v>14</v>
      </c>
      <c r="AL10" s="1356">
        <v>30</v>
      </c>
      <c r="AM10" s="1357">
        <f t="shared" si="4"/>
        <v>2.102122015915119</v>
      </c>
      <c r="AN10" s="1358">
        <v>1</v>
      </c>
      <c r="AO10" s="1356">
        <f t="shared" si="5"/>
        <v>63.063660477453574</v>
      </c>
      <c r="AP10" s="1359">
        <f t="shared" si="6"/>
        <v>63.063660477453574</v>
      </c>
      <c r="AQ10" s="955">
        <f>VLOOKUP(AJ10,Marination_Ordering!$A:$J,6,FALSE)</f>
        <v>1</v>
      </c>
      <c r="AR10" s="955">
        <f>VLOOKUP(AJ10,Marination_Ordering!$A:$J,10,FALSE)</f>
        <v>0.74</v>
      </c>
      <c r="AS10" s="954">
        <f t="shared" ref="AS10:AS17" si="12">AP10/AQ10</f>
        <v>63.063660477453574</v>
      </c>
      <c r="AT10" s="955">
        <f t="shared" ref="AT10:AT17" si="13">AR10*(AS10/1000)</f>
        <v>4.6667108753315645E-2</v>
      </c>
    </row>
    <row r="11" spans="1:46" ht="28.5" x14ac:dyDescent="0.25">
      <c r="A11" s="949"/>
      <c r="B11" s="960" t="s">
        <v>105</v>
      </c>
      <c r="C11" s="947" t="s">
        <v>14</v>
      </c>
      <c r="D11" s="914">
        <v>15</v>
      </c>
      <c r="E11" s="1040">
        <f t="shared" si="7"/>
        <v>3.694638694638698</v>
      </c>
      <c r="F11" s="948">
        <v>1</v>
      </c>
      <c r="G11" s="940">
        <f t="shared" si="0"/>
        <v>55.41958041958047</v>
      </c>
      <c r="H11" s="943">
        <f t="shared" si="1"/>
        <v>55.41958041958047</v>
      </c>
      <c r="I11" s="914">
        <f>VLOOKUP(B11,All_Ingredients!$A$1:$F$161,6,FALSE())</f>
        <v>1</v>
      </c>
      <c r="J11" s="940">
        <f>VLOOKUP(B11,All_Ingredients!$A$1:$J$161,10,FALSE())</f>
        <v>15</v>
      </c>
      <c r="K11" s="945">
        <f t="shared" si="8"/>
        <v>5.5419580419580471E-2</v>
      </c>
      <c r="L11" s="945">
        <f t="shared" si="9"/>
        <v>0.83129370629370702</v>
      </c>
      <c r="R11" s="890"/>
      <c r="T11" s="890"/>
      <c r="W11" s="890"/>
      <c r="X11" s="890"/>
      <c r="AJ11" s="1355" t="s">
        <v>99</v>
      </c>
      <c r="AK11" s="947" t="s">
        <v>14</v>
      </c>
      <c r="AL11" s="1356">
        <v>10</v>
      </c>
      <c r="AM11" s="1357">
        <f t="shared" si="4"/>
        <v>2.102122015915119</v>
      </c>
      <c r="AN11" s="1358">
        <v>1</v>
      </c>
      <c r="AO11" s="1356">
        <f t="shared" si="5"/>
        <v>21.021220159151191</v>
      </c>
      <c r="AP11" s="1359">
        <f t="shared" si="6"/>
        <v>21.021220159151191</v>
      </c>
      <c r="AQ11" s="955">
        <f>VLOOKUP(AJ11,Marination_Ordering!$A:$J,6,FALSE)</f>
        <v>1</v>
      </c>
      <c r="AR11" s="955">
        <f>VLOOKUP(AJ11,Marination_Ordering!$A:$J,10,FALSE)</f>
        <v>31</v>
      </c>
      <c r="AS11" s="954">
        <f t="shared" si="12"/>
        <v>21.021220159151191</v>
      </c>
      <c r="AT11" s="955">
        <f t="shared" si="13"/>
        <v>0.65165782493368696</v>
      </c>
    </row>
    <row r="12" spans="1:46" ht="28.5" x14ac:dyDescent="0.25">
      <c r="A12" s="949"/>
      <c r="B12" s="960" t="s">
        <v>135</v>
      </c>
      <c r="C12" s="947" t="s">
        <v>14</v>
      </c>
      <c r="D12" s="914">
        <v>25</v>
      </c>
      <c r="E12" s="1040">
        <f t="shared" si="7"/>
        <v>3.694638694638698</v>
      </c>
      <c r="F12" s="948">
        <v>0.75</v>
      </c>
      <c r="G12" s="940">
        <f t="shared" si="0"/>
        <v>92.36596736596745</v>
      </c>
      <c r="H12" s="943">
        <f t="shared" si="1"/>
        <v>69.274475524475591</v>
      </c>
      <c r="I12" s="914">
        <f>VLOOKUP(B12,All_Ingredients!$A$1:$F$161,6,FALSE())</f>
        <v>1</v>
      </c>
      <c r="J12" s="940">
        <f>VLOOKUP(B12,All_Ingredients!$A$1:$J$161,10,FALSE())</f>
        <v>43</v>
      </c>
      <c r="K12" s="945">
        <f t="shared" si="8"/>
        <v>6.927447552447559E-2</v>
      </c>
      <c r="L12" s="945">
        <f t="shared" si="9"/>
        <v>2.9788024475524502</v>
      </c>
      <c r="R12" s="890"/>
      <c r="T12" s="890"/>
      <c r="W12" s="890"/>
      <c r="X12" s="890"/>
      <c r="AJ12" s="1355" t="s">
        <v>113</v>
      </c>
      <c r="AK12" s="947" t="s">
        <v>14</v>
      </c>
      <c r="AL12" s="1356">
        <v>25</v>
      </c>
      <c r="AM12" s="1357">
        <f t="shared" si="4"/>
        <v>2.102122015915119</v>
      </c>
      <c r="AN12" s="1358">
        <v>1</v>
      </c>
      <c r="AO12" s="1356">
        <f t="shared" si="5"/>
        <v>52.553050397877975</v>
      </c>
      <c r="AP12" s="1359">
        <f t="shared" si="6"/>
        <v>52.553050397877975</v>
      </c>
      <c r="AQ12" s="955">
        <f>VLOOKUP(AJ12,Marination_Ordering!$A:$J,6,FALSE)</f>
        <v>1</v>
      </c>
      <c r="AR12" s="955">
        <f>VLOOKUP(AJ12,Marination_Ordering!$A:$J,10,FALSE)</f>
        <v>20</v>
      </c>
      <c r="AS12" s="954">
        <f t="shared" si="12"/>
        <v>52.553050397877975</v>
      </c>
      <c r="AT12" s="955">
        <f t="shared" si="13"/>
        <v>1.0510610079575595</v>
      </c>
    </row>
    <row r="13" spans="1:46" x14ac:dyDescent="0.25">
      <c r="A13" s="949"/>
      <c r="B13" s="960" t="s">
        <v>168</v>
      </c>
      <c r="C13" s="947" t="s">
        <v>14</v>
      </c>
      <c r="D13" s="914">
        <v>300</v>
      </c>
      <c r="E13" s="1040">
        <f t="shared" si="7"/>
        <v>3.694638694638698</v>
      </c>
      <c r="F13" s="948">
        <v>1</v>
      </c>
      <c r="G13" s="940">
        <f t="shared" si="0"/>
        <v>1108.3916083916095</v>
      </c>
      <c r="H13" s="943">
        <f t="shared" si="1"/>
        <v>1108.3916083916095</v>
      </c>
      <c r="I13" s="914">
        <f>VLOOKUP(B13,All_Ingredients!$A$1:$F$161,6,FALSE())</f>
        <v>1</v>
      </c>
      <c r="J13" s="940">
        <f>VLOOKUP(B13,All_Ingredients!$A$1:$J$161,10,FALSE())</f>
        <v>13.545454545454545</v>
      </c>
      <c r="K13" s="945">
        <f t="shared" si="8"/>
        <v>1.1083916083916094</v>
      </c>
      <c r="L13" s="945">
        <f t="shared" si="9"/>
        <v>15.013668150031799</v>
      </c>
      <c r="R13" s="890"/>
      <c r="T13" s="890"/>
      <c r="W13" s="890"/>
      <c r="X13" s="890"/>
      <c r="AJ13" s="1355" t="s">
        <v>212</v>
      </c>
      <c r="AK13" s="947" t="s">
        <v>160</v>
      </c>
      <c r="AL13" s="1356">
        <v>500</v>
      </c>
      <c r="AM13" s="1357">
        <f t="shared" si="4"/>
        <v>2.102122015915119</v>
      </c>
      <c r="AN13" s="1358">
        <v>1</v>
      </c>
      <c r="AO13" s="1356">
        <f t="shared" si="5"/>
        <v>1051.0610079575595</v>
      </c>
      <c r="AP13" s="1359">
        <f t="shared" si="6"/>
        <v>1051.0610079575595</v>
      </c>
      <c r="AQ13" s="955">
        <f>VLOOKUP(AJ13,Marination_Ordering!$A:$J,6,FALSE)</f>
        <v>1</v>
      </c>
      <c r="AR13" s="955">
        <f>VLOOKUP(AJ13,Marination_Ordering!$A:$J,10,FALSE)</f>
        <v>5</v>
      </c>
      <c r="AS13" s="954">
        <f t="shared" si="12"/>
        <v>1051.0610079575595</v>
      </c>
      <c r="AT13" s="955">
        <f t="shared" si="13"/>
        <v>5.2553050397877978</v>
      </c>
    </row>
    <row r="14" spans="1:46" x14ac:dyDescent="0.25">
      <c r="A14" s="949"/>
      <c r="B14" s="960" t="s">
        <v>166</v>
      </c>
      <c r="C14" s="947" t="s">
        <v>160</v>
      </c>
      <c r="D14" s="914">
        <v>300</v>
      </c>
      <c r="E14" s="1040">
        <f t="shared" si="7"/>
        <v>3.694638694638698</v>
      </c>
      <c r="F14" s="948">
        <v>1</v>
      </c>
      <c r="G14" s="940">
        <f t="shared" si="0"/>
        <v>1108.3916083916095</v>
      </c>
      <c r="H14" s="943">
        <f t="shared" si="1"/>
        <v>1108.3916083916095</v>
      </c>
      <c r="I14" s="914">
        <f>VLOOKUP(B14,All_Ingredients!$A$1:$F$161,6,FALSE())</f>
        <v>1</v>
      </c>
      <c r="J14" s="940">
        <f>VLOOKUP(B14,All_Ingredients!$A$1:$J$161,10,FALSE())</f>
        <v>12.666666666666666</v>
      </c>
      <c r="K14" s="945">
        <f t="shared" si="8"/>
        <v>1.1083916083916094</v>
      </c>
      <c r="L14" s="945">
        <f t="shared" si="9"/>
        <v>14.039627039627053</v>
      </c>
      <c r="R14" s="890"/>
      <c r="T14" s="890"/>
      <c r="W14" s="890"/>
      <c r="X14" s="890"/>
      <c r="AJ14" s="1355" t="s">
        <v>163</v>
      </c>
      <c r="AK14" s="947" t="s">
        <v>14</v>
      </c>
      <c r="AL14" s="1356">
        <v>50</v>
      </c>
      <c r="AM14" s="1357">
        <f t="shared" si="4"/>
        <v>2.102122015915119</v>
      </c>
      <c r="AN14" s="1358">
        <v>1</v>
      </c>
      <c r="AO14" s="1356">
        <f t="shared" si="5"/>
        <v>105.10610079575595</v>
      </c>
      <c r="AP14" s="1359">
        <f t="shared" si="6"/>
        <v>105.10610079575595</v>
      </c>
      <c r="AQ14" s="955">
        <f>VLOOKUP(AJ14,Marination_Ordering!$A:$J,6,FALSE)</f>
        <v>1</v>
      </c>
      <c r="AR14" s="955">
        <f>VLOOKUP(AJ14,Marination_Ordering!$A:$J,10,FALSE)</f>
        <v>6.6959999999999997</v>
      </c>
      <c r="AS14" s="954">
        <f t="shared" si="12"/>
        <v>105.10610079575595</v>
      </c>
      <c r="AT14" s="955">
        <f t="shared" si="13"/>
        <v>0.70379045092838188</v>
      </c>
    </row>
    <row r="15" spans="1:46" ht="29.25" x14ac:dyDescent="0.25">
      <c r="A15" s="949"/>
      <c r="B15" s="960" t="s">
        <v>60</v>
      </c>
      <c r="C15" s="947" t="s">
        <v>14</v>
      </c>
      <c r="D15" s="914">
        <v>30</v>
      </c>
      <c r="E15" s="1040">
        <f t="shared" si="7"/>
        <v>3.694638694638698</v>
      </c>
      <c r="F15" s="948">
        <v>1</v>
      </c>
      <c r="G15" s="940">
        <f t="shared" si="0"/>
        <v>110.83916083916094</v>
      </c>
      <c r="H15" s="943">
        <f t="shared" si="1"/>
        <v>110.83916083916094</v>
      </c>
      <c r="I15" s="914">
        <f>VLOOKUP(B15,All_Ingredients!$A$1:$F$161,6,FALSE())</f>
        <v>0.94</v>
      </c>
      <c r="J15" s="940">
        <f>VLOOKUP(B15,All_Ingredients!$A$1:$J$161,10,FALSE())</f>
        <v>3.6363636363636367</v>
      </c>
      <c r="K15" s="945">
        <f t="shared" si="8"/>
        <v>0.11791400089272441</v>
      </c>
      <c r="L15" s="945">
        <f t="shared" si="9"/>
        <v>0.42877818506445248</v>
      </c>
      <c r="R15" s="890"/>
      <c r="T15" s="890"/>
      <c r="W15" s="890"/>
      <c r="X15" s="890"/>
      <c r="AJ15" s="1355" t="s">
        <v>152</v>
      </c>
      <c r="AK15" s="947" t="s">
        <v>14</v>
      </c>
      <c r="AL15" s="1356">
        <v>100</v>
      </c>
      <c r="AM15" s="1357">
        <f t="shared" si="4"/>
        <v>2.102122015915119</v>
      </c>
      <c r="AN15" s="1358">
        <v>1</v>
      </c>
      <c r="AO15" s="1356">
        <f t="shared" si="5"/>
        <v>210.2122015915119</v>
      </c>
      <c r="AP15" s="1359">
        <f t="shared" si="6"/>
        <v>210.2122015915119</v>
      </c>
      <c r="AQ15" s="955">
        <f>VLOOKUP(AJ15,Marination_Ordering!$A:$J,6,FALSE)</f>
        <v>1</v>
      </c>
      <c r="AR15" s="955">
        <f>VLOOKUP(AJ15,Marination_Ordering!$A:$J,10,FALSE)</f>
        <v>30</v>
      </c>
      <c r="AS15" s="954">
        <f t="shared" si="12"/>
        <v>210.2122015915119</v>
      </c>
      <c r="AT15" s="955">
        <f t="shared" si="13"/>
        <v>6.3063660477453576</v>
      </c>
    </row>
    <row r="16" spans="1:46" x14ac:dyDescent="0.25">
      <c r="A16" s="949"/>
      <c r="B16" s="960" t="s">
        <v>68</v>
      </c>
      <c r="C16" s="947" t="s">
        <v>14</v>
      </c>
      <c r="D16" s="914">
        <v>25</v>
      </c>
      <c r="E16" s="1040">
        <f t="shared" si="7"/>
        <v>3.694638694638698</v>
      </c>
      <c r="F16" s="948">
        <v>1</v>
      </c>
      <c r="G16" s="940">
        <f t="shared" si="0"/>
        <v>92.36596736596745</v>
      </c>
      <c r="H16" s="943">
        <f t="shared" si="1"/>
        <v>92.36596736596745</v>
      </c>
      <c r="I16" s="914">
        <f>VLOOKUP(B16,All_Ingredients!$A$1:$F$161,6,FALSE())</f>
        <v>0.43</v>
      </c>
      <c r="J16" s="940">
        <f>VLOOKUP(B16,All_Ingredients!$A$1:$J$161,10,FALSE())</f>
        <v>3.333333333333333</v>
      </c>
      <c r="K16" s="945">
        <f t="shared" si="8"/>
        <v>0.21480457526969177</v>
      </c>
      <c r="L16" s="945">
        <f t="shared" si="9"/>
        <v>0.71601525089897244</v>
      </c>
      <c r="R16" s="890"/>
      <c r="T16" s="890"/>
      <c r="W16" s="890"/>
      <c r="X16" s="890"/>
      <c r="AJ16" s="1355" t="s">
        <v>214</v>
      </c>
      <c r="AK16" s="947" t="s">
        <v>14</v>
      </c>
      <c r="AL16" s="1356">
        <v>2</v>
      </c>
      <c r="AM16" s="1357">
        <f t="shared" si="4"/>
        <v>2.102122015915119</v>
      </c>
      <c r="AN16" s="1358">
        <v>1</v>
      </c>
      <c r="AO16" s="1356">
        <f t="shared" si="5"/>
        <v>4.2042440318302381</v>
      </c>
      <c r="AP16" s="1359">
        <f t="shared" si="6"/>
        <v>4.2042440318302381</v>
      </c>
      <c r="AQ16" s="955">
        <f>VLOOKUP(AJ16,Marination_Ordering!$A:$J,6,FALSE)</f>
        <v>1</v>
      </c>
      <c r="AR16" s="955">
        <f>VLOOKUP(AJ16,Marination_Ordering!$A:$J,10,FALSE)</f>
        <v>35</v>
      </c>
      <c r="AS16" s="954">
        <f t="shared" si="12"/>
        <v>4.2042440318302381</v>
      </c>
      <c r="AT16" s="955">
        <f t="shared" si="13"/>
        <v>0.14714854111405834</v>
      </c>
    </row>
    <row r="17" spans="1:46" x14ac:dyDescent="0.25">
      <c r="A17" s="949"/>
      <c r="B17" s="960" t="s">
        <v>93</v>
      </c>
      <c r="C17" s="947" t="s">
        <v>14</v>
      </c>
      <c r="D17" s="914">
        <v>11</v>
      </c>
      <c r="E17" s="1040">
        <f t="shared" si="7"/>
        <v>3.694638694638698</v>
      </c>
      <c r="F17" s="948">
        <v>0.75</v>
      </c>
      <c r="G17" s="940">
        <f t="shared" si="0"/>
        <v>40.641025641025678</v>
      </c>
      <c r="H17" s="943">
        <f t="shared" si="1"/>
        <v>30.480769230769258</v>
      </c>
      <c r="I17" s="914">
        <f>VLOOKUP(B17,All_Ingredients!$A$1:$F$161,6,FALSE())</f>
        <v>1</v>
      </c>
      <c r="J17" s="940">
        <f>VLOOKUP(B17,All_Ingredients!$A$1:$J$161,10,FALSE())</f>
        <v>0.74</v>
      </c>
      <c r="K17" s="945">
        <f t="shared" si="8"/>
        <v>3.0480769230769259E-2</v>
      </c>
      <c r="L17" s="945">
        <f t="shared" si="9"/>
        <v>2.2555769230769251E-2</v>
      </c>
      <c r="R17" s="890"/>
      <c r="T17" s="890"/>
      <c r="W17" s="890"/>
      <c r="X17" s="890"/>
      <c r="AJ17" s="1355" t="s">
        <v>208</v>
      </c>
      <c r="AK17" s="947" t="s">
        <v>160</v>
      </c>
      <c r="AL17" s="1356">
        <v>100</v>
      </c>
      <c r="AM17" s="1357">
        <f t="shared" si="4"/>
        <v>2.102122015915119</v>
      </c>
      <c r="AN17" s="1358">
        <v>1</v>
      </c>
      <c r="AO17" s="1356">
        <f t="shared" si="5"/>
        <v>210.2122015915119</v>
      </c>
      <c r="AP17" s="1359">
        <f t="shared" si="6"/>
        <v>210.2122015915119</v>
      </c>
      <c r="AQ17" s="955">
        <f>VLOOKUP(AJ17,Marination_Ordering!$A:$J,6,FALSE)</f>
        <v>1</v>
      </c>
      <c r="AR17" s="955">
        <f>VLOOKUP(AJ17,Marination_Ordering!$A:$J,10,FALSE)</f>
        <v>2.1621621621621623</v>
      </c>
      <c r="AS17" s="954">
        <f t="shared" si="12"/>
        <v>210.2122015915119</v>
      </c>
      <c r="AT17" s="955">
        <f t="shared" si="13"/>
        <v>0.45451286830597171</v>
      </c>
    </row>
    <row r="18" spans="1:46" ht="29.25" x14ac:dyDescent="0.25">
      <c r="A18" s="949"/>
      <c r="B18" s="960" t="s">
        <v>113</v>
      </c>
      <c r="C18" s="947" t="s">
        <v>14</v>
      </c>
      <c r="D18" s="914">
        <v>5</v>
      </c>
      <c r="E18" s="1040">
        <f t="shared" si="7"/>
        <v>3.694638694638698</v>
      </c>
      <c r="F18" s="948">
        <v>0.75</v>
      </c>
      <c r="G18" s="940">
        <f t="shared" si="0"/>
        <v>18.47319347319349</v>
      </c>
      <c r="H18" s="943">
        <f t="shared" si="1"/>
        <v>13.854895104895117</v>
      </c>
      <c r="I18" s="914">
        <f>VLOOKUP(B18,All_Ingredients!$A$1:$F$161,6,FALSE())</f>
        <v>1</v>
      </c>
      <c r="J18" s="940">
        <f>VLOOKUP(B18,All_Ingredients!$A$1:$J$161,10,FALSE())</f>
        <v>20</v>
      </c>
      <c r="K18" s="945">
        <f t="shared" si="8"/>
        <v>1.3854895104895118E-2</v>
      </c>
      <c r="L18" s="945">
        <f t="shared" si="9"/>
        <v>0.27709790209790236</v>
      </c>
      <c r="Q18"/>
      <c r="R18" s="890"/>
      <c r="T18" s="890"/>
      <c r="W18" s="890"/>
      <c r="X18" s="890"/>
      <c r="AJ18" s="890"/>
      <c r="AL18" s="890"/>
      <c r="AM18" s="890"/>
      <c r="AN18" s="890"/>
      <c r="AP18" s="890"/>
      <c r="AS18" s="890"/>
    </row>
    <row r="19" spans="1:46" ht="29.25" x14ac:dyDescent="0.25">
      <c r="A19" s="949"/>
      <c r="B19" s="960" t="s">
        <v>107</v>
      </c>
      <c r="C19" s="947" t="s">
        <v>14</v>
      </c>
      <c r="D19" s="914">
        <v>15</v>
      </c>
      <c r="E19" s="1040">
        <f t="shared" si="7"/>
        <v>3.694638694638698</v>
      </c>
      <c r="F19" s="948">
        <v>1</v>
      </c>
      <c r="G19" s="940">
        <f t="shared" si="0"/>
        <v>55.41958041958047</v>
      </c>
      <c r="H19" s="943">
        <f t="shared" si="1"/>
        <v>55.41958041958047</v>
      </c>
      <c r="I19" s="914">
        <f>VLOOKUP(B19,All_Ingredients!$A$1:$F$161,6,FALSE())</f>
        <v>1</v>
      </c>
      <c r="J19" s="940">
        <f>VLOOKUP(B19,All_Ingredients!$A$1:$J$161,10,FALSE())</f>
        <v>8</v>
      </c>
      <c r="K19" s="945">
        <f t="shared" si="8"/>
        <v>5.5419580419580471E-2</v>
      </c>
      <c r="L19" s="945">
        <f t="shared" si="9"/>
        <v>0.44335664335664376</v>
      </c>
      <c r="R19" s="890"/>
      <c r="T19" s="890"/>
      <c r="W19" s="890"/>
      <c r="X19" s="890"/>
      <c r="AJ19" s="890"/>
      <c r="AL19" s="890"/>
      <c r="AM19" s="890"/>
      <c r="AN19" s="890"/>
      <c r="AP19" s="890"/>
      <c r="AS19" s="890"/>
    </row>
    <row r="20" spans="1:46" x14ac:dyDescent="0.25">
      <c r="A20" s="949"/>
      <c r="B20" s="960" t="s">
        <v>214</v>
      </c>
      <c r="C20" s="947" t="s">
        <v>14</v>
      </c>
      <c r="D20" s="914">
        <v>3</v>
      </c>
      <c r="E20" s="1040">
        <f t="shared" si="7"/>
        <v>3.694638694638698</v>
      </c>
      <c r="F20" s="948">
        <v>0.75</v>
      </c>
      <c r="G20" s="940">
        <f t="shared" si="0"/>
        <v>11.083916083916094</v>
      </c>
      <c r="H20" s="943">
        <f t="shared" si="1"/>
        <v>8.3129370629370705</v>
      </c>
      <c r="I20" s="914">
        <f>VLOOKUP(B20,All_Ingredients!$A$1:$F$161,6,FALSE())</f>
        <v>1</v>
      </c>
      <c r="J20" s="940">
        <f>VLOOKUP(B20,All_Ingredients!$A$1:$J$161,10,FALSE())</f>
        <v>35</v>
      </c>
      <c r="K20" s="945">
        <f t="shared" si="8"/>
        <v>8.3129370629370699E-3</v>
      </c>
      <c r="L20" s="945">
        <f t="shared" si="9"/>
        <v>0.29095279720279743</v>
      </c>
      <c r="R20" s="890"/>
      <c r="T20" s="890"/>
      <c r="W20" s="890"/>
      <c r="X20" s="890"/>
      <c r="AJ20" s="890"/>
      <c r="AL20" s="890"/>
      <c r="AM20" s="890"/>
      <c r="AN20" s="890"/>
      <c r="AP20" s="890"/>
      <c r="AS20" s="890"/>
    </row>
    <row r="21" spans="1:46" x14ac:dyDescent="0.25">
      <c r="A21" s="949"/>
      <c r="B21" s="960" t="s">
        <v>152</v>
      </c>
      <c r="C21" s="947" t="s">
        <v>14</v>
      </c>
      <c r="D21" s="914">
        <v>60</v>
      </c>
      <c r="E21" s="1040">
        <f t="shared" si="7"/>
        <v>3.694638694638698</v>
      </c>
      <c r="F21" s="948">
        <v>1</v>
      </c>
      <c r="G21" s="940">
        <f t="shared" si="0"/>
        <v>221.67832167832188</v>
      </c>
      <c r="H21" s="943">
        <f t="shared" si="1"/>
        <v>221.67832167832188</v>
      </c>
      <c r="I21" s="914">
        <f>VLOOKUP(B21,All_Ingredients!$A$1:$F$161,6,FALSE())</f>
        <v>1</v>
      </c>
      <c r="J21" s="940">
        <f>VLOOKUP(B21,All_Ingredients!$A$1:$J$161,10,FALSE())</f>
        <v>30</v>
      </c>
      <c r="K21" s="945">
        <f t="shared" si="8"/>
        <v>0.22167832167832188</v>
      </c>
      <c r="L21" s="945">
        <f t="shared" si="9"/>
        <v>6.6503496503496562</v>
      </c>
      <c r="R21" s="890"/>
      <c r="T21" s="890"/>
      <c r="W21" s="890"/>
      <c r="X21" s="890"/>
      <c r="AJ21" s="890"/>
      <c r="AL21" s="890"/>
      <c r="AM21" s="890"/>
      <c r="AN21" s="890"/>
      <c r="AP21" s="890"/>
      <c r="AS21" s="890"/>
    </row>
    <row r="22" spans="1:46" x14ac:dyDescent="0.25">
      <c r="B22" s="80"/>
      <c r="C22" s="125"/>
      <c r="D22" s="80"/>
      <c r="E22" s="80"/>
      <c r="F22" s="80"/>
      <c r="G22" s="125"/>
      <c r="H22" s="890"/>
      <c r="K22" s="890"/>
      <c r="L22" s="190"/>
      <c r="R22" s="890"/>
      <c r="T22" s="890"/>
      <c r="W22" s="890"/>
      <c r="X22" s="890"/>
      <c r="AJ22" s="890"/>
      <c r="AL22" s="890"/>
      <c r="AM22" s="890"/>
      <c r="AN22" s="890"/>
      <c r="AP22" s="890"/>
      <c r="AS22" s="890"/>
    </row>
    <row r="23" spans="1:46" x14ac:dyDescent="0.25">
      <c r="B23" s="890"/>
      <c r="D23" s="890"/>
      <c r="E23" s="890"/>
      <c r="F23" s="890"/>
      <c r="H23" s="890"/>
      <c r="K23" s="890"/>
      <c r="L23" s="190"/>
      <c r="Q23" s="245"/>
      <c r="R23" s="890"/>
      <c r="T23" s="890"/>
      <c r="W23" s="890"/>
      <c r="X23" s="890"/>
      <c r="AJ23" s="890"/>
      <c r="AL23" s="890"/>
      <c r="AM23" s="890"/>
      <c r="AN23" s="890"/>
      <c r="AP23" s="890"/>
      <c r="AS23" s="890"/>
    </row>
    <row r="24" spans="1:46" x14ac:dyDescent="0.25">
      <c r="B24" s="890"/>
      <c r="D24" s="890"/>
      <c r="E24" s="890"/>
      <c r="F24" s="890"/>
      <c r="H24" s="890"/>
      <c r="K24" s="890"/>
      <c r="L24" s="190"/>
      <c r="R24" s="890"/>
      <c r="T24" s="890"/>
      <c r="W24" s="890"/>
      <c r="X24" s="890"/>
      <c r="Z24" s="597"/>
      <c r="AJ24" s="890"/>
      <c r="AL24" s="890"/>
      <c r="AM24" s="890"/>
      <c r="AN24" s="890"/>
      <c r="AP24" s="890"/>
      <c r="AS24" s="890"/>
    </row>
    <row r="25" spans="1:46" x14ac:dyDescent="0.25">
      <c r="B25" s="890"/>
      <c r="D25" s="890"/>
      <c r="E25" s="890"/>
      <c r="F25" s="890"/>
      <c r="H25" s="890"/>
      <c r="K25" s="890"/>
      <c r="L25" s="190"/>
      <c r="R25" s="1779" t="s">
        <v>408</v>
      </c>
      <c r="S25" s="1787"/>
      <c r="T25" s="1788"/>
      <c r="U25" s="1787"/>
      <c r="V25" s="956"/>
      <c r="W25" s="1043"/>
      <c r="X25" s="890"/>
      <c r="Z25" s="982" t="s">
        <v>252</v>
      </c>
      <c r="AA25" s="989">
        <v>1</v>
      </c>
      <c r="AB25" s="982" t="s">
        <v>249</v>
      </c>
      <c r="AC25" s="1606">
        <f>(AA25*AD30)+(Z30*(AA28/R1))</f>
        <v>3.1789796821298344E-2</v>
      </c>
      <c r="AJ25" s="890"/>
      <c r="AL25" s="890"/>
      <c r="AM25" s="890"/>
      <c r="AN25" s="890"/>
      <c r="AP25" s="890"/>
      <c r="AS25" s="890"/>
    </row>
    <row r="26" spans="1:46" x14ac:dyDescent="0.25">
      <c r="B26" s="890"/>
      <c r="D26" s="890"/>
      <c r="E26" s="890"/>
      <c r="F26" s="890"/>
      <c r="H26" s="890"/>
      <c r="K26" s="890"/>
      <c r="L26" s="190"/>
      <c r="R26" s="1786" t="s">
        <v>296</v>
      </c>
      <c r="S26" s="1787"/>
      <c r="T26" s="1788"/>
      <c r="U26" s="1787"/>
      <c r="V26" s="956"/>
      <c r="W26" s="1043"/>
      <c r="X26" s="890"/>
      <c r="AJ26" s="890"/>
      <c r="AL26" s="890"/>
      <c r="AM26" s="890"/>
      <c r="AN26" s="890"/>
      <c r="AP26" s="890"/>
      <c r="AS26" s="890"/>
    </row>
    <row r="27" spans="1:46" x14ac:dyDescent="0.25">
      <c r="B27" s="890"/>
      <c r="D27" s="890"/>
      <c r="E27" s="890"/>
      <c r="F27" s="890"/>
      <c r="H27" s="890"/>
      <c r="K27" s="890"/>
      <c r="R27" s="961" t="s">
        <v>254</v>
      </c>
      <c r="S27" s="962" t="s">
        <v>255</v>
      </c>
      <c r="T27" s="961" t="s">
        <v>256</v>
      </c>
      <c r="U27" s="962" t="s">
        <v>257</v>
      </c>
      <c r="V27" s="962" t="s">
        <v>746</v>
      </c>
      <c r="W27" s="961" t="s">
        <v>753</v>
      </c>
      <c r="X27" s="890"/>
      <c r="Y27" s="982" t="s">
        <v>258</v>
      </c>
      <c r="Z27" s="982" t="s">
        <v>746</v>
      </c>
      <c r="AA27" s="982" t="s">
        <v>259</v>
      </c>
      <c r="AB27" s="982" t="s">
        <v>260</v>
      </c>
      <c r="AC27" s="984" t="s">
        <v>753</v>
      </c>
      <c r="AD27" s="982" t="s">
        <v>262</v>
      </c>
      <c r="AJ27" s="890"/>
      <c r="AL27" s="890"/>
      <c r="AM27" s="890"/>
      <c r="AN27" s="890"/>
      <c r="AP27" s="890"/>
      <c r="AS27" s="890"/>
    </row>
    <row r="28" spans="1:46" x14ac:dyDescent="0.25">
      <c r="B28" s="890"/>
      <c r="D28" s="890"/>
      <c r="E28" s="890"/>
      <c r="F28" s="890"/>
      <c r="H28" s="890"/>
      <c r="K28" s="890"/>
      <c r="R28" s="961" t="s">
        <v>263</v>
      </c>
      <c r="S28" s="975">
        <f>U28*S40</f>
        <v>11423.07692307692</v>
      </c>
      <c r="T28" s="1132">
        <f>U28*U40</f>
        <v>3426.9230769230803</v>
      </c>
      <c r="U28" s="1391">
        <f>$Z$1</f>
        <v>14850</v>
      </c>
      <c r="V28" s="966">
        <f>SUM(AP6:AP17)</f>
        <v>3735.4708222811664</v>
      </c>
      <c r="W28" s="967">
        <f>H37</f>
        <v>7.98</v>
      </c>
      <c r="X28" s="890"/>
      <c r="Y28" s="1086"/>
      <c r="Z28" s="1205"/>
      <c r="AA28" s="985">
        <f>AA25*$S$40</f>
        <v>0.76923076923076905</v>
      </c>
      <c r="AB28" s="985">
        <f>AA25-AA28</f>
        <v>0.23076923076923095</v>
      </c>
      <c r="AC28" s="987"/>
      <c r="AD28" s="1088">
        <f>SUM(AA28:AC28)</f>
        <v>1</v>
      </c>
      <c r="AJ28" s="890"/>
      <c r="AL28" s="890"/>
      <c r="AM28" s="890"/>
      <c r="AN28" s="890"/>
      <c r="AP28" s="890"/>
      <c r="AS28" s="890"/>
    </row>
    <row r="29" spans="1:46" x14ac:dyDescent="0.25">
      <c r="B29" s="80"/>
      <c r="D29" s="890"/>
      <c r="E29" s="80"/>
      <c r="F29" s="80"/>
      <c r="H29" s="890"/>
      <c r="K29" s="890"/>
      <c r="R29" s="961" t="s">
        <v>264</v>
      </c>
      <c r="S29" s="974"/>
      <c r="T29" s="1132"/>
      <c r="U29" s="966">
        <f>T29</f>
        <v>0</v>
      </c>
      <c r="V29" s="966"/>
      <c r="W29" s="967"/>
      <c r="X29" s="890"/>
      <c r="Y29" s="1086"/>
      <c r="Z29" s="1205"/>
      <c r="AA29" s="1089">
        <f>AA28/$AD$28</f>
        <v>0.76923076923076905</v>
      </c>
      <c r="AB29" s="1089">
        <f>AB28/$AD$28</f>
        <v>0.23076923076923095</v>
      </c>
      <c r="AC29" s="991"/>
      <c r="AD29" s="1089">
        <f>AD28/$AD$28</f>
        <v>1</v>
      </c>
      <c r="AJ29" s="890"/>
      <c r="AL29" s="890"/>
      <c r="AM29" s="890"/>
      <c r="AN29" s="890"/>
      <c r="AP29" s="890"/>
      <c r="AS29" s="890"/>
    </row>
    <row r="30" spans="1:46" x14ac:dyDescent="0.25">
      <c r="B30" s="890"/>
      <c r="D30" s="890"/>
      <c r="E30" s="890"/>
      <c r="F30" s="890"/>
      <c r="H30" s="890"/>
      <c r="K30" s="890"/>
      <c r="R30" s="961" t="s">
        <v>409</v>
      </c>
      <c r="S30" s="1460">
        <f>U30*S40</f>
        <v>769.23076923076906</v>
      </c>
      <c r="T30" s="1132">
        <f>U30*U40</f>
        <v>230.769230769231</v>
      </c>
      <c r="U30" s="1391">
        <f>$AB$1</f>
        <v>1000</v>
      </c>
      <c r="V30" s="972"/>
      <c r="W30" s="973"/>
      <c r="X30" s="890"/>
      <c r="Y30" s="982" t="s">
        <v>266</v>
      </c>
      <c r="Z30" s="1607">
        <f>V35/(S32/R1)</f>
        <v>1.5476204721963339E-3</v>
      </c>
      <c r="AA30" s="1090">
        <f>S35/(S32)</f>
        <v>3.4282277465918214E-2</v>
      </c>
      <c r="AB30" s="1091">
        <f>T35/T32</f>
        <v>1.4436116466571088E-2</v>
      </c>
      <c r="AC30" s="995">
        <f>W35/U32</f>
        <v>3.4855617568551322E-5</v>
      </c>
      <c r="AD30" s="1092">
        <f>SUMPRODUCT(AA30:AB30,AA29:AB29)+AC30</f>
        <v>2.9737249775945118E-2</v>
      </c>
      <c r="AJ30" s="890"/>
      <c r="AL30" s="890"/>
      <c r="AM30" s="890"/>
      <c r="AN30" s="890"/>
      <c r="AP30" s="890"/>
      <c r="AS30" s="890"/>
    </row>
    <row r="31" spans="1:46" x14ac:dyDescent="0.25">
      <c r="B31" s="890"/>
      <c r="D31" s="890"/>
      <c r="E31" s="890"/>
      <c r="F31" s="890"/>
      <c r="H31" s="890"/>
      <c r="K31" s="890"/>
      <c r="R31" s="961" t="s">
        <v>410</v>
      </c>
      <c r="S31" s="959"/>
      <c r="T31" s="967"/>
      <c r="U31" s="966"/>
      <c r="V31" s="966"/>
      <c r="W31" s="967"/>
      <c r="X31" s="890"/>
      <c r="AJ31" s="890"/>
      <c r="AL31" s="890"/>
      <c r="AM31" s="890"/>
      <c r="AN31" s="890"/>
      <c r="AP31" s="890"/>
      <c r="AS31" s="890"/>
    </row>
    <row r="32" spans="1:46" x14ac:dyDescent="0.25">
      <c r="B32" s="890"/>
      <c r="D32" s="890"/>
      <c r="E32" s="890"/>
      <c r="F32" s="890"/>
      <c r="H32" s="890"/>
      <c r="K32" s="890"/>
      <c r="R32" s="961" t="s">
        <v>257</v>
      </c>
      <c r="S32" s="966">
        <f>SUM(S28:S30)</f>
        <v>12192.30769230769</v>
      </c>
      <c r="T32" s="967">
        <f>SUM(T28:T30)</f>
        <v>3657.6923076923113</v>
      </c>
      <c r="U32" s="966">
        <f>SUM(U28:U30)</f>
        <v>15850</v>
      </c>
      <c r="V32" s="966"/>
      <c r="W32" s="967">
        <f>SUM(W28:W30)</f>
        <v>7.98</v>
      </c>
      <c r="X32" s="890"/>
      <c r="AJ32" s="890"/>
      <c r="AL32" s="890"/>
      <c r="AM32" s="890"/>
      <c r="AN32" s="890"/>
      <c r="AP32" s="890"/>
      <c r="AS32" s="890"/>
    </row>
    <row r="33" spans="2:24" ht="30" x14ac:dyDescent="0.25">
      <c r="B33" s="80"/>
      <c r="D33" s="890"/>
      <c r="E33" s="80"/>
      <c r="F33" s="80"/>
      <c r="G33" s="437"/>
      <c r="H33" s="890"/>
      <c r="K33" s="890"/>
      <c r="R33" s="976" t="s">
        <v>268</v>
      </c>
      <c r="S33" s="959"/>
      <c r="T33" s="960"/>
      <c r="U33" s="959"/>
      <c r="V33" s="959"/>
      <c r="W33" s="960"/>
      <c r="X33" s="890"/>
    </row>
    <row r="34" spans="2:24" x14ac:dyDescent="0.25">
      <c r="B34" s="80"/>
      <c r="D34" s="890"/>
      <c r="E34" s="80"/>
      <c r="F34" s="80"/>
      <c r="H34" s="890"/>
      <c r="K34" s="890"/>
      <c r="R34" s="961" t="s">
        <v>269</v>
      </c>
      <c r="S34" s="959"/>
      <c r="T34" s="967"/>
      <c r="U34" s="959"/>
      <c r="V34" s="959"/>
      <c r="W34" s="960"/>
      <c r="X34" s="890"/>
    </row>
    <row r="35" spans="2:24" ht="15.75" x14ac:dyDescent="0.25">
      <c r="B35" s="1845" t="s">
        <v>650</v>
      </c>
      <c r="C35" s="1846"/>
      <c r="D35" s="1845"/>
      <c r="E35" s="1845"/>
      <c r="F35" s="1845"/>
      <c r="G35" s="1001"/>
      <c r="H35" s="1434"/>
      <c r="I35" s="1010"/>
      <c r="J35" s="1010"/>
      <c r="K35" s="1009"/>
      <c r="L35" s="1010"/>
      <c r="R35" s="977" t="s">
        <v>249</v>
      </c>
      <c r="S35" s="978">
        <f>$L$5</f>
        <v>417.98007525754122</v>
      </c>
      <c r="T35" s="979">
        <f>SUM(L6:L21)</f>
        <v>52.802872152727375</v>
      </c>
      <c r="U35" s="978">
        <f>S35+T35+V35+W35</f>
        <v>503.86827961757882</v>
      </c>
      <c r="V35" s="978">
        <f>SUM(AT6:AT17)</f>
        <v>32.532870668848659</v>
      </c>
      <c r="W35" s="1120">
        <f>L37</f>
        <v>0.55246153846153845</v>
      </c>
      <c r="X35" s="890"/>
    </row>
    <row r="36" spans="2:24" ht="15.7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c r="X36" s="890"/>
    </row>
    <row r="37" spans="2:24" x14ac:dyDescent="0.25">
      <c r="B37" s="1005" t="s">
        <v>666</v>
      </c>
      <c r="C37" s="1006" t="s">
        <v>14</v>
      </c>
      <c r="D37" s="1007">
        <v>7.0000000000000007E-2</v>
      </c>
      <c r="E37" s="1005">
        <f>$AD$1</f>
        <v>114</v>
      </c>
      <c r="F37" s="1005">
        <f>D37*E37</f>
        <v>7.98</v>
      </c>
      <c r="G37" s="437"/>
      <c r="H37" s="1005">
        <f>F37</f>
        <v>7.98</v>
      </c>
      <c r="I37" s="1005">
        <f>VLOOKUP(B37,All_Ingredients!$A$1:$F$161,6,FALSE())</f>
        <v>0.65</v>
      </c>
      <c r="J37" s="1005">
        <f>VLOOKUP(B37,All_Ingredients!$A$1:$J$161,10,FALSE())</f>
        <v>45</v>
      </c>
      <c r="K37" s="1005">
        <f>(H37/I37)/1000</f>
        <v>1.2276923076923078E-2</v>
      </c>
      <c r="L37" s="1005">
        <f>K37*J37</f>
        <v>0.55246153846153845</v>
      </c>
      <c r="R37" s="890"/>
      <c r="T37" s="890"/>
      <c r="W37" s="890"/>
      <c r="X37" s="890"/>
    </row>
    <row r="38" spans="2:24" x14ac:dyDescent="0.25">
      <c r="B38" s="890"/>
      <c r="D38" s="890"/>
      <c r="E38" s="890"/>
      <c r="F38" s="830"/>
      <c r="G38"/>
      <c r="H38" s="890"/>
      <c r="K38" s="890"/>
      <c r="R38" s="890"/>
      <c r="T38" s="890"/>
      <c r="W38" s="890"/>
      <c r="X38" s="890"/>
    </row>
    <row r="39" spans="2:24" x14ac:dyDescent="0.25">
      <c r="B39" s="890"/>
      <c r="D39" s="890"/>
      <c r="E39" s="890"/>
      <c r="F39" s="830"/>
      <c r="G39"/>
      <c r="H39" s="890"/>
      <c r="K39" s="890"/>
      <c r="R39" s="1043"/>
      <c r="S39" s="952">
        <v>150</v>
      </c>
      <c r="T39" s="1043"/>
      <c r="U39" s="952"/>
      <c r="V39" s="952"/>
      <c r="W39" s="890"/>
      <c r="X39" s="890"/>
    </row>
    <row r="40" spans="2:24" ht="26.25" x14ac:dyDescent="0.25">
      <c r="B40" s="890"/>
      <c r="D40" s="890"/>
      <c r="E40" s="890"/>
      <c r="F40" s="890"/>
      <c r="G40"/>
      <c r="H40" s="890"/>
      <c r="K40" s="890"/>
      <c r="R40" s="1011" t="s">
        <v>270</v>
      </c>
      <c r="S40" s="1012">
        <v>0.76923076923076905</v>
      </c>
      <c r="T40" s="1011" t="s">
        <v>271</v>
      </c>
      <c r="U40" s="1013">
        <v>0.230769230769231</v>
      </c>
      <c r="V40" s="1014">
        <f>S40+U40</f>
        <v>1</v>
      </c>
      <c r="W40" s="890"/>
      <c r="X40" s="890"/>
    </row>
    <row r="41" spans="2:24" x14ac:dyDescent="0.25">
      <c r="B41" s="890"/>
      <c r="D41" s="890"/>
      <c r="E41" s="890"/>
      <c r="F41" s="890"/>
      <c r="G41"/>
      <c r="H41" s="890"/>
      <c r="K41" s="890"/>
      <c r="R41" s="890"/>
      <c r="T41" s="890"/>
      <c r="U41" s="123"/>
      <c r="W41" s="890"/>
      <c r="X41" s="890"/>
    </row>
    <row r="42" spans="2:24" x14ac:dyDescent="0.25">
      <c r="B42" s="890"/>
      <c r="D42" s="890"/>
      <c r="E42" s="890"/>
      <c r="F42" s="890"/>
      <c r="H42" s="890"/>
      <c r="K42" s="890"/>
      <c r="R42" s="890"/>
      <c r="T42" s="890"/>
      <c r="W42" s="890"/>
      <c r="X42" s="890"/>
    </row>
    <row r="43" spans="2:24" ht="26.25" x14ac:dyDescent="0.25">
      <c r="B43" s="890"/>
      <c r="D43" s="890"/>
      <c r="E43" s="890"/>
      <c r="F43" s="890"/>
      <c r="H43" s="890"/>
      <c r="K43" s="890"/>
      <c r="Q43" s="1015" t="s">
        <v>272</v>
      </c>
      <c r="R43" s="1011" t="s">
        <v>273</v>
      </c>
      <c r="S43" s="1015" t="s">
        <v>274</v>
      </c>
      <c r="T43" s="1011" t="s">
        <v>275</v>
      </c>
      <c r="U43" s="1015" t="s">
        <v>276</v>
      </c>
      <c r="V43" s="1015" t="s">
        <v>277</v>
      </c>
      <c r="W43" s="1011" t="s">
        <v>278</v>
      </c>
      <c r="X43" s="1011" t="s">
        <v>306</v>
      </c>
    </row>
    <row r="44" spans="2:24" x14ac:dyDescent="0.25">
      <c r="B44" s="890"/>
      <c r="D44" s="890"/>
      <c r="E44" s="890"/>
      <c r="F44" s="890"/>
      <c r="H44" s="890"/>
      <c r="K44" s="890"/>
      <c r="Q44" s="1023">
        <v>43334</v>
      </c>
      <c r="R44" s="1017">
        <f>D51</f>
        <v>10000</v>
      </c>
      <c r="S44" s="1024">
        <v>1</v>
      </c>
      <c r="T44" s="1025">
        <v>0</v>
      </c>
      <c r="U44" s="1096">
        <f>R44*S44</f>
        <v>10000</v>
      </c>
      <c r="V44" s="1021">
        <f>R44*T44</f>
        <v>0</v>
      </c>
      <c r="W44" s="1026">
        <f>Q44-U44</f>
        <v>33334</v>
      </c>
      <c r="X44" s="1026">
        <f>W44/$R$1</f>
        <v>57472.413793103449</v>
      </c>
    </row>
    <row r="50" spans="1:11" x14ac:dyDescent="0.25">
      <c r="B50" s="961"/>
      <c r="C50" s="962" t="s">
        <v>233</v>
      </c>
      <c r="D50" s="961" t="s">
        <v>279</v>
      </c>
      <c r="E50" s="80"/>
      <c r="F50" s="80"/>
      <c r="G50" s="962" t="s">
        <v>280</v>
      </c>
      <c r="H50" s="961" t="s">
        <v>233</v>
      </c>
      <c r="I50" s="962" t="s">
        <v>281</v>
      </c>
      <c r="J50" s="962" t="s">
        <v>282</v>
      </c>
      <c r="K50" s="890"/>
    </row>
    <row r="51" spans="1:11" x14ac:dyDescent="0.25">
      <c r="B51" s="1027" t="s">
        <v>283</v>
      </c>
      <c r="C51" s="1028">
        <f>10/$K$1</f>
        <v>10.1010101010101</v>
      </c>
      <c r="D51" s="1029">
        <f>$C$1*10</f>
        <v>10000</v>
      </c>
      <c r="E51" s="135"/>
      <c r="F51" s="80"/>
      <c r="G51" s="1033" t="s">
        <v>283</v>
      </c>
      <c r="H51" s="1122">
        <v>10</v>
      </c>
      <c r="I51" s="1028">
        <f>J51/$R$1</f>
        <v>57472.413793103449</v>
      </c>
      <c r="J51" s="1028">
        <f>$W$44</f>
        <v>33334</v>
      </c>
      <c r="K51" s="890"/>
    </row>
    <row r="52" spans="1:11" x14ac:dyDescent="0.25">
      <c r="B52" s="958" t="s">
        <v>262</v>
      </c>
      <c r="C52" s="1099">
        <f>$I$1</f>
        <v>3.694638694638698</v>
      </c>
      <c r="D52" s="1100">
        <f>$E$1</f>
        <v>3657.6923076923113</v>
      </c>
      <c r="E52" s="80"/>
      <c r="F52" s="80"/>
      <c r="G52" s="962" t="s">
        <v>262</v>
      </c>
      <c r="H52" s="1052">
        <f>I52/$D$5</f>
        <v>3.657619155309201</v>
      </c>
      <c r="I52" s="1021">
        <f>J52/$R$1</f>
        <v>21021.220159151191</v>
      </c>
      <c r="J52" s="1030">
        <f>$S$32</f>
        <v>12192.30769230769</v>
      </c>
      <c r="K52" s="890"/>
    </row>
    <row r="53" spans="1:11" x14ac:dyDescent="0.25">
      <c r="B53" s="958" t="s">
        <v>284</v>
      </c>
      <c r="C53" s="1101">
        <f>MIN(C52, C51)</f>
        <v>3.694638694638698</v>
      </c>
      <c r="D53" s="1100">
        <f>(C53*$K$1)*$C$1</f>
        <v>3657.6923076923113</v>
      </c>
      <c r="E53" s="80"/>
      <c r="F53" s="80"/>
      <c r="G53" s="962" t="s">
        <v>284</v>
      </c>
      <c r="H53" s="1035">
        <f>MIN(H52,H51)</f>
        <v>3.657619155309201</v>
      </c>
      <c r="I53" s="1021">
        <f>J53/$R$1</f>
        <v>21021.220159151191</v>
      </c>
      <c r="J53" s="1021">
        <f>MIN(J52,J51)</f>
        <v>12192.30769230769</v>
      </c>
      <c r="K53" s="89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1036"/>
      <c r="B62" s="1776" t="str">
        <f>"دجاج تكا  1 / " &amp; COUNTIF($C$53:$C$55, "&gt;0")</f>
        <v>دجاج تكا  1 / 1</v>
      </c>
      <c r="C62" s="1777"/>
      <c r="D62" s="1778"/>
      <c r="E62" s="1778"/>
      <c r="F62" s="1778"/>
      <c r="G62" s="1777"/>
      <c r="H62" s="1778"/>
      <c r="K62" s="890"/>
    </row>
    <row r="63" spans="1:11" x14ac:dyDescent="0.25">
      <c r="A63" s="1036"/>
      <c r="B63" s="1842" t="str">
        <f>"Chicken Tikka  1 / " &amp; COUNTIF($C$53:$C$55, "&gt;0")</f>
        <v>Chicken Tikka  1 / 1</v>
      </c>
      <c r="C63" s="1843"/>
      <c r="D63" s="1844"/>
      <c r="E63" s="1844"/>
      <c r="F63" s="1844"/>
      <c r="G63" s="1843"/>
      <c r="H63" s="1844"/>
      <c r="K63" s="890"/>
    </row>
    <row r="64" spans="1:11" ht="25.5" x14ac:dyDescent="0.2">
      <c r="A64" s="1350" t="s">
        <v>864</v>
      </c>
      <c r="B64" s="1104" t="s">
        <v>241</v>
      </c>
      <c r="C64" s="934" t="s">
        <v>242</v>
      </c>
      <c r="D64" s="1104" t="s">
        <v>231</v>
      </c>
      <c r="E64" s="936" t="s">
        <v>234</v>
      </c>
      <c r="F64" s="936" t="s">
        <v>243</v>
      </c>
      <c r="G64" s="1104" t="s">
        <v>244</v>
      </c>
      <c r="H64" s="936" t="s">
        <v>245</v>
      </c>
      <c r="K64" s="890"/>
    </row>
    <row r="65" spans="1:11" x14ac:dyDescent="0.2">
      <c r="A65" s="937" t="s">
        <v>872</v>
      </c>
      <c r="B65" s="960" t="str">
        <f t="shared" ref="B65:D81" si="14">B5</f>
        <v>Chicken - دجاج</v>
      </c>
      <c r="C65" s="959" t="str">
        <f t="shared" si="14"/>
        <v>gm</v>
      </c>
      <c r="D65" s="973">
        <f t="shared" si="14"/>
        <v>5747.2413793103451</v>
      </c>
      <c r="E65" s="918">
        <f>H53</f>
        <v>3.657619155309201</v>
      </c>
      <c r="F65" s="948">
        <f t="shared" ref="F65:F81" si="15">F5</f>
        <v>1</v>
      </c>
      <c r="G65" s="940">
        <f t="shared" ref="G65:G81" si="16">D65*E65</f>
        <v>21021.220159151191</v>
      </c>
      <c r="H65" s="943">
        <f t="shared" ref="H65:H81" si="17">G65*F65</f>
        <v>21021.220159151191</v>
      </c>
      <c r="K65" s="890"/>
    </row>
    <row r="66" spans="1:11" x14ac:dyDescent="0.25">
      <c r="A66" s="932" t="s">
        <v>881</v>
      </c>
      <c r="B66" s="960" t="str">
        <f t="shared" si="14"/>
        <v>Onion - بصل</v>
      </c>
      <c r="C66" s="959" t="str">
        <f t="shared" si="14"/>
        <v>gm</v>
      </c>
      <c r="D66" s="960">
        <f t="shared" si="14"/>
        <v>200</v>
      </c>
      <c r="E66" s="918">
        <f>$C$53</f>
        <v>3.694638694638698</v>
      </c>
      <c r="F66" s="948">
        <f t="shared" si="15"/>
        <v>0.95</v>
      </c>
      <c r="G66" s="940">
        <f t="shared" si="16"/>
        <v>738.9277389277396</v>
      </c>
      <c r="H66" s="943">
        <f t="shared" si="17"/>
        <v>701.98135198135253</v>
      </c>
      <c r="K66" s="890"/>
    </row>
    <row r="67" spans="1:11" x14ac:dyDescent="0.25">
      <c r="A67" s="932" t="s">
        <v>870</v>
      </c>
      <c r="B67" s="960" t="str">
        <f t="shared" si="14"/>
        <v>Tomato - طماطم</v>
      </c>
      <c r="C67" s="959" t="str">
        <f t="shared" si="14"/>
        <v>gm</v>
      </c>
      <c r="D67" s="960">
        <f t="shared" si="14"/>
        <v>500</v>
      </c>
      <c r="E67" s="918">
        <f t="shared" ref="E67:E81" si="18">$C$53</f>
        <v>3.694638694638698</v>
      </c>
      <c r="F67" s="948">
        <f t="shared" si="15"/>
        <v>0.95</v>
      </c>
      <c r="G67" s="940">
        <f t="shared" si="16"/>
        <v>1847.3193473193489</v>
      </c>
      <c r="H67" s="943">
        <f t="shared" si="17"/>
        <v>1754.9533799533815</v>
      </c>
      <c r="K67" s="890"/>
    </row>
    <row r="68" spans="1:11" x14ac:dyDescent="0.25">
      <c r="A68" s="932" t="s">
        <v>867</v>
      </c>
      <c r="B68" s="960" t="str">
        <f t="shared" si="14"/>
        <v>Ginger - زنجبيل</v>
      </c>
      <c r="C68" s="959" t="str">
        <f t="shared" si="14"/>
        <v>gm</v>
      </c>
      <c r="D68" s="960">
        <f t="shared" si="14"/>
        <v>25</v>
      </c>
      <c r="E68" s="918">
        <f t="shared" si="18"/>
        <v>3.694638694638698</v>
      </c>
      <c r="F68" s="948">
        <f t="shared" si="15"/>
        <v>1</v>
      </c>
      <c r="G68" s="940">
        <f t="shared" si="16"/>
        <v>92.36596736596745</v>
      </c>
      <c r="H68" s="943">
        <f t="shared" si="17"/>
        <v>92.36596736596745</v>
      </c>
      <c r="K68" s="890"/>
    </row>
    <row r="69" spans="1:11" x14ac:dyDescent="0.25">
      <c r="A69" s="932" t="s">
        <v>868</v>
      </c>
      <c r="B69" s="960" t="str">
        <f t="shared" si="14"/>
        <v>Garlic - ثوم مقشر</v>
      </c>
      <c r="C69" s="959" t="str">
        <f t="shared" si="14"/>
        <v>gm</v>
      </c>
      <c r="D69" s="960">
        <f t="shared" si="14"/>
        <v>40</v>
      </c>
      <c r="E69" s="918">
        <f t="shared" si="18"/>
        <v>3.694638694638698</v>
      </c>
      <c r="F69" s="948">
        <f t="shared" si="15"/>
        <v>1</v>
      </c>
      <c r="G69" s="940">
        <f t="shared" si="16"/>
        <v>147.78554778554792</v>
      </c>
      <c r="H69" s="943">
        <f t="shared" si="17"/>
        <v>147.78554778554792</v>
      </c>
      <c r="K69" s="890"/>
    </row>
    <row r="70" spans="1:11" x14ac:dyDescent="0.25">
      <c r="A70" s="932"/>
      <c r="B70" s="960" t="str">
        <f t="shared" si="14"/>
        <v>Turmeric - كركم</v>
      </c>
      <c r="C70" s="959" t="str">
        <f t="shared" si="14"/>
        <v>gm</v>
      </c>
      <c r="D70" s="960">
        <f t="shared" si="14"/>
        <v>5</v>
      </c>
      <c r="E70" s="918">
        <f t="shared" si="18"/>
        <v>3.694638694638698</v>
      </c>
      <c r="F70" s="948">
        <f t="shared" si="15"/>
        <v>0.75</v>
      </c>
      <c r="G70" s="940">
        <f t="shared" si="16"/>
        <v>18.47319347319349</v>
      </c>
      <c r="H70" s="943">
        <f t="shared" si="17"/>
        <v>13.854895104895117</v>
      </c>
      <c r="K70" s="890"/>
    </row>
    <row r="71" spans="1:11" x14ac:dyDescent="0.25">
      <c r="A71" s="932"/>
      <c r="B71" s="960" t="str">
        <f t="shared" si="14"/>
        <v>Cumin Powder - كمون مطحون</v>
      </c>
      <c r="C71" s="959" t="str">
        <f t="shared" si="14"/>
        <v>gm</v>
      </c>
      <c r="D71" s="960">
        <f t="shared" si="14"/>
        <v>15</v>
      </c>
      <c r="E71" s="918">
        <f t="shared" si="18"/>
        <v>3.694638694638698</v>
      </c>
      <c r="F71" s="948">
        <f t="shared" si="15"/>
        <v>1</v>
      </c>
      <c r="G71" s="940">
        <f t="shared" si="16"/>
        <v>55.41958041958047</v>
      </c>
      <c r="H71" s="943">
        <f t="shared" si="17"/>
        <v>55.41958041958047</v>
      </c>
      <c r="K71" s="890"/>
    </row>
    <row r="72" spans="1:11" x14ac:dyDescent="0.25">
      <c r="A72" s="932"/>
      <c r="B72" s="960" t="str">
        <f t="shared" si="14"/>
        <v>Biryani Masala - بهارات برياني</v>
      </c>
      <c r="C72" s="959" t="str">
        <f t="shared" si="14"/>
        <v>gm</v>
      </c>
      <c r="D72" s="960">
        <f t="shared" si="14"/>
        <v>25</v>
      </c>
      <c r="E72" s="918">
        <f t="shared" si="18"/>
        <v>3.694638694638698</v>
      </c>
      <c r="F72" s="948">
        <f t="shared" si="15"/>
        <v>0.75</v>
      </c>
      <c r="G72" s="940">
        <f t="shared" si="16"/>
        <v>92.36596736596745</v>
      </c>
      <c r="H72" s="943">
        <f t="shared" si="17"/>
        <v>69.274475524475591</v>
      </c>
      <c r="K72" s="890"/>
    </row>
    <row r="73" spans="1:11" x14ac:dyDescent="0.25">
      <c r="A73" s="932"/>
      <c r="B73" s="960" t="str">
        <f t="shared" si="14"/>
        <v>Labneh - لبنة</v>
      </c>
      <c r="C73" s="959" t="str">
        <f t="shared" si="14"/>
        <v>gm</v>
      </c>
      <c r="D73" s="960">
        <f t="shared" si="14"/>
        <v>300</v>
      </c>
      <c r="E73" s="918">
        <f t="shared" si="18"/>
        <v>3.694638694638698</v>
      </c>
      <c r="F73" s="948">
        <f t="shared" si="15"/>
        <v>1</v>
      </c>
      <c r="G73" s="940">
        <f t="shared" si="16"/>
        <v>1108.3916083916095</v>
      </c>
      <c r="H73" s="943">
        <f t="shared" si="17"/>
        <v>1108.3916083916095</v>
      </c>
      <c r="K73" s="890"/>
    </row>
    <row r="74" spans="1:11" x14ac:dyDescent="0.25">
      <c r="A74" s="932"/>
      <c r="B74" s="960" t="str">
        <f t="shared" si="14"/>
        <v>Cooking Cream - كريمة طبخ</v>
      </c>
      <c r="C74" s="959" t="str">
        <f t="shared" si="14"/>
        <v>ml</v>
      </c>
      <c r="D74" s="960">
        <f t="shared" si="14"/>
        <v>300</v>
      </c>
      <c r="E74" s="918">
        <f t="shared" si="18"/>
        <v>3.694638694638698</v>
      </c>
      <c r="F74" s="948">
        <f t="shared" si="15"/>
        <v>1</v>
      </c>
      <c r="G74" s="940">
        <f t="shared" si="16"/>
        <v>1108.3916083916095</v>
      </c>
      <c r="H74" s="943">
        <f t="shared" si="17"/>
        <v>1108.3916083916095</v>
      </c>
      <c r="K74" s="890"/>
    </row>
    <row r="75" spans="1:11" ht="29.25" x14ac:dyDescent="0.25">
      <c r="A75" s="932"/>
      <c r="B75" s="960" t="str">
        <f t="shared" si="14"/>
        <v>Coriander Leaves - كزبرة خضراء</v>
      </c>
      <c r="C75" s="959" t="str">
        <f t="shared" si="14"/>
        <v>gm</v>
      </c>
      <c r="D75" s="960">
        <f t="shared" si="14"/>
        <v>30</v>
      </c>
      <c r="E75" s="918">
        <f t="shared" si="18"/>
        <v>3.694638694638698</v>
      </c>
      <c r="F75" s="948">
        <f t="shared" si="15"/>
        <v>1</v>
      </c>
      <c r="G75" s="940">
        <f t="shared" si="16"/>
        <v>110.83916083916094</v>
      </c>
      <c r="H75" s="943">
        <f t="shared" si="17"/>
        <v>110.83916083916094</v>
      </c>
      <c r="K75" s="890"/>
    </row>
    <row r="76" spans="1:11" x14ac:dyDescent="0.25">
      <c r="A76" s="932"/>
      <c r="B76" s="960" t="str">
        <f t="shared" si="14"/>
        <v>Mint Leaves - نعناع طازج</v>
      </c>
      <c r="C76" s="959" t="str">
        <f t="shared" si="14"/>
        <v>gm</v>
      </c>
      <c r="D76" s="960">
        <f t="shared" si="14"/>
        <v>25</v>
      </c>
      <c r="E76" s="918">
        <f t="shared" si="18"/>
        <v>3.694638694638698</v>
      </c>
      <c r="F76" s="948">
        <f t="shared" si="15"/>
        <v>1</v>
      </c>
      <c r="G76" s="940">
        <f t="shared" si="16"/>
        <v>92.36596736596745</v>
      </c>
      <c r="H76" s="943">
        <f t="shared" si="17"/>
        <v>92.36596736596745</v>
      </c>
      <c r="K76" s="890"/>
    </row>
    <row r="77" spans="1:11" x14ac:dyDescent="0.25">
      <c r="A77" s="932"/>
      <c r="B77" s="960" t="str">
        <f t="shared" si="14"/>
        <v>Salt - ملح</v>
      </c>
      <c r="C77" s="959" t="str">
        <f t="shared" si="14"/>
        <v>gm</v>
      </c>
      <c r="D77" s="960">
        <f t="shared" si="14"/>
        <v>11</v>
      </c>
      <c r="E77" s="918">
        <f t="shared" si="18"/>
        <v>3.694638694638698</v>
      </c>
      <c r="F77" s="948">
        <f t="shared" si="15"/>
        <v>0.75</v>
      </c>
      <c r="G77" s="940">
        <f t="shared" si="16"/>
        <v>40.641025641025678</v>
      </c>
      <c r="H77" s="943">
        <f t="shared" si="17"/>
        <v>30.480769230769258</v>
      </c>
      <c r="K77" s="890"/>
    </row>
    <row r="78" spans="1:11" ht="29.25" x14ac:dyDescent="0.25">
      <c r="A78" s="932"/>
      <c r="B78" s="960" t="str">
        <f t="shared" si="14"/>
        <v>Red Chilli Powder - شطة حمراء مطحونة</v>
      </c>
      <c r="C78" s="959" t="str">
        <f t="shared" si="14"/>
        <v>gm</v>
      </c>
      <c r="D78" s="960">
        <f t="shared" si="14"/>
        <v>5</v>
      </c>
      <c r="E78" s="918">
        <f t="shared" si="18"/>
        <v>3.694638694638698</v>
      </c>
      <c r="F78" s="948">
        <f t="shared" si="15"/>
        <v>0.75</v>
      </c>
      <c r="G78" s="940">
        <f t="shared" si="16"/>
        <v>18.47319347319349</v>
      </c>
      <c r="H78" s="943">
        <f t="shared" si="17"/>
        <v>13.854895104895117</v>
      </c>
      <c r="K78" s="890"/>
    </row>
    <row r="79" spans="1:11" ht="29.25" x14ac:dyDescent="0.25">
      <c r="A79" s="932"/>
      <c r="B79" s="960" t="str">
        <f t="shared" si="14"/>
        <v>Coriander Powder - كزبرة مطحونة</v>
      </c>
      <c r="C79" s="959" t="str">
        <f t="shared" si="14"/>
        <v>gm</v>
      </c>
      <c r="D79" s="960">
        <f t="shared" si="14"/>
        <v>15</v>
      </c>
      <c r="E79" s="918">
        <f t="shared" si="18"/>
        <v>3.694638694638698</v>
      </c>
      <c r="F79" s="948">
        <f t="shared" si="15"/>
        <v>1</v>
      </c>
      <c r="G79" s="940">
        <f t="shared" si="16"/>
        <v>55.41958041958047</v>
      </c>
      <c r="H79" s="943">
        <f t="shared" si="17"/>
        <v>55.41958041958047</v>
      </c>
      <c r="K79" s="890"/>
    </row>
    <row r="80" spans="1:11" x14ac:dyDescent="0.25">
      <c r="A80" s="932"/>
      <c r="B80" s="960" t="str">
        <f t="shared" si="14"/>
        <v>Orange Color - لون برتقالي</v>
      </c>
      <c r="C80" s="959" t="str">
        <f t="shared" si="14"/>
        <v>gm</v>
      </c>
      <c r="D80" s="960">
        <f t="shared" si="14"/>
        <v>3</v>
      </c>
      <c r="E80" s="918">
        <f t="shared" si="18"/>
        <v>3.694638694638698</v>
      </c>
      <c r="F80" s="948">
        <f t="shared" si="15"/>
        <v>0.75</v>
      </c>
      <c r="G80" s="940">
        <f t="shared" si="16"/>
        <v>11.083916083916094</v>
      </c>
      <c r="H80" s="943">
        <f t="shared" si="17"/>
        <v>8.3129370629370705</v>
      </c>
      <c r="K80" s="890"/>
    </row>
    <row r="81" spans="1:11" x14ac:dyDescent="0.25">
      <c r="A81" s="932"/>
      <c r="B81" s="960" t="str">
        <f t="shared" si="14"/>
        <v>Butter - زبدة</v>
      </c>
      <c r="C81" s="959" t="str">
        <f t="shared" si="14"/>
        <v>gm</v>
      </c>
      <c r="D81" s="960">
        <f t="shared" si="14"/>
        <v>60</v>
      </c>
      <c r="E81" s="918">
        <f t="shared" si="18"/>
        <v>3.694638694638698</v>
      </c>
      <c r="F81" s="948">
        <f t="shared" si="15"/>
        <v>1</v>
      </c>
      <c r="G81" s="940">
        <f t="shared" si="16"/>
        <v>221.67832167832188</v>
      </c>
      <c r="H81" s="943">
        <f t="shared" si="17"/>
        <v>221.67832167832188</v>
      </c>
      <c r="K81" s="890"/>
    </row>
    <row r="82" spans="1:11" ht="18" x14ac:dyDescent="0.25">
      <c r="A82" s="1065"/>
      <c r="B82" s="1041" t="s">
        <v>287</v>
      </c>
      <c r="C82" s="1042" t="s">
        <v>273</v>
      </c>
      <c r="D82" s="1043"/>
      <c r="E82" s="1044" t="s">
        <v>288</v>
      </c>
      <c r="F82" s="1043"/>
      <c r="G82" s="1045" t="s">
        <v>264</v>
      </c>
      <c r="H82" s="1046" t="s">
        <v>661</v>
      </c>
      <c r="K82" s="890"/>
    </row>
    <row r="83" spans="1:11" ht="20.25" x14ac:dyDescent="0.3">
      <c r="A83" s="1065"/>
      <c r="B83" s="1047">
        <f>$J$53</f>
        <v>12192.30769230769</v>
      </c>
      <c r="C83" s="1048">
        <f>E83+G83</f>
        <v>3657.6923076923113</v>
      </c>
      <c r="D83" s="973"/>
      <c r="E83" s="1047">
        <f>$D$53*$S$44</f>
        <v>3657.6923076923113</v>
      </c>
      <c r="F83" s="1208"/>
      <c r="G83" s="1386">
        <f>$D$53*$T$44</f>
        <v>0</v>
      </c>
      <c r="H83" s="1608">
        <f>B83+E83</f>
        <v>15850</v>
      </c>
      <c r="K83" s="890"/>
    </row>
    <row r="84" spans="1:11" x14ac:dyDescent="0.25">
      <c r="B84" s="80"/>
      <c r="D84" s="890"/>
      <c r="E84" s="80"/>
      <c r="F84" s="80"/>
      <c r="H84" s="890"/>
      <c r="K84" s="890"/>
    </row>
    <row r="85" spans="1:11" x14ac:dyDescent="0.25">
      <c r="B85" s="80"/>
      <c r="C85" s="80"/>
      <c r="D85" s="80"/>
      <c r="E85" s="80"/>
      <c r="F85" s="80"/>
      <c r="G85" s="80"/>
      <c r="H85" s="80"/>
      <c r="K85" s="890"/>
    </row>
    <row r="86" spans="1:11" x14ac:dyDescent="0.25">
      <c r="A86" s="1036"/>
      <c r="B86" s="1776" t="str">
        <f>"دجاج تكا  2 / " &amp; COUNTIF($C$53:$C$55, "&gt;0")</f>
        <v>دجاج تكا  2 / 1</v>
      </c>
      <c r="C86" s="1777"/>
      <c r="D86" s="1778"/>
      <c r="E86" s="1778"/>
      <c r="F86" s="1778"/>
      <c r="G86" s="1777"/>
      <c r="H86" s="1778"/>
      <c r="K86" s="890"/>
    </row>
    <row r="87" spans="1:11" x14ac:dyDescent="0.25">
      <c r="A87" s="1036"/>
      <c r="B87" s="1842" t="str">
        <f>"Chicken Tikka  2 / " &amp; COUNTIF($C$53:$C$55, "&gt;0")</f>
        <v>Chicken Tikka  2 / 1</v>
      </c>
      <c r="C87" s="1843"/>
      <c r="D87" s="1844"/>
      <c r="E87" s="1844"/>
      <c r="F87" s="1844"/>
      <c r="G87" s="1843"/>
      <c r="H87" s="1844"/>
      <c r="K87" s="890"/>
    </row>
    <row r="88" spans="1:11" ht="25.5" x14ac:dyDescent="0.2">
      <c r="A88" s="1350" t="s">
        <v>864</v>
      </c>
      <c r="B88" s="1104" t="s">
        <v>241</v>
      </c>
      <c r="C88" s="934" t="s">
        <v>242</v>
      </c>
      <c r="D88" s="1104" t="s">
        <v>231</v>
      </c>
      <c r="E88" s="936" t="s">
        <v>234</v>
      </c>
      <c r="F88" s="936" t="s">
        <v>243</v>
      </c>
      <c r="G88" s="1104" t="s">
        <v>244</v>
      </c>
      <c r="H88" s="936" t="s">
        <v>245</v>
      </c>
      <c r="K88" s="890"/>
    </row>
    <row r="89" spans="1:11" x14ac:dyDescent="0.2">
      <c r="A89" s="937" t="s">
        <v>872</v>
      </c>
      <c r="B89" s="960" t="str">
        <f t="shared" ref="B89:D105" si="19">B5</f>
        <v>Chicken - دجاج</v>
      </c>
      <c r="C89" s="959" t="str">
        <f t="shared" si="19"/>
        <v>gm</v>
      </c>
      <c r="D89" s="973">
        <f t="shared" si="19"/>
        <v>5747.2413793103451</v>
      </c>
      <c r="E89" s="918">
        <f>H54</f>
        <v>0</v>
      </c>
      <c r="F89" s="948">
        <f t="shared" ref="F89:F105" si="20">F5</f>
        <v>1</v>
      </c>
      <c r="G89" s="940">
        <f t="shared" ref="G89:G105" si="21">D89*E89</f>
        <v>0</v>
      </c>
      <c r="H89" s="943">
        <f t="shared" ref="H89:H105" si="22">G89*F89</f>
        <v>0</v>
      </c>
      <c r="K89" s="890"/>
    </row>
    <row r="90" spans="1:11" x14ac:dyDescent="0.25">
      <c r="A90" s="932" t="s">
        <v>881</v>
      </c>
      <c r="B90" s="960" t="str">
        <f t="shared" si="19"/>
        <v>Onion - بصل</v>
      </c>
      <c r="C90" s="959" t="str">
        <f t="shared" si="19"/>
        <v>gm</v>
      </c>
      <c r="D90" s="960">
        <f t="shared" si="19"/>
        <v>200</v>
      </c>
      <c r="E90" s="918">
        <f t="shared" ref="E90:E105" si="23">$C$54</f>
        <v>0</v>
      </c>
      <c r="F90" s="948">
        <f t="shared" si="20"/>
        <v>0.95</v>
      </c>
      <c r="G90" s="940">
        <f t="shared" si="21"/>
        <v>0</v>
      </c>
      <c r="H90" s="943">
        <f t="shared" si="22"/>
        <v>0</v>
      </c>
      <c r="K90" s="890"/>
    </row>
    <row r="91" spans="1:11" x14ac:dyDescent="0.25">
      <c r="A91" s="932" t="s">
        <v>870</v>
      </c>
      <c r="B91" s="960" t="str">
        <f t="shared" si="19"/>
        <v>Tomato - طماطم</v>
      </c>
      <c r="C91" s="959" t="str">
        <f t="shared" si="19"/>
        <v>gm</v>
      </c>
      <c r="D91" s="960">
        <f t="shared" si="19"/>
        <v>500</v>
      </c>
      <c r="E91" s="918">
        <f t="shared" si="23"/>
        <v>0</v>
      </c>
      <c r="F91" s="948">
        <f t="shared" si="20"/>
        <v>0.95</v>
      </c>
      <c r="G91" s="940">
        <f t="shared" si="21"/>
        <v>0</v>
      </c>
      <c r="H91" s="943">
        <f t="shared" si="22"/>
        <v>0</v>
      </c>
      <c r="K91" s="890"/>
    </row>
    <row r="92" spans="1:11" x14ac:dyDescent="0.25">
      <c r="A92" s="932" t="s">
        <v>867</v>
      </c>
      <c r="B92" s="960" t="str">
        <f t="shared" si="19"/>
        <v>Ginger - زنجبيل</v>
      </c>
      <c r="C92" s="959" t="str">
        <f t="shared" si="19"/>
        <v>gm</v>
      </c>
      <c r="D92" s="960">
        <f t="shared" si="19"/>
        <v>25</v>
      </c>
      <c r="E92" s="918">
        <f t="shared" si="23"/>
        <v>0</v>
      </c>
      <c r="F92" s="948">
        <f t="shared" si="20"/>
        <v>1</v>
      </c>
      <c r="G92" s="940">
        <f t="shared" si="21"/>
        <v>0</v>
      </c>
      <c r="H92" s="943">
        <f t="shared" si="22"/>
        <v>0</v>
      </c>
      <c r="K92" s="890"/>
    </row>
    <row r="93" spans="1:11" x14ac:dyDescent="0.25">
      <c r="A93" s="932" t="s">
        <v>868</v>
      </c>
      <c r="B93" s="960" t="str">
        <f t="shared" si="19"/>
        <v>Garlic - ثوم مقشر</v>
      </c>
      <c r="C93" s="959" t="str">
        <f t="shared" si="19"/>
        <v>gm</v>
      </c>
      <c r="D93" s="960">
        <f t="shared" si="19"/>
        <v>40</v>
      </c>
      <c r="E93" s="918">
        <f t="shared" si="23"/>
        <v>0</v>
      </c>
      <c r="F93" s="948">
        <f t="shared" si="20"/>
        <v>1</v>
      </c>
      <c r="G93" s="940">
        <f t="shared" si="21"/>
        <v>0</v>
      </c>
      <c r="H93" s="943">
        <f t="shared" si="22"/>
        <v>0</v>
      </c>
      <c r="K93" s="890"/>
    </row>
    <row r="94" spans="1:11" x14ac:dyDescent="0.25">
      <c r="A94" s="932"/>
      <c r="B94" s="960" t="str">
        <f t="shared" si="19"/>
        <v>Turmeric - كركم</v>
      </c>
      <c r="C94" s="959" t="str">
        <f t="shared" si="19"/>
        <v>gm</v>
      </c>
      <c r="D94" s="960">
        <f t="shared" si="19"/>
        <v>5</v>
      </c>
      <c r="E94" s="918">
        <f t="shared" si="23"/>
        <v>0</v>
      </c>
      <c r="F94" s="948">
        <f t="shared" si="20"/>
        <v>0.75</v>
      </c>
      <c r="G94" s="940">
        <f t="shared" si="21"/>
        <v>0</v>
      </c>
      <c r="H94" s="943">
        <f t="shared" si="22"/>
        <v>0</v>
      </c>
      <c r="K94" s="890"/>
    </row>
    <row r="95" spans="1:11" x14ac:dyDescent="0.25">
      <c r="A95" s="932"/>
      <c r="B95" s="960" t="str">
        <f t="shared" si="19"/>
        <v>Cumin Powder - كمون مطحون</v>
      </c>
      <c r="C95" s="959" t="str">
        <f t="shared" si="19"/>
        <v>gm</v>
      </c>
      <c r="D95" s="960">
        <f t="shared" si="19"/>
        <v>15</v>
      </c>
      <c r="E95" s="918">
        <f t="shared" si="23"/>
        <v>0</v>
      </c>
      <c r="F95" s="948">
        <f t="shared" si="20"/>
        <v>1</v>
      </c>
      <c r="G95" s="940">
        <f t="shared" si="21"/>
        <v>0</v>
      </c>
      <c r="H95" s="943">
        <f t="shared" si="22"/>
        <v>0</v>
      </c>
      <c r="K95" s="890"/>
    </row>
    <row r="96" spans="1:11" x14ac:dyDescent="0.25">
      <c r="A96" s="932"/>
      <c r="B96" s="960" t="str">
        <f t="shared" si="19"/>
        <v>Biryani Masala - بهارات برياني</v>
      </c>
      <c r="C96" s="959" t="str">
        <f t="shared" si="19"/>
        <v>gm</v>
      </c>
      <c r="D96" s="960">
        <f t="shared" si="19"/>
        <v>25</v>
      </c>
      <c r="E96" s="918">
        <f t="shared" si="23"/>
        <v>0</v>
      </c>
      <c r="F96" s="948">
        <f t="shared" si="20"/>
        <v>0.75</v>
      </c>
      <c r="G96" s="940">
        <f t="shared" si="21"/>
        <v>0</v>
      </c>
      <c r="H96" s="943">
        <f t="shared" si="22"/>
        <v>0</v>
      </c>
      <c r="K96" s="890"/>
    </row>
    <row r="97" spans="1:11" x14ac:dyDescent="0.25">
      <c r="A97" s="932"/>
      <c r="B97" s="960" t="str">
        <f t="shared" si="19"/>
        <v>Labneh - لبنة</v>
      </c>
      <c r="C97" s="959" t="str">
        <f t="shared" si="19"/>
        <v>gm</v>
      </c>
      <c r="D97" s="960">
        <f t="shared" si="19"/>
        <v>300</v>
      </c>
      <c r="E97" s="918">
        <f t="shared" si="23"/>
        <v>0</v>
      </c>
      <c r="F97" s="948">
        <f t="shared" si="20"/>
        <v>1</v>
      </c>
      <c r="G97" s="940">
        <f t="shared" si="21"/>
        <v>0</v>
      </c>
      <c r="H97" s="943">
        <f t="shared" si="22"/>
        <v>0</v>
      </c>
      <c r="K97" s="890"/>
    </row>
    <row r="98" spans="1:11" x14ac:dyDescent="0.25">
      <c r="A98" s="932"/>
      <c r="B98" s="960" t="str">
        <f t="shared" si="19"/>
        <v>Cooking Cream - كريمة طبخ</v>
      </c>
      <c r="C98" s="959" t="str">
        <f t="shared" si="19"/>
        <v>ml</v>
      </c>
      <c r="D98" s="960">
        <f t="shared" si="19"/>
        <v>300</v>
      </c>
      <c r="E98" s="918">
        <f t="shared" si="23"/>
        <v>0</v>
      </c>
      <c r="F98" s="948">
        <f t="shared" si="20"/>
        <v>1</v>
      </c>
      <c r="G98" s="940">
        <f t="shared" si="21"/>
        <v>0</v>
      </c>
      <c r="H98" s="943">
        <f t="shared" si="22"/>
        <v>0</v>
      </c>
      <c r="K98" s="890"/>
    </row>
    <row r="99" spans="1:11" ht="29.25" x14ac:dyDescent="0.25">
      <c r="A99" s="932"/>
      <c r="B99" s="960" t="str">
        <f t="shared" si="19"/>
        <v>Coriander Leaves - كزبرة خضراء</v>
      </c>
      <c r="C99" s="959" t="str">
        <f t="shared" si="19"/>
        <v>gm</v>
      </c>
      <c r="D99" s="960">
        <f t="shared" si="19"/>
        <v>30</v>
      </c>
      <c r="E99" s="918">
        <f t="shared" si="23"/>
        <v>0</v>
      </c>
      <c r="F99" s="948">
        <f t="shared" si="20"/>
        <v>1</v>
      </c>
      <c r="G99" s="940">
        <f t="shared" si="21"/>
        <v>0</v>
      </c>
      <c r="H99" s="943">
        <f t="shared" si="22"/>
        <v>0</v>
      </c>
      <c r="K99" s="890"/>
    </row>
    <row r="100" spans="1:11" x14ac:dyDescent="0.25">
      <c r="A100" s="932"/>
      <c r="B100" s="960" t="str">
        <f t="shared" si="19"/>
        <v>Mint Leaves - نعناع طازج</v>
      </c>
      <c r="C100" s="959" t="str">
        <f t="shared" si="19"/>
        <v>gm</v>
      </c>
      <c r="D100" s="960">
        <f t="shared" si="19"/>
        <v>25</v>
      </c>
      <c r="E100" s="918">
        <f t="shared" si="23"/>
        <v>0</v>
      </c>
      <c r="F100" s="948">
        <f t="shared" si="20"/>
        <v>1</v>
      </c>
      <c r="G100" s="940">
        <f t="shared" si="21"/>
        <v>0</v>
      </c>
      <c r="H100" s="943">
        <f t="shared" si="22"/>
        <v>0</v>
      </c>
      <c r="K100" s="890"/>
    </row>
    <row r="101" spans="1:11" x14ac:dyDescent="0.25">
      <c r="A101" s="932"/>
      <c r="B101" s="960" t="str">
        <f t="shared" si="19"/>
        <v>Salt - ملح</v>
      </c>
      <c r="C101" s="959" t="str">
        <f t="shared" si="19"/>
        <v>gm</v>
      </c>
      <c r="D101" s="960">
        <f t="shared" si="19"/>
        <v>11</v>
      </c>
      <c r="E101" s="918">
        <f t="shared" si="23"/>
        <v>0</v>
      </c>
      <c r="F101" s="948">
        <f t="shared" si="20"/>
        <v>0.75</v>
      </c>
      <c r="G101" s="940">
        <f t="shared" si="21"/>
        <v>0</v>
      </c>
      <c r="H101" s="943">
        <f t="shared" si="22"/>
        <v>0</v>
      </c>
      <c r="K101" s="890"/>
    </row>
    <row r="102" spans="1:11" ht="29.25" x14ac:dyDescent="0.25">
      <c r="A102" s="932"/>
      <c r="B102" s="960" t="str">
        <f t="shared" si="19"/>
        <v>Red Chilli Powder - شطة حمراء مطحونة</v>
      </c>
      <c r="C102" s="959" t="str">
        <f t="shared" si="19"/>
        <v>gm</v>
      </c>
      <c r="D102" s="960">
        <f t="shared" si="19"/>
        <v>5</v>
      </c>
      <c r="E102" s="918">
        <f t="shared" si="23"/>
        <v>0</v>
      </c>
      <c r="F102" s="948">
        <f t="shared" si="20"/>
        <v>0.75</v>
      </c>
      <c r="G102" s="940">
        <f t="shared" si="21"/>
        <v>0</v>
      </c>
      <c r="H102" s="943">
        <f t="shared" si="22"/>
        <v>0</v>
      </c>
      <c r="K102" s="890"/>
    </row>
    <row r="103" spans="1:11" ht="29.25" x14ac:dyDescent="0.25">
      <c r="A103" s="932"/>
      <c r="B103" s="960" t="str">
        <f t="shared" si="19"/>
        <v>Coriander Powder - كزبرة مطحونة</v>
      </c>
      <c r="C103" s="959" t="str">
        <f t="shared" si="19"/>
        <v>gm</v>
      </c>
      <c r="D103" s="960">
        <f t="shared" si="19"/>
        <v>15</v>
      </c>
      <c r="E103" s="918">
        <f t="shared" si="23"/>
        <v>0</v>
      </c>
      <c r="F103" s="948">
        <f t="shared" si="20"/>
        <v>1</v>
      </c>
      <c r="G103" s="940">
        <f t="shared" si="21"/>
        <v>0</v>
      </c>
      <c r="H103" s="943">
        <f t="shared" si="22"/>
        <v>0</v>
      </c>
      <c r="K103" s="890"/>
    </row>
    <row r="104" spans="1:11" x14ac:dyDescent="0.25">
      <c r="A104" s="932"/>
      <c r="B104" s="960" t="str">
        <f t="shared" si="19"/>
        <v>Orange Color - لون برتقالي</v>
      </c>
      <c r="C104" s="959" t="str">
        <f t="shared" si="19"/>
        <v>gm</v>
      </c>
      <c r="D104" s="960">
        <f t="shared" si="19"/>
        <v>3</v>
      </c>
      <c r="E104" s="918">
        <f t="shared" si="23"/>
        <v>0</v>
      </c>
      <c r="F104" s="948">
        <f t="shared" si="20"/>
        <v>0.75</v>
      </c>
      <c r="G104" s="940">
        <f t="shared" si="21"/>
        <v>0</v>
      </c>
      <c r="H104" s="943">
        <f t="shared" si="22"/>
        <v>0</v>
      </c>
      <c r="K104" s="890"/>
    </row>
    <row r="105" spans="1:11" x14ac:dyDescent="0.25">
      <c r="A105" s="932"/>
      <c r="B105" s="960" t="str">
        <f t="shared" si="19"/>
        <v>Butter - زبدة</v>
      </c>
      <c r="C105" s="959" t="str">
        <f t="shared" si="19"/>
        <v>gm</v>
      </c>
      <c r="D105" s="960">
        <f t="shared" si="19"/>
        <v>60</v>
      </c>
      <c r="E105" s="918">
        <f t="shared" si="23"/>
        <v>0</v>
      </c>
      <c r="F105" s="948">
        <f t="shared" si="20"/>
        <v>1</v>
      </c>
      <c r="G105" s="940">
        <f t="shared" si="21"/>
        <v>0</v>
      </c>
      <c r="H105" s="943">
        <f t="shared" si="22"/>
        <v>0</v>
      </c>
      <c r="K105" s="890"/>
    </row>
    <row r="106" spans="1:11" ht="20.25" x14ac:dyDescent="0.3">
      <c r="A106" s="1065"/>
      <c r="B106" s="1041" t="s">
        <v>287</v>
      </c>
      <c r="C106" s="1042" t="s">
        <v>273</v>
      </c>
      <c r="D106" s="1043"/>
      <c r="E106" s="1044" t="s">
        <v>288</v>
      </c>
      <c r="F106" s="1043"/>
      <c r="G106" s="1045" t="s">
        <v>264</v>
      </c>
      <c r="H106" s="1046" t="s">
        <v>661</v>
      </c>
      <c r="I106" s="142"/>
      <c r="J106" s="141"/>
      <c r="K106" s="890"/>
    </row>
    <row r="107" spans="1:11" ht="20.25" x14ac:dyDescent="0.3">
      <c r="A107" s="1065"/>
      <c r="B107" s="1047">
        <f>$J$54</f>
        <v>0</v>
      </c>
      <c r="C107" s="1048">
        <f>E107+G107</f>
        <v>0</v>
      </c>
      <c r="D107" s="1049"/>
      <c r="E107" s="1047">
        <f>$D$54*$S$44</f>
        <v>0</v>
      </c>
      <c r="F107" s="1208"/>
      <c r="G107" s="1386">
        <f>$D$54*$T$44</f>
        <v>0</v>
      </c>
      <c r="H107" s="1608">
        <f>B107+E107</f>
        <v>0</v>
      </c>
      <c r="K107" s="890"/>
    </row>
  </sheetData>
  <mergeCells count="11">
    <mergeCell ref="AL2:AM2"/>
    <mergeCell ref="B2:J3"/>
    <mergeCell ref="AE2:AG3"/>
    <mergeCell ref="R26:U26"/>
    <mergeCell ref="B87:H87"/>
    <mergeCell ref="R25:U25"/>
    <mergeCell ref="B62:H62"/>
    <mergeCell ref="B86:H86"/>
    <mergeCell ref="K2:K3"/>
    <mergeCell ref="B63:H63"/>
    <mergeCell ref="B35:F35"/>
  </mergeCells>
  <printOptions horizontalCentered="1"/>
  <pageMargins left="0.4" right="0.4" top="1" bottom="0.5" header="0.3" footer="0.511811023622047"/>
  <pageSetup paperSize="9" scale="38" orientation="landscape"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BF9000"/>
    <pageSetUpPr fitToPage="1"/>
  </sheetPr>
  <dimension ref="A1:AT126"/>
  <sheetViews>
    <sheetView topLeftCell="E1" zoomScale="55" zoomScaleNormal="55" workbookViewId="0">
      <selection activeCell="K45" sqref="F45:K45"/>
    </sheetView>
  </sheetViews>
  <sheetFormatPr defaultColWidth="12.5" defaultRowHeight="15" x14ac:dyDescent="0.25"/>
  <cols>
    <col min="1" max="1" width="21.75" style="1" customWidth="1"/>
    <col min="2" max="2" width="25.875" customWidth="1"/>
    <col min="3" max="3" width="18.625" customWidth="1"/>
    <col min="4" max="4" width="25.875" style="3" customWidth="1"/>
    <col min="5" max="6" width="25.875" customWidth="1"/>
    <col min="7" max="7" width="18.625" customWidth="1"/>
    <col min="8" max="8" width="25.875" customWidth="1"/>
    <col min="9" max="10" width="18.625" customWidth="1"/>
    <col min="11" max="11" width="25.875" customWidth="1"/>
    <col min="12" max="12" width="12.625" customWidth="1"/>
    <col min="13" max="13" width="31.875" customWidth="1"/>
    <col min="15" max="15" width="18.625" customWidth="1"/>
    <col min="16" max="16" width="8.625" customWidth="1"/>
    <col min="17" max="17" width="18.625" customWidth="1"/>
    <col min="18" max="18" width="25.875" customWidth="1"/>
    <col min="19" max="19" width="12.625" customWidth="1"/>
    <col min="20" max="20" width="25.875" customWidth="1"/>
    <col min="21" max="22" width="12.625" customWidth="1"/>
    <col min="23" max="23" width="25.875" customWidth="1"/>
    <col min="25" max="25" width="8.625" customWidth="1"/>
    <col min="26" max="29" width="12.625" customWidth="1"/>
    <col min="30" max="30" width="18.625" customWidth="1"/>
    <col min="31" max="31" width="12.625" customWidth="1"/>
    <col min="32" max="32" width="8.625" customWidth="1"/>
    <col min="33" max="34" width="5.75" customWidth="1"/>
    <col min="35" max="35" width="8.625" customWidth="1"/>
    <col min="36" max="40" width="25.875" customWidth="1"/>
    <col min="41" max="41" width="18.625" customWidth="1"/>
    <col min="42" max="42" width="25.875" customWidth="1"/>
    <col min="43" max="44" width="18.625" customWidth="1"/>
    <col min="45" max="45" width="25.875" customWidth="1"/>
    <col min="46" max="46" width="12.625" customWidth="1"/>
  </cols>
  <sheetData>
    <row r="1" spans="1:46" ht="25.5" x14ac:dyDescent="0.25">
      <c r="B1" s="913" t="s">
        <v>231</v>
      </c>
      <c r="C1" s="914">
        <v>1000</v>
      </c>
      <c r="D1" s="915" t="s">
        <v>232</v>
      </c>
      <c r="E1" s="941">
        <f>T32</f>
        <v>18298.615384615394</v>
      </c>
      <c r="F1" s="913" t="s">
        <v>233</v>
      </c>
      <c r="G1" s="944">
        <f>E1/C1</f>
        <v>18.298615384615395</v>
      </c>
      <c r="H1" s="913" t="s">
        <v>234</v>
      </c>
      <c r="I1" s="1142">
        <f>(G1/K1)</f>
        <v>18.870447115384625</v>
      </c>
      <c r="J1" s="919" t="s">
        <v>235</v>
      </c>
      <c r="K1" s="1480">
        <f>0.96/0.99</f>
        <v>0.96969696969696972</v>
      </c>
      <c r="L1" s="80"/>
      <c r="M1" s="70"/>
      <c r="N1" s="922"/>
      <c r="O1" s="923" t="s">
        <v>236</v>
      </c>
      <c r="P1" s="914" t="s">
        <v>298</v>
      </c>
      <c r="Q1" s="924" t="s">
        <v>238</v>
      </c>
      <c r="R1" s="914">
        <v>0.57999999999999996</v>
      </c>
      <c r="T1" s="830"/>
      <c r="W1" s="830"/>
      <c r="Y1" s="923" t="s">
        <v>444</v>
      </c>
      <c r="Z1" s="925">
        <v>28510</v>
      </c>
      <c r="AA1" s="923" t="s">
        <v>544</v>
      </c>
      <c r="AB1" s="1481">
        <v>500</v>
      </c>
      <c r="AC1" s="923" t="s">
        <v>537</v>
      </c>
      <c r="AD1" s="925">
        <v>195</v>
      </c>
      <c r="AE1" s="168"/>
      <c r="AF1" s="170"/>
      <c r="AG1" s="73"/>
      <c r="AI1" s="1"/>
      <c r="AJ1" s="926" t="s">
        <v>250</v>
      </c>
      <c r="AK1" s="926">
        <v>10000</v>
      </c>
      <c r="AL1" s="927" t="s">
        <v>476</v>
      </c>
      <c r="AM1" s="928">
        <f>$S$32</f>
        <v>22315.38461538461</v>
      </c>
      <c r="AN1" s="926" t="s">
        <v>239</v>
      </c>
      <c r="AO1" s="1349">
        <f>($S$32/$R$1)/$AK$1</f>
        <v>3.8474801061007953</v>
      </c>
      <c r="AP1" s="76"/>
      <c r="AS1" s="830"/>
    </row>
    <row r="2" spans="1:46" ht="15.75" x14ac:dyDescent="0.25">
      <c r="A2" s="860"/>
      <c r="B2" s="1784" t="s">
        <v>374</v>
      </c>
      <c r="C2" s="1787"/>
      <c r="D2" s="1849"/>
      <c r="E2" s="1788"/>
      <c r="F2" s="1788"/>
      <c r="G2" s="1787"/>
      <c r="H2" s="1788"/>
      <c r="I2" s="1787"/>
      <c r="J2" s="1787"/>
      <c r="K2" s="1788"/>
      <c r="L2" s="187"/>
      <c r="M2" s="80"/>
      <c r="N2" s="80"/>
      <c r="O2" s="80"/>
      <c r="P2" s="80"/>
      <c r="Q2" s="80"/>
      <c r="R2" s="80"/>
      <c r="T2" s="830"/>
      <c r="W2" s="830"/>
      <c r="AC2" s="79"/>
      <c r="AD2" s="79"/>
      <c r="AE2" s="1795"/>
      <c r="AF2" s="1796"/>
      <c r="AG2" s="1796"/>
      <c r="AI2" s="1"/>
      <c r="AJ2" s="930"/>
      <c r="AK2" s="1783" t="s">
        <v>374</v>
      </c>
      <c r="AL2" s="1783"/>
      <c r="AM2" s="1783"/>
      <c r="AN2" s="931"/>
      <c r="AO2" s="930"/>
      <c r="AP2" s="81"/>
      <c r="AS2" s="830"/>
    </row>
    <row r="3" spans="1:46" ht="15.75" x14ac:dyDescent="0.25">
      <c r="A3" s="860"/>
      <c r="B3" s="1785"/>
      <c r="C3" s="1796"/>
      <c r="D3" s="1785"/>
      <c r="E3" s="1785"/>
      <c r="F3" s="1785"/>
      <c r="G3" s="1796"/>
      <c r="H3" s="1785"/>
      <c r="I3" s="1796"/>
      <c r="J3" s="1796"/>
      <c r="K3" s="1785"/>
      <c r="L3" s="187"/>
      <c r="M3" s="80"/>
      <c r="N3" s="80"/>
      <c r="O3" s="80"/>
      <c r="P3" s="80"/>
      <c r="Q3" s="80"/>
      <c r="R3" s="80"/>
      <c r="T3" s="830"/>
      <c r="W3" s="830"/>
      <c r="AC3" s="79"/>
      <c r="AD3" s="79"/>
      <c r="AE3" s="1796"/>
      <c r="AF3" s="1796"/>
      <c r="AG3" s="1796"/>
      <c r="AI3" s="1"/>
      <c r="AJ3" s="1354"/>
      <c r="AK3" s="81"/>
      <c r="AL3" s="82"/>
      <c r="AM3" s="82"/>
      <c r="AN3" s="82"/>
      <c r="AO3" s="81"/>
      <c r="AP3" s="81"/>
      <c r="AS3" s="830"/>
    </row>
    <row r="4" spans="1:46" ht="38.25" x14ac:dyDescent="0.25">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R4" s="830"/>
      <c r="T4" s="830"/>
      <c r="W4" s="830"/>
      <c r="AA4" s="169"/>
      <c r="AB4" s="171"/>
      <c r="AC4" s="169"/>
      <c r="AD4" s="169"/>
      <c r="AE4" s="169"/>
      <c r="AI4" s="1117"/>
      <c r="AJ4" s="926" t="s">
        <v>241</v>
      </c>
      <c r="AK4" s="926" t="s">
        <v>242</v>
      </c>
      <c r="AL4" s="926" t="s">
        <v>250</v>
      </c>
      <c r="AM4" s="926" t="s">
        <v>234</v>
      </c>
      <c r="AN4" s="926" t="s">
        <v>243</v>
      </c>
      <c r="AO4" s="926" t="s">
        <v>244</v>
      </c>
      <c r="AP4" s="926" t="s">
        <v>245</v>
      </c>
      <c r="AQ4" s="923" t="s">
        <v>246</v>
      </c>
      <c r="AR4" s="923" t="s">
        <v>247</v>
      </c>
      <c r="AS4" s="923" t="s">
        <v>248</v>
      </c>
      <c r="AT4" s="923" t="s">
        <v>249</v>
      </c>
    </row>
    <row r="5" spans="1:46" ht="25.5" x14ac:dyDescent="0.25">
      <c r="A5" s="937" t="s">
        <v>891</v>
      </c>
      <c r="B5" s="1115" t="s">
        <v>226</v>
      </c>
      <c r="C5" s="939" t="s">
        <v>14</v>
      </c>
      <c r="D5" s="944">
        <f>I51/10</f>
        <v>2095.5172413793107</v>
      </c>
      <c r="E5" s="941">
        <f>H52</f>
        <v>18.360527081935665</v>
      </c>
      <c r="F5" s="948">
        <v>1</v>
      </c>
      <c r="G5" s="940">
        <f t="shared" ref="G5:G19" si="0">D5*E5</f>
        <v>38474.801061007951</v>
      </c>
      <c r="H5" s="943">
        <f t="shared" ref="H5:H19" si="1">G5*F5</f>
        <v>38474.801061007951</v>
      </c>
      <c r="I5" s="914">
        <f>VLOOKUP(B5,All_Ingredients!$A$1:$F$161,6,FALSE())</f>
        <v>0.99</v>
      </c>
      <c r="J5" s="940">
        <f>VLOOKUP(B5,All_Ingredients!$A$1:$J$161,10,FALSE())</f>
        <v>11.75</v>
      </c>
      <c r="K5" s="945">
        <f t="shared" ref="K5" si="2">(H5/I5)/1000</f>
        <v>38.86343541515955</v>
      </c>
      <c r="L5" s="945">
        <f t="shared" ref="L5" si="3">K5*J5</f>
        <v>456.64536612812469</v>
      </c>
      <c r="M5" s="80"/>
      <c r="N5" s="80"/>
      <c r="O5" s="80"/>
      <c r="P5" s="80"/>
      <c r="R5" s="830"/>
      <c r="T5" s="830"/>
      <c r="W5" s="830"/>
      <c r="AA5" s="73"/>
      <c r="AB5" s="89"/>
      <c r="AC5" s="172"/>
      <c r="AD5" s="90"/>
      <c r="AE5" s="91"/>
      <c r="AI5" s="1117"/>
      <c r="AJ5" s="1115" t="s">
        <v>226</v>
      </c>
      <c r="AK5" s="951" t="s">
        <v>227</v>
      </c>
      <c r="AL5" s="914">
        <v>10</v>
      </c>
      <c r="AM5" s="944">
        <f t="shared" ref="AM5:AM13" si="4">$AO$1</f>
        <v>3.8474801061007953</v>
      </c>
      <c r="AN5" s="948">
        <v>1</v>
      </c>
      <c r="AO5" s="940">
        <f t="shared" ref="AO5:AO13" si="5">AL5*AM5</f>
        <v>38.474801061007952</v>
      </c>
      <c r="AP5" s="943">
        <f t="shared" ref="AP5:AP13" si="6">AO5*AN5</f>
        <v>38.474801061007952</v>
      </c>
      <c r="AQ5" s="952"/>
      <c r="AR5" s="953"/>
      <c r="AS5" s="954"/>
      <c r="AT5" s="955"/>
    </row>
    <row r="6" spans="1:46" x14ac:dyDescent="0.25">
      <c r="A6" s="1117" t="s">
        <v>866</v>
      </c>
      <c r="B6" s="960" t="s">
        <v>12</v>
      </c>
      <c r="C6" s="947" t="s">
        <v>14</v>
      </c>
      <c r="D6" s="914">
        <v>200</v>
      </c>
      <c r="E6" s="944">
        <f>$I$1</f>
        <v>18.870447115384625</v>
      </c>
      <c r="F6" s="948">
        <v>1</v>
      </c>
      <c r="G6" s="940">
        <f t="shared" si="0"/>
        <v>3774.089423076925</v>
      </c>
      <c r="H6" s="943">
        <f t="shared" si="1"/>
        <v>3774.089423076925</v>
      </c>
      <c r="I6" s="914">
        <f>VLOOKUP(B6,All_Ingredients!$A$1:$F$161,6,FALSE())</f>
        <v>0.9</v>
      </c>
      <c r="J6" s="940">
        <f>VLOOKUP(B6,All_Ingredients!$A$1:$J$161,10,FALSE())</f>
        <v>3</v>
      </c>
      <c r="K6" s="945">
        <f t="shared" ref="K6:K19" si="7">(H6/I6)/1000</f>
        <v>4.1934326923076943</v>
      </c>
      <c r="L6" s="945">
        <f t="shared" ref="L6:L19" si="8">K6*J6</f>
        <v>12.580298076923082</v>
      </c>
      <c r="R6" s="830"/>
      <c r="T6" s="830"/>
      <c r="W6" s="830"/>
      <c r="AI6" s="1117" t="s">
        <v>94</v>
      </c>
      <c r="AJ6" s="960" t="s">
        <v>144</v>
      </c>
      <c r="AK6" s="951" t="s">
        <v>14</v>
      </c>
      <c r="AL6" s="914">
        <v>50</v>
      </c>
      <c r="AM6" s="944">
        <f t="shared" si="4"/>
        <v>3.8474801061007953</v>
      </c>
      <c r="AN6" s="948">
        <v>1</v>
      </c>
      <c r="AO6" s="940">
        <f t="shared" si="5"/>
        <v>192.37400530503976</v>
      </c>
      <c r="AP6" s="943">
        <f t="shared" si="6"/>
        <v>192.37400530503976</v>
      </c>
      <c r="AQ6" s="955">
        <f>VLOOKUP(AJ6,Marination_Ordering!$A:$J,6,FALSE)</f>
        <v>1</v>
      </c>
      <c r="AR6" s="955">
        <f>VLOOKUP(AJ6,Marination_Ordering!$A:$J,10,FALSE)</f>
        <v>18</v>
      </c>
      <c r="AS6" s="954">
        <f>AP6/AQ6</f>
        <v>192.37400530503976</v>
      </c>
      <c r="AT6" s="955">
        <f>AR6*(AS6/1000)</f>
        <v>3.4627320954907157</v>
      </c>
    </row>
    <row r="7" spans="1:46" x14ac:dyDescent="0.25">
      <c r="A7" s="1117" t="s">
        <v>868</v>
      </c>
      <c r="B7" s="960" t="s">
        <v>706</v>
      </c>
      <c r="C7" s="947" t="s">
        <v>14</v>
      </c>
      <c r="D7" s="914">
        <v>25</v>
      </c>
      <c r="E7" s="944">
        <f t="shared" ref="E7:E19" si="9">$I$1</f>
        <v>18.870447115384625</v>
      </c>
      <c r="F7" s="948">
        <v>1</v>
      </c>
      <c r="G7" s="940">
        <f t="shared" si="0"/>
        <v>471.76117788461562</v>
      </c>
      <c r="H7" s="943">
        <f t="shared" si="1"/>
        <v>471.76117788461562</v>
      </c>
      <c r="I7" s="914">
        <f>VLOOKUP(B7,All_Ingredients!$A$1:$F$161,6,FALSE())</f>
        <v>1</v>
      </c>
      <c r="J7" s="940">
        <f>VLOOKUP(B7,All_Ingredients!$A$1:$J$161,10,FALSE())</f>
        <v>10.5</v>
      </c>
      <c r="K7" s="945">
        <f t="shared" si="7"/>
        <v>0.47176117788461563</v>
      </c>
      <c r="L7" s="945">
        <f t="shared" si="8"/>
        <v>4.9534923677884644</v>
      </c>
      <c r="R7" s="830"/>
      <c r="T7" s="830"/>
      <c r="W7" s="830"/>
      <c r="AI7" s="1117" t="s">
        <v>94</v>
      </c>
      <c r="AJ7" s="960" t="s">
        <v>149</v>
      </c>
      <c r="AK7" s="951" t="s">
        <v>14</v>
      </c>
      <c r="AL7" s="914">
        <v>50</v>
      </c>
      <c r="AM7" s="944">
        <f t="shared" si="4"/>
        <v>3.8474801061007953</v>
      </c>
      <c r="AN7" s="948">
        <v>1</v>
      </c>
      <c r="AO7" s="940">
        <f t="shared" si="5"/>
        <v>192.37400530503976</v>
      </c>
      <c r="AP7" s="943">
        <f t="shared" si="6"/>
        <v>192.37400530503976</v>
      </c>
      <c r="AQ7" s="955">
        <f>VLOOKUP(AJ7,Marination_Ordering!$A:$J,6,FALSE)</f>
        <v>1</v>
      </c>
      <c r="AR7" s="955">
        <f>VLOOKUP(AJ7,Marination_Ordering!$A:$J,10,FALSE)</f>
        <v>10</v>
      </c>
      <c r="AS7" s="954">
        <f t="shared" ref="AS7:AS8" si="10">AP7/AQ7</f>
        <v>192.37400530503976</v>
      </c>
      <c r="AT7" s="955">
        <f t="shared" ref="AT7:AT8" si="11">AR7*(AS7/1000)</f>
        <v>1.9237400530503976</v>
      </c>
    </row>
    <row r="8" spans="1:46" x14ac:dyDescent="0.25">
      <c r="A8" s="1117" t="s">
        <v>870</v>
      </c>
      <c r="B8" s="960" t="s">
        <v>17</v>
      </c>
      <c r="C8" s="947" t="s">
        <v>14</v>
      </c>
      <c r="D8" s="914">
        <v>200</v>
      </c>
      <c r="E8" s="944">
        <f t="shared" si="9"/>
        <v>18.870447115384625</v>
      </c>
      <c r="F8" s="948">
        <v>1</v>
      </c>
      <c r="G8" s="940">
        <f t="shared" si="0"/>
        <v>3774.089423076925</v>
      </c>
      <c r="H8" s="943">
        <f t="shared" si="1"/>
        <v>3774.089423076925</v>
      </c>
      <c r="I8" s="914">
        <f>VLOOKUP(B8,All_Ingredients!$A$1:$F$161,6,FALSE())</f>
        <v>0.98</v>
      </c>
      <c r="J8" s="940">
        <f>VLOOKUP(B8,All_Ingredients!$A$1:$J$161,10,FALSE())</f>
        <v>3.5</v>
      </c>
      <c r="K8" s="945">
        <f t="shared" si="7"/>
        <v>3.8511116562009438</v>
      </c>
      <c r="L8" s="945">
        <f t="shared" si="8"/>
        <v>13.478890796703304</v>
      </c>
      <c r="R8" s="830"/>
      <c r="T8" s="830"/>
      <c r="W8" s="830"/>
      <c r="AI8" s="1117" t="s">
        <v>94</v>
      </c>
      <c r="AJ8" s="960" t="s">
        <v>105</v>
      </c>
      <c r="AK8" s="951" t="s">
        <v>14</v>
      </c>
      <c r="AL8" s="914">
        <v>50</v>
      </c>
      <c r="AM8" s="944">
        <f t="shared" si="4"/>
        <v>3.8474801061007953</v>
      </c>
      <c r="AN8" s="948">
        <v>1</v>
      </c>
      <c r="AO8" s="940">
        <f t="shared" si="5"/>
        <v>192.37400530503976</v>
      </c>
      <c r="AP8" s="943">
        <f t="shared" si="6"/>
        <v>192.37400530503976</v>
      </c>
      <c r="AQ8" s="955">
        <f>VLOOKUP(AJ8,Marination_Ordering!$A:$J,6,FALSE)</f>
        <v>1</v>
      </c>
      <c r="AR8" s="955">
        <f>VLOOKUP(AJ8,Marination_Ordering!$A:$J,10,FALSE)</f>
        <v>15</v>
      </c>
      <c r="AS8" s="954">
        <f t="shared" si="10"/>
        <v>192.37400530503976</v>
      </c>
      <c r="AT8" s="955">
        <f t="shared" si="11"/>
        <v>2.8856100795755966</v>
      </c>
    </row>
    <row r="9" spans="1:46" x14ac:dyDescent="0.25">
      <c r="A9" s="1117"/>
      <c r="B9" s="960" t="s">
        <v>678</v>
      </c>
      <c r="C9" s="947" t="s">
        <v>14</v>
      </c>
      <c r="D9" s="914">
        <v>240</v>
      </c>
      <c r="E9" s="944">
        <f t="shared" si="9"/>
        <v>18.870447115384625</v>
      </c>
      <c r="F9" s="948">
        <v>1</v>
      </c>
      <c r="G9" s="940">
        <f t="shared" si="0"/>
        <v>4528.9073076923096</v>
      </c>
      <c r="H9" s="943">
        <f t="shared" si="1"/>
        <v>4528.9073076923096</v>
      </c>
      <c r="I9" s="914">
        <f>VLOOKUP(B9,All_Ingredients!$A$1:$F$161,6,FALSE())</f>
        <v>1</v>
      </c>
      <c r="J9" s="940">
        <f>VLOOKUP(B9,All_Ingredients!$A$1:$J$161,10,FALSE())</f>
        <v>8.1520833333333336</v>
      </c>
      <c r="K9" s="945">
        <f t="shared" si="7"/>
        <v>4.5289073076923092</v>
      </c>
      <c r="L9" s="945">
        <f t="shared" si="8"/>
        <v>36.920029781250015</v>
      </c>
      <c r="R9" s="830"/>
      <c r="T9" s="830"/>
      <c r="W9" s="830"/>
      <c r="AI9" s="1117" t="s">
        <v>94</v>
      </c>
      <c r="AJ9" s="1482" t="s">
        <v>704</v>
      </c>
      <c r="AK9" s="951" t="s">
        <v>14</v>
      </c>
      <c r="AL9" s="914">
        <v>100</v>
      </c>
      <c r="AM9" s="944">
        <f t="shared" si="4"/>
        <v>3.8474801061007953</v>
      </c>
      <c r="AN9" s="948">
        <v>1</v>
      </c>
      <c r="AO9" s="940">
        <f t="shared" si="5"/>
        <v>384.74801061007952</v>
      </c>
      <c r="AP9" s="943">
        <f t="shared" si="6"/>
        <v>384.74801061007952</v>
      </c>
      <c r="AQ9" s="955">
        <f>VLOOKUP(AJ9,Marination_Ordering!$A:$J,6,FALSE)</f>
        <v>1</v>
      </c>
      <c r="AR9" s="955">
        <f>VLOOKUP(AJ9,Marination_Ordering!$A:$J,10,FALSE)</f>
        <v>43.333333333333336</v>
      </c>
      <c r="AS9" s="954">
        <f t="shared" ref="AS9:AS13" si="12">AP9/AQ9</f>
        <v>384.74801061007952</v>
      </c>
      <c r="AT9" s="955">
        <f t="shared" ref="AT9:AT13" si="13">AR9*(AS9/1000)</f>
        <v>16.672413793103445</v>
      </c>
    </row>
    <row r="10" spans="1:46" x14ac:dyDescent="0.25">
      <c r="A10" s="1117"/>
      <c r="B10" s="960" t="s">
        <v>139</v>
      </c>
      <c r="C10" s="947" t="s">
        <v>14</v>
      </c>
      <c r="D10" s="914">
        <v>6</v>
      </c>
      <c r="E10" s="944">
        <f t="shared" si="9"/>
        <v>18.870447115384625</v>
      </c>
      <c r="F10" s="948">
        <v>0.75</v>
      </c>
      <c r="G10" s="940">
        <f t="shared" si="0"/>
        <v>113.22268269230776</v>
      </c>
      <c r="H10" s="943">
        <f t="shared" si="1"/>
        <v>84.91701201923081</v>
      </c>
      <c r="I10" s="914">
        <f>VLOOKUP(B10,All_Ingredients!$A$1:$F$161,6,FALSE())</f>
        <v>1</v>
      </c>
      <c r="J10" s="940">
        <f>VLOOKUP(B10,All_Ingredients!$A$1:$J$161,10,FALSE())</f>
        <v>15.277777777777779</v>
      </c>
      <c r="K10" s="945">
        <f t="shared" si="7"/>
        <v>8.4917012019230811E-2</v>
      </c>
      <c r="L10" s="945">
        <f t="shared" si="8"/>
        <v>1.2973432391826931</v>
      </c>
      <c r="R10" s="830"/>
      <c r="T10" s="830"/>
      <c r="W10" s="830"/>
      <c r="AI10" s="1117" t="s">
        <v>94</v>
      </c>
      <c r="AJ10" s="960" t="s">
        <v>93</v>
      </c>
      <c r="AK10" s="951" t="s">
        <v>14</v>
      </c>
      <c r="AL10" s="914">
        <v>25</v>
      </c>
      <c r="AM10" s="944">
        <f t="shared" si="4"/>
        <v>3.8474801061007953</v>
      </c>
      <c r="AN10" s="948">
        <v>1</v>
      </c>
      <c r="AO10" s="940">
        <f t="shared" si="5"/>
        <v>96.18700265251988</v>
      </c>
      <c r="AP10" s="943">
        <f t="shared" si="6"/>
        <v>96.18700265251988</v>
      </c>
      <c r="AQ10" s="955">
        <f>VLOOKUP(AJ10,Marination_Ordering!$A:$J,6,FALSE)</f>
        <v>1</v>
      </c>
      <c r="AR10" s="955">
        <f>VLOOKUP(AJ10,Marination_Ordering!$A:$J,10,FALSE)</f>
        <v>0.74</v>
      </c>
      <c r="AS10" s="954">
        <f t="shared" si="12"/>
        <v>96.18700265251988</v>
      </c>
      <c r="AT10" s="955">
        <f t="shared" si="13"/>
        <v>7.1178381962864704E-2</v>
      </c>
    </row>
    <row r="11" spans="1:46" ht="29.25" x14ac:dyDescent="0.25">
      <c r="A11" s="1117"/>
      <c r="B11" s="960" t="s">
        <v>105</v>
      </c>
      <c r="C11" s="947" t="s">
        <v>14</v>
      </c>
      <c r="D11" s="914">
        <v>10</v>
      </c>
      <c r="E11" s="944">
        <f t="shared" si="9"/>
        <v>18.870447115384625</v>
      </c>
      <c r="F11" s="948">
        <v>0.75</v>
      </c>
      <c r="G11" s="940">
        <f t="shared" si="0"/>
        <v>188.70447115384624</v>
      </c>
      <c r="H11" s="943">
        <f t="shared" si="1"/>
        <v>141.52835336538467</v>
      </c>
      <c r="I11" s="914">
        <f>VLOOKUP(B11,All_Ingredients!$A$1:$F$161,6,FALSE())</f>
        <v>1</v>
      </c>
      <c r="J11" s="940">
        <f>VLOOKUP(B11,All_Ingredients!$A$1:$J$161,10,FALSE())</f>
        <v>15</v>
      </c>
      <c r="K11" s="945">
        <f t="shared" si="7"/>
        <v>0.14152835336538466</v>
      </c>
      <c r="L11" s="945">
        <f t="shared" si="8"/>
        <v>2.12292530048077</v>
      </c>
      <c r="R11" s="830"/>
      <c r="T11" s="830"/>
      <c r="W11" s="830"/>
      <c r="AI11" s="1117" t="s">
        <v>94</v>
      </c>
      <c r="AJ11" s="960" t="s">
        <v>99</v>
      </c>
      <c r="AK11" s="951" t="s">
        <v>14</v>
      </c>
      <c r="AL11" s="914">
        <v>25</v>
      </c>
      <c r="AM11" s="944">
        <f t="shared" si="4"/>
        <v>3.8474801061007953</v>
      </c>
      <c r="AN11" s="948">
        <v>1</v>
      </c>
      <c r="AO11" s="940">
        <f t="shared" si="5"/>
        <v>96.18700265251988</v>
      </c>
      <c r="AP11" s="943">
        <f t="shared" si="6"/>
        <v>96.18700265251988</v>
      </c>
      <c r="AQ11" s="955">
        <f>VLOOKUP(AJ11,Marination_Ordering!$A:$J,6,FALSE)</f>
        <v>1</v>
      </c>
      <c r="AR11" s="955">
        <f>VLOOKUP(AJ11,Marination_Ordering!$A:$J,10,FALSE)</f>
        <v>31</v>
      </c>
      <c r="AS11" s="954">
        <f t="shared" si="12"/>
        <v>96.18700265251988</v>
      </c>
      <c r="AT11" s="955">
        <f t="shared" si="13"/>
        <v>2.9817970822281161</v>
      </c>
    </row>
    <row r="12" spans="1:46" ht="29.25" x14ac:dyDescent="0.25">
      <c r="A12" s="1117"/>
      <c r="B12" s="960" t="s">
        <v>107</v>
      </c>
      <c r="C12" s="947" t="s">
        <v>14</v>
      </c>
      <c r="D12" s="914">
        <v>10</v>
      </c>
      <c r="E12" s="944">
        <f t="shared" si="9"/>
        <v>18.870447115384625</v>
      </c>
      <c r="F12" s="948">
        <v>0.75</v>
      </c>
      <c r="G12" s="940">
        <f t="shared" si="0"/>
        <v>188.70447115384624</v>
      </c>
      <c r="H12" s="943">
        <f t="shared" si="1"/>
        <v>141.52835336538467</v>
      </c>
      <c r="I12" s="914">
        <f>VLOOKUP(B12,All_Ingredients!$A$1:$F$161,6,FALSE())</f>
        <v>1</v>
      </c>
      <c r="J12" s="940">
        <f>VLOOKUP(B12,All_Ingredients!$A$1:$J$161,10,FALSE())</f>
        <v>8</v>
      </c>
      <c r="K12" s="945">
        <f t="shared" si="7"/>
        <v>0.14152835336538466</v>
      </c>
      <c r="L12" s="945">
        <f t="shared" si="8"/>
        <v>1.1322268269230773</v>
      </c>
      <c r="R12" s="830"/>
      <c r="T12" s="830"/>
      <c r="W12" s="830"/>
      <c r="AI12" s="1117" t="s">
        <v>94</v>
      </c>
      <c r="AJ12" s="960" t="s">
        <v>107</v>
      </c>
      <c r="AK12" s="951" t="s">
        <v>14</v>
      </c>
      <c r="AL12" s="914">
        <v>50</v>
      </c>
      <c r="AM12" s="944">
        <f t="shared" si="4"/>
        <v>3.8474801061007953</v>
      </c>
      <c r="AN12" s="948">
        <v>1</v>
      </c>
      <c r="AO12" s="940">
        <f t="shared" si="5"/>
        <v>192.37400530503976</v>
      </c>
      <c r="AP12" s="943">
        <f t="shared" si="6"/>
        <v>192.37400530503976</v>
      </c>
      <c r="AQ12" s="955">
        <f>VLOOKUP(AJ12,Marination_Ordering!$A:$J,6,FALSE)</f>
        <v>1</v>
      </c>
      <c r="AR12" s="955">
        <f>VLOOKUP(AJ12,Marination_Ordering!$A:$J,10,FALSE)</f>
        <v>8</v>
      </c>
      <c r="AS12" s="954">
        <f t="shared" si="12"/>
        <v>192.37400530503976</v>
      </c>
      <c r="AT12" s="955">
        <f t="shared" si="13"/>
        <v>1.5389920424403181</v>
      </c>
    </row>
    <row r="13" spans="1:46" x14ac:dyDescent="0.25">
      <c r="A13" s="1117"/>
      <c r="B13" s="960" t="s">
        <v>166</v>
      </c>
      <c r="C13" s="947" t="s">
        <v>160</v>
      </c>
      <c r="D13" s="914">
        <v>500</v>
      </c>
      <c r="E13" s="944">
        <f t="shared" si="9"/>
        <v>18.870447115384625</v>
      </c>
      <c r="F13" s="948">
        <v>1</v>
      </c>
      <c r="G13" s="940">
        <f t="shared" si="0"/>
        <v>9435.2235576923122</v>
      </c>
      <c r="H13" s="943">
        <f t="shared" si="1"/>
        <v>9435.2235576923122</v>
      </c>
      <c r="I13" s="914">
        <f>VLOOKUP(B13,All_Ingredients!$A$1:$F$161,6,FALSE())</f>
        <v>1</v>
      </c>
      <c r="J13" s="940">
        <f>VLOOKUP(B13,All_Ingredients!$A$1:$J$161,10,FALSE())</f>
        <v>12.666666666666666</v>
      </c>
      <c r="K13" s="945">
        <f t="shared" si="7"/>
        <v>9.4352235576923125</v>
      </c>
      <c r="L13" s="945">
        <f t="shared" si="8"/>
        <v>119.51283173076929</v>
      </c>
      <c r="R13" s="830"/>
      <c r="T13" s="830"/>
      <c r="W13" s="830"/>
      <c r="AI13" s="1117" t="s">
        <v>94</v>
      </c>
      <c r="AJ13" s="1482" t="s">
        <v>118</v>
      </c>
      <c r="AK13" s="951" t="s">
        <v>14</v>
      </c>
      <c r="AL13" s="914">
        <v>50</v>
      </c>
      <c r="AM13" s="944">
        <f t="shared" si="4"/>
        <v>3.8474801061007953</v>
      </c>
      <c r="AN13" s="948">
        <v>1</v>
      </c>
      <c r="AO13" s="940">
        <f t="shared" si="5"/>
        <v>192.37400530503976</v>
      </c>
      <c r="AP13" s="943">
        <f t="shared" si="6"/>
        <v>192.37400530503976</v>
      </c>
      <c r="AQ13" s="955">
        <f>VLOOKUP(AJ13,Marination_Ordering!$A:$J,6,FALSE)</f>
        <v>1</v>
      </c>
      <c r="AR13" s="955">
        <f>VLOOKUP(AJ13,Marination_Ordering!$A:$J,10,FALSE)</f>
        <v>15</v>
      </c>
      <c r="AS13" s="954">
        <f t="shared" si="12"/>
        <v>192.37400530503976</v>
      </c>
      <c r="AT13" s="955">
        <f t="shared" si="13"/>
        <v>2.8856100795755966</v>
      </c>
    </row>
    <row r="14" spans="1:46" x14ac:dyDescent="0.25">
      <c r="A14" s="1117"/>
      <c r="B14" s="960" t="s">
        <v>152</v>
      </c>
      <c r="C14" s="947" t="s">
        <v>14</v>
      </c>
      <c r="D14" s="914">
        <v>25</v>
      </c>
      <c r="E14" s="944">
        <f t="shared" si="9"/>
        <v>18.870447115384625</v>
      </c>
      <c r="F14" s="948">
        <v>1</v>
      </c>
      <c r="G14" s="940">
        <f t="shared" si="0"/>
        <v>471.76117788461562</v>
      </c>
      <c r="H14" s="943">
        <f t="shared" si="1"/>
        <v>471.76117788461562</v>
      </c>
      <c r="I14" s="914">
        <f>VLOOKUP(B14,All_Ingredients!$A$1:$F$161,6,FALSE())</f>
        <v>1</v>
      </c>
      <c r="J14" s="940">
        <f>VLOOKUP(B14,All_Ingredients!$A$1:$J$161,10,FALSE())</f>
        <v>30</v>
      </c>
      <c r="K14" s="945">
        <f t="shared" si="7"/>
        <v>0.47176117788461563</v>
      </c>
      <c r="L14" s="945">
        <f t="shared" si="8"/>
        <v>14.15283533653847</v>
      </c>
      <c r="R14" s="830"/>
      <c r="T14" s="830"/>
      <c r="W14" s="830"/>
      <c r="AJ14" s="830"/>
      <c r="AK14" s="830"/>
      <c r="AL14" s="830"/>
      <c r="AM14" s="830"/>
      <c r="AN14" s="830"/>
      <c r="AP14" s="830"/>
      <c r="AQ14" s="14"/>
      <c r="AR14" s="551"/>
      <c r="AS14" s="1152"/>
      <c r="AT14" s="549"/>
    </row>
    <row r="15" spans="1:46" x14ac:dyDescent="0.25">
      <c r="A15" s="1117"/>
      <c r="B15" s="960" t="s">
        <v>87</v>
      </c>
      <c r="C15" s="947" t="s">
        <v>14</v>
      </c>
      <c r="D15" s="914">
        <v>1</v>
      </c>
      <c r="E15" s="944">
        <f t="shared" si="9"/>
        <v>18.870447115384625</v>
      </c>
      <c r="F15" s="948">
        <v>1</v>
      </c>
      <c r="G15" s="940">
        <f t="shared" si="0"/>
        <v>18.870447115384625</v>
      </c>
      <c r="H15" s="943">
        <f t="shared" si="1"/>
        <v>18.870447115384625</v>
      </c>
      <c r="I15" s="914">
        <f>VLOOKUP(B15,All_Ingredients!$A$1:$F$161,6,FALSE())</f>
        <v>1</v>
      </c>
      <c r="J15" s="940">
        <f>VLOOKUP(B15,All_Ingredients!$A$1:$J$161,10,FALSE())</f>
        <v>20</v>
      </c>
      <c r="K15" s="945">
        <f t="shared" si="7"/>
        <v>1.8870447115384624E-2</v>
      </c>
      <c r="L15" s="945">
        <f t="shared" si="8"/>
        <v>0.37740894230769251</v>
      </c>
      <c r="R15" s="830"/>
      <c r="T15" s="830"/>
      <c r="W15" s="830"/>
      <c r="AJ15" s="830"/>
      <c r="AK15" s="830"/>
      <c r="AL15" s="830"/>
      <c r="AM15" s="830"/>
      <c r="AN15" s="830"/>
      <c r="AP15" s="830"/>
      <c r="AS15" s="830"/>
    </row>
    <row r="16" spans="1:46" x14ac:dyDescent="0.25">
      <c r="A16" s="1117"/>
      <c r="B16" s="960" t="s">
        <v>93</v>
      </c>
      <c r="C16" s="947" t="s">
        <v>14</v>
      </c>
      <c r="D16" s="914">
        <v>6</v>
      </c>
      <c r="E16" s="944">
        <f t="shared" si="9"/>
        <v>18.870447115384625</v>
      </c>
      <c r="F16" s="948">
        <v>1</v>
      </c>
      <c r="G16" s="940">
        <f t="shared" si="0"/>
        <v>113.22268269230776</v>
      </c>
      <c r="H16" s="943">
        <f t="shared" si="1"/>
        <v>113.22268269230776</v>
      </c>
      <c r="I16" s="914">
        <f>VLOOKUP(B16,All_Ingredients!$A$1:$F$161,6,FALSE())</f>
        <v>1</v>
      </c>
      <c r="J16" s="940">
        <f>VLOOKUP(B16,All_Ingredients!$A$1:$J$161,10,FALSE())</f>
        <v>0.74</v>
      </c>
      <c r="K16" s="945">
        <f t="shared" si="7"/>
        <v>0.11322268269230776</v>
      </c>
      <c r="L16" s="945">
        <f t="shared" si="8"/>
        <v>8.378478519230774E-2</v>
      </c>
      <c r="R16" s="830"/>
      <c r="T16" s="830"/>
      <c r="W16" s="830"/>
      <c r="AJ16" s="830"/>
      <c r="AK16" s="830"/>
      <c r="AL16" s="830"/>
      <c r="AM16" s="830"/>
      <c r="AN16" s="830"/>
      <c r="AP16" s="830"/>
      <c r="AS16" s="830"/>
    </row>
    <row r="17" spans="1:32" ht="29.25" x14ac:dyDescent="0.25">
      <c r="A17" s="1117"/>
      <c r="B17" s="960" t="s">
        <v>172</v>
      </c>
      <c r="C17" s="947" t="s">
        <v>14</v>
      </c>
      <c r="D17" s="914">
        <v>100</v>
      </c>
      <c r="E17" s="944">
        <f t="shared" si="9"/>
        <v>18.870447115384625</v>
      </c>
      <c r="F17" s="948">
        <v>1</v>
      </c>
      <c r="G17" s="940">
        <f t="shared" si="0"/>
        <v>1887.0447115384625</v>
      </c>
      <c r="H17" s="943">
        <f t="shared" si="1"/>
        <v>1887.0447115384625</v>
      </c>
      <c r="I17" s="914">
        <f>VLOOKUP(B17,All_Ingredients!$A$1:$F$161,6,FALSE())</f>
        <v>1</v>
      </c>
      <c r="J17" s="940">
        <f>VLOOKUP(B17,All_Ingredients!$A$1:$J$161,10,FALSE())</f>
        <v>17.934782608695652</v>
      </c>
      <c r="K17" s="945">
        <f t="shared" si="7"/>
        <v>1.8870447115384625</v>
      </c>
      <c r="L17" s="945">
        <f t="shared" si="8"/>
        <v>33.843736674331119</v>
      </c>
      <c r="R17" s="830"/>
      <c r="T17" s="830"/>
      <c r="W17" s="830"/>
    </row>
    <row r="18" spans="1:32" ht="25.5" x14ac:dyDescent="0.25">
      <c r="A18" s="1117"/>
      <c r="B18" s="1115" t="s">
        <v>99</v>
      </c>
      <c r="C18" s="947" t="s">
        <v>14</v>
      </c>
      <c r="D18" s="914">
        <v>3</v>
      </c>
      <c r="E18" s="944">
        <f t="shared" si="9"/>
        <v>18.870447115384625</v>
      </c>
      <c r="F18" s="948">
        <v>0.9</v>
      </c>
      <c r="G18" s="940">
        <f t="shared" si="0"/>
        <v>56.611341346153878</v>
      </c>
      <c r="H18" s="943">
        <f t="shared" si="1"/>
        <v>50.950207211538491</v>
      </c>
      <c r="I18" s="914">
        <f>VLOOKUP(B18,All_Ingredients!$A$1:$F$161,6,FALSE())</f>
        <v>1</v>
      </c>
      <c r="J18" s="940">
        <f>VLOOKUP(B18,All_Ingredients!$A$1:$J$161,10,FALSE())</f>
        <v>31</v>
      </c>
      <c r="K18" s="945">
        <f t="shared" si="7"/>
        <v>5.0950207211538492E-2</v>
      </c>
      <c r="L18" s="945">
        <f t="shared" si="8"/>
        <v>1.5794564235576933</v>
      </c>
      <c r="R18" s="830"/>
      <c r="T18" s="830"/>
      <c r="W18" s="830"/>
    </row>
    <row r="19" spans="1:32" ht="29.25" x14ac:dyDescent="0.25">
      <c r="A19" s="1117"/>
      <c r="B19" s="1352" t="s">
        <v>122</v>
      </c>
      <c r="C19" s="947" t="s">
        <v>14</v>
      </c>
      <c r="D19" s="914">
        <v>5</v>
      </c>
      <c r="E19" s="944">
        <f t="shared" si="9"/>
        <v>18.870447115384625</v>
      </c>
      <c r="F19" s="948">
        <v>0.5</v>
      </c>
      <c r="G19" s="940">
        <f t="shared" si="0"/>
        <v>94.352235576923121</v>
      </c>
      <c r="H19" s="943">
        <f t="shared" si="1"/>
        <v>47.176117788461561</v>
      </c>
      <c r="I19" s="914">
        <f>VLOOKUP(B19,All_Ingredients!$A$1:$F$161,6,FALSE())</f>
        <v>1</v>
      </c>
      <c r="J19" s="940">
        <f>VLOOKUP(B19,All_Ingredients!$A$1:$J$161,10,FALSE())</f>
        <v>14</v>
      </c>
      <c r="K19" s="945">
        <f t="shared" si="7"/>
        <v>4.7176117788461563E-2</v>
      </c>
      <c r="L19" s="945">
        <f t="shared" si="8"/>
        <v>0.66046564903846194</v>
      </c>
      <c r="R19" s="830"/>
      <c r="T19" s="830"/>
      <c r="W19" s="830"/>
    </row>
    <row r="20" spans="1:32" x14ac:dyDescent="0.25">
      <c r="B20" s="80"/>
      <c r="D20" s="1057"/>
      <c r="E20" s="80"/>
      <c r="F20" s="80"/>
      <c r="H20" s="830"/>
      <c r="K20" s="830"/>
      <c r="L20" s="144"/>
      <c r="R20" s="830"/>
      <c r="T20" s="830"/>
      <c r="W20" s="830"/>
    </row>
    <row r="21" spans="1:32" x14ac:dyDescent="0.25">
      <c r="B21" s="80"/>
      <c r="D21" s="1057"/>
      <c r="E21" s="80"/>
      <c r="F21" s="80"/>
      <c r="H21" s="830"/>
      <c r="K21" s="830"/>
      <c r="L21" s="144"/>
      <c r="R21" s="830"/>
      <c r="T21" s="830"/>
      <c r="W21" s="830"/>
    </row>
    <row r="22" spans="1:32" x14ac:dyDescent="0.25">
      <c r="B22" s="830"/>
      <c r="D22" s="1057"/>
      <c r="E22" s="830"/>
      <c r="F22" s="830"/>
      <c r="H22" s="830"/>
      <c r="K22" s="830"/>
      <c r="L22" s="144"/>
      <c r="R22" s="830"/>
      <c r="T22" s="830"/>
      <c r="W22" s="830"/>
    </row>
    <row r="23" spans="1:32" x14ac:dyDescent="0.25">
      <c r="B23" s="830"/>
      <c r="D23" s="1057"/>
      <c r="E23" s="830"/>
      <c r="F23" s="830"/>
      <c r="H23" s="830"/>
      <c r="K23" s="830"/>
      <c r="L23" s="144"/>
      <c r="R23" s="830"/>
      <c r="T23" s="830"/>
      <c r="W23" s="830"/>
    </row>
    <row r="24" spans="1:32" x14ac:dyDescent="0.25">
      <c r="B24" s="830"/>
      <c r="D24" s="1057"/>
      <c r="E24" s="830"/>
      <c r="F24" s="830"/>
      <c r="H24" s="830"/>
      <c r="K24" s="830"/>
      <c r="L24" s="144"/>
      <c r="R24" s="1141"/>
      <c r="T24" s="830"/>
      <c r="W24" s="830"/>
      <c r="Z24" s="630"/>
    </row>
    <row r="25" spans="1:32" x14ac:dyDescent="0.25">
      <c r="B25" s="830"/>
      <c r="D25" s="1057"/>
      <c r="E25" s="830"/>
      <c r="F25" s="830"/>
      <c r="H25" s="830"/>
      <c r="K25" s="830"/>
      <c r="L25" s="144"/>
      <c r="R25" s="1848" t="s">
        <v>374</v>
      </c>
      <c r="S25" s="1787"/>
      <c r="T25" s="1788"/>
      <c r="U25" s="1787"/>
      <c r="V25" s="956"/>
      <c r="W25" s="960"/>
      <c r="Z25" s="982" t="s">
        <v>252</v>
      </c>
      <c r="AA25" s="1492">
        <v>1</v>
      </c>
      <c r="AB25" s="982" t="s">
        <v>249</v>
      </c>
      <c r="AC25" s="985">
        <f>(AA25*(1.4))*AF30+(AA30*(AB28/R1))</f>
        <v>2.5689871274268812E-2</v>
      </c>
      <c r="AD25" s="14"/>
    </row>
    <row r="26" spans="1:32" x14ac:dyDescent="0.25">
      <c r="B26" s="830"/>
      <c r="D26" s="1057"/>
      <c r="E26" s="830"/>
      <c r="F26" s="830"/>
      <c r="H26" s="830"/>
      <c r="K26" s="830"/>
      <c r="L26" s="144"/>
      <c r="R26" s="1847" t="s">
        <v>253</v>
      </c>
      <c r="S26" s="1787"/>
      <c r="T26" s="1788"/>
      <c r="U26" s="1787"/>
      <c r="V26" s="956"/>
      <c r="W26" s="960"/>
      <c r="Z26" s="14"/>
      <c r="AA26" s="14"/>
      <c r="AB26" s="14"/>
      <c r="AC26" s="14"/>
      <c r="AD26" s="14"/>
    </row>
    <row r="27" spans="1:32" x14ac:dyDescent="0.25">
      <c r="B27" s="830"/>
      <c r="D27" s="1057"/>
      <c r="E27" s="830"/>
      <c r="F27" s="830"/>
      <c r="H27" s="830"/>
      <c r="K27" s="830"/>
      <c r="R27" s="1428" t="s">
        <v>254</v>
      </c>
      <c r="S27" s="1469" t="s">
        <v>375</v>
      </c>
      <c r="T27" s="1428" t="s">
        <v>256</v>
      </c>
      <c r="U27" s="1469" t="s">
        <v>257</v>
      </c>
      <c r="V27" s="962" t="s">
        <v>746</v>
      </c>
      <c r="W27" s="961" t="s">
        <v>753</v>
      </c>
      <c r="Z27" s="982" t="s">
        <v>258</v>
      </c>
      <c r="AA27" s="984" t="s">
        <v>311</v>
      </c>
      <c r="AB27" s="982" t="s">
        <v>259</v>
      </c>
      <c r="AC27" s="982" t="s">
        <v>260</v>
      </c>
      <c r="AD27" s="982" t="s">
        <v>261</v>
      </c>
      <c r="AE27" s="984" t="s">
        <v>753</v>
      </c>
      <c r="AF27" s="982" t="s">
        <v>262</v>
      </c>
    </row>
    <row r="28" spans="1:32" x14ac:dyDescent="0.25">
      <c r="B28" s="830"/>
      <c r="D28" s="1057"/>
      <c r="E28" s="830"/>
      <c r="F28" s="830"/>
      <c r="H28" s="830"/>
      <c r="K28" s="830"/>
      <c r="R28" s="1428" t="s">
        <v>263</v>
      </c>
      <c r="S28" s="1470">
        <f>U28*S40</f>
        <v>21930.769230769227</v>
      </c>
      <c r="T28" s="1483">
        <f>U28*U40</f>
        <v>6579.2307692307759</v>
      </c>
      <c r="U28" s="1484">
        <f>$Z$1</f>
        <v>28510</v>
      </c>
      <c r="V28" s="966">
        <f>SUM(AP5:AP13)</f>
        <v>1577.4668435013259</v>
      </c>
      <c r="W28" s="967">
        <f>H37</f>
        <v>195</v>
      </c>
      <c r="Z28" s="1086"/>
      <c r="AA28" s="987"/>
      <c r="AB28" s="985">
        <f>AA25*$S$40</f>
        <v>0.76923076923076905</v>
      </c>
      <c r="AC28" s="985">
        <f>AA25*U40</f>
        <v>0.230769230769231</v>
      </c>
      <c r="AD28" s="989">
        <f>AA25*0.4</f>
        <v>0.4</v>
      </c>
      <c r="AE28" s="987"/>
      <c r="AF28" s="1088">
        <f>SUM(AB28:AD28)</f>
        <v>1.4</v>
      </c>
    </row>
    <row r="29" spans="1:32" x14ac:dyDescent="0.25">
      <c r="B29" s="830"/>
      <c r="D29" s="1057"/>
      <c r="E29" s="830"/>
      <c r="F29" s="830"/>
      <c r="H29" s="830"/>
      <c r="K29" s="830"/>
      <c r="R29" s="1428" t="s">
        <v>264</v>
      </c>
      <c r="S29" s="947"/>
      <c r="T29" s="1485">
        <f>U28*0.4</f>
        <v>11404</v>
      </c>
      <c r="U29" s="1486">
        <f>T29</f>
        <v>11404</v>
      </c>
      <c r="V29" s="966"/>
      <c r="W29" s="967"/>
      <c r="Z29" s="1086"/>
      <c r="AA29" s="991"/>
      <c r="AB29" s="1089">
        <f>AB28/$AF$28</f>
        <v>0.54945054945054939</v>
      </c>
      <c r="AC29" s="1089">
        <f>AC28/$AF$28</f>
        <v>0.16483516483516503</v>
      </c>
      <c r="AD29" s="1089">
        <f>AD28/$AF$28</f>
        <v>0.28571428571428575</v>
      </c>
      <c r="AE29" s="991"/>
      <c r="AF29" s="1089">
        <f>AF28/$AF$28</f>
        <v>1</v>
      </c>
    </row>
    <row r="30" spans="1:32" x14ac:dyDescent="0.25">
      <c r="B30" s="830"/>
      <c r="D30" s="1057"/>
      <c r="E30" s="830"/>
      <c r="F30" s="830"/>
      <c r="H30" s="830"/>
      <c r="K30" s="830"/>
      <c r="R30" s="1428" t="s">
        <v>265</v>
      </c>
      <c r="S30" s="1487">
        <f>U30*S40</f>
        <v>384.61538461538453</v>
      </c>
      <c r="T30" s="1488">
        <f>(U30*U40)+(U30*0.4)</f>
        <v>315.38461538461547</v>
      </c>
      <c r="U30" s="1489">
        <f>$AB$1</f>
        <v>500</v>
      </c>
      <c r="V30" s="972"/>
      <c r="W30" s="973"/>
      <c r="Z30" s="982" t="s">
        <v>266</v>
      </c>
      <c r="AA30" s="994">
        <f>V35/(S32/R1)</f>
        <v>8.4268333333333337E-4</v>
      </c>
      <c r="AB30" s="1090">
        <f>S35/(S32)</f>
        <v>2.0463253221873916E-2</v>
      </c>
      <c r="AC30" s="1091">
        <f>T35/T32</f>
        <v>1.3263065036878879E-2</v>
      </c>
      <c r="AD30" s="1091">
        <f>T35/T32</f>
        <v>1.3263065036878879E-2</v>
      </c>
      <c r="AE30" s="995">
        <f>W35/U32</f>
        <v>3.323976953759787E-4</v>
      </c>
      <c r="AF30" s="996">
        <f>(SUMPRODUCT(AB30:AD30,AB29:AD29))+AE30</f>
        <v>1.7551610086647736E-2</v>
      </c>
    </row>
    <row r="31" spans="1:32" x14ac:dyDescent="0.25">
      <c r="B31" s="830"/>
      <c r="D31" s="1057"/>
      <c r="E31" s="830"/>
      <c r="F31" s="830"/>
      <c r="H31" s="830"/>
      <c r="K31" s="830"/>
      <c r="R31" s="1428" t="s">
        <v>267</v>
      </c>
      <c r="S31" s="947"/>
      <c r="T31" s="1473"/>
      <c r="U31" s="1476"/>
      <c r="V31" s="966"/>
      <c r="W31" s="967"/>
    </row>
    <row r="32" spans="1:32" x14ac:dyDescent="0.25">
      <c r="B32" s="830"/>
      <c r="D32" s="1057"/>
      <c r="E32" s="830"/>
      <c r="F32" s="830"/>
      <c r="H32" s="830"/>
      <c r="K32" s="830"/>
      <c r="R32" s="1428" t="s">
        <v>257</v>
      </c>
      <c r="S32" s="1490">
        <f>SUM(S28:S30)</f>
        <v>22315.38461538461</v>
      </c>
      <c r="T32" s="1491">
        <f>SUM(T28:T30)</f>
        <v>18298.615384615394</v>
      </c>
      <c r="U32" s="1477">
        <f>SUM(S32:T32)</f>
        <v>40614</v>
      </c>
      <c r="V32" s="966"/>
      <c r="W32" s="967">
        <f>SUM(W28:W30)</f>
        <v>195</v>
      </c>
    </row>
    <row r="33" spans="2:23" ht="30" x14ac:dyDescent="0.25">
      <c r="B33" s="830"/>
      <c r="D33" s="1057"/>
      <c r="E33" s="830"/>
      <c r="F33" s="830"/>
      <c r="H33" s="830"/>
      <c r="K33" s="830"/>
      <c r="R33" s="1478" t="s">
        <v>268</v>
      </c>
      <c r="S33" s="947"/>
      <c r="T33" s="951"/>
      <c r="U33" s="947"/>
      <c r="V33" s="959"/>
      <c r="W33" s="960"/>
    </row>
    <row r="34" spans="2:23" x14ac:dyDescent="0.25">
      <c r="B34" s="830"/>
      <c r="D34" s="1057"/>
      <c r="E34" s="830"/>
      <c r="F34" s="830"/>
      <c r="H34" s="830"/>
      <c r="K34" s="830"/>
      <c r="R34" s="1428" t="s">
        <v>269</v>
      </c>
      <c r="S34" s="947"/>
      <c r="T34" s="1473"/>
      <c r="U34" s="947"/>
      <c r="V34" s="959"/>
      <c r="W34" s="960"/>
    </row>
    <row r="35" spans="2:23" ht="15.75" x14ac:dyDescent="0.25">
      <c r="B35" s="1781" t="s">
        <v>626</v>
      </c>
      <c r="C35" s="1782"/>
      <c r="D35" s="1781"/>
      <c r="E35" s="1781"/>
      <c r="F35" s="1781"/>
      <c r="G35" s="1001"/>
      <c r="H35" s="1434"/>
      <c r="I35" s="1010"/>
      <c r="J35" s="1010"/>
      <c r="K35" s="1009"/>
      <c r="L35" s="1010"/>
      <c r="R35" s="977" t="s">
        <v>249</v>
      </c>
      <c r="S35" s="978">
        <f>$L$5</f>
        <v>456.64536612812469</v>
      </c>
      <c r="T35" s="979">
        <f>SUM(L6:L19)</f>
        <v>242.69572593098641</v>
      </c>
      <c r="U35" s="1136">
        <f>S35+T35+V35+W35</f>
        <v>745.26316566653816</v>
      </c>
      <c r="V35" s="978">
        <f>SUM(AT6:AT13)</f>
        <v>32.422073607427052</v>
      </c>
      <c r="W35" s="979">
        <f>L37</f>
        <v>13.5</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30"/>
      <c r="T36" s="830"/>
      <c r="W36" s="830"/>
    </row>
    <row r="37" spans="2:23" x14ac:dyDescent="0.25">
      <c r="B37" s="1005" t="s">
        <v>666</v>
      </c>
      <c r="C37" s="1006" t="s">
        <v>14</v>
      </c>
      <c r="D37" s="1007">
        <v>1</v>
      </c>
      <c r="E37" s="1005">
        <f>$AD$1</f>
        <v>195</v>
      </c>
      <c r="F37" s="1005">
        <f>D37*E37</f>
        <v>195</v>
      </c>
      <c r="G37" s="14"/>
      <c r="H37" s="1005">
        <f>F37</f>
        <v>195</v>
      </c>
      <c r="I37" s="1005">
        <f>VLOOKUP(B37,All_Ingredients!$A$1:$F$161,6,FALSE())</f>
        <v>0.65</v>
      </c>
      <c r="J37" s="1005">
        <f>VLOOKUP(B37,All_Ingredients!$A$1:$J$161,10,FALSE())</f>
        <v>45</v>
      </c>
      <c r="K37" s="1005">
        <f>(H37/I37)/1000</f>
        <v>0.3</v>
      </c>
      <c r="L37" s="1005">
        <f t="shared" ref="L37" si="14">K37*J37</f>
        <v>13.5</v>
      </c>
      <c r="R37" s="830"/>
      <c r="T37" s="830"/>
      <c r="W37" s="830"/>
    </row>
    <row r="38" spans="2:23" x14ac:dyDescent="0.25">
      <c r="B38" s="830"/>
      <c r="D38" s="1057"/>
      <c r="E38" s="830"/>
      <c r="F38" s="830"/>
      <c r="H38" s="830"/>
      <c r="K38" s="830"/>
      <c r="R38" s="830"/>
      <c r="T38" s="830"/>
      <c r="W38" s="830"/>
    </row>
    <row r="39" spans="2:23" x14ac:dyDescent="0.25">
      <c r="B39" s="830"/>
      <c r="D39" s="1057"/>
      <c r="E39" s="830"/>
      <c r="F39" s="830"/>
      <c r="H39" s="830"/>
      <c r="K39" s="830"/>
      <c r="R39" s="830"/>
      <c r="S39" s="250"/>
      <c r="T39" s="830"/>
      <c r="U39" s="250"/>
      <c r="W39" s="830"/>
    </row>
    <row r="40" spans="2:23" ht="26.25" x14ac:dyDescent="0.25">
      <c r="B40" s="830"/>
      <c r="D40" s="1057"/>
      <c r="E40" s="830"/>
      <c r="F40" s="830"/>
      <c r="H40" s="830"/>
      <c r="K40" s="830"/>
      <c r="Q40" s="14"/>
      <c r="R40" s="1011" t="s">
        <v>270</v>
      </c>
      <c r="S40" s="1012">
        <v>0.76923076923076905</v>
      </c>
      <c r="T40" s="1011" t="s">
        <v>271</v>
      </c>
      <c r="U40" s="1013">
        <v>0.230769230769231</v>
      </c>
      <c r="V40" s="1014">
        <f>S40+U40</f>
        <v>1</v>
      </c>
      <c r="W40" s="890"/>
    </row>
    <row r="41" spans="2:23" x14ac:dyDescent="0.25">
      <c r="B41" s="830"/>
      <c r="D41" s="1057"/>
      <c r="E41" s="830"/>
      <c r="F41" s="830"/>
      <c r="H41" s="830"/>
      <c r="K41" s="830"/>
      <c r="Q41" s="14"/>
      <c r="R41" s="890"/>
      <c r="S41" s="14"/>
      <c r="T41" s="890"/>
      <c r="U41" s="123"/>
      <c r="V41" s="14"/>
      <c r="W41" s="890"/>
    </row>
    <row r="42" spans="2:23" x14ac:dyDescent="0.25">
      <c r="B42" s="830"/>
      <c r="D42" s="1057"/>
      <c r="E42" s="830"/>
      <c r="F42" s="830"/>
      <c r="H42" s="830"/>
      <c r="K42" s="830"/>
      <c r="Q42" s="14"/>
      <c r="R42" s="890"/>
      <c r="S42" s="14"/>
      <c r="T42" s="890"/>
      <c r="U42" s="14"/>
      <c r="V42" s="14"/>
      <c r="W42" s="890"/>
    </row>
    <row r="43" spans="2:23" ht="26.25" x14ac:dyDescent="0.25">
      <c r="B43" s="830"/>
      <c r="D43" s="1057"/>
      <c r="E43" s="830"/>
      <c r="F43" s="830"/>
      <c r="H43" s="830"/>
      <c r="K43" s="830"/>
      <c r="Q43" s="1015" t="s">
        <v>272</v>
      </c>
      <c r="R43" s="1011" t="s">
        <v>273</v>
      </c>
      <c r="S43" s="1015" t="s">
        <v>274</v>
      </c>
      <c r="T43" s="1011" t="s">
        <v>275</v>
      </c>
      <c r="U43" s="1015" t="s">
        <v>276</v>
      </c>
      <c r="V43" s="1015" t="s">
        <v>277</v>
      </c>
      <c r="W43" s="1011" t="s">
        <v>278</v>
      </c>
    </row>
    <row r="44" spans="2:23" x14ac:dyDescent="0.25">
      <c r="B44" s="830"/>
      <c r="D44" s="1057"/>
      <c r="E44" s="830"/>
      <c r="F44" s="830"/>
      <c r="H44" s="830"/>
      <c r="K44" s="830"/>
      <c r="Q44" s="1023">
        <v>15854</v>
      </c>
      <c r="R44" s="1017">
        <f>D51</f>
        <v>10000</v>
      </c>
      <c r="S44" s="1024">
        <v>0.37</v>
      </c>
      <c r="T44" s="1025">
        <v>0.63</v>
      </c>
      <c r="U44" s="1096">
        <f>R44*S44</f>
        <v>3700</v>
      </c>
      <c r="V44" s="1021">
        <f>R44*T44</f>
        <v>6300</v>
      </c>
      <c r="W44" s="1026">
        <f>Q44-U44</f>
        <v>12154</v>
      </c>
    </row>
    <row r="50" spans="1:10" x14ac:dyDescent="0.25">
      <c r="B50" s="961"/>
      <c r="C50" s="962" t="s">
        <v>233</v>
      </c>
      <c r="D50" s="958" t="s">
        <v>279</v>
      </c>
      <c r="E50" s="898"/>
      <c r="F50" s="80"/>
      <c r="G50" s="962" t="s">
        <v>280</v>
      </c>
      <c r="H50" s="961" t="s">
        <v>233</v>
      </c>
      <c r="I50" s="962" t="s">
        <v>281</v>
      </c>
      <c r="J50" s="962" t="s">
        <v>282</v>
      </c>
    </row>
    <row r="51" spans="1:10" x14ac:dyDescent="0.25">
      <c r="B51" s="1027" t="s">
        <v>283</v>
      </c>
      <c r="C51" s="1028">
        <f>10/$K$1</f>
        <v>10.3125</v>
      </c>
      <c r="D51" s="1029">
        <f>$C$1*10</f>
        <v>10000</v>
      </c>
      <c r="E51" s="135"/>
      <c r="F51" s="80"/>
      <c r="G51" s="1033" t="s">
        <v>283</v>
      </c>
      <c r="H51" s="1122">
        <f>I51/$D$5</f>
        <v>10</v>
      </c>
      <c r="I51" s="1028">
        <f>J51/$R$1</f>
        <v>20955.172413793105</v>
      </c>
      <c r="J51" s="1028">
        <f>$W$44</f>
        <v>12154</v>
      </c>
    </row>
    <row r="52" spans="1:10" x14ac:dyDescent="0.25">
      <c r="B52" s="958" t="s">
        <v>262</v>
      </c>
      <c r="C52" s="1099">
        <f>$I$1</f>
        <v>18.870447115384625</v>
      </c>
      <c r="D52" s="1100">
        <f>$E$1</f>
        <v>18298.615384615394</v>
      </c>
      <c r="E52" s="80"/>
      <c r="F52" s="80"/>
      <c r="G52" s="962" t="s">
        <v>262</v>
      </c>
      <c r="H52" s="1052">
        <f>I52/$D$5</f>
        <v>18.360527081935665</v>
      </c>
      <c r="I52" s="1021">
        <f>J52/$R$1</f>
        <v>38474.801061007951</v>
      </c>
      <c r="J52" s="1030">
        <f>$S$32</f>
        <v>22315.38461538461</v>
      </c>
    </row>
    <row r="53" spans="1:10" x14ac:dyDescent="0.25">
      <c r="B53" s="958" t="s">
        <v>284</v>
      </c>
      <c r="C53" s="1101">
        <f>MIN(C52, C51)</f>
        <v>10.3125</v>
      </c>
      <c r="D53" s="1100">
        <f>(C53*$K$1)*$C$1</f>
        <v>10000</v>
      </c>
      <c r="E53" s="80"/>
      <c r="F53" s="80"/>
      <c r="G53" s="962" t="s">
        <v>284</v>
      </c>
      <c r="H53" s="1035">
        <f>MIN(H52,H51)</f>
        <v>10</v>
      </c>
      <c r="I53" s="1021">
        <f>J53/$R$1</f>
        <v>20955.172413793105</v>
      </c>
      <c r="J53" s="1021">
        <f>MIN(J52,J51)</f>
        <v>12154</v>
      </c>
    </row>
    <row r="54" spans="1:10" x14ac:dyDescent="0.25">
      <c r="B54" s="958" t="s">
        <v>285</v>
      </c>
      <c r="C54" s="1101">
        <f>MIN(MAX(C52-C53,0),C51)</f>
        <v>8.5579471153846249</v>
      </c>
      <c r="D54" s="1100">
        <f>(C54*$K$1)*$C$1</f>
        <v>8298.6153846153939</v>
      </c>
      <c r="E54" s="80"/>
      <c r="F54" s="80"/>
      <c r="G54" s="962" t="s">
        <v>285</v>
      </c>
      <c r="H54" s="1035">
        <f>MIN(MAX(H52-H53),H51)</f>
        <v>8.3605270819356647</v>
      </c>
      <c r="I54" s="1021">
        <f>J54/$R$1</f>
        <v>17519.628647214846</v>
      </c>
      <c r="J54" s="1021">
        <f>MIN(MAX(J52-J53),J51)</f>
        <v>10161.38461538461</v>
      </c>
    </row>
    <row r="55" spans="1:10" x14ac:dyDescent="0.25">
      <c r="B55" s="958" t="s">
        <v>286</v>
      </c>
      <c r="C55" s="1101">
        <f>MIN(MAX(C52-C53-C54,0),C51)</f>
        <v>0</v>
      </c>
      <c r="D55" s="1100">
        <f>(C55*$K$1)*$C$1</f>
        <v>0</v>
      </c>
      <c r="E55" s="80"/>
      <c r="F55" s="80"/>
      <c r="G55" s="962" t="s">
        <v>286</v>
      </c>
      <c r="H55" s="1035">
        <f>MIN(MAX(H52-H53-H54),H51)</f>
        <v>0</v>
      </c>
      <c r="I55" s="1021">
        <f>J55/$R$1</f>
        <v>0</v>
      </c>
      <c r="J55" s="1021">
        <f>MIN(MAX(J52-J53-J54),J51)</f>
        <v>0</v>
      </c>
    </row>
    <row r="56" spans="1:10" x14ac:dyDescent="0.25">
      <c r="B56" s="830"/>
      <c r="D56" s="1057"/>
      <c r="E56" s="830"/>
      <c r="F56" s="830"/>
      <c r="H56" s="830"/>
    </row>
    <row r="57" spans="1:10" x14ac:dyDescent="0.25">
      <c r="B57" s="830"/>
      <c r="D57" s="1057"/>
      <c r="E57" s="830"/>
      <c r="F57" s="830"/>
      <c r="H57" s="830"/>
    </row>
    <row r="58" spans="1:10" x14ac:dyDescent="0.25">
      <c r="B58" s="830"/>
      <c r="D58" s="1057"/>
      <c r="E58" s="830"/>
      <c r="F58" s="830"/>
      <c r="H58" s="830"/>
    </row>
    <row r="59" spans="1:10" x14ac:dyDescent="0.25">
      <c r="B59" s="830"/>
      <c r="D59" s="1057"/>
      <c r="E59" s="830"/>
      <c r="F59" s="830"/>
      <c r="H59" s="830"/>
    </row>
    <row r="60" spans="1:10" x14ac:dyDescent="0.25">
      <c r="B60" s="830"/>
      <c r="D60" s="1057"/>
      <c r="E60" s="830"/>
      <c r="F60" s="830"/>
      <c r="H60" s="830"/>
    </row>
    <row r="61" spans="1:10" x14ac:dyDescent="0.25">
      <c r="B61" s="830"/>
      <c r="D61" s="1057"/>
      <c r="E61" s="830"/>
      <c r="F61" s="830"/>
      <c r="H61" s="830"/>
    </row>
    <row r="62" spans="1:10" x14ac:dyDescent="0.25">
      <c r="A62" s="1124"/>
      <c r="B62" s="1776" t="str">
        <f>" داوود باشا 1 / " &amp; COUNTIF($C$53:$C$55, "&gt;0")</f>
        <v xml:space="preserve"> داوود باشا 1 / 2</v>
      </c>
      <c r="C62" s="1777"/>
      <c r="D62" s="1778"/>
      <c r="E62" s="1778"/>
      <c r="F62" s="1778"/>
      <c r="G62" s="1777"/>
      <c r="H62" s="1778"/>
    </row>
    <row r="63" spans="1:10" x14ac:dyDescent="0.25">
      <c r="A63" s="1124"/>
      <c r="B63" s="1776" t="str">
        <f>" Daoud Basha 1 / " &amp; COUNTIF($C$53:$C$55, "&gt;0")</f>
        <v xml:space="preserve"> Daoud Basha 1 / 2</v>
      </c>
      <c r="C63" s="1777"/>
      <c r="D63" s="1778"/>
      <c r="E63" s="1778"/>
      <c r="F63" s="1778"/>
      <c r="G63" s="1777"/>
      <c r="H63" s="1778"/>
    </row>
    <row r="64" spans="1:10" ht="38.25" x14ac:dyDescent="0.2">
      <c r="A64" s="1350" t="s">
        <v>864</v>
      </c>
      <c r="B64" s="1104" t="s">
        <v>241</v>
      </c>
      <c r="C64" s="934" t="s">
        <v>242</v>
      </c>
      <c r="D64" s="1104" t="s">
        <v>231</v>
      </c>
      <c r="E64" s="936" t="s">
        <v>234</v>
      </c>
      <c r="F64" s="936" t="s">
        <v>243</v>
      </c>
      <c r="G64" s="1104" t="s">
        <v>244</v>
      </c>
      <c r="H64" s="936" t="s">
        <v>245</v>
      </c>
    </row>
    <row r="65" spans="1:8" ht="28.5" x14ac:dyDescent="0.2">
      <c r="A65" s="937" t="s">
        <v>891</v>
      </c>
      <c r="B65" s="960" t="str">
        <f t="shared" ref="B65:D79" si="15">B5</f>
        <v>Indian Meat Tammam Mafroom - مفروم هندى</v>
      </c>
      <c r="C65" s="959" t="str">
        <f t="shared" si="15"/>
        <v>gm</v>
      </c>
      <c r="D65" s="1493">
        <f t="shared" si="15"/>
        <v>2095.5172413793107</v>
      </c>
      <c r="E65" s="1126">
        <f>H53</f>
        <v>10</v>
      </c>
      <c r="F65" s="948">
        <f t="shared" ref="F65:F79" si="16">F5</f>
        <v>1</v>
      </c>
      <c r="G65" s="940">
        <f t="shared" ref="G65:G79" si="17">D65*E65</f>
        <v>20955.172413793109</v>
      </c>
      <c r="H65" s="943">
        <f t="shared" ref="H65:H79" si="18">G65*F65</f>
        <v>20955.172413793109</v>
      </c>
    </row>
    <row r="66" spans="1:8" x14ac:dyDescent="0.25">
      <c r="A66" s="1117" t="s">
        <v>866</v>
      </c>
      <c r="B66" s="960" t="str">
        <f t="shared" si="15"/>
        <v>Onion - بصل</v>
      </c>
      <c r="C66" s="959" t="str">
        <f t="shared" si="15"/>
        <v>gm</v>
      </c>
      <c r="D66" s="1073">
        <f t="shared" si="15"/>
        <v>200</v>
      </c>
      <c r="E66" s="1126">
        <f t="shared" ref="E66:E79" si="19">$C$53</f>
        <v>10.3125</v>
      </c>
      <c r="F66" s="948">
        <f t="shared" si="16"/>
        <v>1</v>
      </c>
      <c r="G66" s="940">
        <f t="shared" si="17"/>
        <v>2062.5</v>
      </c>
      <c r="H66" s="943">
        <f t="shared" si="18"/>
        <v>2062.5</v>
      </c>
    </row>
    <row r="67" spans="1:8" x14ac:dyDescent="0.25">
      <c r="A67" s="1117" t="s">
        <v>868</v>
      </c>
      <c r="B67" s="960" t="str">
        <f t="shared" si="15"/>
        <v>Garlic - ثوم مقشر</v>
      </c>
      <c r="C67" s="959" t="str">
        <f t="shared" si="15"/>
        <v>gm</v>
      </c>
      <c r="D67" s="1073">
        <f t="shared" si="15"/>
        <v>25</v>
      </c>
      <c r="E67" s="1126">
        <f t="shared" si="19"/>
        <v>10.3125</v>
      </c>
      <c r="F67" s="948">
        <f t="shared" si="16"/>
        <v>1</v>
      </c>
      <c r="G67" s="940">
        <f t="shared" si="17"/>
        <v>257.8125</v>
      </c>
      <c r="H67" s="943">
        <f t="shared" si="18"/>
        <v>257.8125</v>
      </c>
    </row>
    <row r="68" spans="1:8" x14ac:dyDescent="0.25">
      <c r="A68" s="1117" t="s">
        <v>870</v>
      </c>
      <c r="B68" s="960" t="str">
        <f t="shared" si="15"/>
        <v>Tomato - طماطم</v>
      </c>
      <c r="C68" s="959" t="str">
        <f t="shared" si="15"/>
        <v>gm</v>
      </c>
      <c r="D68" s="1073">
        <f t="shared" si="15"/>
        <v>200</v>
      </c>
      <c r="E68" s="1126">
        <f t="shared" si="19"/>
        <v>10.3125</v>
      </c>
      <c r="F68" s="948">
        <f t="shared" si="16"/>
        <v>1</v>
      </c>
      <c r="G68" s="940">
        <f t="shared" si="17"/>
        <v>2062.5</v>
      </c>
      <c r="H68" s="943">
        <f t="shared" si="18"/>
        <v>2062.5</v>
      </c>
    </row>
    <row r="69" spans="1:8" x14ac:dyDescent="0.25">
      <c r="A69" s="1117"/>
      <c r="B69" s="960" t="str">
        <f t="shared" si="15"/>
        <v>Tomato Paste - صلصة طماطم</v>
      </c>
      <c r="C69" s="959" t="str">
        <f t="shared" si="15"/>
        <v>gm</v>
      </c>
      <c r="D69" s="1073">
        <f t="shared" si="15"/>
        <v>240</v>
      </c>
      <c r="E69" s="1126">
        <f t="shared" si="19"/>
        <v>10.3125</v>
      </c>
      <c r="F69" s="948">
        <f t="shared" si="16"/>
        <v>1</v>
      </c>
      <c r="G69" s="940">
        <f t="shared" si="17"/>
        <v>2475</v>
      </c>
      <c r="H69" s="943">
        <f t="shared" si="18"/>
        <v>2475</v>
      </c>
    </row>
    <row r="70" spans="1:8" x14ac:dyDescent="0.25">
      <c r="A70" s="1117"/>
      <c r="B70" s="960" t="str">
        <f t="shared" si="15"/>
        <v>Maggi Cubes - مكعبات ماجي</v>
      </c>
      <c r="C70" s="959" t="str">
        <f t="shared" si="15"/>
        <v>gm</v>
      </c>
      <c r="D70" s="1073">
        <f t="shared" si="15"/>
        <v>6</v>
      </c>
      <c r="E70" s="1126">
        <f t="shared" si="19"/>
        <v>10.3125</v>
      </c>
      <c r="F70" s="948">
        <f t="shared" si="16"/>
        <v>0.75</v>
      </c>
      <c r="G70" s="940">
        <f t="shared" si="17"/>
        <v>61.875</v>
      </c>
      <c r="H70" s="943">
        <f t="shared" si="18"/>
        <v>46.40625</v>
      </c>
    </row>
    <row r="71" spans="1:8" x14ac:dyDescent="0.25">
      <c r="A71" s="1117"/>
      <c r="B71" s="960" t="str">
        <f t="shared" si="15"/>
        <v>Cumin Powder - كمون مطحون</v>
      </c>
      <c r="C71" s="959" t="str">
        <f t="shared" si="15"/>
        <v>gm</v>
      </c>
      <c r="D71" s="1073">
        <f t="shared" si="15"/>
        <v>10</v>
      </c>
      <c r="E71" s="1126">
        <f t="shared" si="19"/>
        <v>10.3125</v>
      </c>
      <c r="F71" s="948">
        <f t="shared" si="16"/>
        <v>0.75</v>
      </c>
      <c r="G71" s="940">
        <f t="shared" si="17"/>
        <v>103.125</v>
      </c>
      <c r="H71" s="943">
        <f t="shared" si="18"/>
        <v>77.34375</v>
      </c>
    </row>
    <row r="72" spans="1:8" ht="29.25" x14ac:dyDescent="0.25">
      <c r="A72" s="1117"/>
      <c r="B72" s="960" t="str">
        <f t="shared" si="15"/>
        <v>Coriander Powder - كزبرة مطحونة</v>
      </c>
      <c r="C72" s="959" t="str">
        <f t="shared" si="15"/>
        <v>gm</v>
      </c>
      <c r="D72" s="1073">
        <f t="shared" si="15"/>
        <v>10</v>
      </c>
      <c r="E72" s="1126">
        <f t="shared" si="19"/>
        <v>10.3125</v>
      </c>
      <c r="F72" s="948">
        <f t="shared" si="16"/>
        <v>0.75</v>
      </c>
      <c r="G72" s="940">
        <f t="shared" si="17"/>
        <v>103.125</v>
      </c>
      <c r="H72" s="943">
        <f t="shared" si="18"/>
        <v>77.34375</v>
      </c>
    </row>
    <row r="73" spans="1:8" x14ac:dyDescent="0.25">
      <c r="A73" s="1117"/>
      <c r="B73" s="960" t="str">
        <f t="shared" si="15"/>
        <v>Cooking Cream - كريمة طبخ</v>
      </c>
      <c r="C73" s="959" t="str">
        <f t="shared" si="15"/>
        <v>ml</v>
      </c>
      <c r="D73" s="1073">
        <f t="shared" si="15"/>
        <v>500</v>
      </c>
      <c r="E73" s="1126">
        <f t="shared" si="19"/>
        <v>10.3125</v>
      </c>
      <c r="F73" s="948">
        <f t="shared" si="16"/>
        <v>1</v>
      </c>
      <c r="G73" s="940">
        <f t="shared" si="17"/>
        <v>5156.25</v>
      </c>
      <c r="H73" s="943">
        <f t="shared" si="18"/>
        <v>5156.25</v>
      </c>
    </row>
    <row r="74" spans="1:8" x14ac:dyDescent="0.25">
      <c r="A74" s="1117"/>
      <c r="B74" s="960" t="str">
        <f t="shared" si="15"/>
        <v>Butter - زبدة</v>
      </c>
      <c r="C74" s="959" t="str">
        <f t="shared" si="15"/>
        <v>gm</v>
      </c>
      <c r="D74" s="1073">
        <f t="shared" si="15"/>
        <v>25</v>
      </c>
      <c r="E74" s="1126">
        <f t="shared" si="19"/>
        <v>10.3125</v>
      </c>
      <c r="F74" s="948">
        <f t="shared" si="16"/>
        <v>1</v>
      </c>
      <c r="G74" s="940">
        <f t="shared" si="17"/>
        <v>257.8125</v>
      </c>
      <c r="H74" s="943">
        <f t="shared" si="18"/>
        <v>257.8125</v>
      </c>
    </row>
    <row r="75" spans="1:8" x14ac:dyDescent="0.25">
      <c r="A75" s="1117"/>
      <c r="B75" s="960" t="str">
        <f t="shared" si="15"/>
        <v>Dried Mint Leaves - نعناع مجفف</v>
      </c>
      <c r="C75" s="959" t="str">
        <f t="shared" si="15"/>
        <v>gm</v>
      </c>
      <c r="D75" s="1073">
        <f t="shared" si="15"/>
        <v>1</v>
      </c>
      <c r="E75" s="1126">
        <f t="shared" si="19"/>
        <v>10.3125</v>
      </c>
      <c r="F75" s="948">
        <f t="shared" si="16"/>
        <v>1</v>
      </c>
      <c r="G75" s="940">
        <f t="shared" si="17"/>
        <v>10.3125</v>
      </c>
      <c r="H75" s="943">
        <f t="shared" si="18"/>
        <v>10.3125</v>
      </c>
    </row>
    <row r="76" spans="1:8" x14ac:dyDescent="0.25">
      <c r="A76" s="1117"/>
      <c r="B76" s="960" t="str">
        <f t="shared" si="15"/>
        <v>Salt - ملح</v>
      </c>
      <c r="C76" s="959" t="str">
        <f t="shared" si="15"/>
        <v>gm</v>
      </c>
      <c r="D76" s="1073">
        <f t="shared" si="15"/>
        <v>6</v>
      </c>
      <c r="E76" s="1126">
        <f t="shared" si="19"/>
        <v>10.3125</v>
      </c>
      <c r="F76" s="948">
        <f t="shared" si="16"/>
        <v>1</v>
      </c>
      <c r="G76" s="940">
        <f t="shared" si="17"/>
        <v>61.875</v>
      </c>
      <c r="H76" s="943">
        <f t="shared" si="18"/>
        <v>61.875</v>
      </c>
    </row>
    <row r="77" spans="1:8" ht="29.25" x14ac:dyDescent="0.25">
      <c r="A77" s="1117"/>
      <c r="B77" s="960" t="str">
        <f t="shared" si="15"/>
        <v>Mozzarella Cheese - جبنة موتزاريلا</v>
      </c>
      <c r="C77" s="959" t="str">
        <f t="shared" si="15"/>
        <v>gm</v>
      </c>
      <c r="D77" s="1073">
        <f t="shared" si="15"/>
        <v>100</v>
      </c>
      <c r="E77" s="1126">
        <f t="shared" si="19"/>
        <v>10.3125</v>
      </c>
      <c r="F77" s="948">
        <f t="shared" si="16"/>
        <v>1</v>
      </c>
      <c r="G77" s="940">
        <f t="shared" si="17"/>
        <v>1031.25</v>
      </c>
      <c r="H77" s="943">
        <f t="shared" si="18"/>
        <v>1031.25</v>
      </c>
    </row>
    <row r="78" spans="1:8" ht="29.25" x14ac:dyDescent="0.25">
      <c r="A78" s="1117"/>
      <c r="B78" s="960" t="str">
        <f t="shared" si="15"/>
        <v>Black Pepper Powder - فلفل أسود مطحون</v>
      </c>
      <c r="C78" s="959" t="str">
        <f t="shared" si="15"/>
        <v>gm</v>
      </c>
      <c r="D78" s="1073">
        <f t="shared" si="15"/>
        <v>3</v>
      </c>
      <c r="E78" s="1126">
        <f t="shared" si="19"/>
        <v>10.3125</v>
      </c>
      <c r="F78" s="948">
        <f t="shared" si="16"/>
        <v>0.9</v>
      </c>
      <c r="G78" s="940">
        <f t="shared" si="17"/>
        <v>30.9375</v>
      </c>
      <c r="H78" s="943">
        <f t="shared" si="18"/>
        <v>27.84375</v>
      </c>
    </row>
    <row r="79" spans="1:8" ht="29.25" x14ac:dyDescent="0.25">
      <c r="A79" s="1117"/>
      <c r="B79" s="960" t="str">
        <f t="shared" si="15"/>
        <v>Cinnamon Powder - قرفة مطحونة</v>
      </c>
      <c r="C79" s="959" t="str">
        <f t="shared" si="15"/>
        <v>gm</v>
      </c>
      <c r="D79" s="1073">
        <f t="shared" si="15"/>
        <v>5</v>
      </c>
      <c r="E79" s="1126">
        <f t="shared" si="19"/>
        <v>10.3125</v>
      </c>
      <c r="F79" s="948">
        <f t="shared" si="16"/>
        <v>0.5</v>
      </c>
      <c r="G79" s="940">
        <f t="shared" si="17"/>
        <v>51.5625</v>
      </c>
      <c r="H79" s="943">
        <f t="shared" si="18"/>
        <v>25.78125</v>
      </c>
    </row>
    <row r="80" spans="1:8" ht="18" x14ac:dyDescent="0.25">
      <c r="A80" s="1070"/>
      <c r="B80" s="1041" t="s">
        <v>287</v>
      </c>
      <c r="C80" s="1042" t="s">
        <v>273</v>
      </c>
      <c r="D80" s="1043"/>
      <c r="E80" s="1044" t="s">
        <v>288</v>
      </c>
      <c r="F80" s="1043"/>
      <c r="G80" s="1045" t="s">
        <v>264</v>
      </c>
      <c r="H80" s="1046" t="s">
        <v>661</v>
      </c>
    </row>
    <row r="81" spans="1:8" ht="20.25" x14ac:dyDescent="0.3">
      <c r="A81" s="1070"/>
      <c r="B81" s="1047">
        <f>$J$53</f>
        <v>12154</v>
      </c>
      <c r="C81" s="1048">
        <f>E81+G81</f>
        <v>10000</v>
      </c>
      <c r="D81" s="1049"/>
      <c r="E81" s="1047">
        <f>$D$53*$S$44</f>
        <v>3700</v>
      </c>
      <c r="F81" s="1050"/>
      <c r="G81" s="1048">
        <f>$D$53*$T$44</f>
        <v>6300</v>
      </c>
      <c r="H81" s="1047">
        <f>B81+E81</f>
        <v>15854</v>
      </c>
    </row>
    <row r="82" spans="1:8" x14ac:dyDescent="0.25">
      <c r="B82" s="80"/>
      <c r="C82" s="80"/>
      <c r="D82" s="147"/>
      <c r="E82" s="80"/>
      <c r="F82" s="80"/>
      <c r="G82" s="80"/>
      <c r="H82" s="80"/>
    </row>
    <row r="83" spans="1:8" x14ac:dyDescent="0.25">
      <c r="B83" s="80"/>
      <c r="C83" s="80"/>
      <c r="D83" s="147"/>
      <c r="E83" s="80"/>
      <c r="F83" s="80"/>
      <c r="G83" s="80"/>
      <c r="H83" s="80"/>
    </row>
    <row r="84" spans="1:8" x14ac:dyDescent="0.25">
      <c r="A84" s="1124"/>
      <c r="B84" s="1776" t="str">
        <f>"  داوود باشا 2 / " &amp; COUNTIF($C$53:$C$55, "&gt;0")</f>
        <v xml:space="preserve">  داوود باشا 2 / 2</v>
      </c>
      <c r="C84" s="1777"/>
      <c r="D84" s="1778"/>
      <c r="E84" s="1778"/>
      <c r="F84" s="1778"/>
      <c r="G84" s="1777"/>
      <c r="H84" s="1778"/>
    </row>
    <row r="85" spans="1:8" x14ac:dyDescent="0.25">
      <c r="A85" s="1124"/>
      <c r="B85" s="1776" t="str">
        <f>" Daoud Basha 2 / " &amp; COUNTIF($C$53:$C$55, "&gt;0")</f>
        <v xml:space="preserve"> Daoud Basha 2 / 2</v>
      </c>
      <c r="C85" s="1777"/>
      <c r="D85" s="1778"/>
      <c r="E85" s="1778"/>
      <c r="F85" s="1778"/>
      <c r="G85" s="1777"/>
      <c r="H85" s="1778"/>
    </row>
    <row r="86" spans="1:8" ht="38.25" x14ac:dyDescent="0.2">
      <c r="A86" s="1350" t="s">
        <v>864</v>
      </c>
      <c r="B86" s="1104" t="s">
        <v>241</v>
      </c>
      <c r="C86" s="934" t="s">
        <v>242</v>
      </c>
      <c r="D86" s="1104" t="s">
        <v>231</v>
      </c>
      <c r="E86" s="936" t="s">
        <v>234</v>
      </c>
      <c r="F86" s="936" t="s">
        <v>243</v>
      </c>
      <c r="G86" s="1104" t="s">
        <v>244</v>
      </c>
      <c r="H86" s="936" t="s">
        <v>245</v>
      </c>
    </row>
    <row r="87" spans="1:8" ht="28.5" x14ac:dyDescent="0.2">
      <c r="A87" s="937" t="s">
        <v>891</v>
      </c>
      <c r="B87" s="960" t="str">
        <f t="shared" ref="B87:D101" si="20">B5</f>
        <v>Indian Meat Tammam Mafroom - مفروم هندى</v>
      </c>
      <c r="C87" s="959" t="str">
        <f t="shared" si="20"/>
        <v>gm</v>
      </c>
      <c r="D87" s="1493">
        <f t="shared" si="20"/>
        <v>2095.5172413793107</v>
      </c>
      <c r="E87" s="1494">
        <f>H54</f>
        <v>8.3605270819356647</v>
      </c>
      <c r="F87" s="948">
        <f t="shared" ref="F87:F101" si="21">F5</f>
        <v>1</v>
      </c>
      <c r="G87" s="940">
        <f t="shared" ref="G87:G101" si="22">D87*E87</f>
        <v>17519.628647214842</v>
      </c>
      <c r="H87" s="943">
        <f t="shared" ref="H87:H101" si="23">G87*F87</f>
        <v>17519.628647214842</v>
      </c>
    </row>
    <row r="88" spans="1:8" x14ac:dyDescent="0.25">
      <c r="A88" s="1117" t="s">
        <v>866</v>
      </c>
      <c r="B88" s="960" t="str">
        <f t="shared" si="20"/>
        <v>Onion - بصل</v>
      </c>
      <c r="C88" s="959" t="str">
        <f t="shared" si="20"/>
        <v>gm</v>
      </c>
      <c r="D88" s="1073">
        <f t="shared" si="20"/>
        <v>200</v>
      </c>
      <c r="E88" s="1494">
        <f t="shared" ref="E88:E101" si="24">$C$54</f>
        <v>8.5579471153846249</v>
      </c>
      <c r="F88" s="948">
        <f t="shared" si="21"/>
        <v>1</v>
      </c>
      <c r="G88" s="940">
        <f t="shared" si="22"/>
        <v>1711.589423076925</v>
      </c>
      <c r="H88" s="943">
        <f t="shared" si="23"/>
        <v>1711.589423076925</v>
      </c>
    </row>
    <row r="89" spans="1:8" x14ac:dyDescent="0.25">
      <c r="A89" s="1117" t="s">
        <v>868</v>
      </c>
      <c r="B89" s="960" t="str">
        <f t="shared" si="20"/>
        <v>Garlic - ثوم مقشر</v>
      </c>
      <c r="C89" s="959" t="str">
        <f t="shared" si="20"/>
        <v>gm</v>
      </c>
      <c r="D89" s="1073">
        <f t="shared" si="20"/>
        <v>25</v>
      </c>
      <c r="E89" s="1494">
        <f t="shared" si="24"/>
        <v>8.5579471153846249</v>
      </c>
      <c r="F89" s="948">
        <f t="shared" si="21"/>
        <v>1</v>
      </c>
      <c r="G89" s="940">
        <f t="shared" si="22"/>
        <v>213.94867788461562</v>
      </c>
      <c r="H89" s="943">
        <f t="shared" si="23"/>
        <v>213.94867788461562</v>
      </c>
    </row>
    <row r="90" spans="1:8" x14ac:dyDescent="0.25">
      <c r="A90" s="1117" t="s">
        <v>870</v>
      </c>
      <c r="B90" s="960" t="str">
        <f t="shared" si="20"/>
        <v>Tomato - طماطم</v>
      </c>
      <c r="C90" s="959" t="str">
        <f t="shared" si="20"/>
        <v>gm</v>
      </c>
      <c r="D90" s="1073">
        <f t="shared" si="20"/>
        <v>200</v>
      </c>
      <c r="E90" s="1494">
        <f t="shared" si="24"/>
        <v>8.5579471153846249</v>
      </c>
      <c r="F90" s="948">
        <f t="shared" si="21"/>
        <v>1</v>
      </c>
      <c r="G90" s="940">
        <f t="shared" si="22"/>
        <v>1711.589423076925</v>
      </c>
      <c r="H90" s="943">
        <f t="shared" si="23"/>
        <v>1711.589423076925</v>
      </c>
    </row>
    <row r="91" spans="1:8" x14ac:dyDescent="0.25">
      <c r="A91" s="1117"/>
      <c r="B91" s="960" t="str">
        <f t="shared" si="20"/>
        <v>Tomato Paste - صلصة طماطم</v>
      </c>
      <c r="C91" s="959" t="str">
        <f t="shared" si="20"/>
        <v>gm</v>
      </c>
      <c r="D91" s="1073">
        <f t="shared" si="20"/>
        <v>240</v>
      </c>
      <c r="E91" s="1494">
        <f t="shared" si="24"/>
        <v>8.5579471153846249</v>
      </c>
      <c r="F91" s="948">
        <f t="shared" si="21"/>
        <v>1</v>
      </c>
      <c r="G91" s="940">
        <f t="shared" si="22"/>
        <v>2053.90730769231</v>
      </c>
      <c r="H91" s="943">
        <f t="shared" si="23"/>
        <v>2053.90730769231</v>
      </c>
    </row>
    <row r="92" spans="1:8" x14ac:dyDescent="0.25">
      <c r="A92" s="1117"/>
      <c r="B92" s="960" t="str">
        <f t="shared" si="20"/>
        <v>Maggi Cubes - مكعبات ماجي</v>
      </c>
      <c r="C92" s="959" t="str">
        <f t="shared" si="20"/>
        <v>gm</v>
      </c>
      <c r="D92" s="1073">
        <f t="shared" si="20"/>
        <v>6</v>
      </c>
      <c r="E92" s="1494">
        <f t="shared" si="24"/>
        <v>8.5579471153846249</v>
      </c>
      <c r="F92" s="948">
        <f t="shared" si="21"/>
        <v>0.75</v>
      </c>
      <c r="G92" s="940">
        <f t="shared" si="22"/>
        <v>51.34768269230775</v>
      </c>
      <c r="H92" s="943">
        <f t="shared" si="23"/>
        <v>38.51076201923081</v>
      </c>
    </row>
    <row r="93" spans="1:8" x14ac:dyDescent="0.25">
      <c r="A93" s="1117"/>
      <c r="B93" s="960" t="str">
        <f t="shared" si="20"/>
        <v>Cumin Powder - كمون مطحون</v>
      </c>
      <c r="C93" s="959" t="str">
        <f t="shared" si="20"/>
        <v>gm</v>
      </c>
      <c r="D93" s="1073">
        <f t="shared" si="20"/>
        <v>10</v>
      </c>
      <c r="E93" s="1494">
        <f t="shared" si="24"/>
        <v>8.5579471153846249</v>
      </c>
      <c r="F93" s="948">
        <f t="shared" si="21"/>
        <v>0.75</v>
      </c>
      <c r="G93" s="940">
        <f t="shared" si="22"/>
        <v>85.579471153846242</v>
      </c>
      <c r="H93" s="943">
        <f t="shared" si="23"/>
        <v>64.184603365384675</v>
      </c>
    </row>
    <row r="94" spans="1:8" ht="29.25" x14ac:dyDescent="0.25">
      <c r="A94" s="1117"/>
      <c r="B94" s="960" t="str">
        <f t="shared" si="20"/>
        <v>Coriander Powder - كزبرة مطحونة</v>
      </c>
      <c r="C94" s="959" t="str">
        <f t="shared" si="20"/>
        <v>gm</v>
      </c>
      <c r="D94" s="1073">
        <f t="shared" si="20"/>
        <v>10</v>
      </c>
      <c r="E94" s="1494">
        <f t="shared" si="24"/>
        <v>8.5579471153846249</v>
      </c>
      <c r="F94" s="948">
        <f t="shared" si="21"/>
        <v>0.75</v>
      </c>
      <c r="G94" s="940">
        <f t="shared" si="22"/>
        <v>85.579471153846242</v>
      </c>
      <c r="H94" s="943">
        <f t="shared" si="23"/>
        <v>64.184603365384675</v>
      </c>
    </row>
    <row r="95" spans="1:8" x14ac:dyDescent="0.25">
      <c r="A95" s="1117"/>
      <c r="B95" s="960" t="str">
        <f t="shared" si="20"/>
        <v>Cooking Cream - كريمة طبخ</v>
      </c>
      <c r="C95" s="959" t="str">
        <f t="shared" si="20"/>
        <v>ml</v>
      </c>
      <c r="D95" s="1073">
        <f t="shared" si="20"/>
        <v>500</v>
      </c>
      <c r="E95" s="1494">
        <f t="shared" si="24"/>
        <v>8.5579471153846249</v>
      </c>
      <c r="F95" s="948">
        <f t="shared" si="21"/>
        <v>1</v>
      </c>
      <c r="G95" s="940">
        <f t="shared" si="22"/>
        <v>4278.9735576923122</v>
      </c>
      <c r="H95" s="943">
        <f t="shared" si="23"/>
        <v>4278.9735576923122</v>
      </c>
    </row>
    <row r="96" spans="1:8" x14ac:dyDescent="0.25">
      <c r="A96" s="1117"/>
      <c r="B96" s="960" t="str">
        <f t="shared" si="20"/>
        <v>Butter - زبدة</v>
      </c>
      <c r="C96" s="959" t="str">
        <f t="shared" si="20"/>
        <v>gm</v>
      </c>
      <c r="D96" s="1073">
        <f t="shared" si="20"/>
        <v>25</v>
      </c>
      <c r="E96" s="1494">
        <f t="shared" si="24"/>
        <v>8.5579471153846249</v>
      </c>
      <c r="F96" s="948">
        <f t="shared" si="21"/>
        <v>1</v>
      </c>
      <c r="G96" s="940">
        <f t="shared" si="22"/>
        <v>213.94867788461562</v>
      </c>
      <c r="H96" s="943">
        <f t="shared" si="23"/>
        <v>213.94867788461562</v>
      </c>
    </row>
    <row r="97" spans="1:8" x14ac:dyDescent="0.25">
      <c r="A97" s="1117"/>
      <c r="B97" s="960" t="str">
        <f t="shared" si="20"/>
        <v>Dried Mint Leaves - نعناع مجفف</v>
      </c>
      <c r="C97" s="959" t="str">
        <f t="shared" si="20"/>
        <v>gm</v>
      </c>
      <c r="D97" s="1073">
        <f t="shared" si="20"/>
        <v>1</v>
      </c>
      <c r="E97" s="1494">
        <f t="shared" si="24"/>
        <v>8.5579471153846249</v>
      </c>
      <c r="F97" s="948">
        <f t="shared" si="21"/>
        <v>1</v>
      </c>
      <c r="G97" s="940">
        <f t="shared" si="22"/>
        <v>8.5579471153846249</v>
      </c>
      <c r="H97" s="943">
        <f t="shared" si="23"/>
        <v>8.5579471153846249</v>
      </c>
    </row>
    <row r="98" spans="1:8" x14ac:dyDescent="0.25">
      <c r="A98" s="1117"/>
      <c r="B98" s="960" t="str">
        <f t="shared" si="20"/>
        <v>Salt - ملح</v>
      </c>
      <c r="C98" s="959" t="str">
        <f t="shared" si="20"/>
        <v>gm</v>
      </c>
      <c r="D98" s="1073">
        <f t="shared" si="20"/>
        <v>6</v>
      </c>
      <c r="E98" s="1494">
        <f t="shared" si="24"/>
        <v>8.5579471153846249</v>
      </c>
      <c r="F98" s="948">
        <f t="shared" si="21"/>
        <v>1</v>
      </c>
      <c r="G98" s="940">
        <f t="shared" si="22"/>
        <v>51.34768269230775</v>
      </c>
      <c r="H98" s="943">
        <f t="shared" si="23"/>
        <v>51.34768269230775</v>
      </c>
    </row>
    <row r="99" spans="1:8" ht="29.25" x14ac:dyDescent="0.25">
      <c r="A99" s="1117"/>
      <c r="B99" s="960" t="str">
        <f t="shared" si="20"/>
        <v>Mozzarella Cheese - جبنة موتزاريلا</v>
      </c>
      <c r="C99" s="959" t="str">
        <f t="shared" si="20"/>
        <v>gm</v>
      </c>
      <c r="D99" s="1073">
        <f t="shared" si="20"/>
        <v>100</v>
      </c>
      <c r="E99" s="1494">
        <f t="shared" si="24"/>
        <v>8.5579471153846249</v>
      </c>
      <c r="F99" s="948">
        <f t="shared" si="21"/>
        <v>1</v>
      </c>
      <c r="G99" s="940">
        <f t="shared" si="22"/>
        <v>855.79471153846248</v>
      </c>
      <c r="H99" s="943">
        <f t="shared" si="23"/>
        <v>855.79471153846248</v>
      </c>
    </row>
    <row r="100" spans="1:8" ht="29.25" x14ac:dyDescent="0.25">
      <c r="A100" s="1117"/>
      <c r="B100" s="960" t="str">
        <f t="shared" si="20"/>
        <v>Black Pepper Powder - فلفل أسود مطحون</v>
      </c>
      <c r="C100" s="959" t="str">
        <f t="shared" si="20"/>
        <v>gm</v>
      </c>
      <c r="D100" s="1073">
        <f t="shared" si="20"/>
        <v>3</v>
      </c>
      <c r="E100" s="1494">
        <f t="shared" si="24"/>
        <v>8.5579471153846249</v>
      </c>
      <c r="F100" s="948">
        <f t="shared" si="21"/>
        <v>0.9</v>
      </c>
      <c r="G100" s="940">
        <f t="shared" si="22"/>
        <v>25.673841346153875</v>
      </c>
      <c r="H100" s="943">
        <f t="shared" si="23"/>
        <v>23.106457211538487</v>
      </c>
    </row>
    <row r="101" spans="1:8" ht="29.25" x14ac:dyDescent="0.25">
      <c r="A101" s="1117"/>
      <c r="B101" s="960" t="str">
        <f t="shared" si="20"/>
        <v>Cinnamon Powder - قرفة مطحونة</v>
      </c>
      <c r="C101" s="959" t="str">
        <f t="shared" si="20"/>
        <v>gm</v>
      </c>
      <c r="D101" s="1073">
        <f t="shared" si="20"/>
        <v>5</v>
      </c>
      <c r="E101" s="1494">
        <f t="shared" si="24"/>
        <v>8.5579471153846249</v>
      </c>
      <c r="F101" s="948">
        <f t="shared" si="21"/>
        <v>0.5</v>
      </c>
      <c r="G101" s="940">
        <f t="shared" si="22"/>
        <v>42.789735576923121</v>
      </c>
      <c r="H101" s="943">
        <f t="shared" si="23"/>
        <v>21.394867788461561</v>
      </c>
    </row>
    <row r="102" spans="1:8" ht="18" x14ac:dyDescent="0.25">
      <c r="A102" s="1070"/>
      <c r="B102" s="1041" t="s">
        <v>287</v>
      </c>
      <c r="C102" s="1042" t="s">
        <v>273</v>
      </c>
      <c r="D102" s="1043"/>
      <c r="E102" s="1044" t="s">
        <v>288</v>
      </c>
      <c r="F102" s="1043"/>
      <c r="G102" s="1045" t="s">
        <v>264</v>
      </c>
      <c r="H102" s="1046" t="s">
        <v>661</v>
      </c>
    </row>
    <row r="103" spans="1:8" ht="20.25" x14ac:dyDescent="0.3">
      <c r="A103" s="1070"/>
      <c r="B103" s="1047">
        <f>$J$54</f>
        <v>10161.38461538461</v>
      </c>
      <c r="C103" s="1048">
        <f>E103+G103</f>
        <v>8298.6153846153939</v>
      </c>
      <c r="D103" s="1049"/>
      <c r="E103" s="1047">
        <f>$D$54*$S$44</f>
        <v>3070.4876923076959</v>
      </c>
      <c r="F103" s="1050"/>
      <c r="G103" s="1048">
        <f>$D$54*$T$44</f>
        <v>5228.1276923076985</v>
      </c>
      <c r="H103" s="1047">
        <f>B103+E103</f>
        <v>13231.872307692305</v>
      </c>
    </row>
    <row r="104" spans="1:8" x14ac:dyDescent="0.25">
      <c r="B104" s="80"/>
      <c r="C104" s="80"/>
      <c r="D104" s="147"/>
      <c r="E104" s="80"/>
      <c r="F104" s="80"/>
      <c r="G104" s="80"/>
      <c r="H104" s="80"/>
    </row>
    <row r="105" spans="1:8" x14ac:dyDescent="0.25">
      <c r="B105" s="80"/>
      <c r="C105" s="80"/>
      <c r="D105" s="147"/>
      <c r="E105" s="80"/>
      <c r="F105" s="80"/>
      <c r="G105" s="80"/>
      <c r="H105" s="80"/>
    </row>
    <row r="106" spans="1:8" x14ac:dyDescent="0.25">
      <c r="B106" s="80"/>
      <c r="C106" s="80"/>
      <c r="D106" s="147"/>
      <c r="E106" s="80"/>
      <c r="F106" s="80"/>
      <c r="G106" s="80"/>
      <c r="H106" s="80"/>
    </row>
    <row r="107" spans="1:8" x14ac:dyDescent="0.25">
      <c r="A107" s="1124"/>
      <c r="B107" s="1776" t="str">
        <f>" داوود باشا 3 / " &amp; COUNTIF($C$53:$C$55, "&gt;0")</f>
        <v xml:space="preserve"> داوود باشا 3 / 2</v>
      </c>
      <c r="C107" s="1777"/>
      <c r="D107" s="1778"/>
      <c r="E107" s="1778"/>
      <c r="F107" s="1778"/>
      <c r="G107" s="1777"/>
      <c r="H107" s="1778"/>
    </row>
    <row r="108" spans="1:8" x14ac:dyDescent="0.25">
      <c r="A108" s="1124"/>
      <c r="B108" s="1776" t="str">
        <f>"Daoud Basha 3 / " &amp; COUNTIF($C$53:$C$277, "&gt;0")</f>
        <v>Daoud Basha 3 / 4</v>
      </c>
      <c r="C108" s="1777"/>
      <c r="D108" s="1778"/>
      <c r="E108" s="1778"/>
      <c r="F108" s="1778"/>
      <c r="G108" s="1777"/>
      <c r="H108" s="1778"/>
    </row>
    <row r="109" spans="1:8" ht="38.25" x14ac:dyDescent="0.2">
      <c r="A109" s="1350" t="s">
        <v>864</v>
      </c>
      <c r="B109" s="1104" t="s">
        <v>241</v>
      </c>
      <c r="C109" s="934" t="s">
        <v>242</v>
      </c>
      <c r="D109" s="1104" t="s">
        <v>231</v>
      </c>
      <c r="E109" s="936" t="s">
        <v>234</v>
      </c>
      <c r="F109" s="936" t="s">
        <v>243</v>
      </c>
      <c r="G109" s="1104" t="s">
        <v>244</v>
      </c>
      <c r="H109" s="936" t="s">
        <v>245</v>
      </c>
    </row>
    <row r="110" spans="1:8" ht="28.5" x14ac:dyDescent="0.2">
      <c r="A110" s="937" t="s">
        <v>891</v>
      </c>
      <c r="B110" s="960" t="str">
        <f t="shared" ref="B110:D124" si="25">B5</f>
        <v>Indian Meat Tammam Mafroom - مفروم هندى</v>
      </c>
      <c r="C110" s="959" t="str">
        <f t="shared" si="25"/>
        <v>gm</v>
      </c>
      <c r="D110" s="1493">
        <f t="shared" si="25"/>
        <v>2095.5172413793107</v>
      </c>
      <c r="E110" s="1494">
        <f>H55</f>
        <v>0</v>
      </c>
      <c r="F110" s="948">
        <f t="shared" ref="F110:F124" si="26">F5</f>
        <v>1</v>
      </c>
      <c r="G110" s="940">
        <f t="shared" ref="G110:G124" si="27">D110*E110</f>
        <v>0</v>
      </c>
      <c r="H110" s="943">
        <f t="shared" ref="H110:H124" si="28">G110*F110</f>
        <v>0</v>
      </c>
    </row>
    <row r="111" spans="1:8" x14ac:dyDescent="0.25">
      <c r="A111" s="1117" t="s">
        <v>866</v>
      </c>
      <c r="B111" s="960" t="str">
        <f t="shared" si="25"/>
        <v>Onion - بصل</v>
      </c>
      <c r="C111" s="959" t="str">
        <f t="shared" si="25"/>
        <v>gm</v>
      </c>
      <c r="D111" s="1073">
        <f t="shared" si="25"/>
        <v>200</v>
      </c>
      <c r="E111" s="1494">
        <f t="shared" ref="E111:E124" si="29">$C$55</f>
        <v>0</v>
      </c>
      <c r="F111" s="948">
        <f t="shared" si="26"/>
        <v>1</v>
      </c>
      <c r="G111" s="940">
        <f t="shared" si="27"/>
        <v>0</v>
      </c>
      <c r="H111" s="943">
        <f t="shared" si="28"/>
        <v>0</v>
      </c>
    </row>
    <row r="112" spans="1:8" x14ac:dyDescent="0.25">
      <c r="A112" s="1117" t="s">
        <v>868</v>
      </c>
      <c r="B112" s="960" t="str">
        <f t="shared" si="25"/>
        <v>Garlic - ثوم مقشر</v>
      </c>
      <c r="C112" s="959" t="str">
        <f t="shared" si="25"/>
        <v>gm</v>
      </c>
      <c r="D112" s="1073">
        <f t="shared" si="25"/>
        <v>25</v>
      </c>
      <c r="E112" s="1494">
        <f t="shared" si="29"/>
        <v>0</v>
      </c>
      <c r="F112" s="948">
        <f t="shared" si="26"/>
        <v>1</v>
      </c>
      <c r="G112" s="940">
        <f t="shared" si="27"/>
        <v>0</v>
      </c>
      <c r="H112" s="943">
        <f t="shared" si="28"/>
        <v>0</v>
      </c>
    </row>
    <row r="113" spans="1:8" x14ac:dyDescent="0.25">
      <c r="A113" s="1117" t="s">
        <v>870</v>
      </c>
      <c r="B113" s="960" t="str">
        <f t="shared" si="25"/>
        <v>Tomato - طماطم</v>
      </c>
      <c r="C113" s="959" t="str">
        <f t="shared" si="25"/>
        <v>gm</v>
      </c>
      <c r="D113" s="1073">
        <f t="shared" si="25"/>
        <v>200</v>
      </c>
      <c r="E113" s="1494">
        <f t="shared" si="29"/>
        <v>0</v>
      </c>
      <c r="F113" s="948">
        <f t="shared" si="26"/>
        <v>1</v>
      </c>
      <c r="G113" s="940">
        <f t="shared" si="27"/>
        <v>0</v>
      </c>
      <c r="H113" s="943">
        <f t="shared" si="28"/>
        <v>0</v>
      </c>
    </row>
    <row r="114" spans="1:8" x14ac:dyDescent="0.25">
      <c r="A114" s="1117"/>
      <c r="B114" s="960" t="str">
        <f t="shared" si="25"/>
        <v>Tomato Paste - صلصة طماطم</v>
      </c>
      <c r="C114" s="959" t="str">
        <f t="shared" si="25"/>
        <v>gm</v>
      </c>
      <c r="D114" s="1073">
        <f t="shared" si="25"/>
        <v>240</v>
      </c>
      <c r="E114" s="1494">
        <f t="shared" si="29"/>
        <v>0</v>
      </c>
      <c r="F114" s="948">
        <f t="shared" si="26"/>
        <v>1</v>
      </c>
      <c r="G114" s="940">
        <f t="shared" si="27"/>
        <v>0</v>
      </c>
      <c r="H114" s="943">
        <f t="shared" si="28"/>
        <v>0</v>
      </c>
    </row>
    <row r="115" spans="1:8" x14ac:dyDescent="0.25">
      <c r="A115" s="1117"/>
      <c r="B115" s="960" t="str">
        <f t="shared" si="25"/>
        <v>Maggi Cubes - مكعبات ماجي</v>
      </c>
      <c r="C115" s="959" t="str">
        <f t="shared" si="25"/>
        <v>gm</v>
      </c>
      <c r="D115" s="1073">
        <f t="shared" si="25"/>
        <v>6</v>
      </c>
      <c r="E115" s="1494">
        <f t="shared" si="29"/>
        <v>0</v>
      </c>
      <c r="F115" s="948">
        <f t="shared" si="26"/>
        <v>0.75</v>
      </c>
      <c r="G115" s="940">
        <f t="shared" si="27"/>
        <v>0</v>
      </c>
      <c r="H115" s="943">
        <f t="shared" si="28"/>
        <v>0</v>
      </c>
    </row>
    <row r="116" spans="1:8" x14ac:dyDescent="0.25">
      <c r="A116" s="1117"/>
      <c r="B116" s="960" t="str">
        <f t="shared" si="25"/>
        <v>Cumin Powder - كمون مطحون</v>
      </c>
      <c r="C116" s="959" t="str">
        <f t="shared" si="25"/>
        <v>gm</v>
      </c>
      <c r="D116" s="1073">
        <f t="shared" si="25"/>
        <v>10</v>
      </c>
      <c r="E116" s="1494">
        <f t="shared" si="29"/>
        <v>0</v>
      </c>
      <c r="F116" s="948">
        <f t="shared" si="26"/>
        <v>0.75</v>
      </c>
      <c r="G116" s="940">
        <f t="shared" si="27"/>
        <v>0</v>
      </c>
      <c r="H116" s="943">
        <f t="shared" si="28"/>
        <v>0</v>
      </c>
    </row>
    <row r="117" spans="1:8" ht="29.25" x14ac:dyDescent="0.25">
      <c r="A117" s="1117"/>
      <c r="B117" s="960" t="str">
        <f t="shared" si="25"/>
        <v>Coriander Powder - كزبرة مطحونة</v>
      </c>
      <c r="C117" s="959" t="str">
        <f t="shared" si="25"/>
        <v>gm</v>
      </c>
      <c r="D117" s="1073">
        <f t="shared" si="25"/>
        <v>10</v>
      </c>
      <c r="E117" s="1494">
        <f t="shared" si="29"/>
        <v>0</v>
      </c>
      <c r="F117" s="948">
        <f t="shared" si="26"/>
        <v>0.75</v>
      </c>
      <c r="G117" s="940">
        <f t="shared" si="27"/>
        <v>0</v>
      </c>
      <c r="H117" s="943">
        <f t="shared" si="28"/>
        <v>0</v>
      </c>
    </row>
    <row r="118" spans="1:8" x14ac:dyDescent="0.25">
      <c r="A118" s="1117"/>
      <c r="B118" s="960" t="str">
        <f t="shared" si="25"/>
        <v>Cooking Cream - كريمة طبخ</v>
      </c>
      <c r="C118" s="959" t="str">
        <f t="shared" si="25"/>
        <v>ml</v>
      </c>
      <c r="D118" s="1073">
        <f t="shared" si="25"/>
        <v>500</v>
      </c>
      <c r="E118" s="1494">
        <f t="shared" si="29"/>
        <v>0</v>
      </c>
      <c r="F118" s="948">
        <f t="shared" si="26"/>
        <v>1</v>
      </c>
      <c r="G118" s="940">
        <f t="shared" si="27"/>
        <v>0</v>
      </c>
      <c r="H118" s="943">
        <f t="shared" si="28"/>
        <v>0</v>
      </c>
    </row>
    <row r="119" spans="1:8" x14ac:dyDescent="0.25">
      <c r="A119" s="1117"/>
      <c r="B119" s="960" t="str">
        <f t="shared" si="25"/>
        <v>Butter - زبدة</v>
      </c>
      <c r="C119" s="959" t="str">
        <f t="shared" si="25"/>
        <v>gm</v>
      </c>
      <c r="D119" s="1073">
        <f t="shared" si="25"/>
        <v>25</v>
      </c>
      <c r="E119" s="1494">
        <f t="shared" si="29"/>
        <v>0</v>
      </c>
      <c r="F119" s="948">
        <f t="shared" si="26"/>
        <v>1</v>
      </c>
      <c r="G119" s="940">
        <f t="shared" si="27"/>
        <v>0</v>
      </c>
      <c r="H119" s="943">
        <f t="shared" si="28"/>
        <v>0</v>
      </c>
    </row>
    <row r="120" spans="1:8" x14ac:dyDescent="0.25">
      <c r="A120" s="1117"/>
      <c r="B120" s="960" t="str">
        <f t="shared" si="25"/>
        <v>Dried Mint Leaves - نعناع مجفف</v>
      </c>
      <c r="C120" s="959" t="str">
        <f t="shared" si="25"/>
        <v>gm</v>
      </c>
      <c r="D120" s="1073">
        <f t="shared" si="25"/>
        <v>1</v>
      </c>
      <c r="E120" s="1494">
        <f t="shared" si="29"/>
        <v>0</v>
      </c>
      <c r="F120" s="948">
        <f t="shared" si="26"/>
        <v>1</v>
      </c>
      <c r="G120" s="940">
        <f t="shared" si="27"/>
        <v>0</v>
      </c>
      <c r="H120" s="943">
        <f t="shared" si="28"/>
        <v>0</v>
      </c>
    </row>
    <row r="121" spans="1:8" x14ac:dyDescent="0.25">
      <c r="A121" s="1117"/>
      <c r="B121" s="960" t="str">
        <f t="shared" si="25"/>
        <v>Salt - ملح</v>
      </c>
      <c r="C121" s="959" t="str">
        <f t="shared" si="25"/>
        <v>gm</v>
      </c>
      <c r="D121" s="1073">
        <f t="shared" si="25"/>
        <v>6</v>
      </c>
      <c r="E121" s="1494">
        <f t="shared" si="29"/>
        <v>0</v>
      </c>
      <c r="F121" s="948">
        <f t="shared" si="26"/>
        <v>1</v>
      </c>
      <c r="G121" s="940">
        <f t="shared" si="27"/>
        <v>0</v>
      </c>
      <c r="H121" s="943">
        <f t="shared" si="28"/>
        <v>0</v>
      </c>
    </row>
    <row r="122" spans="1:8" ht="29.25" x14ac:dyDescent="0.25">
      <c r="A122" s="1117"/>
      <c r="B122" s="960" t="str">
        <f t="shared" si="25"/>
        <v>Mozzarella Cheese - جبنة موتزاريلا</v>
      </c>
      <c r="C122" s="959" t="str">
        <f t="shared" si="25"/>
        <v>gm</v>
      </c>
      <c r="D122" s="1073">
        <f t="shared" si="25"/>
        <v>100</v>
      </c>
      <c r="E122" s="1494">
        <f t="shared" si="29"/>
        <v>0</v>
      </c>
      <c r="F122" s="948">
        <f t="shared" si="26"/>
        <v>1</v>
      </c>
      <c r="G122" s="940">
        <f t="shared" si="27"/>
        <v>0</v>
      </c>
      <c r="H122" s="943">
        <f t="shared" si="28"/>
        <v>0</v>
      </c>
    </row>
    <row r="123" spans="1:8" ht="29.25" x14ac:dyDescent="0.25">
      <c r="A123" s="1117"/>
      <c r="B123" s="960" t="str">
        <f t="shared" si="25"/>
        <v>Black Pepper Powder - فلفل أسود مطحون</v>
      </c>
      <c r="C123" s="959" t="str">
        <f t="shared" si="25"/>
        <v>gm</v>
      </c>
      <c r="D123" s="1073">
        <f t="shared" si="25"/>
        <v>3</v>
      </c>
      <c r="E123" s="1494">
        <f t="shared" si="29"/>
        <v>0</v>
      </c>
      <c r="F123" s="948">
        <f t="shared" si="26"/>
        <v>0.9</v>
      </c>
      <c r="G123" s="940">
        <f t="shared" si="27"/>
        <v>0</v>
      </c>
      <c r="H123" s="943">
        <f t="shared" si="28"/>
        <v>0</v>
      </c>
    </row>
    <row r="124" spans="1:8" ht="29.25" x14ac:dyDescent="0.25">
      <c r="A124" s="1117"/>
      <c r="B124" s="960" t="str">
        <f t="shared" si="25"/>
        <v>Cinnamon Powder - قرفة مطحونة</v>
      </c>
      <c r="C124" s="959" t="str">
        <f t="shared" si="25"/>
        <v>gm</v>
      </c>
      <c r="D124" s="1073">
        <f t="shared" si="25"/>
        <v>5</v>
      </c>
      <c r="E124" s="1494">
        <f t="shared" si="29"/>
        <v>0</v>
      </c>
      <c r="F124" s="948">
        <f t="shared" si="26"/>
        <v>0.5</v>
      </c>
      <c r="G124" s="940">
        <f t="shared" si="27"/>
        <v>0</v>
      </c>
      <c r="H124" s="943">
        <f t="shared" si="28"/>
        <v>0</v>
      </c>
    </row>
    <row r="125" spans="1:8" ht="18" x14ac:dyDescent="0.25">
      <c r="A125" s="1070"/>
      <c r="B125" s="1041" t="s">
        <v>287</v>
      </c>
      <c r="C125" s="1042" t="s">
        <v>273</v>
      </c>
      <c r="D125" s="1043"/>
      <c r="E125" s="1044" t="s">
        <v>288</v>
      </c>
      <c r="F125" s="1043"/>
      <c r="G125" s="1045" t="s">
        <v>264</v>
      </c>
      <c r="H125" s="1046" t="s">
        <v>661</v>
      </c>
    </row>
    <row r="126" spans="1:8" ht="20.25" x14ac:dyDescent="0.3">
      <c r="A126" s="1070"/>
      <c r="B126" s="1047">
        <f>$J$55</f>
        <v>0</v>
      </c>
      <c r="C126" s="1048">
        <f>E126+G126</f>
        <v>0</v>
      </c>
      <c r="D126" s="1049"/>
      <c r="E126" s="1047">
        <f>$D$55*$S$44</f>
        <v>0</v>
      </c>
      <c r="F126" s="1050"/>
      <c r="G126" s="1048">
        <f>$D$55*$T$44</f>
        <v>0</v>
      </c>
      <c r="H126" s="1047">
        <f>B126+E126</f>
        <v>0</v>
      </c>
    </row>
  </sheetData>
  <mergeCells count="12">
    <mergeCell ref="AK2:AM2"/>
    <mergeCell ref="B108:H108"/>
    <mergeCell ref="B63:H63"/>
    <mergeCell ref="B107:H107"/>
    <mergeCell ref="B85:H85"/>
    <mergeCell ref="AE2:AG3"/>
    <mergeCell ref="B84:H84"/>
    <mergeCell ref="R26:U26"/>
    <mergeCell ref="R25:U25"/>
    <mergeCell ref="B62:H62"/>
    <mergeCell ref="B2:K3"/>
    <mergeCell ref="B35:F35"/>
  </mergeCells>
  <printOptions horizontalCentered="1"/>
  <pageMargins left="0.4" right="0.4" top="1" bottom="0.5" header="0.3" footer="0.511811023622047"/>
  <pageSetup paperSize="9" scale="67" orientation="landscape" r:id="rId1"/>
  <headerFooter>
    <oddHeader>&amp;C&amp;B&amp;16Daoud Basha</oddHeader>
  </headerFooter>
  <rowBreaks count="1" manualBreakCount="1">
    <brk id="83" max="15" man="1"/>
  </rowBreaks>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BF9000"/>
    <pageSetUpPr fitToPage="1"/>
  </sheetPr>
  <dimension ref="A1:AT90"/>
  <sheetViews>
    <sheetView topLeftCell="A66" zoomScale="70" zoomScaleNormal="70" workbookViewId="0">
      <selection activeCell="A39" sqref="A39"/>
    </sheetView>
  </sheetViews>
  <sheetFormatPr defaultColWidth="22.75" defaultRowHeight="15" x14ac:dyDescent="0.25"/>
  <cols>
    <col min="1" max="1" width="18.625" style="1" customWidth="1"/>
    <col min="2" max="2" width="25.875" customWidth="1"/>
    <col min="3" max="3" width="18.625" customWidth="1"/>
    <col min="4" max="6" width="25.875" customWidth="1"/>
    <col min="7" max="7" width="18.625" customWidth="1"/>
    <col min="8" max="8" width="25.875" customWidth="1"/>
    <col min="9" max="10" width="18.625" customWidth="1"/>
    <col min="11" max="11" width="25.875" customWidth="1"/>
    <col min="12" max="12" width="12.625" customWidth="1"/>
    <col min="13" max="14" width="4.875" customWidth="1"/>
    <col min="15" max="15" width="18.625" customWidth="1"/>
    <col min="16" max="16" width="12.625" customWidth="1"/>
    <col min="17" max="17" width="18.625" customWidth="1"/>
    <col min="18" max="18" width="25.875" customWidth="1"/>
    <col min="19" max="19" width="12.625" customWidth="1"/>
    <col min="20" max="20" width="25.875" customWidth="1"/>
    <col min="21" max="22" width="12.625" customWidth="1"/>
    <col min="23" max="23" width="25.875" customWidth="1"/>
    <col min="24" max="24" width="14.5" customWidth="1"/>
    <col min="25" max="25" width="8.625" customWidth="1"/>
    <col min="26" max="29" width="12.625" customWidth="1"/>
    <col min="30" max="30" width="18.625" customWidth="1"/>
    <col min="31" max="32" width="12.625" customWidth="1"/>
    <col min="33" max="34" width="8.375" customWidth="1"/>
    <col min="35" max="35" width="18.625" customWidth="1"/>
    <col min="36" max="40" width="25.875" customWidth="1"/>
    <col min="41" max="41" width="18.625" customWidth="1"/>
    <col min="42" max="42" width="25.875" customWidth="1"/>
    <col min="43" max="44" width="18.625" customWidth="1"/>
    <col min="45" max="45" width="25.875" customWidth="1"/>
    <col min="46" max="46" width="12.625" customWidth="1"/>
  </cols>
  <sheetData>
    <row r="1" spans="1:46" s="89" customFormat="1" ht="25.5" x14ac:dyDescent="0.25">
      <c r="A1" s="177"/>
      <c r="B1" s="913" t="s">
        <v>231</v>
      </c>
      <c r="C1" s="914">
        <v>1000</v>
      </c>
      <c r="D1" s="915" t="s">
        <v>232</v>
      </c>
      <c r="E1" s="941">
        <f>T32</f>
        <v>9632</v>
      </c>
      <c r="F1" s="913" t="s">
        <v>233</v>
      </c>
      <c r="G1" s="944">
        <f>E1/C1</f>
        <v>9.6319999999999997</v>
      </c>
      <c r="H1" s="913" t="s">
        <v>234</v>
      </c>
      <c r="I1" s="1040">
        <f>(G1/K1)</f>
        <v>9.6319999999999997</v>
      </c>
      <c r="J1" s="919" t="s">
        <v>235</v>
      </c>
      <c r="K1" s="914">
        <v>1</v>
      </c>
      <c r="L1" s="73"/>
      <c r="M1" s="70"/>
      <c r="N1" s="922"/>
      <c r="O1" s="923" t="s">
        <v>236</v>
      </c>
      <c r="P1" s="914" t="s">
        <v>298</v>
      </c>
      <c r="Q1" s="924" t="s">
        <v>238</v>
      </c>
      <c r="R1" s="914">
        <v>0.54</v>
      </c>
      <c r="T1" s="891"/>
      <c r="W1" s="891"/>
      <c r="Y1" s="923" t="s">
        <v>444</v>
      </c>
      <c r="Z1" s="925">
        <v>23580</v>
      </c>
      <c r="AA1" s="923" t="s">
        <v>544</v>
      </c>
      <c r="AB1" s="925">
        <v>500</v>
      </c>
      <c r="AC1" s="923" t="s">
        <v>537</v>
      </c>
      <c r="AD1" s="925">
        <v>169</v>
      </c>
      <c r="AE1" s="168"/>
      <c r="AF1" s="170"/>
      <c r="AG1" s="73"/>
      <c r="AI1" s="1"/>
      <c r="AJ1" s="926" t="s">
        <v>250</v>
      </c>
      <c r="AK1" s="926">
        <v>10000</v>
      </c>
      <c r="AL1" s="927" t="s">
        <v>494</v>
      </c>
      <c r="AM1" s="928">
        <f>$S$32</f>
        <v>24080</v>
      </c>
      <c r="AN1" s="926" t="s">
        <v>239</v>
      </c>
      <c r="AO1" s="929">
        <f>(($S$32)/$R$1)/$AK$1</f>
        <v>4.4592592592592588</v>
      </c>
      <c r="AP1" s="76"/>
      <c r="AS1" s="891"/>
    </row>
    <row r="2" spans="1:46" ht="15.75" x14ac:dyDescent="0.25">
      <c r="A2" s="860"/>
      <c r="B2" s="1784" t="s">
        <v>795</v>
      </c>
      <c r="C2" s="1787"/>
      <c r="D2" s="1788"/>
      <c r="E2" s="1788"/>
      <c r="F2" s="1788"/>
      <c r="G2" s="1787"/>
      <c r="H2" s="1788"/>
      <c r="I2" s="921"/>
      <c r="J2" s="921"/>
      <c r="K2" s="921"/>
      <c r="L2" s="78"/>
      <c r="M2" s="80"/>
      <c r="N2" s="80"/>
      <c r="O2" s="80"/>
      <c r="P2" s="80"/>
      <c r="R2" s="830"/>
      <c r="T2" s="830"/>
      <c r="W2" s="830"/>
      <c r="AA2" s="79"/>
      <c r="AB2" s="79"/>
      <c r="AC2" s="1795"/>
      <c r="AD2" s="1796"/>
      <c r="AE2" s="1796"/>
      <c r="AI2" s="1"/>
      <c r="AJ2" s="930"/>
      <c r="AK2" s="1783" t="s">
        <v>795</v>
      </c>
      <c r="AL2" s="1783"/>
      <c r="AM2" s="1783"/>
      <c r="AN2" s="931"/>
      <c r="AO2" s="930"/>
      <c r="AP2" s="81"/>
      <c r="AS2" s="830"/>
    </row>
    <row r="3" spans="1:46" ht="15.75" x14ac:dyDescent="0.25">
      <c r="A3" s="860"/>
      <c r="B3" s="78"/>
      <c r="C3" s="78"/>
      <c r="D3" s="78"/>
      <c r="E3" s="78"/>
      <c r="F3" s="78"/>
      <c r="G3" s="78"/>
      <c r="H3" s="78"/>
      <c r="I3" s="78"/>
      <c r="J3" s="78"/>
      <c r="K3" s="78"/>
      <c r="L3" s="78"/>
      <c r="M3" s="80"/>
      <c r="N3" s="80"/>
      <c r="O3" s="80"/>
      <c r="P3" s="80"/>
      <c r="R3" s="830"/>
      <c r="T3" s="830"/>
      <c r="W3" s="830"/>
      <c r="AA3" s="79"/>
      <c r="AB3" s="79"/>
      <c r="AC3" s="1796"/>
      <c r="AD3" s="1796"/>
      <c r="AE3" s="1796"/>
      <c r="AI3" s="1"/>
      <c r="AJ3" s="81"/>
      <c r="AK3" s="81"/>
      <c r="AL3" s="82"/>
      <c r="AM3" s="82"/>
      <c r="AN3" s="82"/>
      <c r="AO3" s="81"/>
      <c r="AP3" s="81"/>
      <c r="AS3" s="830"/>
    </row>
    <row r="4" spans="1:46" ht="38.25" x14ac:dyDescent="0.25">
      <c r="A4" s="1350" t="s">
        <v>864</v>
      </c>
      <c r="B4" s="923" t="s">
        <v>241</v>
      </c>
      <c r="C4" s="934" t="s">
        <v>242</v>
      </c>
      <c r="D4" s="923" t="s">
        <v>231</v>
      </c>
      <c r="E4" s="935" t="s">
        <v>234</v>
      </c>
      <c r="F4" s="935" t="s">
        <v>243</v>
      </c>
      <c r="G4" s="923" t="s">
        <v>244</v>
      </c>
      <c r="H4" s="936" t="s">
        <v>334</v>
      </c>
      <c r="I4" s="923" t="s">
        <v>246</v>
      </c>
      <c r="J4" s="923" t="s">
        <v>247</v>
      </c>
      <c r="K4" s="923" t="s">
        <v>248</v>
      </c>
      <c r="L4" s="923" t="s">
        <v>249</v>
      </c>
      <c r="M4" s="80"/>
      <c r="N4" s="80"/>
      <c r="O4" s="80"/>
      <c r="P4" s="80"/>
      <c r="R4" s="830"/>
      <c r="T4" s="830"/>
      <c r="W4" s="830"/>
      <c r="AA4" s="169"/>
      <c r="AB4" s="171"/>
      <c r="AC4" s="169"/>
      <c r="AD4" s="169"/>
      <c r="AE4" s="169"/>
      <c r="AI4" s="1117"/>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937" t="s">
        <v>875</v>
      </c>
      <c r="B5" s="1115" t="s">
        <v>225</v>
      </c>
      <c r="C5" s="939" t="s">
        <v>14</v>
      </c>
      <c r="D5" s="944">
        <f>I51/10</f>
        <v>4629.6296296296296</v>
      </c>
      <c r="E5" s="941">
        <f>H52</f>
        <v>9.6319999999999997</v>
      </c>
      <c r="F5" s="948">
        <v>1</v>
      </c>
      <c r="G5" s="940">
        <f t="shared" ref="G5:G13" si="0">D5*E5</f>
        <v>44592.592592592591</v>
      </c>
      <c r="H5" s="943">
        <f t="shared" ref="H5:H13" si="1">G5*F5</f>
        <v>44592.592592592591</v>
      </c>
      <c r="I5" s="914">
        <f>VLOOKUP(B5,All_Ingredients!$A$1:$F$161,6,FALSE())</f>
        <v>0.47</v>
      </c>
      <c r="J5" s="940">
        <f>VLOOKUP(B5,All_Ingredients!$A$1:$J$161,10,FALSE())</f>
        <v>12</v>
      </c>
      <c r="K5" s="945">
        <f t="shared" ref="K5" si="2">(H5/I5)/1000</f>
        <v>94.877856579984254</v>
      </c>
      <c r="L5" s="945">
        <f t="shared" ref="L5" si="3">K5*J5</f>
        <v>1138.534278959811</v>
      </c>
      <c r="M5" s="80"/>
      <c r="N5" s="80"/>
      <c r="O5" s="80"/>
      <c r="P5" s="80"/>
      <c r="R5" s="830"/>
      <c r="T5" s="830"/>
      <c r="W5" s="830"/>
      <c r="AA5" s="73"/>
      <c r="AB5" s="89"/>
      <c r="AC5" s="172"/>
      <c r="AD5" s="90"/>
      <c r="AE5" s="91"/>
      <c r="AI5" s="1117"/>
      <c r="AJ5" s="1118" t="s">
        <v>225</v>
      </c>
      <c r="AK5" s="951" t="s">
        <v>227</v>
      </c>
      <c r="AL5" s="951">
        <v>10</v>
      </c>
      <c r="AM5" s="918">
        <f>$AO$1</f>
        <v>4.4592592592592588</v>
      </c>
      <c r="AN5" s="948">
        <v>1</v>
      </c>
      <c r="AO5" s="940">
        <f>AL5*AM5</f>
        <v>44.592592592592588</v>
      </c>
      <c r="AP5" s="943">
        <f>AN5*AO5</f>
        <v>44.592592592592588</v>
      </c>
      <c r="AQ5" s="952"/>
      <c r="AR5" s="953"/>
      <c r="AS5" s="954"/>
      <c r="AT5" s="955"/>
    </row>
    <row r="6" spans="1:46" x14ac:dyDescent="0.25">
      <c r="A6" s="1117"/>
      <c r="B6" s="1115" t="s">
        <v>159</v>
      </c>
      <c r="C6" s="947" t="s">
        <v>160</v>
      </c>
      <c r="D6" s="914">
        <v>550</v>
      </c>
      <c r="E6" s="944">
        <f t="shared" ref="E6:E13" si="4">$I$1</f>
        <v>9.6319999999999997</v>
      </c>
      <c r="F6" s="948">
        <v>1</v>
      </c>
      <c r="G6" s="940">
        <f t="shared" si="0"/>
        <v>5297.5999999999995</v>
      </c>
      <c r="H6" s="943">
        <f t="shared" si="1"/>
        <v>5297.5999999999995</v>
      </c>
      <c r="I6" s="914">
        <f>VLOOKUP(B6,All_Ingredients!$A$1:$F$161,6,FALSE())</f>
        <v>1</v>
      </c>
      <c r="J6" s="940">
        <f>VLOOKUP(B6,All_Ingredients!$A$1:$J$161,10,FALSE())</f>
        <v>4.2033333333333331</v>
      </c>
      <c r="K6" s="945">
        <f t="shared" ref="K6:K13" si="5">(H6/I6)/1000</f>
        <v>5.2975999999999992</v>
      </c>
      <c r="L6" s="945">
        <f t="shared" ref="L6:L13" si="6">K6*J6</f>
        <v>22.267578666666662</v>
      </c>
      <c r="R6" s="830"/>
      <c r="T6" s="830"/>
      <c r="W6" s="830"/>
      <c r="AI6" s="1117" t="s">
        <v>55</v>
      </c>
      <c r="AJ6" s="1118" t="s">
        <v>54</v>
      </c>
      <c r="AK6" s="951" t="s">
        <v>14</v>
      </c>
      <c r="AL6" s="951">
        <v>200</v>
      </c>
      <c r="AM6" s="918">
        <f t="shared" ref="AM6:AM13" si="7">$AO$1</f>
        <v>4.4592592592592588</v>
      </c>
      <c r="AN6" s="948">
        <v>1</v>
      </c>
      <c r="AO6" s="940">
        <f t="shared" ref="AO6:AO13" si="8">AL6*AM6</f>
        <v>891.85185185185173</v>
      </c>
      <c r="AP6" s="943">
        <f t="shared" ref="AP6:AP13" si="9">AN6*AO6</f>
        <v>891.85185185185173</v>
      </c>
      <c r="AQ6" s="955">
        <f>VLOOKUP(AJ6,Marination_Ordering!$A:$J,6,FALSE)</f>
        <v>0.87</v>
      </c>
      <c r="AR6" s="955">
        <f>VLOOKUP(AJ6,Marination_Ordering!$A:$J,10,FALSE)</f>
        <v>7</v>
      </c>
      <c r="AS6" s="954">
        <f>AP6/AQ6</f>
        <v>1025.1170710940823</v>
      </c>
      <c r="AT6" s="955">
        <f>AR6*(AS6/1000)</f>
        <v>7.1758194976585772</v>
      </c>
    </row>
    <row r="7" spans="1:46" x14ac:dyDescent="0.25">
      <c r="A7" s="1117"/>
      <c r="B7" s="1115" t="s">
        <v>166</v>
      </c>
      <c r="C7" s="947" t="s">
        <v>160</v>
      </c>
      <c r="D7" s="914">
        <v>550</v>
      </c>
      <c r="E7" s="944">
        <f t="shared" si="4"/>
        <v>9.6319999999999997</v>
      </c>
      <c r="F7" s="948">
        <v>1</v>
      </c>
      <c r="G7" s="940">
        <f t="shared" si="0"/>
        <v>5297.5999999999995</v>
      </c>
      <c r="H7" s="943">
        <f t="shared" si="1"/>
        <v>5297.5999999999995</v>
      </c>
      <c r="I7" s="914">
        <f>VLOOKUP(B7,All_Ingredients!$A$1:$F$161,6,FALSE())</f>
        <v>1</v>
      </c>
      <c r="J7" s="940">
        <f>VLOOKUP(B7,All_Ingredients!$A$1:$J$161,10,FALSE())</f>
        <v>12.666666666666666</v>
      </c>
      <c r="K7" s="945">
        <f t="shared" si="5"/>
        <v>5.2975999999999992</v>
      </c>
      <c r="L7" s="945">
        <f t="shared" si="6"/>
        <v>67.102933333333326</v>
      </c>
      <c r="R7" s="830"/>
      <c r="T7" s="830"/>
      <c r="W7" s="830"/>
      <c r="AI7" s="1117" t="s">
        <v>13</v>
      </c>
      <c r="AJ7" s="1115" t="s">
        <v>706</v>
      </c>
      <c r="AK7" s="951" t="s">
        <v>14</v>
      </c>
      <c r="AL7" s="951">
        <v>150</v>
      </c>
      <c r="AM7" s="918">
        <f t="shared" si="7"/>
        <v>4.4592592592592588</v>
      </c>
      <c r="AN7" s="948">
        <v>1</v>
      </c>
      <c r="AO7" s="940">
        <f t="shared" si="8"/>
        <v>668.8888888888888</v>
      </c>
      <c r="AP7" s="943">
        <f t="shared" si="9"/>
        <v>668.8888888888888</v>
      </c>
      <c r="AQ7" s="955">
        <f>VLOOKUP(AJ7,Marination_Ordering!$A:$J,6,FALSE)</f>
        <v>1</v>
      </c>
      <c r="AR7" s="955">
        <f>VLOOKUP(AJ7,Marination_Ordering!$A:$J,10,FALSE)</f>
        <v>10.5</v>
      </c>
      <c r="AS7" s="954">
        <f t="shared" ref="AS7:AS13" si="10">AP7/AQ7</f>
        <v>668.8888888888888</v>
      </c>
      <c r="AT7" s="955">
        <f t="shared" ref="AT7:AT13" si="11">AR7*(AS7/1000)</f>
        <v>7.0233333333333317</v>
      </c>
    </row>
    <row r="8" spans="1:46" x14ac:dyDescent="0.25">
      <c r="A8" s="1117"/>
      <c r="B8" s="1115" t="s">
        <v>152</v>
      </c>
      <c r="C8" s="947" t="s">
        <v>14</v>
      </c>
      <c r="D8" s="914">
        <v>20</v>
      </c>
      <c r="E8" s="944">
        <f t="shared" si="4"/>
        <v>9.6319999999999997</v>
      </c>
      <c r="F8" s="948">
        <v>1</v>
      </c>
      <c r="G8" s="940">
        <f t="shared" si="0"/>
        <v>192.64</v>
      </c>
      <c r="H8" s="943">
        <f t="shared" si="1"/>
        <v>192.64</v>
      </c>
      <c r="I8" s="914">
        <f>VLOOKUP(B8,All_Ingredients!$A$1:$F$161,6,FALSE())</f>
        <v>1</v>
      </c>
      <c r="J8" s="940">
        <f>VLOOKUP(B8,All_Ingredients!$A$1:$J$161,10,FALSE())</f>
        <v>30</v>
      </c>
      <c r="K8" s="945">
        <f t="shared" si="5"/>
        <v>0.19263999999999998</v>
      </c>
      <c r="L8" s="945">
        <f t="shared" si="6"/>
        <v>5.7791999999999994</v>
      </c>
      <c r="R8" s="830"/>
      <c r="T8" s="830"/>
      <c r="W8" s="830"/>
      <c r="AI8" s="1117" t="s">
        <v>204</v>
      </c>
      <c r="AJ8" s="1118" t="s">
        <v>212</v>
      </c>
      <c r="AK8" s="951" t="s">
        <v>160</v>
      </c>
      <c r="AL8" s="951">
        <v>450</v>
      </c>
      <c r="AM8" s="918">
        <f t="shared" si="7"/>
        <v>4.4592592592592588</v>
      </c>
      <c r="AN8" s="948">
        <v>1</v>
      </c>
      <c r="AO8" s="940">
        <f t="shared" si="8"/>
        <v>2006.6666666666665</v>
      </c>
      <c r="AP8" s="943">
        <f t="shared" si="9"/>
        <v>2006.6666666666665</v>
      </c>
      <c r="AQ8" s="955">
        <f>VLOOKUP(AJ8,Marination_Ordering!$A:$J,6,FALSE)</f>
        <v>1</v>
      </c>
      <c r="AR8" s="955">
        <f>VLOOKUP(AJ8,Marination_Ordering!$A:$J,10,FALSE)</f>
        <v>5</v>
      </c>
      <c r="AS8" s="954">
        <f t="shared" si="10"/>
        <v>2006.6666666666665</v>
      </c>
      <c r="AT8" s="955">
        <f t="shared" si="11"/>
        <v>10.033333333333331</v>
      </c>
    </row>
    <row r="9" spans="1:46" x14ac:dyDescent="0.25">
      <c r="A9" s="1117"/>
      <c r="B9" s="1115" t="s">
        <v>185</v>
      </c>
      <c r="C9" s="947" t="s">
        <v>14</v>
      </c>
      <c r="D9" s="914">
        <v>20</v>
      </c>
      <c r="E9" s="944">
        <f t="shared" si="4"/>
        <v>9.6319999999999997</v>
      </c>
      <c r="F9" s="948">
        <v>1</v>
      </c>
      <c r="G9" s="940">
        <f t="shared" si="0"/>
        <v>192.64</v>
      </c>
      <c r="H9" s="943">
        <f t="shared" si="1"/>
        <v>192.64</v>
      </c>
      <c r="I9" s="914">
        <f>VLOOKUP(B9,All_Ingredients!$A$1:$F$161,6,FALSE())</f>
        <v>1</v>
      </c>
      <c r="J9" s="940">
        <f>VLOOKUP(B9,All_Ingredients!$A$1:$J$161,10,FALSE())</f>
        <v>1.7</v>
      </c>
      <c r="K9" s="945">
        <f t="shared" si="5"/>
        <v>0.19263999999999998</v>
      </c>
      <c r="L9" s="945">
        <f t="shared" si="6"/>
        <v>0.32748799999999995</v>
      </c>
      <c r="R9" s="830"/>
      <c r="T9" s="830"/>
      <c r="W9" s="830"/>
      <c r="AI9" s="1117" t="s">
        <v>204</v>
      </c>
      <c r="AJ9" s="1118" t="s">
        <v>208</v>
      </c>
      <c r="AK9" s="951" t="s">
        <v>160</v>
      </c>
      <c r="AL9" s="951">
        <v>100</v>
      </c>
      <c r="AM9" s="918">
        <f t="shared" si="7"/>
        <v>4.4592592592592588</v>
      </c>
      <c r="AN9" s="948">
        <v>1</v>
      </c>
      <c r="AO9" s="940">
        <f t="shared" si="8"/>
        <v>445.92592592592587</v>
      </c>
      <c r="AP9" s="943">
        <f t="shared" si="9"/>
        <v>445.92592592592587</v>
      </c>
      <c r="AQ9" s="955">
        <f>VLOOKUP(AJ9,Marination_Ordering!$A:$J,6,FALSE)</f>
        <v>1</v>
      </c>
      <c r="AR9" s="955">
        <f>VLOOKUP(AJ9,Marination_Ordering!$A:$J,10,FALSE)</f>
        <v>2.1621621621621623</v>
      </c>
      <c r="AS9" s="954">
        <f t="shared" si="10"/>
        <v>445.92592592592587</v>
      </c>
      <c r="AT9" s="955">
        <f t="shared" si="11"/>
        <v>0.96416416416416417</v>
      </c>
    </row>
    <row r="10" spans="1:46" x14ac:dyDescent="0.25">
      <c r="A10" s="1117"/>
      <c r="B10" s="1115" t="s">
        <v>139</v>
      </c>
      <c r="C10" s="947" t="s">
        <v>14</v>
      </c>
      <c r="D10" s="914">
        <v>10</v>
      </c>
      <c r="E10" s="944">
        <f t="shared" si="4"/>
        <v>9.6319999999999997</v>
      </c>
      <c r="F10" s="948">
        <v>0.75</v>
      </c>
      <c r="G10" s="940">
        <f t="shared" si="0"/>
        <v>96.32</v>
      </c>
      <c r="H10" s="943">
        <f t="shared" si="1"/>
        <v>72.239999999999995</v>
      </c>
      <c r="I10" s="914">
        <f>VLOOKUP(B10,All_Ingredients!$A$1:$F$161,6,FALSE())</f>
        <v>1</v>
      </c>
      <c r="J10" s="940">
        <f>VLOOKUP(B10,All_Ingredients!$A$1:$J$161,10,FALSE())</f>
        <v>15.277777777777779</v>
      </c>
      <c r="K10" s="945">
        <f t="shared" si="5"/>
        <v>7.2239999999999999E-2</v>
      </c>
      <c r="L10" s="945">
        <f t="shared" si="6"/>
        <v>1.1036666666666668</v>
      </c>
      <c r="R10" s="830"/>
      <c r="T10" s="830"/>
      <c r="W10" s="830"/>
      <c r="AI10" s="1117" t="s">
        <v>94</v>
      </c>
      <c r="AJ10" s="1118" t="s">
        <v>93</v>
      </c>
      <c r="AK10" s="951" t="s">
        <v>14</v>
      </c>
      <c r="AL10" s="951">
        <v>2</v>
      </c>
      <c r="AM10" s="918">
        <f t="shared" si="7"/>
        <v>4.4592592592592588</v>
      </c>
      <c r="AN10" s="948">
        <v>1</v>
      </c>
      <c r="AO10" s="940">
        <f t="shared" si="8"/>
        <v>8.9185185185185176</v>
      </c>
      <c r="AP10" s="943">
        <f t="shared" si="9"/>
        <v>8.9185185185185176</v>
      </c>
      <c r="AQ10" s="955">
        <f>VLOOKUP(AJ10,Marination_Ordering!$A:$J,6,FALSE)</f>
        <v>1</v>
      </c>
      <c r="AR10" s="955">
        <f>VLOOKUP(AJ10,Marination_Ordering!$A:$J,10,FALSE)</f>
        <v>0.74</v>
      </c>
      <c r="AS10" s="954">
        <f t="shared" si="10"/>
        <v>8.9185185185185176</v>
      </c>
      <c r="AT10" s="955">
        <f t="shared" si="11"/>
        <v>6.5997037037037031E-3</v>
      </c>
    </row>
    <row r="11" spans="1:46" ht="25.5" x14ac:dyDescent="0.25">
      <c r="A11" s="1117"/>
      <c r="B11" s="1115" t="s">
        <v>101</v>
      </c>
      <c r="C11" s="947" t="s">
        <v>14</v>
      </c>
      <c r="D11" s="914">
        <v>3</v>
      </c>
      <c r="E11" s="944">
        <f t="shared" si="4"/>
        <v>9.6319999999999997</v>
      </c>
      <c r="F11" s="948">
        <v>0.75</v>
      </c>
      <c r="G11" s="940">
        <f t="shared" si="0"/>
        <v>28.896000000000001</v>
      </c>
      <c r="H11" s="943">
        <f t="shared" si="1"/>
        <v>21.672000000000001</v>
      </c>
      <c r="I11" s="914">
        <f>VLOOKUP(B11,All_Ingredients!$A$1:$F$161,6,FALSE())</f>
        <v>1</v>
      </c>
      <c r="J11" s="940">
        <f>VLOOKUP(B11,All_Ingredients!$A$1:$J$161,10,FALSE())</f>
        <v>47</v>
      </c>
      <c r="K11" s="945">
        <f t="shared" si="5"/>
        <v>2.1672E-2</v>
      </c>
      <c r="L11" s="945">
        <f t="shared" si="6"/>
        <v>1.0185839999999999</v>
      </c>
      <c r="P11">
        <v>72766.233766233767</v>
      </c>
      <c r="R11" s="830"/>
      <c r="T11" s="830"/>
      <c r="W11" s="830"/>
      <c r="AI11" s="1117" t="s">
        <v>94</v>
      </c>
      <c r="AJ11" s="1118" t="s">
        <v>99</v>
      </c>
      <c r="AK11" s="951" t="s">
        <v>14</v>
      </c>
      <c r="AL11" s="951">
        <v>4</v>
      </c>
      <c r="AM11" s="918">
        <f t="shared" si="7"/>
        <v>4.4592592592592588</v>
      </c>
      <c r="AN11" s="948">
        <v>1</v>
      </c>
      <c r="AO11" s="940">
        <f t="shared" si="8"/>
        <v>17.837037037037035</v>
      </c>
      <c r="AP11" s="943">
        <f t="shared" si="9"/>
        <v>17.837037037037035</v>
      </c>
      <c r="AQ11" s="955">
        <f>VLOOKUP(AJ11,Marination_Ordering!$A:$J,6,FALSE)</f>
        <v>1</v>
      </c>
      <c r="AR11" s="955">
        <f>VLOOKUP(AJ11,Marination_Ordering!$A:$J,10,FALSE)</f>
        <v>31</v>
      </c>
      <c r="AS11" s="954">
        <f t="shared" si="10"/>
        <v>17.837037037037035</v>
      </c>
      <c r="AT11" s="955">
        <f t="shared" si="11"/>
        <v>0.55294814814814819</v>
      </c>
    </row>
    <row r="12" spans="1:46" x14ac:dyDescent="0.25">
      <c r="A12" s="1117"/>
      <c r="B12" s="1115" t="s">
        <v>93</v>
      </c>
      <c r="C12" s="947" t="s">
        <v>14</v>
      </c>
      <c r="D12" s="914">
        <v>4</v>
      </c>
      <c r="E12" s="944">
        <f t="shared" si="4"/>
        <v>9.6319999999999997</v>
      </c>
      <c r="F12" s="948">
        <v>0.75</v>
      </c>
      <c r="G12" s="940">
        <f t="shared" si="0"/>
        <v>38.527999999999999</v>
      </c>
      <c r="H12" s="943">
        <f t="shared" si="1"/>
        <v>28.896000000000001</v>
      </c>
      <c r="I12" s="914">
        <f>VLOOKUP(B12,All_Ingredients!$A$1:$F$161,6,FALSE())</f>
        <v>1</v>
      </c>
      <c r="J12" s="940">
        <f>VLOOKUP(B12,All_Ingredients!$A$1:$J$161,10,FALSE())</f>
        <v>0.74</v>
      </c>
      <c r="K12" s="945">
        <f t="shared" si="5"/>
        <v>2.8896000000000002E-2</v>
      </c>
      <c r="L12" s="945">
        <f t="shared" si="6"/>
        <v>2.1383040000000002E-2</v>
      </c>
      <c r="P12" s="144">
        <f>H5-P11</f>
        <v>-28173.641173641176</v>
      </c>
      <c r="R12" s="830"/>
      <c r="T12" s="830"/>
      <c r="W12" s="830"/>
      <c r="AI12" s="1117" t="s">
        <v>94</v>
      </c>
      <c r="AJ12" s="1118" t="s">
        <v>105</v>
      </c>
      <c r="AK12" s="951" t="s">
        <v>14</v>
      </c>
      <c r="AL12" s="951">
        <v>35</v>
      </c>
      <c r="AM12" s="918">
        <f t="shared" si="7"/>
        <v>4.4592592592592588</v>
      </c>
      <c r="AN12" s="948">
        <v>1</v>
      </c>
      <c r="AO12" s="940">
        <f t="shared" si="8"/>
        <v>156.07407407407405</v>
      </c>
      <c r="AP12" s="943">
        <f t="shared" si="9"/>
        <v>156.07407407407405</v>
      </c>
      <c r="AQ12" s="955">
        <f>VLOOKUP(AJ12,Marination_Ordering!$A:$J,6,FALSE)</f>
        <v>1</v>
      </c>
      <c r="AR12" s="955">
        <f>VLOOKUP(AJ12,Marination_Ordering!$A:$J,10,FALSE)</f>
        <v>15</v>
      </c>
      <c r="AS12" s="954">
        <f t="shared" si="10"/>
        <v>156.07407407407405</v>
      </c>
      <c r="AT12" s="955">
        <f t="shared" si="11"/>
        <v>2.3411111111111107</v>
      </c>
    </row>
    <row r="13" spans="1:46" x14ac:dyDescent="0.25">
      <c r="A13" s="1117" t="s">
        <v>881</v>
      </c>
      <c r="B13" s="1352" t="s">
        <v>12</v>
      </c>
      <c r="C13" s="947" t="s">
        <v>14</v>
      </c>
      <c r="D13" s="914">
        <v>80</v>
      </c>
      <c r="E13" s="944">
        <f t="shared" si="4"/>
        <v>9.6319999999999997</v>
      </c>
      <c r="F13" s="948">
        <v>0.95</v>
      </c>
      <c r="G13" s="940">
        <f t="shared" si="0"/>
        <v>770.56</v>
      </c>
      <c r="H13" s="943">
        <f t="shared" si="1"/>
        <v>732.03199999999993</v>
      </c>
      <c r="I13" s="914">
        <f>VLOOKUP(B13,All_Ingredients!$A$1:$F$161,6,FALSE())</f>
        <v>0.9</v>
      </c>
      <c r="J13" s="940">
        <f>VLOOKUP(B13,All_Ingredients!$A$1:$J$161,10,FALSE())</f>
        <v>3</v>
      </c>
      <c r="K13" s="945">
        <f t="shared" si="5"/>
        <v>0.81336888888888881</v>
      </c>
      <c r="L13" s="945">
        <f t="shared" si="6"/>
        <v>2.4401066666666664</v>
      </c>
      <c r="P13" s="144">
        <f>P12/I5</f>
        <v>-59943.91739072591</v>
      </c>
      <c r="R13" s="830"/>
      <c r="T13" s="830"/>
      <c r="W13" s="830"/>
      <c r="AI13" s="1117" t="s">
        <v>190</v>
      </c>
      <c r="AJ13" s="1118" t="s">
        <v>202</v>
      </c>
      <c r="AK13" s="951" t="s">
        <v>14</v>
      </c>
      <c r="AL13" s="951">
        <v>250</v>
      </c>
      <c r="AM13" s="918">
        <f t="shared" si="7"/>
        <v>4.4592592592592588</v>
      </c>
      <c r="AN13" s="948">
        <v>1</v>
      </c>
      <c r="AO13" s="940">
        <f t="shared" si="8"/>
        <v>1114.8148148148148</v>
      </c>
      <c r="AP13" s="943">
        <f t="shared" si="9"/>
        <v>1114.8148148148148</v>
      </c>
      <c r="AQ13" s="955">
        <f>VLOOKUP(AJ13,Marination_Ordering!$A:$J,6,FALSE)</f>
        <v>1</v>
      </c>
      <c r="AR13" s="955">
        <f>VLOOKUP(AJ13,Marination_Ordering!$A:$J,10,FALSE)</f>
        <v>11.243386243386244</v>
      </c>
      <c r="AS13" s="954">
        <f t="shared" si="10"/>
        <v>1114.8148148148148</v>
      </c>
      <c r="AT13" s="955">
        <f t="shared" si="11"/>
        <v>12.53429355281207</v>
      </c>
    </row>
    <row r="19" spans="18:32" ht="26.25" x14ac:dyDescent="0.25">
      <c r="R19" s="211" t="s">
        <v>308</v>
      </c>
      <c r="T19" s="830"/>
      <c r="W19" s="830"/>
    </row>
    <row r="20" spans="18:32" x14ac:dyDescent="0.25">
      <c r="R20" s="830"/>
      <c r="T20" s="830"/>
      <c r="W20" s="830"/>
    </row>
    <row r="21" spans="18:32" x14ac:dyDescent="0.25">
      <c r="R21" s="830"/>
      <c r="T21" s="830"/>
      <c r="W21" s="830"/>
    </row>
    <row r="22" spans="18:32" x14ac:dyDescent="0.25">
      <c r="R22" s="830"/>
      <c r="T22" s="830"/>
      <c r="W22" s="830"/>
    </row>
    <row r="23" spans="18:32" x14ac:dyDescent="0.25">
      <c r="R23" s="830"/>
      <c r="T23" s="830"/>
      <c r="W23" s="830"/>
    </row>
    <row r="24" spans="18:32" x14ac:dyDescent="0.25">
      <c r="R24" s="830"/>
      <c r="T24" s="830"/>
      <c r="W24" s="830"/>
      <c r="Z24" s="630"/>
    </row>
    <row r="25" spans="18:32" x14ac:dyDescent="0.25">
      <c r="R25" s="1779" t="s">
        <v>795</v>
      </c>
      <c r="S25" s="1787"/>
      <c r="T25" s="1788"/>
      <c r="U25" s="1787"/>
      <c r="V25" s="956"/>
      <c r="W25" s="960"/>
      <c r="Z25" s="982" t="s">
        <v>252</v>
      </c>
      <c r="AA25" s="989">
        <v>1</v>
      </c>
      <c r="AB25" s="982" t="s">
        <v>249</v>
      </c>
      <c r="AC25" s="985">
        <f>(AA25*(4/3))*AF30+(AA30*(AB28/R1))</f>
        <v>5.272682408282961E-2</v>
      </c>
      <c r="AD25" s="14"/>
    </row>
    <row r="26" spans="18:32" x14ac:dyDescent="0.25">
      <c r="R26" s="1786" t="s">
        <v>296</v>
      </c>
      <c r="S26" s="1787"/>
      <c r="T26" s="1788"/>
      <c r="U26" s="1787"/>
      <c r="V26" s="956"/>
      <c r="W26" s="960"/>
      <c r="Z26" s="14"/>
      <c r="AA26" s="14"/>
      <c r="AB26" s="14"/>
      <c r="AC26" s="14"/>
      <c r="AD26" s="14"/>
    </row>
    <row r="27" spans="18:32" x14ac:dyDescent="0.25">
      <c r="R27" s="961" t="s">
        <v>254</v>
      </c>
      <c r="S27" s="962" t="s">
        <v>460</v>
      </c>
      <c r="T27" s="961" t="s">
        <v>256</v>
      </c>
      <c r="U27" s="962" t="s">
        <v>257</v>
      </c>
      <c r="V27" s="962" t="s">
        <v>746</v>
      </c>
      <c r="W27" s="961" t="s">
        <v>753</v>
      </c>
      <c r="Z27" s="982" t="s">
        <v>258</v>
      </c>
      <c r="AA27" s="984" t="s">
        <v>311</v>
      </c>
      <c r="AB27" s="982" t="s">
        <v>259</v>
      </c>
      <c r="AC27" s="982" t="s">
        <v>260</v>
      </c>
      <c r="AD27" s="982" t="s">
        <v>261</v>
      </c>
      <c r="AE27" s="984" t="s">
        <v>753</v>
      </c>
      <c r="AF27" s="982" t="s">
        <v>262</v>
      </c>
    </row>
    <row r="28" spans="18:32" x14ac:dyDescent="0.25">
      <c r="R28" s="961" t="s">
        <v>263</v>
      </c>
      <c r="S28" s="1495">
        <f>$Z$1</f>
        <v>23580</v>
      </c>
      <c r="T28" s="967"/>
      <c r="U28" s="975">
        <f>S28/S40</f>
        <v>23580</v>
      </c>
      <c r="V28" s="966">
        <f>SUM(AP5:AP13)</f>
        <v>5355.5703703703693</v>
      </c>
      <c r="W28" s="967">
        <f>SUM(H37:H38)</f>
        <v>397.15</v>
      </c>
      <c r="Z28" s="1086"/>
      <c r="AA28" s="987"/>
      <c r="AB28" s="985">
        <f>AA25*$S$40</f>
        <v>1</v>
      </c>
      <c r="AC28" s="985">
        <f>AA25-AB28</f>
        <v>0</v>
      </c>
      <c r="AD28" s="989">
        <f>AA25*(1/3)</f>
        <v>0.33333333333333331</v>
      </c>
      <c r="AE28" s="987"/>
      <c r="AF28" s="1088">
        <f>SUM(AB28:AD28)</f>
        <v>1.3333333333333333</v>
      </c>
    </row>
    <row r="29" spans="18:32" x14ac:dyDescent="0.25">
      <c r="R29" s="961" t="s">
        <v>264</v>
      </c>
      <c r="S29" s="959"/>
      <c r="T29" s="967">
        <f>S28*0.4</f>
        <v>9432</v>
      </c>
      <c r="U29" s="975">
        <f>T29</f>
        <v>9432</v>
      </c>
      <c r="V29" s="966"/>
      <c r="W29" s="967"/>
      <c r="Z29" s="1086"/>
      <c r="AA29" s="991"/>
      <c r="AB29" s="1089">
        <f>AB28/$AF$28</f>
        <v>0.75</v>
      </c>
      <c r="AC29" s="1089">
        <f>AC28/$AF$28</f>
        <v>0</v>
      </c>
      <c r="AD29" s="1089">
        <f>AD28/$AF$28</f>
        <v>0.25</v>
      </c>
      <c r="AE29" s="991"/>
      <c r="AF29" s="1089">
        <f>AF28/$AF$28</f>
        <v>1</v>
      </c>
    </row>
    <row r="30" spans="18:32" x14ac:dyDescent="0.25">
      <c r="R30" s="961" t="s">
        <v>265</v>
      </c>
      <c r="S30" s="1393">
        <f>$AB$1</f>
        <v>500</v>
      </c>
      <c r="T30" s="1132">
        <f>(S30*0.4)</f>
        <v>200</v>
      </c>
      <c r="U30" s="974">
        <f>S30/S40</f>
        <v>500</v>
      </c>
      <c r="V30" s="972"/>
      <c r="W30" s="973"/>
      <c r="Z30" s="982" t="s">
        <v>266</v>
      </c>
      <c r="AA30" s="994">
        <f>V35/(S32/R1)</f>
        <v>9.1117381793616263E-4</v>
      </c>
      <c r="AB30" s="1090">
        <f>S35/(S32)</f>
        <v>4.7281323877068564E-2</v>
      </c>
      <c r="AC30" s="1091">
        <f>T35/T32</f>
        <v>1.0388386666666668E-2</v>
      </c>
      <c r="AD30" s="1091">
        <f>T35/T32</f>
        <v>1.0388386666666668E-2</v>
      </c>
      <c r="AE30" s="995">
        <f>W35/U32</f>
        <v>2.2150929607611574E-4</v>
      </c>
      <c r="AF30" s="1092">
        <f>SUMPRODUCT(AB30:AD30,AB29:AD29)+AE30</f>
        <v>3.8279598870544204E-2</v>
      </c>
    </row>
    <row r="31" spans="18:32" x14ac:dyDescent="0.25">
      <c r="R31" s="961" t="s">
        <v>267</v>
      </c>
      <c r="S31" s="959"/>
      <c r="T31" s="967"/>
      <c r="U31" s="966"/>
      <c r="V31" s="966"/>
      <c r="W31" s="967"/>
      <c r="Z31" s="959"/>
      <c r="AA31" s="959"/>
      <c r="AB31" s="959">
        <f>AB28*AB30</f>
        <v>4.7281323877068564E-2</v>
      </c>
      <c r="AC31" s="959"/>
      <c r="AD31" s="959">
        <f>AD28*AD30</f>
        <v>3.4627955555555558E-3</v>
      </c>
      <c r="AE31" s="959"/>
      <c r="AF31" s="959"/>
    </row>
    <row r="32" spans="18:32" x14ac:dyDescent="0.25">
      <c r="R32" s="961" t="s">
        <v>257</v>
      </c>
      <c r="S32" s="966">
        <f>SUM(S28:S30)</f>
        <v>24080</v>
      </c>
      <c r="T32" s="1496">
        <f>SUM(T28:T30)</f>
        <v>9632</v>
      </c>
      <c r="U32" s="1159">
        <f>SUM(U28:U30)</f>
        <v>33512</v>
      </c>
      <c r="V32" s="966"/>
      <c r="W32" s="967">
        <f>SUM(W28:W30)</f>
        <v>397.15</v>
      </c>
    </row>
    <row r="33" spans="2:23" ht="30" x14ac:dyDescent="0.25">
      <c r="B33" s="80"/>
      <c r="D33" s="830"/>
      <c r="E33" s="80"/>
      <c r="F33" s="80"/>
      <c r="H33" s="830"/>
      <c r="K33" s="830"/>
      <c r="R33" s="976" t="s">
        <v>268</v>
      </c>
      <c r="S33" s="959"/>
      <c r="T33" s="960"/>
      <c r="U33" s="959"/>
      <c r="V33" s="959"/>
      <c r="W33" s="960"/>
    </row>
    <row r="34" spans="2:23" x14ac:dyDescent="0.25">
      <c r="B34" s="80"/>
      <c r="D34" s="830"/>
      <c r="E34" s="80"/>
      <c r="F34" s="80"/>
      <c r="H34" s="830"/>
      <c r="K34" s="830"/>
      <c r="R34" s="961" t="s">
        <v>269</v>
      </c>
      <c r="S34" s="959"/>
      <c r="T34" s="967"/>
      <c r="U34" s="959"/>
      <c r="V34" s="959"/>
      <c r="W34" s="960"/>
    </row>
    <row r="35" spans="2:23" ht="15.75" x14ac:dyDescent="0.25">
      <c r="B35" s="1781" t="s">
        <v>797</v>
      </c>
      <c r="C35" s="1782"/>
      <c r="D35" s="1781"/>
      <c r="E35" s="1781"/>
      <c r="F35" s="1781"/>
      <c r="G35" s="1001"/>
      <c r="H35" s="1434"/>
      <c r="I35" s="1010"/>
      <c r="J35" s="1010"/>
      <c r="K35" s="1009"/>
      <c r="L35" s="1010"/>
      <c r="R35" s="977" t="s">
        <v>249</v>
      </c>
      <c r="S35" s="1133">
        <f>$L$5</f>
        <v>1138.534278959811</v>
      </c>
      <c r="T35" s="1134">
        <f>SUM(L6:L13)</f>
        <v>100.06094037333334</v>
      </c>
      <c r="U35" s="1160">
        <f>S35+T35+V35+W35</f>
        <v>1286.6500417075117</v>
      </c>
      <c r="V35" s="978">
        <f>SUM(AT6:AT13)</f>
        <v>40.631602844264435</v>
      </c>
      <c r="W35" s="979">
        <f>SUM(L37:L38)</f>
        <v>7.4232195301027906</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30"/>
      <c r="T36" s="830"/>
      <c r="W36" s="830"/>
    </row>
    <row r="37" spans="2:23" x14ac:dyDescent="0.25">
      <c r="B37" s="1005" t="s">
        <v>110</v>
      </c>
      <c r="C37" s="1006" t="s">
        <v>14</v>
      </c>
      <c r="D37" s="1007">
        <v>0.1</v>
      </c>
      <c r="E37" s="1005">
        <f>$AD$1</f>
        <v>169</v>
      </c>
      <c r="F37" s="1005">
        <f>D37*E37</f>
        <v>16.900000000000002</v>
      </c>
      <c r="G37" s="14"/>
      <c r="H37" s="1005">
        <f>F37</f>
        <v>16.900000000000002</v>
      </c>
      <c r="I37" s="1005">
        <f>VLOOKUP(B37,All_Ingredients!$A$1:$F$161,6,FALSE())</f>
        <v>1</v>
      </c>
      <c r="J37" s="1005">
        <f>VLOOKUP(B37,All_Ingredients!$A$1:$J$161,10,FALSE())</f>
        <v>64.243759177679877</v>
      </c>
      <c r="K37" s="1005">
        <f>(H37/I37)/1000</f>
        <v>1.6900000000000002E-2</v>
      </c>
      <c r="L37" s="1005">
        <f t="shared" ref="L37" si="12">K37*J37</f>
        <v>1.08571953010279</v>
      </c>
      <c r="R37" s="830"/>
      <c r="T37" s="830"/>
      <c r="W37" s="830"/>
    </row>
    <row r="38" spans="2:23" ht="25.5" x14ac:dyDescent="0.25">
      <c r="B38" s="1005" t="s">
        <v>469</v>
      </c>
      <c r="C38" s="1006" t="s">
        <v>14</v>
      </c>
      <c r="D38" s="1007">
        <v>2.25</v>
      </c>
      <c r="E38" s="1005">
        <f>$AD$1</f>
        <v>169</v>
      </c>
      <c r="F38" s="1005">
        <f>D38*E38</f>
        <v>380.25</v>
      </c>
      <c r="H38" s="1005">
        <f>F38</f>
        <v>380.25</v>
      </c>
      <c r="I38" s="1005">
        <f>VLOOKUP(B38,All_Ingredients!$A$1:$F$161,6,FALSE())</f>
        <v>1</v>
      </c>
      <c r="J38" s="1005">
        <f>VLOOKUP(B38,All_Ingredients!$A$1:$J$161,10,FALSE())</f>
        <v>16.666666666666668</v>
      </c>
      <c r="K38" s="1005">
        <f>(H38/I38)/1000</f>
        <v>0.38024999999999998</v>
      </c>
      <c r="L38" s="1005">
        <f t="shared" ref="L38" si="13">K38*J38</f>
        <v>6.3375000000000004</v>
      </c>
      <c r="R38" s="830"/>
      <c r="T38" s="830"/>
      <c r="W38" s="830"/>
    </row>
    <row r="39" spans="2:23" x14ac:dyDescent="0.25">
      <c r="B39" s="830"/>
      <c r="D39" s="830"/>
      <c r="E39" s="830"/>
      <c r="F39" s="830"/>
      <c r="H39" s="830"/>
      <c r="K39" s="830"/>
      <c r="R39" s="830"/>
      <c r="T39" s="830"/>
      <c r="W39" s="830"/>
    </row>
    <row r="40" spans="2:23" ht="23.25" x14ac:dyDescent="0.25">
      <c r="B40" s="830"/>
      <c r="D40" s="830"/>
      <c r="E40" s="830"/>
      <c r="F40" s="830"/>
      <c r="H40" s="830"/>
      <c r="K40" s="830"/>
      <c r="Q40" s="14"/>
      <c r="R40" s="1394" t="s">
        <v>270</v>
      </c>
      <c r="S40" s="1093">
        <v>1</v>
      </c>
      <c r="T40" s="1395" t="s">
        <v>271</v>
      </c>
      <c r="U40" s="1093">
        <v>0</v>
      </c>
      <c r="V40" s="1014">
        <f>S40+U40</f>
        <v>1</v>
      </c>
      <c r="W40" s="890"/>
    </row>
    <row r="41" spans="2:23" x14ac:dyDescent="0.25">
      <c r="B41" s="830"/>
      <c r="D41" s="830"/>
      <c r="E41" s="830"/>
      <c r="F41" s="830"/>
      <c r="H41" s="830"/>
      <c r="K41" s="830"/>
      <c r="Q41" s="14"/>
      <c r="R41" s="890"/>
      <c r="S41" s="14"/>
      <c r="T41" s="890"/>
      <c r="U41" s="123"/>
      <c r="V41" s="14"/>
      <c r="W41" s="890"/>
    </row>
    <row r="42" spans="2:23" x14ac:dyDescent="0.25">
      <c r="B42" s="830"/>
      <c r="D42" s="830"/>
      <c r="E42" s="830"/>
      <c r="F42" s="830"/>
      <c r="H42" s="830"/>
      <c r="K42" s="830"/>
      <c r="Q42" s="14"/>
      <c r="R42" s="890"/>
      <c r="S42" s="14"/>
      <c r="T42" s="890"/>
      <c r="U42" s="14"/>
      <c r="V42" s="14"/>
      <c r="W42" s="890"/>
    </row>
    <row r="43" spans="2:23" ht="26.25" x14ac:dyDescent="0.25">
      <c r="B43" s="830"/>
      <c r="D43" s="830"/>
      <c r="E43" s="830"/>
      <c r="F43" s="830"/>
      <c r="H43" s="830"/>
      <c r="K43" s="830"/>
      <c r="Q43" s="1015" t="s">
        <v>272</v>
      </c>
      <c r="R43" s="1011" t="s">
        <v>273</v>
      </c>
      <c r="S43" s="1015" t="s">
        <v>274</v>
      </c>
      <c r="T43" s="1011" t="s">
        <v>275</v>
      </c>
      <c r="U43" s="1015" t="s">
        <v>276</v>
      </c>
      <c r="V43" s="1015" t="s">
        <v>277</v>
      </c>
      <c r="W43" s="1011" t="s">
        <v>278</v>
      </c>
    </row>
    <row r="44" spans="2:23" x14ac:dyDescent="0.25">
      <c r="B44" s="830"/>
      <c r="D44" s="830"/>
      <c r="E44" s="830"/>
      <c r="F44" s="830"/>
      <c r="H44" s="830"/>
      <c r="K44" s="830"/>
      <c r="Q44" s="1023">
        <v>25000</v>
      </c>
      <c r="R44" s="1017">
        <f>D51</f>
        <v>10000</v>
      </c>
      <c r="S44" s="1024">
        <v>0</v>
      </c>
      <c r="T44" s="1025">
        <v>1</v>
      </c>
      <c r="U44" s="1096">
        <f>R44*S44</f>
        <v>0</v>
      </c>
      <c r="V44" s="1021">
        <f>R44*T44</f>
        <v>10000</v>
      </c>
      <c r="W44" s="1026">
        <f>Q44-U44</f>
        <v>25000</v>
      </c>
    </row>
    <row r="50" spans="1:10" x14ac:dyDescent="0.25">
      <c r="B50" s="961"/>
      <c r="C50" s="962" t="s">
        <v>233</v>
      </c>
      <c r="D50" s="961" t="s">
        <v>279</v>
      </c>
      <c r="E50" s="830"/>
      <c r="F50" s="80"/>
      <c r="G50" s="962" t="s">
        <v>280</v>
      </c>
      <c r="H50" s="961" t="s">
        <v>233</v>
      </c>
      <c r="I50" s="962" t="s">
        <v>281</v>
      </c>
      <c r="J50" s="962" t="s">
        <v>282</v>
      </c>
    </row>
    <row r="51" spans="1:10" x14ac:dyDescent="0.25">
      <c r="B51" s="1027" t="s">
        <v>283</v>
      </c>
      <c r="C51" s="1028">
        <f>10/$K$1</f>
        <v>10</v>
      </c>
      <c r="D51" s="1029">
        <f>$C$1*10</f>
        <v>10000</v>
      </c>
      <c r="E51" s="135"/>
      <c r="F51" s="80"/>
      <c r="G51" s="1033" t="s">
        <v>283</v>
      </c>
      <c r="H51" s="1122">
        <f>I51/$D$5</f>
        <v>10</v>
      </c>
      <c r="I51" s="1028">
        <f>J51/$R$1</f>
        <v>46296.296296296292</v>
      </c>
      <c r="J51" s="1028">
        <f>$W$44</f>
        <v>25000</v>
      </c>
    </row>
    <row r="52" spans="1:10" x14ac:dyDescent="0.25">
      <c r="B52" s="958" t="s">
        <v>262</v>
      </c>
      <c r="C52" s="1099">
        <f>$I$1</f>
        <v>9.6319999999999997</v>
      </c>
      <c r="D52" s="1100">
        <f>$E$1</f>
        <v>9632</v>
      </c>
      <c r="E52" s="80"/>
      <c r="F52" s="80"/>
      <c r="G52" s="962" t="s">
        <v>262</v>
      </c>
      <c r="H52" s="1052">
        <f>I52/$D$5</f>
        <v>9.6319999999999997</v>
      </c>
      <c r="I52" s="1021">
        <f>J52/$R$1</f>
        <v>44592.592592592591</v>
      </c>
      <c r="J52" s="1030">
        <f>$S$32</f>
        <v>24080</v>
      </c>
    </row>
    <row r="53" spans="1:10" x14ac:dyDescent="0.25">
      <c r="B53" s="958" t="s">
        <v>284</v>
      </c>
      <c r="C53" s="1101">
        <f>MIN(C52, C51)</f>
        <v>9.6319999999999997</v>
      </c>
      <c r="D53" s="1100">
        <f>(C53*$K$1)*$C$1</f>
        <v>9632</v>
      </c>
      <c r="E53" s="80"/>
      <c r="F53" s="80"/>
      <c r="G53" s="962" t="s">
        <v>284</v>
      </c>
      <c r="H53" s="1035">
        <f>MIN(H52,H51)</f>
        <v>9.6319999999999997</v>
      </c>
      <c r="I53" s="1021">
        <f>J53/$R$1</f>
        <v>44592.592592592591</v>
      </c>
      <c r="J53" s="1021">
        <f>MIN(J52,J51)</f>
        <v>24080</v>
      </c>
    </row>
    <row r="54" spans="1:10" x14ac:dyDescent="0.25">
      <c r="B54" s="958" t="s">
        <v>285</v>
      </c>
      <c r="C54" s="1101">
        <f>MIN(MAX(C52-C53,0),C51)</f>
        <v>0</v>
      </c>
      <c r="D54" s="1100">
        <f>(C54*$K$1)*$C$1</f>
        <v>0</v>
      </c>
      <c r="E54" s="80"/>
      <c r="F54" s="80"/>
      <c r="G54" s="962" t="s">
        <v>285</v>
      </c>
      <c r="H54" s="1035">
        <f>MIN(MAX(H52-H53),H51)</f>
        <v>0</v>
      </c>
      <c r="I54" s="1021">
        <f>J54/$R$1</f>
        <v>0</v>
      </c>
      <c r="J54" s="1021">
        <f>MIN(MAX(J52-J53),J51)</f>
        <v>0</v>
      </c>
    </row>
    <row r="55" spans="1:10" x14ac:dyDescent="0.25">
      <c r="B55" s="958" t="s">
        <v>286</v>
      </c>
      <c r="C55" s="1101">
        <f>MIN(MAX(C52-C53-C54,0),C51)</f>
        <v>0</v>
      </c>
      <c r="D55" s="1100">
        <f>(C55*$K$1)*$C$1</f>
        <v>0</v>
      </c>
      <c r="E55" s="80"/>
      <c r="F55" s="80"/>
      <c r="G55" s="962" t="s">
        <v>286</v>
      </c>
      <c r="H55" s="1035">
        <f>MIN(MAX(H52-H53-H54),H51)</f>
        <v>0</v>
      </c>
      <c r="I55" s="1021">
        <f>J55/$R$1</f>
        <v>0</v>
      </c>
      <c r="J55" s="1021">
        <f>MIN(MAX(J52-J53-J54),J51)</f>
        <v>0</v>
      </c>
    </row>
    <row r="56" spans="1:10" x14ac:dyDescent="0.25">
      <c r="B56" s="830"/>
      <c r="D56" s="830"/>
      <c r="E56" s="830"/>
      <c r="F56" s="830"/>
      <c r="H56" s="830"/>
    </row>
    <row r="57" spans="1:10" x14ac:dyDescent="0.25">
      <c r="B57" s="830"/>
      <c r="D57" s="830"/>
      <c r="E57" s="830"/>
      <c r="F57" s="830"/>
      <c r="H57" s="830"/>
    </row>
    <row r="58" spans="1:10" x14ac:dyDescent="0.25">
      <c r="B58" s="830"/>
      <c r="D58" s="830"/>
      <c r="E58" s="830"/>
      <c r="F58" s="830"/>
      <c r="H58" s="830"/>
    </row>
    <row r="59" spans="1:10" x14ac:dyDescent="0.25">
      <c r="B59" s="830"/>
      <c r="D59" s="830"/>
      <c r="E59" s="830"/>
      <c r="F59" s="830"/>
      <c r="H59" s="830"/>
    </row>
    <row r="60" spans="1:10" x14ac:dyDescent="0.25">
      <c r="B60" s="830"/>
      <c r="D60" s="830"/>
      <c r="E60" s="830"/>
      <c r="F60" s="830"/>
      <c r="H60" s="830"/>
    </row>
    <row r="61" spans="1:10" x14ac:dyDescent="0.25">
      <c r="B61" s="830"/>
      <c r="D61" s="830"/>
      <c r="E61" s="830"/>
      <c r="F61" s="830"/>
      <c r="H61" s="830"/>
    </row>
    <row r="62" spans="1:10" x14ac:dyDescent="0.25">
      <c r="A62" s="1124"/>
      <c r="B62" s="1776" t="str">
        <f>" سمك بالكريمة و البازلاء 1 / " &amp; COUNTIF($C$53:$C$55, "&gt;0")</f>
        <v xml:space="preserve"> سمك بالكريمة و البازلاء 1 / 1</v>
      </c>
      <c r="C62" s="1777"/>
      <c r="D62" s="1778"/>
      <c r="E62" s="1778"/>
      <c r="F62" s="1778"/>
      <c r="G62" s="1777"/>
      <c r="H62" s="1778"/>
    </row>
    <row r="63" spans="1:10" x14ac:dyDescent="0.25">
      <c r="A63" s="1124"/>
      <c r="B63" s="1776" t="str">
        <f>" Fish with cream 1 / " &amp; COUNTIF($C$53:$C$55, "&gt;0")</f>
        <v xml:space="preserve"> Fish with cream 1 / 1</v>
      </c>
      <c r="C63" s="1777"/>
      <c r="D63" s="1778"/>
      <c r="E63" s="1778"/>
      <c r="F63" s="1778"/>
      <c r="G63" s="1777"/>
      <c r="H63" s="1778"/>
    </row>
    <row r="64" spans="1:10" ht="38.25" x14ac:dyDescent="0.2">
      <c r="A64" s="1350" t="s">
        <v>864</v>
      </c>
      <c r="B64" s="1104" t="s">
        <v>241</v>
      </c>
      <c r="C64" s="934" t="s">
        <v>242</v>
      </c>
      <c r="D64" s="1104" t="s">
        <v>231</v>
      </c>
      <c r="E64" s="936" t="s">
        <v>234</v>
      </c>
      <c r="F64" s="936" t="s">
        <v>243</v>
      </c>
      <c r="G64" s="1104" t="s">
        <v>244</v>
      </c>
      <c r="H64" s="936" t="s">
        <v>245</v>
      </c>
    </row>
    <row r="65" spans="1:8" x14ac:dyDescent="0.2">
      <c r="A65" s="937" t="s">
        <v>875</v>
      </c>
      <c r="B65" s="938" t="str">
        <f t="shared" ref="B65:D73" si="14">B5</f>
        <v>Fillet Fish - سمك فيليه</v>
      </c>
      <c r="C65" s="947" t="str">
        <f t="shared" si="14"/>
        <v>gm</v>
      </c>
      <c r="D65" s="940">
        <f t="shared" si="14"/>
        <v>4629.6296296296296</v>
      </c>
      <c r="E65" s="1116">
        <f>H53</f>
        <v>9.6319999999999997</v>
      </c>
      <c r="F65" s="948">
        <f t="shared" ref="F65:F73" si="15">F5</f>
        <v>1</v>
      </c>
      <c r="G65" s="940">
        <f t="shared" ref="G65:G73" si="16">D65*E65</f>
        <v>44592.592592592591</v>
      </c>
      <c r="H65" s="943">
        <f t="shared" ref="H65:H73" si="17">G65*F65</f>
        <v>44592.592592592591</v>
      </c>
    </row>
    <row r="66" spans="1:8" x14ac:dyDescent="0.25">
      <c r="A66" s="1117"/>
      <c r="B66" s="938" t="str">
        <f t="shared" si="14"/>
        <v>Milk - حليب</v>
      </c>
      <c r="C66" s="947" t="str">
        <f t="shared" si="14"/>
        <v>ml</v>
      </c>
      <c r="D66" s="914">
        <f t="shared" si="14"/>
        <v>550</v>
      </c>
      <c r="E66" s="1126">
        <f t="shared" ref="E66:E73" si="18">$C$53</f>
        <v>9.6319999999999997</v>
      </c>
      <c r="F66" s="948">
        <f t="shared" si="15"/>
        <v>1</v>
      </c>
      <c r="G66" s="940">
        <f t="shared" si="16"/>
        <v>5297.5999999999995</v>
      </c>
      <c r="H66" s="943">
        <f t="shared" si="17"/>
        <v>5297.5999999999995</v>
      </c>
    </row>
    <row r="67" spans="1:8" x14ac:dyDescent="0.25">
      <c r="A67" s="1117"/>
      <c r="B67" s="938" t="str">
        <f t="shared" si="14"/>
        <v>Cooking Cream - كريمة طبخ</v>
      </c>
      <c r="C67" s="947" t="str">
        <f t="shared" si="14"/>
        <v>ml</v>
      </c>
      <c r="D67" s="914">
        <f t="shared" si="14"/>
        <v>550</v>
      </c>
      <c r="E67" s="1126">
        <f t="shared" si="18"/>
        <v>9.6319999999999997</v>
      </c>
      <c r="F67" s="948">
        <f t="shared" si="15"/>
        <v>1</v>
      </c>
      <c r="G67" s="940">
        <f t="shared" si="16"/>
        <v>5297.5999999999995</v>
      </c>
      <c r="H67" s="943">
        <f t="shared" si="17"/>
        <v>5297.5999999999995</v>
      </c>
    </row>
    <row r="68" spans="1:8" x14ac:dyDescent="0.25">
      <c r="A68" s="1117"/>
      <c r="B68" s="938" t="str">
        <f t="shared" si="14"/>
        <v>Butter - زبدة</v>
      </c>
      <c r="C68" s="947" t="str">
        <f t="shared" si="14"/>
        <v>gm</v>
      </c>
      <c r="D68" s="914">
        <f t="shared" si="14"/>
        <v>20</v>
      </c>
      <c r="E68" s="1126">
        <f t="shared" si="18"/>
        <v>9.6319999999999997</v>
      </c>
      <c r="F68" s="948">
        <f t="shared" si="15"/>
        <v>1</v>
      </c>
      <c r="G68" s="940">
        <f t="shared" si="16"/>
        <v>192.64</v>
      </c>
      <c r="H68" s="943">
        <f t="shared" si="17"/>
        <v>192.64</v>
      </c>
    </row>
    <row r="69" spans="1:8" x14ac:dyDescent="0.25">
      <c r="A69" s="1117"/>
      <c r="B69" s="938" t="str">
        <f t="shared" si="14"/>
        <v>Flour - دقيق</v>
      </c>
      <c r="C69" s="947" t="str">
        <f t="shared" si="14"/>
        <v>gm</v>
      </c>
      <c r="D69" s="914">
        <f t="shared" si="14"/>
        <v>20</v>
      </c>
      <c r="E69" s="1126">
        <f t="shared" si="18"/>
        <v>9.6319999999999997</v>
      </c>
      <c r="F69" s="948">
        <f t="shared" si="15"/>
        <v>1</v>
      </c>
      <c r="G69" s="940">
        <f t="shared" si="16"/>
        <v>192.64</v>
      </c>
      <c r="H69" s="943">
        <f t="shared" si="17"/>
        <v>192.64</v>
      </c>
    </row>
    <row r="70" spans="1:8" x14ac:dyDescent="0.25">
      <c r="A70" s="1117"/>
      <c r="B70" s="938" t="str">
        <f t="shared" si="14"/>
        <v>Maggi Cubes - مكعبات ماجي</v>
      </c>
      <c r="C70" s="947" t="str">
        <f t="shared" si="14"/>
        <v>gm</v>
      </c>
      <c r="D70" s="914">
        <f t="shared" si="14"/>
        <v>10</v>
      </c>
      <c r="E70" s="1126">
        <f t="shared" si="18"/>
        <v>9.6319999999999997</v>
      </c>
      <c r="F70" s="948">
        <f t="shared" si="15"/>
        <v>0.75</v>
      </c>
      <c r="G70" s="940">
        <f t="shared" si="16"/>
        <v>96.32</v>
      </c>
      <c r="H70" s="943">
        <f t="shared" si="17"/>
        <v>72.239999999999995</v>
      </c>
    </row>
    <row r="71" spans="1:8" x14ac:dyDescent="0.25">
      <c r="A71" s="1117"/>
      <c r="B71" s="938" t="str">
        <f t="shared" si="14"/>
        <v>White Pepper - فلفل أبيض</v>
      </c>
      <c r="C71" s="947" t="str">
        <f t="shared" si="14"/>
        <v>gm</v>
      </c>
      <c r="D71" s="914">
        <f t="shared" si="14"/>
        <v>3</v>
      </c>
      <c r="E71" s="1126">
        <f t="shared" si="18"/>
        <v>9.6319999999999997</v>
      </c>
      <c r="F71" s="948">
        <f t="shared" si="15"/>
        <v>0.75</v>
      </c>
      <c r="G71" s="940">
        <f t="shared" si="16"/>
        <v>28.896000000000001</v>
      </c>
      <c r="H71" s="943">
        <f t="shared" si="17"/>
        <v>21.672000000000001</v>
      </c>
    </row>
    <row r="72" spans="1:8" x14ac:dyDescent="0.25">
      <c r="A72" s="1117"/>
      <c r="B72" s="938" t="str">
        <f t="shared" si="14"/>
        <v>Salt - ملح</v>
      </c>
      <c r="C72" s="947" t="str">
        <f t="shared" si="14"/>
        <v>gm</v>
      </c>
      <c r="D72" s="914">
        <f t="shared" si="14"/>
        <v>4</v>
      </c>
      <c r="E72" s="1126">
        <f t="shared" si="18"/>
        <v>9.6319999999999997</v>
      </c>
      <c r="F72" s="948">
        <f t="shared" si="15"/>
        <v>0.75</v>
      </c>
      <c r="G72" s="940">
        <f t="shared" si="16"/>
        <v>38.527999999999999</v>
      </c>
      <c r="H72" s="943">
        <f t="shared" si="17"/>
        <v>28.896000000000001</v>
      </c>
    </row>
    <row r="73" spans="1:8" x14ac:dyDescent="0.25">
      <c r="A73" s="1117" t="s">
        <v>881</v>
      </c>
      <c r="B73" s="938" t="str">
        <f t="shared" si="14"/>
        <v>Onion - بصل</v>
      </c>
      <c r="C73" s="947" t="str">
        <f t="shared" si="14"/>
        <v>gm</v>
      </c>
      <c r="D73" s="914">
        <f t="shared" si="14"/>
        <v>80</v>
      </c>
      <c r="E73" s="1126">
        <f t="shared" si="18"/>
        <v>9.6319999999999997</v>
      </c>
      <c r="F73" s="948">
        <f t="shared" si="15"/>
        <v>0.95</v>
      </c>
      <c r="G73" s="940">
        <f t="shared" si="16"/>
        <v>770.56</v>
      </c>
      <c r="H73" s="943">
        <f t="shared" si="17"/>
        <v>732.03199999999993</v>
      </c>
    </row>
    <row r="74" spans="1:8" ht="18" x14ac:dyDescent="0.25">
      <c r="A74" s="1070"/>
      <c r="B74" s="1041" t="s">
        <v>287</v>
      </c>
      <c r="C74" s="1042" t="s">
        <v>273</v>
      </c>
      <c r="D74" s="1043"/>
      <c r="E74" s="1044" t="s">
        <v>288</v>
      </c>
      <c r="F74" s="1043"/>
      <c r="G74" s="1045" t="s">
        <v>264</v>
      </c>
      <c r="H74" s="1046" t="s">
        <v>661</v>
      </c>
    </row>
    <row r="75" spans="1:8" ht="20.25" x14ac:dyDescent="0.3">
      <c r="A75" s="1070"/>
      <c r="B75" s="1047">
        <f>$J$53</f>
        <v>24080</v>
      </c>
      <c r="C75" s="1048">
        <f>E75+G75</f>
        <v>9632</v>
      </c>
      <c r="D75" s="1049"/>
      <c r="E75" s="1047">
        <f>$D$53*$S$44</f>
        <v>0</v>
      </c>
      <c r="F75" s="1050"/>
      <c r="G75" s="1048">
        <f>$D$53*$T$44</f>
        <v>9632</v>
      </c>
      <c r="H75" s="1047">
        <f>B75+E75</f>
        <v>24080</v>
      </c>
    </row>
    <row r="76" spans="1:8" x14ac:dyDescent="0.25">
      <c r="B76" s="830"/>
      <c r="D76" s="830"/>
      <c r="E76" s="830"/>
      <c r="F76" s="830"/>
      <c r="H76" s="830"/>
    </row>
    <row r="77" spans="1:8" x14ac:dyDescent="0.25">
      <c r="A77" s="1124"/>
      <c r="B77" s="1776" t="str">
        <f>" سمك بالكريمة و البازلاء 2 / " &amp; COUNTIF($C$53:$C$55, "&gt;0")</f>
        <v xml:space="preserve"> سمك بالكريمة و البازلاء 2 / 1</v>
      </c>
      <c r="C77" s="1777"/>
      <c r="D77" s="1778"/>
      <c r="E77" s="1778"/>
      <c r="F77" s="1778"/>
      <c r="G77" s="1777"/>
      <c r="H77" s="1778"/>
    </row>
    <row r="78" spans="1:8" x14ac:dyDescent="0.25">
      <c r="A78" s="1124"/>
      <c r="B78" s="1776" t="str">
        <f>" Fish with cream 2 / " &amp; COUNTIF($C$53:$C$55, "&gt;0")</f>
        <v xml:space="preserve"> Fish with cream 2 / 1</v>
      </c>
      <c r="C78" s="1777"/>
      <c r="D78" s="1778"/>
      <c r="E78" s="1778"/>
      <c r="F78" s="1778"/>
      <c r="G78" s="1777"/>
      <c r="H78" s="1778"/>
    </row>
    <row r="79" spans="1:8" ht="38.25" x14ac:dyDescent="0.2">
      <c r="A79" s="1350" t="s">
        <v>864</v>
      </c>
      <c r="B79" s="1104" t="s">
        <v>241</v>
      </c>
      <c r="C79" s="934" t="s">
        <v>242</v>
      </c>
      <c r="D79" s="1104" t="s">
        <v>231</v>
      </c>
      <c r="E79" s="936" t="s">
        <v>234</v>
      </c>
      <c r="F79" s="936" t="s">
        <v>243</v>
      </c>
      <c r="G79" s="1104" t="s">
        <v>244</v>
      </c>
      <c r="H79" s="936" t="s">
        <v>245</v>
      </c>
    </row>
    <row r="80" spans="1:8" x14ac:dyDescent="0.2">
      <c r="A80" s="937" t="s">
        <v>875</v>
      </c>
      <c r="B80" s="938" t="str">
        <f t="shared" ref="B80:D88" si="19">B5</f>
        <v>Fillet Fish - سمك فيليه</v>
      </c>
      <c r="C80" s="947" t="str">
        <f t="shared" si="19"/>
        <v>gm</v>
      </c>
      <c r="D80" s="940">
        <f t="shared" si="19"/>
        <v>4629.6296296296296</v>
      </c>
      <c r="E80" s="944">
        <f>H54</f>
        <v>0</v>
      </c>
      <c r="F80" s="948">
        <f t="shared" ref="F80:F88" si="20">F5</f>
        <v>1</v>
      </c>
      <c r="G80" s="940">
        <f t="shared" ref="G80:G88" si="21">D80*E80</f>
        <v>0</v>
      </c>
      <c r="H80" s="943">
        <f t="shared" ref="H80:H88" si="22">G80*F80</f>
        <v>0</v>
      </c>
    </row>
    <row r="81" spans="1:8" x14ac:dyDescent="0.25">
      <c r="A81" s="1117"/>
      <c r="B81" s="938" t="str">
        <f t="shared" si="19"/>
        <v>Milk - حليب</v>
      </c>
      <c r="C81" s="947" t="str">
        <f t="shared" si="19"/>
        <v>ml</v>
      </c>
      <c r="D81" s="914">
        <f t="shared" si="19"/>
        <v>550</v>
      </c>
      <c r="E81" s="944">
        <f t="shared" ref="E81:E88" si="23">$C$54</f>
        <v>0</v>
      </c>
      <c r="F81" s="948">
        <f t="shared" si="20"/>
        <v>1</v>
      </c>
      <c r="G81" s="940">
        <f t="shared" si="21"/>
        <v>0</v>
      </c>
      <c r="H81" s="943">
        <f t="shared" si="22"/>
        <v>0</v>
      </c>
    </row>
    <row r="82" spans="1:8" x14ac:dyDescent="0.25">
      <c r="A82" s="1117"/>
      <c r="B82" s="938" t="str">
        <f t="shared" si="19"/>
        <v>Cooking Cream - كريمة طبخ</v>
      </c>
      <c r="C82" s="947" t="str">
        <f t="shared" si="19"/>
        <v>ml</v>
      </c>
      <c r="D82" s="914">
        <f t="shared" si="19"/>
        <v>550</v>
      </c>
      <c r="E82" s="944">
        <f t="shared" si="23"/>
        <v>0</v>
      </c>
      <c r="F82" s="948">
        <f t="shared" si="20"/>
        <v>1</v>
      </c>
      <c r="G82" s="940">
        <f t="shared" si="21"/>
        <v>0</v>
      </c>
      <c r="H82" s="943">
        <f t="shared" si="22"/>
        <v>0</v>
      </c>
    </row>
    <row r="83" spans="1:8" x14ac:dyDescent="0.25">
      <c r="A83" s="1117"/>
      <c r="B83" s="938" t="str">
        <f t="shared" si="19"/>
        <v>Butter - زبدة</v>
      </c>
      <c r="C83" s="947" t="str">
        <f t="shared" si="19"/>
        <v>gm</v>
      </c>
      <c r="D83" s="914">
        <f t="shared" si="19"/>
        <v>20</v>
      </c>
      <c r="E83" s="944">
        <f t="shared" si="23"/>
        <v>0</v>
      </c>
      <c r="F83" s="948">
        <f t="shared" si="20"/>
        <v>1</v>
      </c>
      <c r="G83" s="940">
        <f t="shared" si="21"/>
        <v>0</v>
      </c>
      <c r="H83" s="943">
        <f t="shared" si="22"/>
        <v>0</v>
      </c>
    </row>
    <row r="84" spans="1:8" x14ac:dyDescent="0.25">
      <c r="A84" s="1117"/>
      <c r="B84" s="938" t="str">
        <f t="shared" si="19"/>
        <v>Flour - دقيق</v>
      </c>
      <c r="C84" s="947" t="str">
        <f t="shared" si="19"/>
        <v>gm</v>
      </c>
      <c r="D84" s="914">
        <f t="shared" si="19"/>
        <v>20</v>
      </c>
      <c r="E84" s="944">
        <f t="shared" si="23"/>
        <v>0</v>
      </c>
      <c r="F84" s="948">
        <f t="shared" si="20"/>
        <v>1</v>
      </c>
      <c r="G84" s="940">
        <f t="shared" si="21"/>
        <v>0</v>
      </c>
      <c r="H84" s="943">
        <f t="shared" si="22"/>
        <v>0</v>
      </c>
    </row>
    <row r="85" spans="1:8" x14ac:dyDescent="0.25">
      <c r="A85" s="1117"/>
      <c r="B85" s="938" t="str">
        <f t="shared" si="19"/>
        <v>Maggi Cubes - مكعبات ماجي</v>
      </c>
      <c r="C85" s="947" t="str">
        <f t="shared" si="19"/>
        <v>gm</v>
      </c>
      <c r="D85" s="914">
        <f t="shared" si="19"/>
        <v>10</v>
      </c>
      <c r="E85" s="944">
        <f t="shared" si="23"/>
        <v>0</v>
      </c>
      <c r="F85" s="948">
        <f t="shared" si="20"/>
        <v>0.75</v>
      </c>
      <c r="G85" s="940">
        <f t="shared" si="21"/>
        <v>0</v>
      </c>
      <c r="H85" s="943">
        <f t="shared" si="22"/>
        <v>0</v>
      </c>
    </row>
    <row r="86" spans="1:8" x14ac:dyDescent="0.25">
      <c r="A86" s="1117"/>
      <c r="B86" s="938" t="str">
        <f t="shared" si="19"/>
        <v>White Pepper - فلفل أبيض</v>
      </c>
      <c r="C86" s="947" t="str">
        <f t="shared" si="19"/>
        <v>gm</v>
      </c>
      <c r="D86" s="914">
        <f t="shared" si="19"/>
        <v>3</v>
      </c>
      <c r="E86" s="944">
        <f t="shared" si="23"/>
        <v>0</v>
      </c>
      <c r="F86" s="948">
        <f t="shared" si="20"/>
        <v>0.75</v>
      </c>
      <c r="G86" s="940">
        <f t="shared" si="21"/>
        <v>0</v>
      </c>
      <c r="H86" s="943">
        <f t="shared" si="22"/>
        <v>0</v>
      </c>
    </row>
    <row r="87" spans="1:8" x14ac:dyDescent="0.25">
      <c r="A87" s="1117"/>
      <c r="B87" s="938" t="str">
        <f t="shared" si="19"/>
        <v>Salt - ملح</v>
      </c>
      <c r="C87" s="947" t="str">
        <f t="shared" si="19"/>
        <v>gm</v>
      </c>
      <c r="D87" s="914">
        <f t="shared" si="19"/>
        <v>4</v>
      </c>
      <c r="E87" s="944">
        <f t="shared" si="23"/>
        <v>0</v>
      </c>
      <c r="F87" s="948">
        <f t="shared" si="20"/>
        <v>0.75</v>
      </c>
      <c r="G87" s="940">
        <f t="shared" si="21"/>
        <v>0</v>
      </c>
      <c r="H87" s="943">
        <f t="shared" si="22"/>
        <v>0</v>
      </c>
    </row>
    <row r="88" spans="1:8" x14ac:dyDescent="0.25">
      <c r="A88" s="1117" t="s">
        <v>881</v>
      </c>
      <c r="B88" s="938" t="str">
        <f t="shared" si="19"/>
        <v>Onion - بصل</v>
      </c>
      <c r="C88" s="947" t="str">
        <f t="shared" si="19"/>
        <v>gm</v>
      </c>
      <c r="D88" s="914">
        <f t="shared" si="19"/>
        <v>80</v>
      </c>
      <c r="E88" s="944">
        <f t="shared" si="23"/>
        <v>0</v>
      </c>
      <c r="F88" s="948">
        <f t="shared" si="20"/>
        <v>0.95</v>
      </c>
      <c r="G88" s="940">
        <f t="shared" si="21"/>
        <v>0</v>
      </c>
      <c r="H88" s="943">
        <f t="shared" si="22"/>
        <v>0</v>
      </c>
    </row>
    <row r="89" spans="1:8" ht="18" x14ac:dyDescent="0.25">
      <c r="A89" s="1070"/>
      <c r="B89" s="1041" t="s">
        <v>287</v>
      </c>
      <c r="C89" s="1042" t="s">
        <v>273</v>
      </c>
      <c r="D89" s="1043"/>
      <c r="E89" s="1044" t="s">
        <v>288</v>
      </c>
      <c r="F89" s="1043"/>
      <c r="G89" s="1045" t="s">
        <v>264</v>
      </c>
      <c r="H89" s="1046" t="s">
        <v>661</v>
      </c>
    </row>
    <row r="90" spans="1:8" ht="20.25" x14ac:dyDescent="0.3">
      <c r="A90" s="1070"/>
      <c r="B90" s="1047">
        <f>$J$54</f>
        <v>0</v>
      </c>
      <c r="C90" s="1048">
        <f>E90+G90</f>
        <v>0</v>
      </c>
      <c r="D90" s="1049"/>
      <c r="E90" s="1047">
        <f>$D$54*$S$44</f>
        <v>0</v>
      </c>
      <c r="F90" s="1050"/>
      <c r="G90" s="1048">
        <f>$D$54*$T$44</f>
        <v>0</v>
      </c>
      <c r="H90" s="1047">
        <f>B90+E90</f>
        <v>0</v>
      </c>
    </row>
  </sheetData>
  <mergeCells count="10">
    <mergeCell ref="AK2:AM2"/>
    <mergeCell ref="B78:H78"/>
    <mergeCell ref="B63:H63"/>
    <mergeCell ref="AC2:AE3"/>
    <mergeCell ref="R26:U26"/>
    <mergeCell ref="B77:H77"/>
    <mergeCell ref="B2:H2"/>
    <mergeCell ref="B62:H62"/>
    <mergeCell ref="R25:U25"/>
    <mergeCell ref="B35:F35"/>
  </mergeCells>
  <printOptions horizontalCentered="1"/>
  <pageMargins left="0.4" right="0.4" top="1" bottom="0.5" header="0.3" footer="0.511811023622047"/>
  <pageSetup paperSize="9" scale="69" orientation="landscape" r:id="rId1"/>
  <headerFooter>
    <oddHeader>&amp;C&amp;B&amp;16Fish with cream</oddHeader>
  </headerFooter>
  <rowBreaks count="1" manualBreakCount="1">
    <brk id="76" max="15" man="1"/>
  </rowBreaks>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BF9000"/>
    <pageSetUpPr fitToPage="1"/>
  </sheetPr>
  <dimension ref="A1:AG111"/>
  <sheetViews>
    <sheetView zoomScale="115" zoomScaleNormal="115" workbookViewId="0">
      <selection activeCell="A19" sqref="A19:XFD19"/>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3" width="12.625" style="14" customWidth="1"/>
    <col min="14" max="14" width="12.5" style="14" customWidth="1"/>
    <col min="15" max="15" width="18.625" style="14" customWidth="1"/>
    <col min="16" max="16" width="12.5" style="14" customWidth="1"/>
    <col min="17" max="17" width="18.625" style="14" customWidth="1"/>
    <col min="18" max="18" width="25.875" style="14" customWidth="1"/>
    <col min="19" max="19" width="12.5" style="14" customWidth="1"/>
    <col min="20" max="20" width="18.625" style="14" customWidth="1"/>
    <col min="21" max="21" width="12.625" style="14" customWidth="1"/>
    <col min="22" max="24" width="12.5" style="14" customWidth="1"/>
    <col min="25" max="30" width="8.625" style="14" customWidth="1"/>
    <col min="31" max="16384" width="12.5" style="14"/>
  </cols>
  <sheetData>
    <row r="1" spans="1:33" ht="25.5" x14ac:dyDescent="0.25">
      <c r="B1" s="913" t="s">
        <v>231</v>
      </c>
      <c r="C1" s="914">
        <v>1000</v>
      </c>
      <c r="D1" s="915" t="s">
        <v>232</v>
      </c>
      <c r="E1" s="941">
        <f>T32</f>
        <v>6880</v>
      </c>
      <c r="F1" s="913" t="s">
        <v>233</v>
      </c>
      <c r="G1" s="941">
        <f>E1/C1</f>
        <v>6.88</v>
      </c>
      <c r="H1" s="913" t="s">
        <v>234</v>
      </c>
      <c r="I1" s="941">
        <f>G1/K1</f>
        <v>6.88</v>
      </c>
      <c r="J1" s="919" t="s">
        <v>235</v>
      </c>
      <c r="K1" s="1208">
        <v>1</v>
      </c>
      <c r="L1" s="80"/>
      <c r="M1" s="70" t="s">
        <v>312</v>
      </c>
      <c r="N1" s="210"/>
      <c r="O1" s="72" t="s">
        <v>236</v>
      </c>
      <c r="P1" s="73"/>
      <c r="Q1" s="74" t="s">
        <v>238</v>
      </c>
      <c r="R1" s="890"/>
      <c r="Y1" s="923" t="s">
        <v>444</v>
      </c>
      <c r="Z1" s="925">
        <v>20640</v>
      </c>
      <c r="AA1" s="923" t="s">
        <v>544</v>
      </c>
      <c r="AB1" s="925">
        <v>0</v>
      </c>
      <c r="AC1" s="923" t="s">
        <v>537</v>
      </c>
      <c r="AD1" s="925">
        <v>141</v>
      </c>
    </row>
    <row r="2" spans="1:33" x14ac:dyDescent="0.25">
      <c r="A2" s="863"/>
      <c r="B2" s="1784" t="s">
        <v>72</v>
      </c>
      <c r="C2" s="1797"/>
      <c r="D2" s="1798"/>
      <c r="E2" s="1798"/>
      <c r="F2" s="1798"/>
      <c r="G2" s="1797"/>
      <c r="H2" s="1798"/>
      <c r="I2" s="1797"/>
      <c r="J2" s="1797"/>
      <c r="K2" s="1798"/>
      <c r="L2" s="187"/>
      <c r="M2" s="80"/>
      <c r="N2" s="80"/>
      <c r="O2" s="80"/>
      <c r="P2" s="80"/>
      <c r="Q2" s="80"/>
      <c r="R2" s="890"/>
      <c r="AE2" s="1821"/>
      <c r="AF2" s="1799"/>
      <c r="AG2" s="1799"/>
    </row>
    <row r="3" spans="1:33" x14ac:dyDescent="0.25">
      <c r="A3" s="863"/>
      <c r="B3" s="1785"/>
      <c r="C3" s="1796"/>
      <c r="D3" s="1785"/>
      <c r="E3" s="1785"/>
      <c r="F3" s="1785"/>
      <c r="G3" s="1796"/>
      <c r="H3" s="1785"/>
      <c r="I3" s="1796"/>
      <c r="J3" s="1796"/>
      <c r="K3" s="1785"/>
      <c r="L3" s="187"/>
      <c r="M3" s="80"/>
      <c r="N3" s="80"/>
      <c r="O3" s="80"/>
      <c r="P3" s="80"/>
      <c r="Q3" s="80"/>
      <c r="R3" s="890"/>
      <c r="AE3" s="1799"/>
      <c r="AF3" s="1799"/>
      <c r="AG3" s="1799"/>
    </row>
    <row r="4" spans="1:33" ht="25.5"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R4" s="890"/>
    </row>
    <row r="5" spans="1:33" x14ac:dyDescent="0.2">
      <c r="A5" s="876"/>
      <c r="B5" s="1288"/>
      <c r="C5" s="1289"/>
      <c r="D5" s="1290"/>
      <c r="E5" s="1291"/>
      <c r="F5" s="1290"/>
      <c r="G5" s="1290"/>
      <c r="H5" s="1334"/>
      <c r="I5" s="1290"/>
      <c r="J5" s="1290"/>
      <c r="K5" s="1290"/>
      <c r="L5" s="1290"/>
      <c r="R5" s="890"/>
    </row>
    <row r="6" spans="1:33" x14ac:dyDescent="0.25">
      <c r="A6" s="949" t="s">
        <v>881</v>
      </c>
      <c r="B6" s="1130" t="s">
        <v>12</v>
      </c>
      <c r="C6" s="939" t="s">
        <v>14</v>
      </c>
      <c r="D6" s="914">
        <v>75</v>
      </c>
      <c r="E6" s="940">
        <f t="shared" ref="E6:E24" si="0">$G$1</f>
        <v>6.88</v>
      </c>
      <c r="F6" s="948">
        <v>1</v>
      </c>
      <c r="G6" s="944">
        <f t="shared" ref="G6:G24" si="1">D6*E6</f>
        <v>516</v>
      </c>
      <c r="H6" s="943">
        <f t="shared" ref="H6:H24" si="2">G6*F6</f>
        <v>516</v>
      </c>
      <c r="I6" s="1281">
        <f>VLOOKUP(B6,All_Ingredients!$A$1:$F$161,6,FALSE())</f>
        <v>0.9</v>
      </c>
      <c r="J6" s="1281">
        <f>VLOOKUP(B6,All_Ingredients!$A$1:$J$161,10,FALSE())</f>
        <v>3</v>
      </c>
      <c r="K6" s="945">
        <f t="shared" ref="K6:K24" si="3">(H6/I6)/1000</f>
        <v>0.57333333333333336</v>
      </c>
      <c r="L6" s="945">
        <f t="shared" ref="L6:L24" si="4">K6*J6</f>
        <v>1.7200000000000002</v>
      </c>
      <c r="R6" s="890"/>
    </row>
    <row r="7" spans="1:33" x14ac:dyDescent="0.25">
      <c r="A7" s="949" t="s">
        <v>868</v>
      </c>
      <c r="B7" s="1130" t="s">
        <v>706</v>
      </c>
      <c r="C7" s="947" t="s">
        <v>14</v>
      </c>
      <c r="D7" s="914">
        <v>25</v>
      </c>
      <c r="E7" s="940">
        <f t="shared" si="0"/>
        <v>6.88</v>
      </c>
      <c r="F7" s="948">
        <v>1</v>
      </c>
      <c r="G7" s="944">
        <f t="shared" si="1"/>
        <v>172</v>
      </c>
      <c r="H7" s="943">
        <f t="shared" si="2"/>
        <v>172</v>
      </c>
      <c r="I7" s="1281">
        <f>VLOOKUP(B7,All_Ingredients!$A$1:$F$161,6,FALSE())</f>
        <v>1</v>
      </c>
      <c r="J7" s="1281">
        <f>VLOOKUP(B7,All_Ingredients!$A$1:$J$161,10,FALSE())</f>
        <v>10.5</v>
      </c>
      <c r="K7" s="945">
        <f t="shared" si="3"/>
        <v>0.17199999999999999</v>
      </c>
      <c r="L7" s="945">
        <f t="shared" si="4"/>
        <v>1.8059999999999998</v>
      </c>
      <c r="R7" s="890"/>
    </row>
    <row r="8" spans="1:33" x14ac:dyDescent="0.25">
      <c r="A8" s="949" t="s">
        <v>870</v>
      </c>
      <c r="B8" s="1130" t="s">
        <v>17</v>
      </c>
      <c r="C8" s="947" t="s">
        <v>14</v>
      </c>
      <c r="D8" s="914">
        <v>125</v>
      </c>
      <c r="E8" s="940">
        <f t="shared" si="0"/>
        <v>6.88</v>
      </c>
      <c r="F8" s="948">
        <v>1</v>
      </c>
      <c r="G8" s="944">
        <f t="shared" si="1"/>
        <v>860</v>
      </c>
      <c r="H8" s="943">
        <f t="shared" si="2"/>
        <v>860</v>
      </c>
      <c r="I8" s="1281">
        <f>VLOOKUP(B8,All_Ingredients!$A$1:$F$161,6,FALSE())</f>
        <v>0.98</v>
      </c>
      <c r="J8" s="1281">
        <f>VLOOKUP(B8,All_Ingredients!$A$1:$J$161,10,FALSE())</f>
        <v>3.5</v>
      </c>
      <c r="K8" s="945">
        <f t="shared" si="3"/>
        <v>0.87755102040816324</v>
      </c>
      <c r="L8" s="945">
        <f t="shared" si="4"/>
        <v>3.0714285714285712</v>
      </c>
      <c r="R8" s="890"/>
    </row>
    <row r="9" spans="1:33" x14ac:dyDescent="0.25">
      <c r="A9" s="949"/>
      <c r="B9" s="1130" t="s">
        <v>678</v>
      </c>
      <c r="C9" s="947" t="s">
        <v>14</v>
      </c>
      <c r="D9" s="1498">
        <v>150</v>
      </c>
      <c r="E9" s="940">
        <f t="shared" si="0"/>
        <v>6.88</v>
      </c>
      <c r="F9" s="948">
        <v>1</v>
      </c>
      <c r="G9" s="944">
        <f t="shared" si="1"/>
        <v>1032</v>
      </c>
      <c r="H9" s="943">
        <f t="shared" si="2"/>
        <v>1032</v>
      </c>
      <c r="I9" s="1281">
        <f>VLOOKUP(B9,All_Ingredients!$A$1:$F$161,6,FALSE())</f>
        <v>1</v>
      </c>
      <c r="J9" s="1281">
        <f>VLOOKUP(B9,All_Ingredients!$A$1:$J$161,10,FALSE())</f>
        <v>8.1520833333333336</v>
      </c>
      <c r="K9" s="945">
        <f t="shared" si="3"/>
        <v>1.032</v>
      </c>
      <c r="L9" s="945">
        <f t="shared" si="4"/>
        <v>8.4129500000000004</v>
      </c>
      <c r="R9" s="890"/>
    </row>
    <row r="10" spans="1:33" ht="28.5" x14ac:dyDescent="0.25">
      <c r="A10" s="949"/>
      <c r="B10" s="1130" t="s">
        <v>107</v>
      </c>
      <c r="C10" s="947" t="s">
        <v>14</v>
      </c>
      <c r="D10" s="914">
        <v>3</v>
      </c>
      <c r="E10" s="940">
        <f t="shared" si="0"/>
        <v>6.88</v>
      </c>
      <c r="F10" s="948">
        <v>1</v>
      </c>
      <c r="G10" s="944">
        <f t="shared" si="1"/>
        <v>20.64</v>
      </c>
      <c r="H10" s="943">
        <f t="shared" si="2"/>
        <v>20.64</v>
      </c>
      <c r="I10" s="1281">
        <f>VLOOKUP(B10,All_Ingredients!$A$1:$F$161,6,FALSE())</f>
        <v>1</v>
      </c>
      <c r="J10" s="1281">
        <f>VLOOKUP(B10,All_Ingredients!$A$1:$J$161,10,FALSE())</f>
        <v>8</v>
      </c>
      <c r="K10" s="945">
        <f t="shared" si="3"/>
        <v>2.0640000000000002E-2</v>
      </c>
      <c r="L10" s="945">
        <f t="shared" si="4"/>
        <v>0.16512000000000002</v>
      </c>
      <c r="R10" s="890"/>
    </row>
    <row r="11" spans="1:33" x14ac:dyDescent="0.25">
      <c r="A11" s="949"/>
      <c r="B11" s="1130" t="s">
        <v>105</v>
      </c>
      <c r="C11" s="947" t="s">
        <v>14</v>
      </c>
      <c r="D11" s="914">
        <v>6</v>
      </c>
      <c r="E11" s="940">
        <f t="shared" si="0"/>
        <v>6.88</v>
      </c>
      <c r="F11" s="948">
        <v>1</v>
      </c>
      <c r="G11" s="944">
        <f t="shared" si="1"/>
        <v>41.28</v>
      </c>
      <c r="H11" s="943">
        <f t="shared" si="2"/>
        <v>41.28</v>
      </c>
      <c r="I11" s="1281">
        <f>VLOOKUP(B11,All_Ingredients!$A$1:$F$161,6,FALSE())</f>
        <v>1</v>
      </c>
      <c r="J11" s="1281">
        <f>VLOOKUP(B11,All_Ingredients!$A$1:$J$161,10,FALSE())</f>
        <v>15</v>
      </c>
      <c r="K11" s="945">
        <f t="shared" si="3"/>
        <v>4.1280000000000004E-2</v>
      </c>
      <c r="L11" s="945">
        <f t="shared" si="4"/>
        <v>0.61920000000000008</v>
      </c>
      <c r="R11" s="890"/>
    </row>
    <row r="12" spans="1:33" ht="28.5" x14ac:dyDescent="0.25">
      <c r="A12" s="949"/>
      <c r="B12" s="1130" t="s">
        <v>122</v>
      </c>
      <c r="C12" s="947" t="s">
        <v>14</v>
      </c>
      <c r="D12" s="914">
        <v>2</v>
      </c>
      <c r="E12" s="940">
        <f t="shared" si="0"/>
        <v>6.88</v>
      </c>
      <c r="F12" s="948">
        <v>1</v>
      </c>
      <c r="G12" s="944">
        <f t="shared" si="1"/>
        <v>13.76</v>
      </c>
      <c r="H12" s="943">
        <f t="shared" si="2"/>
        <v>13.76</v>
      </c>
      <c r="I12" s="1281">
        <f>VLOOKUP(B12,All_Ingredients!$A$1:$F$161,6,FALSE())</f>
        <v>1</v>
      </c>
      <c r="J12" s="1281">
        <f>VLOOKUP(B12,All_Ingredients!$A$1:$J$161,10,FALSE())</f>
        <v>14</v>
      </c>
      <c r="K12" s="945">
        <f t="shared" si="3"/>
        <v>1.376E-2</v>
      </c>
      <c r="L12" s="945">
        <f t="shared" si="4"/>
        <v>0.19264000000000001</v>
      </c>
      <c r="R12" s="890"/>
    </row>
    <row r="13" spans="1:33" x14ac:dyDescent="0.25">
      <c r="A13" s="949"/>
      <c r="B13" s="1130" t="s">
        <v>198</v>
      </c>
      <c r="C13" s="1157" t="s">
        <v>160</v>
      </c>
      <c r="D13" s="914">
        <v>65</v>
      </c>
      <c r="E13" s="940">
        <f t="shared" si="0"/>
        <v>6.88</v>
      </c>
      <c r="F13" s="948">
        <v>1</v>
      </c>
      <c r="G13" s="944">
        <f t="shared" si="1"/>
        <v>447.2</v>
      </c>
      <c r="H13" s="943">
        <f t="shared" si="2"/>
        <v>447.2</v>
      </c>
      <c r="I13" s="1281">
        <f>VLOOKUP(B13,All_Ingredients!$A$1:$F$161,6,FALSE())</f>
        <v>1</v>
      </c>
      <c r="J13" s="1281">
        <f>VLOOKUP(B13,All_Ingredients!$A$1:$J$161,10,FALSE())</f>
        <v>3.25</v>
      </c>
      <c r="K13" s="945">
        <f t="shared" si="3"/>
        <v>0.44719999999999999</v>
      </c>
      <c r="L13" s="945">
        <f t="shared" si="4"/>
        <v>1.4534</v>
      </c>
      <c r="R13" s="890"/>
    </row>
    <row r="14" spans="1:33" ht="28.5" x14ac:dyDescent="0.25">
      <c r="A14" s="949"/>
      <c r="B14" s="1130" t="s">
        <v>99</v>
      </c>
      <c r="C14" s="947" t="s">
        <v>14</v>
      </c>
      <c r="D14" s="914">
        <v>1</v>
      </c>
      <c r="E14" s="940">
        <f t="shared" si="0"/>
        <v>6.88</v>
      </c>
      <c r="F14" s="948">
        <v>1</v>
      </c>
      <c r="G14" s="944">
        <f t="shared" si="1"/>
        <v>6.88</v>
      </c>
      <c r="H14" s="943">
        <f t="shared" si="2"/>
        <v>6.88</v>
      </c>
      <c r="I14" s="1281">
        <f>VLOOKUP(B14,All_Ingredients!$A$1:$F$161,6,FALSE())</f>
        <v>1</v>
      </c>
      <c r="J14" s="1281">
        <f>VLOOKUP(B14,All_Ingredients!$A$1:$J$161,10,FALSE())</f>
        <v>31</v>
      </c>
      <c r="K14" s="945">
        <f t="shared" si="3"/>
        <v>6.8799999999999998E-3</v>
      </c>
      <c r="L14" s="945">
        <f t="shared" si="4"/>
        <v>0.21328</v>
      </c>
      <c r="R14" s="890"/>
    </row>
    <row r="15" spans="1:33" x14ac:dyDescent="0.25">
      <c r="A15" s="949"/>
      <c r="B15" s="1130" t="s">
        <v>139</v>
      </c>
      <c r="C15" s="947" t="s">
        <v>14</v>
      </c>
      <c r="D15" s="914">
        <v>5</v>
      </c>
      <c r="E15" s="940">
        <f t="shared" si="0"/>
        <v>6.88</v>
      </c>
      <c r="F15" s="948">
        <v>1</v>
      </c>
      <c r="G15" s="944">
        <f t="shared" si="1"/>
        <v>34.4</v>
      </c>
      <c r="H15" s="943">
        <f t="shared" si="2"/>
        <v>34.4</v>
      </c>
      <c r="I15" s="1281">
        <f>VLOOKUP(B15,All_Ingredients!$A$1:$F$161,6,FALSE())</f>
        <v>1</v>
      </c>
      <c r="J15" s="1281">
        <f>VLOOKUP(B15,All_Ingredients!$A$1:$J$161,10,FALSE())</f>
        <v>15.277777777777779</v>
      </c>
      <c r="K15" s="945">
        <f t="shared" si="3"/>
        <v>3.44E-2</v>
      </c>
      <c r="L15" s="945">
        <f t="shared" si="4"/>
        <v>0.52555555555555555</v>
      </c>
      <c r="R15" s="890"/>
    </row>
    <row r="16" spans="1:33" ht="28.5" x14ac:dyDescent="0.25">
      <c r="A16" s="949"/>
      <c r="B16" s="1130" t="s">
        <v>192</v>
      </c>
      <c r="C16" s="947" t="s">
        <v>160</v>
      </c>
      <c r="D16" s="914">
        <v>20</v>
      </c>
      <c r="E16" s="940">
        <f t="shared" si="0"/>
        <v>6.88</v>
      </c>
      <c r="F16" s="948">
        <v>1</v>
      </c>
      <c r="G16" s="944">
        <f t="shared" si="1"/>
        <v>137.6</v>
      </c>
      <c r="H16" s="943">
        <f t="shared" si="2"/>
        <v>137.6</v>
      </c>
      <c r="I16" s="1281">
        <f>VLOOKUP(B16,All_Ingredients!$A$1:$F$161,6,FALSE())</f>
        <v>1</v>
      </c>
      <c r="J16" s="1281">
        <f>VLOOKUP(B16,All_Ingredients!$A$1:$J$161,10,FALSE())</f>
        <v>58.685446009389672</v>
      </c>
      <c r="K16" s="945">
        <f t="shared" si="3"/>
        <v>0.1376</v>
      </c>
      <c r="L16" s="945">
        <f t="shared" si="4"/>
        <v>8.0751173708920181</v>
      </c>
      <c r="R16" s="890"/>
    </row>
    <row r="17" spans="1:29" x14ac:dyDescent="0.25">
      <c r="A17" s="949"/>
      <c r="B17" s="1130" t="s">
        <v>187</v>
      </c>
      <c r="C17" s="947" t="s">
        <v>14</v>
      </c>
      <c r="D17" s="914">
        <v>12</v>
      </c>
      <c r="E17" s="940">
        <f t="shared" si="0"/>
        <v>6.88</v>
      </c>
      <c r="F17" s="948">
        <v>1</v>
      </c>
      <c r="G17" s="944">
        <f t="shared" si="1"/>
        <v>82.56</v>
      </c>
      <c r="H17" s="943">
        <f t="shared" si="2"/>
        <v>82.56</v>
      </c>
      <c r="I17" s="1281">
        <f>VLOOKUP(B17,All_Ingredients!$A$1:$F$161,6,FALSE())</f>
        <v>0.9</v>
      </c>
      <c r="J17" s="1281">
        <f>VLOOKUP(B17,All_Ingredients!$A$1:$J$161,10,FALSE())</f>
        <v>2.3199999999999998</v>
      </c>
      <c r="K17" s="945">
        <f t="shared" si="3"/>
        <v>9.1733333333333333E-2</v>
      </c>
      <c r="L17" s="945">
        <f t="shared" si="4"/>
        <v>0.21282133333333331</v>
      </c>
      <c r="R17" s="890"/>
    </row>
    <row r="18" spans="1:29" x14ac:dyDescent="0.25">
      <c r="A18" s="949" t="s">
        <v>870</v>
      </c>
      <c r="B18" s="1130" t="s">
        <v>17</v>
      </c>
      <c r="C18" s="947" t="s">
        <v>14</v>
      </c>
      <c r="D18" s="914">
        <v>125</v>
      </c>
      <c r="E18" s="940">
        <f t="shared" si="0"/>
        <v>6.88</v>
      </c>
      <c r="F18" s="948">
        <v>1</v>
      </c>
      <c r="G18" s="944">
        <f t="shared" si="1"/>
        <v>860</v>
      </c>
      <c r="H18" s="943">
        <f t="shared" si="2"/>
        <v>860</v>
      </c>
      <c r="I18" s="1281">
        <f>VLOOKUP(B18,All_Ingredients!$A$1:$F$161,6,FALSE())</f>
        <v>0.98</v>
      </c>
      <c r="J18" s="1281">
        <f>VLOOKUP(B18,All_Ingredients!$A$1:$J$161,10,FALSE())</f>
        <v>3.5</v>
      </c>
      <c r="K18" s="945">
        <f t="shared" si="3"/>
        <v>0.87755102040816324</v>
      </c>
      <c r="L18" s="945">
        <f t="shared" si="4"/>
        <v>3.0714285714285712</v>
      </c>
      <c r="R18" s="890"/>
    </row>
    <row r="19" spans="1:29" x14ac:dyDescent="0.25">
      <c r="A19" s="949"/>
      <c r="B19" s="1130" t="s">
        <v>23</v>
      </c>
      <c r="C19" s="947" t="s">
        <v>14</v>
      </c>
      <c r="D19" s="914">
        <v>1500</v>
      </c>
      <c r="E19" s="940">
        <f t="shared" si="0"/>
        <v>6.88</v>
      </c>
      <c r="F19" s="948">
        <v>1</v>
      </c>
      <c r="G19" s="944">
        <f t="shared" si="1"/>
        <v>10320</v>
      </c>
      <c r="H19" s="943">
        <f t="shared" si="2"/>
        <v>10320</v>
      </c>
      <c r="I19" s="1281">
        <f>VLOOKUP(B19,All_Ingredients!$A$1:$F$161,6,FALSE())</f>
        <v>0.82</v>
      </c>
      <c r="J19" s="1281">
        <f>VLOOKUP(B19,All_Ingredients!$A$1:$J$161,10,FALSE())</f>
        <v>3</v>
      </c>
      <c r="K19" s="945">
        <f t="shared" si="3"/>
        <v>12.585365853658537</v>
      </c>
      <c r="L19" s="945">
        <f t="shared" si="4"/>
        <v>37.756097560975611</v>
      </c>
      <c r="R19" s="890"/>
    </row>
    <row r="20" spans="1:29" x14ac:dyDescent="0.25">
      <c r="A20" s="949" t="s">
        <v>888</v>
      </c>
      <c r="B20" s="1130" t="s">
        <v>28</v>
      </c>
      <c r="C20" s="947" t="s">
        <v>14</v>
      </c>
      <c r="D20" s="914">
        <v>50</v>
      </c>
      <c r="E20" s="940">
        <f t="shared" si="0"/>
        <v>6.88</v>
      </c>
      <c r="F20" s="948">
        <v>1</v>
      </c>
      <c r="G20" s="944">
        <f t="shared" si="1"/>
        <v>344</v>
      </c>
      <c r="H20" s="943">
        <f t="shared" si="2"/>
        <v>344</v>
      </c>
      <c r="I20" s="1281">
        <f>VLOOKUP(B20,All_Ingredients!$A$1:$F$161,6,FALSE())</f>
        <v>0.73</v>
      </c>
      <c r="J20" s="1281">
        <f>VLOOKUP(B20,All_Ingredients!$A$1:$J$161,10,FALSE())</f>
        <v>8.5</v>
      </c>
      <c r="K20" s="945">
        <f t="shared" si="3"/>
        <v>0.47123287671232877</v>
      </c>
      <c r="L20" s="945">
        <f t="shared" si="4"/>
        <v>4.0054794520547947</v>
      </c>
      <c r="R20" s="890"/>
    </row>
    <row r="21" spans="1:29" x14ac:dyDescent="0.25">
      <c r="A21" s="949" t="s">
        <v>888</v>
      </c>
      <c r="B21" s="1130" t="s">
        <v>30</v>
      </c>
      <c r="C21" s="947" t="s">
        <v>14</v>
      </c>
      <c r="D21" s="914">
        <v>50</v>
      </c>
      <c r="E21" s="940">
        <f t="shared" si="0"/>
        <v>6.88</v>
      </c>
      <c r="F21" s="948">
        <v>1</v>
      </c>
      <c r="G21" s="944">
        <f t="shared" si="1"/>
        <v>344</v>
      </c>
      <c r="H21" s="943">
        <f t="shared" si="2"/>
        <v>344</v>
      </c>
      <c r="I21" s="1281">
        <f>VLOOKUP(B21,All_Ingredients!$A$1:$F$161,6,FALSE())</f>
        <v>0.71</v>
      </c>
      <c r="J21" s="1281">
        <f>VLOOKUP(B21,All_Ingredients!$A$1:$J$161,10,FALSE())</f>
        <v>8.5</v>
      </c>
      <c r="K21" s="945">
        <f t="shared" si="3"/>
        <v>0.48450704225352115</v>
      </c>
      <c r="L21" s="945">
        <f t="shared" si="4"/>
        <v>4.1183098591549294</v>
      </c>
      <c r="R21" s="890"/>
    </row>
    <row r="22" spans="1:29" ht="28.5" x14ac:dyDescent="0.25">
      <c r="A22" s="949" t="s">
        <v>888</v>
      </c>
      <c r="B22" s="1130" t="s">
        <v>32</v>
      </c>
      <c r="C22" s="947" t="s">
        <v>14</v>
      </c>
      <c r="D22" s="914">
        <v>50</v>
      </c>
      <c r="E22" s="940">
        <f t="shared" si="0"/>
        <v>6.88</v>
      </c>
      <c r="F22" s="948">
        <v>1</v>
      </c>
      <c r="G22" s="944">
        <f t="shared" si="1"/>
        <v>344</v>
      </c>
      <c r="H22" s="943">
        <f t="shared" si="2"/>
        <v>344</v>
      </c>
      <c r="I22" s="1281">
        <f>VLOOKUP(B22,All_Ingredients!$A$1:$F$161,6,FALSE())</f>
        <v>0.69</v>
      </c>
      <c r="J22" s="1281">
        <f>VLOOKUP(B22,All_Ingredients!$A$1:$J$161,10,FALSE())</f>
        <v>4</v>
      </c>
      <c r="K22" s="945">
        <f t="shared" si="3"/>
        <v>0.49855072463768119</v>
      </c>
      <c r="L22" s="945">
        <f t="shared" si="4"/>
        <v>1.9942028985507247</v>
      </c>
      <c r="R22" s="890"/>
    </row>
    <row r="23" spans="1:29" x14ac:dyDescent="0.25">
      <c r="A23" s="949" t="s">
        <v>889</v>
      </c>
      <c r="B23" s="1130" t="s">
        <v>21</v>
      </c>
      <c r="C23" s="947" t="s">
        <v>14</v>
      </c>
      <c r="D23" s="914">
        <v>300</v>
      </c>
      <c r="E23" s="940">
        <f t="shared" si="0"/>
        <v>6.88</v>
      </c>
      <c r="F23" s="948">
        <v>1</v>
      </c>
      <c r="G23" s="944">
        <f t="shared" si="1"/>
        <v>2064</v>
      </c>
      <c r="H23" s="943">
        <f t="shared" si="2"/>
        <v>2064</v>
      </c>
      <c r="I23" s="1281">
        <f>VLOOKUP(B23,All_Ingredients!$A$1:$F$161,6,FALSE())</f>
        <v>0.9</v>
      </c>
      <c r="J23" s="1281">
        <f>VLOOKUP(B23,All_Ingredients!$A$1:$J$161,10,FALSE())</f>
        <v>2.2999999999999998</v>
      </c>
      <c r="K23" s="945">
        <f t="shared" si="3"/>
        <v>2.2933333333333334</v>
      </c>
      <c r="L23" s="945">
        <f t="shared" si="4"/>
        <v>5.2746666666666666</v>
      </c>
      <c r="R23" s="890"/>
    </row>
    <row r="24" spans="1:29" x14ac:dyDescent="0.25">
      <c r="A24" s="949"/>
      <c r="B24" s="1130" t="s">
        <v>152</v>
      </c>
      <c r="C24" s="947" t="s">
        <v>14</v>
      </c>
      <c r="D24" s="914">
        <v>40</v>
      </c>
      <c r="E24" s="940">
        <f t="shared" si="0"/>
        <v>6.88</v>
      </c>
      <c r="F24" s="948">
        <v>1</v>
      </c>
      <c r="G24" s="944">
        <f t="shared" si="1"/>
        <v>275.2</v>
      </c>
      <c r="H24" s="943">
        <f t="shared" si="2"/>
        <v>275.2</v>
      </c>
      <c r="I24" s="1281">
        <f>VLOOKUP(B24,All_Ingredients!$A$1:$F$161,6,FALSE())</f>
        <v>1</v>
      </c>
      <c r="J24" s="1281">
        <f>VLOOKUP(B24,All_Ingredients!$A$1:$J$161,10,FALSE())</f>
        <v>30</v>
      </c>
      <c r="K24" s="945">
        <f t="shared" si="3"/>
        <v>0.2752</v>
      </c>
      <c r="L24" s="945">
        <f t="shared" si="4"/>
        <v>8.2560000000000002</v>
      </c>
      <c r="R24" s="890"/>
      <c r="Z24" s="597"/>
    </row>
    <row r="25" spans="1:29" x14ac:dyDescent="0.25">
      <c r="B25" s="1175"/>
      <c r="C25" s="89"/>
      <c r="D25" s="73"/>
      <c r="E25" s="95"/>
      <c r="F25" s="900"/>
      <c r="H25" s="890"/>
      <c r="K25" s="890"/>
      <c r="R25" s="1792" t="s">
        <v>376</v>
      </c>
      <c r="S25" s="1850"/>
      <c r="T25" s="1850"/>
      <c r="U25" s="1850"/>
      <c r="Z25" s="982" t="s">
        <v>252</v>
      </c>
      <c r="AA25" s="989">
        <v>1</v>
      </c>
      <c r="AB25" s="982" t="s">
        <v>249</v>
      </c>
      <c r="AC25" s="985">
        <f>(T35/T32)*AA25</f>
        <v>1.2018560732564068E-2</v>
      </c>
    </row>
    <row r="26" spans="1:29" x14ac:dyDescent="0.25">
      <c r="B26" s="890"/>
      <c r="D26" s="890"/>
      <c r="E26" s="80"/>
      <c r="F26" s="80"/>
      <c r="H26" s="890"/>
      <c r="K26" s="890"/>
      <c r="R26" s="1792" t="s">
        <v>337</v>
      </c>
      <c r="S26" s="1850"/>
      <c r="T26" s="1796"/>
      <c r="U26" s="1796"/>
    </row>
    <row r="27" spans="1:29" ht="15.75" thickBot="1" x14ac:dyDescent="0.3">
      <c r="B27" s="890"/>
      <c r="D27" s="890"/>
      <c r="E27" s="80"/>
      <c r="F27" s="80"/>
      <c r="H27" s="890"/>
      <c r="K27" s="890"/>
      <c r="R27" s="961" t="s">
        <v>254</v>
      </c>
      <c r="S27" s="1499"/>
      <c r="T27" s="962" t="s">
        <v>338</v>
      </c>
      <c r="U27" s="962" t="s">
        <v>257</v>
      </c>
    </row>
    <row r="28" spans="1:29" ht="15.75" thickBot="1" x14ac:dyDescent="0.3">
      <c r="B28" s="890"/>
      <c r="D28" s="890"/>
      <c r="E28" s="80"/>
      <c r="F28" s="80"/>
      <c r="H28" s="890"/>
      <c r="K28" s="890"/>
      <c r="R28" s="961" t="s">
        <v>263</v>
      </c>
      <c r="S28" s="1500"/>
      <c r="T28" s="966"/>
      <c r="U28" s="965">
        <f>$Z$1</f>
        <v>20640</v>
      </c>
    </row>
    <row r="29" spans="1:29" ht="15.75" thickBot="1" x14ac:dyDescent="0.3">
      <c r="B29" s="890"/>
      <c r="D29" s="890"/>
      <c r="E29" s="80"/>
      <c r="F29" s="80"/>
      <c r="H29" s="890"/>
      <c r="K29" s="890"/>
      <c r="R29" s="961" t="s">
        <v>264</v>
      </c>
      <c r="S29" s="1501"/>
      <c r="T29" s="966">
        <f>U28*(1/3)</f>
        <v>6880</v>
      </c>
      <c r="U29" s="975">
        <f>T29</f>
        <v>6880</v>
      </c>
    </row>
    <row r="30" spans="1:29" ht="15.75" thickBot="1" x14ac:dyDescent="0.3">
      <c r="B30" s="80"/>
      <c r="D30" s="890"/>
      <c r="E30" s="80"/>
      <c r="F30" s="80"/>
      <c r="H30" s="890"/>
      <c r="K30" s="890"/>
      <c r="R30" s="961" t="s">
        <v>265</v>
      </c>
      <c r="S30" s="1501"/>
      <c r="T30" s="966">
        <f>$AB$1*0.3</f>
        <v>0</v>
      </c>
      <c r="U30" s="975">
        <f>T30</f>
        <v>0</v>
      </c>
    </row>
    <row r="31" spans="1:29" ht="15.75" thickBot="1" x14ac:dyDescent="0.3">
      <c r="B31" s="80"/>
      <c r="D31" s="890"/>
      <c r="E31" s="80"/>
      <c r="F31" s="80"/>
      <c r="H31" s="890"/>
      <c r="K31" s="890"/>
      <c r="R31" s="961" t="s">
        <v>267</v>
      </c>
      <c r="S31" s="841"/>
      <c r="T31" s="1502"/>
      <c r="U31" s="1502"/>
    </row>
    <row r="32" spans="1:29" ht="15.75" thickBot="1" x14ac:dyDescent="0.3">
      <c r="B32" s="80"/>
      <c r="D32" s="890"/>
      <c r="E32" s="80"/>
      <c r="F32" s="80"/>
      <c r="H32" s="890"/>
      <c r="K32" s="890"/>
      <c r="R32" s="961" t="s">
        <v>257</v>
      </c>
      <c r="S32" s="840"/>
      <c r="T32" s="104">
        <f>SUM(_xlfn._TRO_LEADING(T28:T30))</f>
        <v>6880</v>
      </c>
      <c r="U32" s="104">
        <f>SUM(U29:U30)</f>
        <v>6880</v>
      </c>
    </row>
    <row r="33" spans="18:21" ht="30" x14ac:dyDescent="0.25">
      <c r="R33" s="976" t="s">
        <v>268</v>
      </c>
      <c r="S33" s="841"/>
      <c r="T33" s="676"/>
      <c r="U33" s="109"/>
    </row>
    <row r="34" spans="18:21" x14ac:dyDescent="0.25">
      <c r="R34" s="961" t="s">
        <v>269</v>
      </c>
      <c r="S34" s="841"/>
      <c r="T34" s="104"/>
      <c r="U34" s="109"/>
    </row>
    <row r="35" spans="18:21" x14ac:dyDescent="0.25">
      <c r="R35" s="977" t="s">
        <v>249</v>
      </c>
      <c r="S35" s="797"/>
      <c r="T35" s="548">
        <f>SUM(L6:L23)</f>
        <v>82.687697840040784</v>
      </c>
      <c r="U35" s="589">
        <f>S35+T35</f>
        <v>82.687697840040784</v>
      </c>
    </row>
    <row r="50" spans="1:8" x14ac:dyDescent="0.25">
      <c r="B50" s="961"/>
      <c r="C50" s="962" t="s">
        <v>233</v>
      </c>
      <c r="D50" s="961" t="s">
        <v>279</v>
      </c>
      <c r="E50" s="890"/>
      <c r="F50" s="890"/>
      <c r="H50" s="890"/>
    </row>
    <row r="51" spans="1:8" x14ac:dyDescent="0.25">
      <c r="B51" s="1027" t="s">
        <v>283</v>
      </c>
      <c r="C51" s="1028">
        <f>10/$K$1</f>
        <v>10</v>
      </c>
      <c r="D51" s="1029">
        <f>$C$1*10</f>
        <v>10000</v>
      </c>
      <c r="E51" s="890"/>
      <c r="F51" s="890"/>
      <c r="H51" s="890"/>
    </row>
    <row r="52" spans="1:8" x14ac:dyDescent="0.25">
      <c r="B52" s="958" t="s">
        <v>262</v>
      </c>
      <c r="C52" s="1099">
        <f>$I$1</f>
        <v>6.88</v>
      </c>
      <c r="D52" s="1100">
        <f>$E$1</f>
        <v>6880</v>
      </c>
      <c r="E52" s="890"/>
      <c r="F52" s="890"/>
      <c r="H52" s="890"/>
    </row>
    <row r="53" spans="1:8" x14ac:dyDescent="0.25">
      <c r="B53" s="958" t="s">
        <v>284</v>
      </c>
      <c r="C53" s="1101">
        <f>MIN(C52, C51)</f>
        <v>6.88</v>
      </c>
      <c r="D53" s="1100">
        <f>(C53*$K$1)*$C$1</f>
        <v>6880</v>
      </c>
      <c r="E53" s="890"/>
      <c r="F53" s="890"/>
      <c r="H53" s="890"/>
    </row>
    <row r="54" spans="1:8" x14ac:dyDescent="0.25">
      <c r="B54" s="958" t="s">
        <v>285</v>
      </c>
      <c r="C54" s="1101">
        <f>MIN(MAX(C52-C53,0),C51)</f>
        <v>0</v>
      </c>
      <c r="D54" s="1100">
        <f>(C54*$K$1)*$C$1</f>
        <v>0</v>
      </c>
      <c r="E54" s="890"/>
      <c r="F54" s="890"/>
      <c r="H54" s="890"/>
    </row>
    <row r="55" spans="1:8" x14ac:dyDescent="0.25">
      <c r="B55" s="958" t="s">
        <v>286</v>
      </c>
      <c r="C55" s="1101">
        <f>MIN(MAX(C52-C53-C54,0),C51)</f>
        <v>0</v>
      </c>
      <c r="D55" s="1100">
        <f>(C55*$K$1)*$C$1</f>
        <v>0</v>
      </c>
      <c r="E55" s="890"/>
      <c r="F55" s="890"/>
      <c r="H55" s="890"/>
    </row>
    <row r="56" spans="1:8" x14ac:dyDescent="0.25">
      <c r="B56" s="890"/>
      <c r="D56" s="890"/>
      <c r="E56" s="890"/>
      <c r="F56" s="890"/>
      <c r="H56" s="890"/>
    </row>
    <row r="57" spans="1:8" x14ac:dyDescent="0.25">
      <c r="B57" s="890"/>
      <c r="D57" s="890"/>
      <c r="E57" s="890"/>
      <c r="F57" s="890"/>
      <c r="H57" s="890"/>
    </row>
    <row r="58" spans="1:8" x14ac:dyDescent="0.25">
      <c r="B58" s="890"/>
      <c r="D58" s="890"/>
      <c r="E58" s="890"/>
      <c r="F58" s="890"/>
      <c r="H58" s="890"/>
    </row>
    <row r="59" spans="1:8" x14ac:dyDescent="0.25">
      <c r="B59" s="890"/>
      <c r="D59" s="890"/>
      <c r="E59" s="890"/>
      <c r="F59" s="890"/>
      <c r="H59" s="890"/>
    </row>
    <row r="60" spans="1:8" x14ac:dyDescent="0.25">
      <c r="B60" s="890"/>
      <c r="D60" s="890"/>
      <c r="E60" s="890"/>
      <c r="F60" s="890"/>
      <c r="H60" s="890"/>
    </row>
    <row r="61" spans="1:8" x14ac:dyDescent="0.25">
      <c r="B61" s="890"/>
      <c r="D61" s="890"/>
      <c r="E61" s="890"/>
      <c r="F61" s="890"/>
      <c r="H61" s="890"/>
    </row>
    <row r="62" spans="1:8" x14ac:dyDescent="0.25">
      <c r="B62" s="890"/>
      <c r="D62" s="890"/>
      <c r="E62" s="890"/>
      <c r="F62" s="890"/>
      <c r="H62" s="890"/>
    </row>
    <row r="63" spans="1:8" x14ac:dyDescent="0.25">
      <c r="A63" s="1036"/>
      <c r="B63" s="1776" t="str">
        <f>"  خضار المسقعة 1 / " &amp; COUNTIF($C$53:$C$54, "&gt;0")</f>
        <v xml:space="preserve">  خضار المسقعة 1 / 1</v>
      </c>
      <c r="C63" s="1777"/>
      <c r="D63" s="1778"/>
      <c r="E63" s="1778"/>
      <c r="F63" s="1778"/>
      <c r="G63" s="1777"/>
      <c r="H63" s="1778"/>
    </row>
    <row r="64" spans="1:8" x14ac:dyDescent="0.25">
      <c r="A64" s="1036"/>
      <c r="B64" s="1776" t="str">
        <f>" Moussaka Vegi 1 / " &amp; COUNTIF($C$53:$C$54, "&gt;0")</f>
        <v xml:space="preserve"> Moussaka Vegi 1 / 1</v>
      </c>
      <c r="C64" s="1777"/>
      <c r="D64" s="1778"/>
      <c r="E64" s="1778"/>
      <c r="F64" s="1778"/>
      <c r="G64" s="1777"/>
      <c r="H64" s="1778"/>
    </row>
    <row r="65" spans="1:8" ht="38.25" x14ac:dyDescent="0.2">
      <c r="A65" s="1514" t="s">
        <v>864</v>
      </c>
      <c r="B65" s="1104" t="s">
        <v>241</v>
      </c>
      <c r="C65" s="934" t="s">
        <v>242</v>
      </c>
      <c r="D65" s="1104" t="s">
        <v>231</v>
      </c>
      <c r="E65" s="936" t="s">
        <v>234</v>
      </c>
      <c r="F65" s="936" t="s">
        <v>243</v>
      </c>
      <c r="G65" s="1104" t="s">
        <v>244</v>
      </c>
      <c r="H65" s="936" t="s">
        <v>245</v>
      </c>
    </row>
    <row r="66" spans="1:8" x14ac:dyDescent="0.25">
      <c r="A66" s="949" t="s">
        <v>881</v>
      </c>
      <c r="B66" s="1130" t="str">
        <f t="shared" ref="B66:D84" si="5">B6</f>
        <v>Onion - بصل</v>
      </c>
      <c r="C66" s="947" t="str">
        <f t="shared" si="5"/>
        <v>gm</v>
      </c>
      <c r="D66" s="914">
        <f t="shared" si="5"/>
        <v>75</v>
      </c>
      <c r="E66" s="940">
        <f>$C$53</f>
        <v>6.88</v>
      </c>
      <c r="F66" s="948">
        <f t="shared" ref="F66:F84" si="6">F6</f>
        <v>1</v>
      </c>
      <c r="G66" s="940">
        <f t="shared" ref="G66:G84" si="7">D66*E66</f>
        <v>516</v>
      </c>
      <c r="H66" s="943">
        <f t="shared" ref="H66:H84" si="8">G66*F66</f>
        <v>516</v>
      </c>
    </row>
    <row r="67" spans="1:8" x14ac:dyDescent="0.25">
      <c r="A67" s="949" t="s">
        <v>868</v>
      </c>
      <c r="B67" s="1130" t="str">
        <f t="shared" si="5"/>
        <v>Garlic - ثوم مقشر</v>
      </c>
      <c r="C67" s="947" t="str">
        <f t="shared" si="5"/>
        <v>gm</v>
      </c>
      <c r="D67" s="914">
        <f t="shared" si="5"/>
        <v>25</v>
      </c>
      <c r="E67" s="940">
        <f t="shared" ref="E67:E84" si="9">$C$53</f>
        <v>6.88</v>
      </c>
      <c r="F67" s="948">
        <f t="shared" si="6"/>
        <v>1</v>
      </c>
      <c r="G67" s="940">
        <f t="shared" si="7"/>
        <v>172</v>
      </c>
      <c r="H67" s="943">
        <f t="shared" si="8"/>
        <v>172</v>
      </c>
    </row>
    <row r="68" spans="1:8" x14ac:dyDescent="0.25">
      <c r="A68" s="949" t="s">
        <v>870</v>
      </c>
      <c r="B68" s="1130" t="str">
        <f t="shared" si="5"/>
        <v>Tomato - طماطم</v>
      </c>
      <c r="C68" s="947" t="str">
        <f t="shared" si="5"/>
        <v>gm</v>
      </c>
      <c r="D68" s="914">
        <f t="shared" si="5"/>
        <v>125</v>
      </c>
      <c r="E68" s="940">
        <f t="shared" si="9"/>
        <v>6.88</v>
      </c>
      <c r="F68" s="948">
        <f t="shared" si="6"/>
        <v>1</v>
      </c>
      <c r="G68" s="940">
        <f t="shared" si="7"/>
        <v>860</v>
      </c>
      <c r="H68" s="943">
        <f t="shared" si="8"/>
        <v>860</v>
      </c>
    </row>
    <row r="69" spans="1:8" x14ac:dyDescent="0.25">
      <c r="A69" s="949"/>
      <c r="B69" s="1130" t="str">
        <f t="shared" si="5"/>
        <v>Tomato Paste - صلصة طماطم</v>
      </c>
      <c r="C69" s="947" t="str">
        <f t="shared" si="5"/>
        <v>gm</v>
      </c>
      <c r="D69" s="914">
        <f t="shared" si="5"/>
        <v>150</v>
      </c>
      <c r="E69" s="940">
        <f t="shared" si="9"/>
        <v>6.88</v>
      </c>
      <c r="F69" s="948">
        <f t="shared" si="6"/>
        <v>1</v>
      </c>
      <c r="G69" s="940">
        <f t="shared" si="7"/>
        <v>1032</v>
      </c>
      <c r="H69" s="943">
        <f t="shared" si="8"/>
        <v>1032</v>
      </c>
    </row>
    <row r="70" spans="1:8" ht="28.5" x14ac:dyDescent="0.25">
      <c r="A70" s="949"/>
      <c r="B70" s="1130" t="str">
        <f t="shared" si="5"/>
        <v>Coriander Powder - كزبرة مطحونة</v>
      </c>
      <c r="C70" s="947" t="str">
        <f t="shared" si="5"/>
        <v>gm</v>
      </c>
      <c r="D70" s="914">
        <f t="shared" si="5"/>
        <v>3</v>
      </c>
      <c r="E70" s="940">
        <f t="shared" si="9"/>
        <v>6.88</v>
      </c>
      <c r="F70" s="948">
        <f t="shared" si="6"/>
        <v>1</v>
      </c>
      <c r="G70" s="940">
        <f t="shared" si="7"/>
        <v>20.64</v>
      </c>
      <c r="H70" s="943">
        <f t="shared" si="8"/>
        <v>20.64</v>
      </c>
    </row>
    <row r="71" spans="1:8" x14ac:dyDescent="0.25">
      <c r="A71" s="949"/>
      <c r="B71" s="1130" t="str">
        <f t="shared" si="5"/>
        <v>Cumin Powder - كمون مطحون</v>
      </c>
      <c r="C71" s="947" t="str">
        <f t="shared" si="5"/>
        <v>gm</v>
      </c>
      <c r="D71" s="914">
        <f t="shared" si="5"/>
        <v>6</v>
      </c>
      <c r="E71" s="940">
        <f t="shared" si="9"/>
        <v>6.88</v>
      </c>
      <c r="F71" s="948">
        <f t="shared" si="6"/>
        <v>1</v>
      </c>
      <c r="G71" s="940">
        <f t="shared" si="7"/>
        <v>41.28</v>
      </c>
      <c r="H71" s="943">
        <f t="shared" si="8"/>
        <v>41.28</v>
      </c>
    </row>
    <row r="72" spans="1:8" ht="28.5" x14ac:dyDescent="0.25">
      <c r="A72" s="949"/>
      <c r="B72" s="1130" t="str">
        <f t="shared" si="5"/>
        <v>Cinnamon Powder - قرفة مطحونة</v>
      </c>
      <c r="C72" s="947" t="str">
        <f t="shared" si="5"/>
        <v>gm</v>
      </c>
      <c r="D72" s="914">
        <f t="shared" si="5"/>
        <v>2</v>
      </c>
      <c r="E72" s="940">
        <f t="shared" si="9"/>
        <v>6.88</v>
      </c>
      <c r="F72" s="948">
        <f t="shared" si="6"/>
        <v>1</v>
      </c>
      <c r="G72" s="940">
        <f t="shared" si="7"/>
        <v>13.76</v>
      </c>
      <c r="H72" s="943">
        <f t="shared" si="8"/>
        <v>13.76</v>
      </c>
    </row>
    <row r="73" spans="1:8" x14ac:dyDescent="0.25">
      <c r="A73" s="949"/>
      <c r="B73" s="1130" t="str">
        <f t="shared" si="5"/>
        <v>Tomato Ketchup - كاتشب طماطم</v>
      </c>
      <c r="C73" s="947" t="str">
        <f t="shared" si="5"/>
        <v>ml</v>
      </c>
      <c r="D73" s="914">
        <f t="shared" si="5"/>
        <v>65</v>
      </c>
      <c r="E73" s="940">
        <f t="shared" si="9"/>
        <v>6.88</v>
      </c>
      <c r="F73" s="948">
        <f t="shared" si="6"/>
        <v>1</v>
      </c>
      <c r="G73" s="940">
        <f t="shared" si="7"/>
        <v>447.2</v>
      </c>
      <c r="H73" s="943">
        <f t="shared" si="8"/>
        <v>447.2</v>
      </c>
    </row>
    <row r="74" spans="1:8" ht="28.5" x14ac:dyDescent="0.25">
      <c r="A74" s="949"/>
      <c r="B74" s="1130" t="str">
        <f t="shared" si="5"/>
        <v>Black Pepper Powder - فلفل أسود مطحون</v>
      </c>
      <c r="C74" s="947" t="str">
        <f t="shared" si="5"/>
        <v>gm</v>
      </c>
      <c r="D74" s="914">
        <f t="shared" si="5"/>
        <v>1</v>
      </c>
      <c r="E74" s="940">
        <f t="shared" si="9"/>
        <v>6.88</v>
      </c>
      <c r="F74" s="948">
        <f t="shared" si="6"/>
        <v>1</v>
      </c>
      <c r="G74" s="940">
        <f t="shared" si="7"/>
        <v>6.88</v>
      </c>
      <c r="H74" s="943">
        <f t="shared" si="8"/>
        <v>6.88</v>
      </c>
    </row>
    <row r="75" spans="1:8" x14ac:dyDescent="0.25">
      <c r="A75" s="949"/>
      <c r="B75" s="1130" t="str">
        <f t="shared" si="5"/>
        <v>Maggi Cubes - مكعبات ماجي</v>
      </c>
      <c r="C75" s="947" t="str">
        <f t="shared" si="5"/>
        <v>gm</v>
      </c>
      <c r="D75" s="914">
        <f t="shared" si="5"/>
        <v>5</v>
      </c>
      <c r="E75" s="940">
        <f t="shared" si="9"/>
        <v>6.88</v>
      </c>
      <c r="F75" s="948">
        <f t="shared" si="6"/>
        <v>1</v>
      </c>
      <c r="G75" s="940">
        <f t="shared" si="7"/>
        <v>34.4</v>
      </c>
      <c r="H75" s="943">
        <f t="shared" si="8"/>
        <v>34.4</v>
      </c>
    </row>
    <row r="76" spans="1:8" ht="28.5" x14ac:dyDescent="0.25">
      <c r="A76" s="949"/>
      <c r="B76" s="1130" t="str">
        <f t="shared" si="5"/>
        <v>Sriracha Sauce - صوص سريراتشا</v>
      </c>
      <c r="C76" s="947" t="str">
        <f t="shared" si="5"/>
        <v>ml</v>
      </c>
      <c r="D76" s="914">
        <f t="shared" si="5"/>
        <v>20</v>
      </c>
      <c r="E76" s="940">
        <f t="shared" si="9"/>
        <v>6.88</v>
      </c>
      <c r="F76" s="948">
        <f t="shared" si="6"/>
        <v>1</v>
      </c>
      <c r="G76" s="940">
        <f t="shared" si="7"/>
        <v>137.6</v>
      </c>
      <c r="H76" s="943">
        <f t="shared" si="8"/>
        <v>137.6</v>
      </c>
    </row>
    <row r="77" spans="1:8" x14ac:dyDescent="0.25">
      <c r="A77" s="949"/>
      <c r="B77" s="1130" t="str">
        <f t="shared" si="5"/>
        <v>Corn Starch - نشا ذرة</v>
      </c>
      <c r="C77" s="947" t="str">
        <f t="shared" si="5"/>
        <v>gm</v>
      </c>
      <c r="D77" s="914">
        <f t="shared" si="5"/>
        <v>12</v>
      </c>
      <c r="E77" s="940">
        <f t="shared" si="9"/>
        <v>6.88</v>
      </c>
      <c r="F77" s="948">
        <f t="shared" si="6"/>
        <v>1</v>
      </c>
      <c r="G77" s="940">
        <f t="shared" si="7"/>
        <v>82.56</v>
      </c>
      <c r="H77" s="943">
        <f t="shared" si="8"/>
        <v>82.56</v>
      </c>
    </row>
    <row r="78" spans="1:8" x14ac:dyDescent="0.25">
      <c r="A78" s="949" t="s">
        <v>870</v>
      </c>
      <c r="B78" s="1130" t="str">
        <f t="shared" si="5"/>
        <v>Tomato - طماطم</v>
      </c>
      <c r="C78" s="947" t="str">
        <f t="shared" si="5"/>
        <v>gm</v>
      </c>
      <c r="D78" s="914">
        <f t="shared" si="5"/>
        <v>125</v>
      </c>
      <c r="E78" s="940">
        <f t="shared" si="9"/>
        <v>6.88</v>
      </c>
      <c r="F78" s="948">
        <f t="shared" si="6"/>
        <v>1</v>
      </c>
      <c r="G78" s="940">
        <f t="shared" si="7"/>
        <v>860</v>
      </c>
      <c r="H78" s="943">
        <f t="shared" si="8"/>
        <v>860</v>
      </c>
    </row>
    <row r="79" spans="1:8" x14ac:dyDescent="0.25">
      <c r="A79" s="949"/>
      <c r="B79" s="1130" t="str">
        <f t="shared" si="5"/>
        <v>Eggplant - باذنجان</v>
      </c>
      <c r="C79" s="947" t="str">
        <f t="shared" si="5"/>
        <v>gm</v>
      </c>
      <c r="D79" s="914">
        <f t="shared" si="5"/>
        <v>1500</v>
      </c>
      <c r="E79" s="940">
        <f t="shared" si="9"/>
        <v>6.88</v>
      </c>
      <c r="F79" s="948">
        <f t="shared" si="6"/>
        <v>1</v>
      </c>
      <c r="G79" s="940">
        <f t="shared" si="7"/>
        <v>10320</v>
      </c>
      <c r="H79" s="943">
        <f t="shared" si="8"/>
        <v>10320</v>
      </c>
    </row>
    <row r="80" spans="1:8" x14ac:dyDescent="0.25">
      <c r="A80" s="949" t="s">
        <v>888</v>
      </c>
      <c r="B80" s="1130" t="str">
        <f t="shared" si="5"/>
        <v xml:space="preserve">Red Bell Pepper - فلفل أحمر </v>
      </c>
      <c r="C80" s="947" t="str">
        <f t="shared" si="5"/>
        <v>gm</v>
      </c>
      <c r="D80" s="914">
        <f t="shared" si="5"/>
        <v>50</v>
      </c>
      <c r="E80" s="940">
        <f t="shared" si="9"/>
        <v>6.88</v>
      </c>
      <c r="F80" s="948">
        <f t="shared" si="6"/>
        <v>1</v>
      </c>
      <c r="G80" s="940">
        <f t="shared" si="7"/>
        <v>344</v>
      </c>
      <c r="H80" s="943">
        <f t="shared" si="8"/>
        <v>344</v>
      </c>
    </row>
    <row r="81" spans="1:8" x14ac:dyDescent="0.25">
      <c r="A81" s="949" t="s">
        <v>888</v>
      </c>
      <c r="B81" s="1130" t="str">
        <f t="shared" si="5"/>
        <v xml:space="preserve">Yellow Bell Pepper - فلفل أصفر </v>
      </c>
      <c r="C81" s="947" t="str">
        <f t="shared" si="5"/>
        <v>gm</v>
      </c>
      <c r="D81" s="914">
        <f t="shared" si="5"/>
        <v>50</v>
      </c>
      <c r="E81" s="940">
        <f t="shared" si="9"/>
        <v>6.88</v>
      </c>
      <c r="F81" s="948">
        <f t="shared" si="6"/>
        <v>1</v>
      </c>
      <c r="G81" s="940">
        <f t="shared" si="7"/>
        <v>344</v>
      </c>
      <c r="H81" s="943">
        <f t="shared" si="8"/>
        <v>344</v>
      </c>
    </row>
    <row r="82" spans="1:8" ht="28.5" x14ac:dyDescent="0.25">
      <c r="A82" s="949" t="s">
        <v>888</v>
      </c>
      <c r="B82" s="1130" t="str">
        <f t="shared" si="5"/>
        <v>Green Bell Pepper - فلفل أخضر رومى</v>
      </c>
      <c r="C82" s="947" t="str">
        <f t="shared" si="5"/>
        <v>gm</v>
      </c>
      <c r="D82" s="914">
        <f t="shared" si="5"/>
        <v>50</v>
      </c>
      <c r="E82" s="940">
        <f t="shared" si="9"/>
        <v>6.88</v>
      </c>
      <c r="F82" s="948">
        <f t="shared" si="6"/>
        <v>1</v>
      </c>
      <c r="G82" s="940">
        <f t="shared" si="7"/>
        <v>344</v>
      </c>
      <c r="H82" s="943">
        <f t="shared" si="8"/>
        <v>344</v>
      </c>
    </row>
    <row r="83" spans="1:8" x14ac:dyDescent="0.25">
      <c r="A83" s="949" t="s">
        <v>889</v>
      </c>
      <c r="B83" s="1130" t="str">
        <f t="shared" si="5"/>
        <v>Potato - بطاطس</v>
      </c>
      <c r="C83" s="947" t="str">
        <f t="shared" si="5"/>
        <v>gm</v>
      </c>
      <c r="D83" s="914">
        <f t="shared" si="5"/>
        <v>300</v>
      </c>
      <c r="E83" s="940">
        <f t="shared" si="9"/>
        <v>6.88</v>
      </c>
      <c r="F83" s="948">
        <f t="shared" si="6"/>
        <v>1</v>
      </c>
      <c r="G83" s="940">
        <f t="shared" si="7"/>
        <v>2064</v>
      </c>
      <c r="H83" s="943">
        <f t="shared" si="8"/>
        <v>2064</v>
      </c>
    </row>
    <row r="84" spans="1:8" x14ac:dyDescent="0.25">
      <c r="A84" s="949"/>
      <c r="B84" s="1130" t="str">
        <f t="shared" si="5"/>
        <v>Butter - زبدة</v>
      </c>
      <c r="C84" s="947" t="str">
        <f t="shared" si="5"/>
        <v>gm</v>
      </c>
      <c r="D84" s="914">
        <f t="shared" si="5"/>
        <v>40</v>
      </c>
      <c r="E84" s="940">
        <f t="shared" si="9"/>
        <v>6.88</v>
      </c>
      <c r="F84" s="948">
        <f t="shared" si="6"/>
        <v>1</v>
      </c>
      <c r="G84" s="940">
        <f t="shared" si="7"/>
        <v>275.2</v>
      </c>
      <c r="H84" s="943">
        <f t="shared" si="8"/>
        <v>275.2</v>
      </c>
    </row>
    <row r="85" spans="1:8" ht="18" x14ac:dyDescent="0.25">
      <c r="A85" s="1503"/>
      <c r="B85" s="1044" t="s">
        <v>273</v>
      </c>
      <c r="C85" s="952"/>
      <c r="D85" s="1043"/>
      <c r="E85" s="1173"/>
      <c r="F85" s="1043"/>
      <c r="G85" s="1171"/>
      <c r="H85" s="1504"/>
    </row>
    <row r="86" spans="1:8" ht="20.25" x14ac:dyDescent="0.3">
      <c r="A86" s="1503"/>
      <c r="B86" s="1047">
        <f>D53</f>
        <v>6880</v>
      </c>
      <c r="C86" s="952"/>
      <c r="D86" s="1049"/>
      <c r="E86" s="1333"/>
      <c r="F86" s="1050"/>
      <c r="G86" s="1332"/>
      <c r="H86" s="1505"/>
    </row>
    <row r="87" spans="1:8" x14ac:dyDescent="0.25">
      <c r="B87" s="890"/>
      <c r="D87" s="890"/>
      <c r="E87" s="890"/>
      <c r="F87" s="890"/>
      <c r="H87" s="890"/>
    </row>
    <row r="88" spans="1:8" x14ac:dyDescent="0.25">
      <c r="A88" s="1036"/>
      <c r="B88" s="1776" t="str">
        <f>"  خضار المسقعة 2 / " &amp; COUNTIF($C$52:$C$53, "&gt;0")</f>
        <v xml:space="preserve">  خضار المسقعة 2 / 2</v>
      </c>
      <c r="C88" s="1777"/>
      <c r="D88" s="1778"/>
      <c r="E88" s="1778"/>
      <c r="F88" s="1778"/>
      <c r="G88" s="1777"/>
      <c r="H88" s="1778"/>
    </row>
    <row r="89" spans="1:8" x14ac:dyDescent="0.25">
      <c r="A89" s="1036"/>
      <c r="B89" s="1776" t="str">
        <f>" Moussaka Vegi 2 / " &amp; COUNTIF($C$52:$C$53, "&gt;0")</f>
        <v xml:space="preserve"> Moussaka Vegi 2 / 2</v>
      </c>
      <c r="C89" s="1777"/>
      <c r="D89" s="1778"/>
      <c r="E89" s="1778"/>
      <c r="F89" s="1778"/>
      <c r="G89" s="1777"/>
      <c r="H89" s="1778"/>
    </row>
    <row r="90" spans="1:8" ht="38.25" x14ac:dyDescent="0.2">
      <c r="A90" s="1514" t="s">
        <v>864</v>
      </c>
      <c r="B90" s="1104" t="s">
        <v>241</v>
      </c>
      <c r="C90" s="934" t="s">
        <v>242</v>
      </c>
      <c r="D90" s="1104" t="s">
        <v>231</v>
      </c>
      <c r="E90" s="936" t="s">
        <v>234</v>
      </c>
      <c r="F90" s="936" t="s">
        <v>243</v>
      </c>
      <c r="G90" s="1104" t="s">
        <v>244</v>
      </c>
      <c r="H90" s="936" t="s">
        <v>245</v>
      </c>
    </row>
    <row r="91" spans="1:8" x14ac:dyDescent="0.25">
      <c r="A91" s="949" t="s">
        <v>881</v>
      </c>
      <c r="B91" s="1130" t="str">
        <f t="shared" ref="B91:D109" si="10">B6</f>
        <v>Onion - بصل</v>
      </c>
      <c r="C91" s="1252" t="str">
        <f t="shared" si="10"/>
        <v>gm</v>
      </c>
      <c r="D91" s="1130">
        <f t="shared" si="10"/>
        <v>75</v>
      </c>
      <c r="E91" s="1040">
        <f>$C$54</f>
        <v>0</v>
      </c>
      <c r="F91" s="948">
        <f>F6</f>
        <v>1</v>
      </c>
      <c r="G91" s="940">
        <f t="shared" ref="G91:G109" si="11">D91*E91</f>
        <v>0</v>
      </c>
      <c r="H91" s="943">
        <f t="shared" ref="H91:H109" si="12">G91*F91</f>
        <v>0</v>
      </c>
    </row>
    <row r="92" spans="1:8" x14ac:dyDescent="0.25">
      <c r="A92" s="949" t="s">
        <v>868</v>
      </c>
      <c r="B92" s="1130" t="str">
        <f t="shared" si="10"/>
        <v>Garlic - ثوم مقشر</v>
      </c>
      <c r="C92" s="1252" t="str">
        <f t="shared" si="10"/>
        <v>gm</v>
      </c>
      <c r="D92" s="1130">
        <f t="shared" si="10"/>
        <v>25</v>
      </c>
      <c r="E92" s="1040">
        <f t="shared" ref="E92:E109" si="13">$C$54</f>
        <v>0</v>
      </c>
      <c r="F92" s="948">
        <f t="shared" ref="F92:F109" si="14">F7</f>
        <v>1</v>
      </c>
      <c r="G92" s="940">
        <f t="shared" si="11"/>
        <v>0</v>
      </c>
      <c r="H92" s="943">
        <f t="shared" si="12"/>
        <v>0</v>
      </c>
    </row>
    <row r="93" spans="1:8" x14ac:dyDescent="0.25">
      <c r="A93" s="949" t="s">
        <v>870</v>
      </c>
      <c r="B93" s="1130" t="str">
        <f t="shared" si="10"/>
        <v>Tomato - طماطم</v>
      </c>
      <c r="C93" s="1252" t="str">
        <f t="shared" si="10"/>
        <v>gm</v>
      </c>
      <c r="D93" s="1130">
        <f t="shared" si="10"/>
        <v>125</v>
      </c>
      <c r="E93" s="1040">
        <f t="shared" si="13"/>
        <v>0</v>
      </c>
      <c r="F93" s="948">
        <f t="shared" si="14"/>
        <v>1</v>
      </c>
      <c r="G93" s="940">
        <f t="shared" si="11"/>
        <v>0</v>
      </c>
      <c r="H93" s="943">
        <f t="shared" si="12"/>
        <v>0</v>
      </c>
    </row>
    <row r="94" spans="1:8" x14ac:dyDescent="0.25">
      <c r="A94" s="949"/>
      <c r="B94" s="1130" t="str">
        <f t="shared" si="10"/>
        <v>Tomato Paste - صلصة طماطم</v>
      </c>
      <c r="C94" s="1252" t="str">
        <f t="shared" si="10"/>
        <v>gm</v>
      </c>
      <c r="D94" s="1130">
        <f t="shared" si="10"/>
        <v>150</v>
      </c>
      <c r="E94" s="1040">
        <f t="shared" si="13"/>
        <v>0</v>
      </c>
      <c r="F94" s="948">
        <f t="shared" si="14"/>
        <v>1</v>
      </c>
      <c r="G94" s="940">
        <f t="shared" si="11"/>
        <v>0</v>
      </c>
      <c r="H94" s="943">
        <f t="shared" si="12"/>
        <v>0</v>
      </c>
    </row>
    <row r="95" spans="1:8" ht="28.5" x14ac:dyDescent="0.25">
      <c r="A95" s="949"/>
      <c r="B95" s="1130" t="str">
        <f t="shared" si="10"/>
        <v>Coriander Powder - كزبرة مطحونة</v>
      </c>
      <c r="C95" s="1252" t="str">
        <f t="shared" si="10"/>
        <v>gm</v>
      </c>
      <c r="D95" s="1130">
        <f t="shared" si="10"/>
        <v>3</v>
      </c>
      <c r="E95" s="1040">
        <f t="shared" si="13"/>
        <v>0</v>
      </c>
      <c r="F95" s="948">
        <f t="shared" si="14"/>
        <v>1</v>
      </c>
      <c r="G95" s="940">
        <f t="shared" si="11"/>
        <v>0</v>
      </c>
      <c r="H95" s="943">
        <f t="shared" si="12"/>
        <v>0</v>
      </c>
    </row>
    <row r="96" spans="1:8" x14ac:dyDescent="0.25">
      <c r="A96" s="949"/>
      <c r="B96" s="1130" t="str">
        <f t="shared" si="10"/>
        <v>Cumin Powder - كمون مطحون</v>
      </c>
      <c r="C96" s="1252" t="str">
        <f t="shared" si="10"/>
        <v>gm</v>
      </c>
      <c r="D96" s="1130">
        <f t="shared" si="10"/>
        <v>6</v>
      </c>
      <c r="E96" s="1040">
        <f t="shared" si="13"/>
        <v>0</v>
      </c>
      <c r="F96" s="948">
        <f t="shared" si="14"/>
        <v>1</v>
      </c>
      <c r="G96" s="940">
        <f t="shared" si="11"/>
        <v>0</v>
      </c>
      <c r="H96" s="943">
        <f t="shared" si="12"/>
        <v>0</v>
      </c>
    </row>
    <row r="97" spans="1:8" ht="28.5" x14ac:dyDescent="0.25">
      <c r="A97" s="949"/>
      <c r="B97" s="1130" t="str">
        <f t="shared" si="10"/>
        <v>Cinnamon Powder - قرفة مطحونة</v>
      </c>
      <c r="C97" s="1252" t="str">
        <f t="shared" si="10"/>
        <v>gm</v>
      </c>
      <c r="D97" s="1130">
        <f t="shared" si="10"/>
        <v>2</v>
      </c>
      <c r="E97" s="1040">
        <f t="shared" si="13"/>
        <v>0</v>
      </c>
      <c r="F97" s="948">
        <f t="shared" si="14"/>
        <v>1</v>
      </c>
      <c r="G97" s="940">
        <f t="shared" si="11"/>
        <v>0</v>
      </c>
      <c r="H97" s="943">
        <f t="shared" si="12"/>
        <v>0</v>
      </c>
    </row>
    <row r="98" spans="1:8" x14ac:dyDescent="0.25">
      <c r="A98" s="949"/>
      <c r="B98" s="1130" t="str">
        <f t="shared" si="10"/>
        <v>Tomato Ketchup - كاتشب طماطم</v>
      </c>
      <c r="C98" s="1252" t="str">
        <f t="shared" si="10"/>
        <v>ml</v>
      </c>
      <c r="D98" s="1130">
        <f t="shared" si="10"/>
        <v>65</v>
      </c>
      <c r="E98" s="1040">
        <f t="shared" si="13"/>
        <v>0</v>
      </c>
      <c r="F98" s="948">
        <f t="shared" si="14"/>
        <v>1</v>
      </c>
      <c r="G98" s="940">
        <f t="shared" si="11"/>
        <v>0</v>
      </c>
      <c r="H98" s="943">
        <f t="shared" si="12"/>
        <v>0</v>
      </c>
    </row>
    <row r="99" spans="1:8" ht="28.5" x14ac:dyDescent="0.25">
      <c r="A99" s="949"/>
      <c r="B99" s="1130" t="str">
        <f t="shared" si="10"/>
        <v>Black Pepper Powder - فلفل أسود مطحون</v>
      </c>
      <c r="C99" s="1252" t="str">
        <f t="shared" si="10"/>
        <v>gm</v>
      </c>
      <c r="D99" s="1130">
        <f t="shared" si="10"/>
        <v>1</v>
      </c>
      <c r="E99" s="1040">
        <f t="shared" si="13"/>
        <v>0</v>
      </c>
      <c r="F99" s="948">
        <f t="shared" si="14"/>
        <v>1</v>
      </c>
      <c r="G99" s="940">
        <f t="shared" si="11"/>
        <v>0</v>
      </c>
      <c r="H99" s="943">
        <f t="shared" si="12"/>
        <v>0</v>
      </c>
    </row>
    <row r="100" spans="1:8" x14ac:dyDescent="0.25">
      <c r="A100" s="949"/>
      <c r="B100" s="1130" t="str">
        <f t="shared" si="10"/>
        <v>Maggi Cubes - مكعبات ماجي</v>
      </c>
      <c r="C100" s="1252" t="str">
        <f t="shared" si="10"/>
        <v>gm</v>
      </c>
      <c r="D100" s="1130">
        <f t="shared" si="10"/>
        <v>5</v>
      </c>
      <c r="E100" s="1040">
        <f t="shared" si="13"/>
        <v>0</v>
      </c>
      <c r="F100" s="948">
        <f t="shared" si="14"/>
        <v>1</v>
      </c>
      <c r="G100" s="940">
        <f t="shared" si="11"/>
        <v>0</v>
      </c>
      <c r="H100" s="943">
        <f t="shared" si="12"/>
        <v>0</v>
      </c>
    </row>
    <row r="101" spans="1:8" ht="28.5" x14ac:dyDescent="0.25">
      <c r="A101" s="949"/>
      <c r="B101" s="1130" t="str">
        <f t="shared" si="10"/>
        <v>Sriracha Sauce - صوص سريراتشا</v>
      </c>
      <c r="C101" s="1252" t="str">
        <f t="shared" si="10"/>
        <v>ml</v>
      </c>
      <c r="D101" s="1130">
        <f t="shared" si="10"/>
        <v>20</v>
      </c>
      <c r="E101" s="1040">
        <f t="shared" si="13"/>
        <v>0</v>
      </c>
      <c r="F101" s="948">
        <f t="shared" si="14"/>
        <v>1</v>
      </c>
      <c r="G101" s="940">
        <f t="shared" si="11"/>
        <v>0</v>
      </c>
      <c r="H101" s="943">
        <f t="shared" si="12"/>
        <v>0</v>
      </c>
    </row>
    <row r="102" spans="1:8" x14ac:dyDescent="0.25">
      <c r="A102" s="949"/>
      <c r="B102" s="1130" t="str">
        <f t="shared" si="10"/>
        <v>Corn Starch - نشا ذرة</v>
      </c>
      <c r="C102" s="1252" t="str">
        <f t="shared" si="10"/>
        <v>gm</v>
      </c>
      <c r="D102" s="1130">
        <f t="shared" si="10"/>
        <v>12</v>
      </c>
      <c r="E102" s="1040">
        <f t="shared" si="13"/>
        <v>0</v>
      </c>
      <c r="F102" s="948">
        <f t="shared" si="14"/>
        <v>1</v>
      </c>
      <c r="G102" s="940">
        <f t="shared" si="11"/>
        <v>0</v>
      </c>
      <c r="H102" s="943">
        <f t="shared" si="12"/>
        <v>0</v>
      </c>
    </row>
    <row r="103" spans="1:8" x14ac:dyDescent="0.25">
      <c r="A103" s="949" t="s">
        <v>870</v>
      </c>
      <c r="B103" s="1130" t="str">
        <f t="shared" si="10"/>
        <v>Tomato - طماطم</v>
      </c>
      <c r="C103" s="1252" t="str">
        <f t="shared" si="10"/>
        <v>gm</v>
      </c>
      <c r="D103" s="1130">
        <f t="shared" si="10"/>
        <v>125</v>
      </c>
      <c r="E103" s="1040">
        <f t="shared" si="13"/>
        <v>0</v>
      </c>
      <c r="F103" s="948">
        <f t="shared" si="14"/>
        <v>1</v>
      </c>
      <c r="G103" s="940">
        <f t="shared" si="11"/>
        <v>0</v>
      </c>
      <c r="H103" s="943">
        <f t="shared" si="12"/>
        <v>0</v>
      </c>
    </row>
    <row r="104" spans="1:8" x14ac:dyDescent="0.25">
      <c r="A104" s="949"/>
      <c r="B104" s="1130" t="str">
        <f t="shared" si="10"/>
        <v>Eggplant - باذنجان</v>
      </c>
      <c r="C104" s="1252" t="str">
        <f t="shared" si="10"/>
        <v>gm</v>
      </c>
      <c r="D104" s="1130">
        <f t="shared" si="10"/>
        <v>1500</v>
      </c>
      <c r="E104" s="1040">
        <f t="shared" si="13"/>
        <v>0</v>
      </c>
      <c r="F104" s="948">
        <f t="shared" si="14"/>
        <v>1</v>
      </c>
      <c r="G104" s="940">
        <f t="shared" si="11"/>
        <v>0</v>
      </c>
      <c r="H104" s="943">
        <f t="shared" si="12"/>
        <v>0</v>
      </c>
    </row>
    <row r="105" spans="1:8" x14ac:dyDescent="0.25">
      <c r="A105" s="949" t="s">
        <v>888</v>
      </c>
      <c r="B105" s="1130" t="str">
        <f t="shared" si="10"/>
        <v xml:space="preserve">Red Bell Pepper - فلفل أحمر </v>
      </c>
      <c r="C105" s="1252" t="str">
        <f t="shared" si="10"/>
        <v>gm</v>
      </c>
      <c r="D105" s="1130">
        <f t="shared" si="10"/>
        <v>50</v>
      </c>
      <c r="E105" s="1040">
        <f t="shared" si="13"/>
        <v>0</v>
      </c>
      <c r="F105" s="948">
        <f t="shared" si="14"/>
        <v>1</v>
      </c>
      <c r="G105" s="940">
        <f t="shared" si="11"/>
        <v>0</v>
      </c>
      <c r="H105" s="943">
        <f t="shared" si="12"/>
        <v>0</v>
      </c>
    </row>
    <row r="106" spans="1:8" x14ac:dyDescent="0.25">
      <c r="A106" s="949" t="s">
        <v>888</v>
      </c>
      <c r="B106" s="1130" t="str">
        <f t="shared" si="10"/>
        <v xml:space="preserve">Yellow Bell Pepper - فلفل أصفر </v>
      </c>
      <c r="C106" s="1252" t="str">
        <f t="shared" si="10"/>
        <v>gm</v>
      </c>
      <c r="D106" s="1130">
        <f t="shared" si="10"/>
        <v>50</v>
      </c>
      <c r="E106" s="1040">
        <f t="shared" si="13"/>
        <v>0</v>
      </c>
      <c r="F106" s="948">
        <f t="shared" si="14"/>
        <v>1</v>
      </c>
      <c r="G106" s="940">
        <f t="shared" si="11"/>
        <v>0</v>
      </c>
      <c r="H106" s="943">
        <f t="shared" si="12"/>
        <v>0</v>
      </c>
    </row>
    <row r="107" spans="1:8" ht="28.5" x14ac:dyDescent="0.25">
      <c r="A107" s="949" t="s">
        <v>888</v>
      </c>
      <c r="B107" s="1130" t="str">
        <f t="shared" si="10"/>
        <v>Green Bell Pepper - فلفل أخضر رومى</v>
      </c>
      <c r="C107" s="1252" t="str">
        <f t="shared" si="10"/>
        <v>gm</v>
      </c>
      <c r="D107" s="1130">
        <f t="shared" si="10"/>
        <v>50</v>
      </c>
      <c r="E107" s="1040">
        <f t="shared" si="13"/>
        <v>0</v>
      </c>
      <c r="F107" s="948">
        <f t="shared" si="14"/>
        <v>1</v>
      </c>
      <c r="G107" s="940">
        <f t="shared" si="11"/>
        <v>0</v>
      </c>
      <c r="H107" s="943">
        <f t="shared" si="12"/>
        <v>0</v>
      </c>
    </row>
    <row r="108" spans="1:8" x14ac:dyDescent="0.25">
      <c r="A108" s="949" t="s">
        <v>889</v>
      </c>
      <c r="B108" s="1130" t="str">
        <f t="shared" si="10"/>
        <v>Potato - بطاطس</v>
      </c>
      <c r="C108" s="1252" t="str">
        <f t="shared" si="10"/>
        <v>gm</v>
      </c>
      <c r="D108" s="1130">
        <f t="shared" si="10"/>
        <v>300</v>
      </c>
      <c r="E108" s="1040">
        <f t="shared" si="13"/>
        <v>0</v>
      </c>
      <c r="F108" s="948">
        <f t="shared" si="14"/>
        <v>1</v>
      </c>
      <c r="G108" s="940">
        <f t="shared" si="11"/>
        <v>0</v>
      </c>
      <c r="H108" s="943">
        <f t="shared" si="12"/>
        <v>0</v>
      </c>
    </row>
    <row r="109" spans="1:8" x14ac:dyDescent="0.25">
      <c r="A109" s="949"/>
      <c r="B109" s="1130" t="str">
        <f t="shared" si="10"/>
        <v>Butter - زبدة</v>
      </c>
      <c r="C109" s="1252" t="str">
        <f t="shared" si="10"/>
        <v>gm</v>
      </c>
      <c r="D109" s="1130">
        <f t="shared" si="10"/>
        <v>40</v>
      </c>
      <c r="E109" s="1040">
        <f t="shared" si="13"/>
        <v>0</v>
      </c>
      <c r="F109" s="948">
        <f t="shared" si="14"/>
        <v>1</v>
      </c>
      <c r="G109" s="940">
        <f t="shared" si="11"/>
        <v>0</v>
      </c>
      <c r="H109" s="943">
        <f t="shared" si="12"/>
        <v>0</v>
      </c>
    </row>
    <row r="110" spans="1:8" ht="18" x14ac:dyDescent="0.25">
      <c r="A110" s="1503"/>
      <c r="B110" s="1044" t="s">
        <v>273</v>
      </c>
      <c r="C110" s="952"/>
      <c r="D110" s="1506"/>
      <c r="E110" s="1504"/>
      <c r="F110" s="1506"/>
      <c r="G110" s="1507"/>
      <c r="H110" s="1504"/>
    </row>
    <row r="111" spans="1:8" ht="20.25" x14ac:dyDescent="0.3">
      <c r="A111" s="1503"/>
      <c r="B111" s="1047">
        <f>D54</f>
        <v>0</v>
      </c>
      <c r="C111" s="952"/>
      <c r="D111" s="1508"/>
      <c r="E111" s="1509"/>
      <c r="F111" s="1510"/>
      <c r="G111" s="1511"/>
      <c r="H111" s="1505"/>
    </row>
  </sheetData>
  <mergeCells count="8">
    <mergeCell ref="B88:H88"/>
    <mergeCell ref="B89:H89"/>
    <mergeCell ref="B64:H64"/>
    <mergeCell ref="AE2:AG3"/>
    <mergeCell ref="B63:H63"/>
    <mergeCell ref="R26:U26"/>
    <mergeCell ref="R25:U25"/>
    <mergeCell ref="B2:K3"/>
  </mergeCells>
  <printOptions horizontalCentered="1"/>
  <pageMargins left="0.4" right="0.4" top="1" bottom="0.5" header="0.3" footer="0.511811023622047"/>
  <pageSetup paperSize="9" scale="66" fitToHeight="0" orientation="landscape" r:id="rId1"/>
  <headerFooter>
    <oddHeader>&amp;C&amp;B&amp;16Moussaka Vegi&amp;R&amp;B Day 3</oddHeader>
    <oddFooter>&amp;CPage &amp;P of &amp;N</oddFooter>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7" tint="-0.249977111117893"/>
    <pageSetUpPr fitToPage="1"/>
  </sheetPr>
  <dimension ref="A1:AG103"/>
  <sheetViews>
    <sheetView topLeftCell="A56" zoomScale="40" zoomScaleNormal="40" workbookViewId="0">
      <selection activeCell="A86" sqref="A86"/>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3" width="15.375" style="14" customWidth="1"/>
    <col min="14" max="14" width="12.5" style="14" customWidth="1"/>
    <col min="15" max="15" width="18.625" style="14" customWidth="1"/>
    <col min="16" max="16" width="8.625" style="14" customWidth="1"/>
    <col min="17" max="17" width="18.625" style="14" customWidth="1"/>
    <col min="18" max="18" width="25.875" style="14" customWidth="1"/>
    <col min="19" max="19" width="18.625" style="14" customWidth="1"/>
    <col min="20" max="20" width="25.875" style="14" customWidth="1"/>
    <col min="21" max="22" width="12.625" style="14" customWidth="1"/>
    <col min="23" max="23" width="25.875" style="14" customWidth="1"/>
    <col min="24" max="24" width="12.5" style="14"/>
    <col min="25" max="25" width="8.625" style="14" customWidth="1"/>
    <col min="26" max="30" width="12.625" style="14" customWidth="1"/>
    <col min="31" max="16384" width="12.5" style="14"/>
  </cols>
  <sheetData>
    <row r="1" spans="1:33" ht="25.5" x14ac:dyDescent="0.25">
      <c r="B1" s="913" t="s">
        <v>231</v>
      </c>
      <c r="C1" s="914">
        <v>1000</v>
      </c>
      <c r="D1" s="915" t="s">
        <v>232</v>
      </c>
      <c r="E1" s="941">
        <f>T32</f>
        <v>7329.4703999999992</v>
      </c>
      <c r="F1" s="913" t="s">
        <v>233</v>
      </c>
      <c r="G1" s="1063">
        <f>E1/C1</f>
        <v>7.3294703999999991</v>
      </c>
      <c r="H1" s="913" t="s">
        <v>234</v>
      </c>
      <c r="I1" s="1512">
        <f>G1/K1</f>
        <v>7.3294703999999991</v>
      </c>
      <c r="J1" s="919" t="s">
        <v>235</v>
      </c>
      <c r="K1" s="944">
        <v>1</v>
      </c>
      <c r="L1" s="80"/>
      <c r="M1" s="70"/>
      <c r="N1" s="922"/>
      <c r="O1" s="923" t="s">
        <v>236</v>
      </c>
      <c r="P1" s="914" t="s">
        <v>289</v>
      </c>
      <c r="Q1" s="924" t="s">
        <v>238</v>
      </c>
      <c r="R1" s="914">
        <v>0.66</v>
      </c>
      <c r="T1" s="890"/>
      <c r="W1" s="890"/>
      <c r="Y1" s="923" t="s">
        <v>444</v>
      </c>
      <c r="Z1" s="925">
        <v>20640</v>
      </c>
      <c r="AA1" s="923" t="s">
        <v>544</v>
      </c>
      <c r="AB1" s="925">
        <v>0</v>
      </c>
      <c r="AC1" s="923" t="s">
        <v>537</v>
      </c>
      <c r="AD1" s="925">
        <v>141</v>
      </c>
    </row>
    <row r="2" spans="1:33" x14ac:dyDescent="0.25">
      <c r="A2" s="863"/>
      <c r="B2" s="1851"/>
      <c r="C2" s="1799"/>
      <c r="D2" s="1816"/>
      <c r="E2" s="1816"/>
      <c r="F2" s="1816"/>
      <c r="G2" s="1799"/>
      <c r="H2" s="1816"/>
      <c r="I2" s="1799"/>
      <c r="J2" s="1799"/>
      <c r="K2" s="1816"/>
      <c r="L2" s="187"/>
      <c r="M2" s="80"/>
      <c r="N2" s="80"/>
      <c r="O2" s="80"/>
      <c r="P2" s="80"/>
      <c r="Q2" s="80"/>
      <c r="R2" s="80"/>
      <c r="T2" s="890"/>
      <c r="W2" s="890"/>
      <c r="AE2" s="1821"/>
      <c r="AF2" s="1799"/>
      <c r="AG2" s="1799"/>
    </row>
    <row r="3" spans="1:33" x14ac:dyDescent="0.25">
      <c r="A3" s="863"/>
      <c r="B3" s="1785"/>
      <c r="C3" s="1796"/>
      <c r="D3" s="1785"/>
      <c r="E3" s="1785"/>
      <c r="F3" s="1785"/>
      <c r="G3" s="1796"/>
      <c r="H3" s="1785"/>
      <c r="I3" s="1796"/>
      <c r="J3" s="1796"/>
      <c r="K3" s="1785"/>
      <c r="L3" s="187"/>
      <c r="M3" s="80"/>
      <c r="N3" s="80"/>
      <c r="O3" s="80"/>
      <c r="P3" s="80"/>
      <c r="Q3" s="80"/>
      <c r="R3" s="80"/>
      <c r="T3" s="890"/>
      <c r="W3" s="890"/>
      <c r="AE3" s="1799"/>
      <c r="AF3" s="1799"/>
      <c r="AG3" s="1799"/>
    </row>
    <row r="4" spans="1:33" ht="38.25" x14ac:dyDescent="0.2">
      <c r="A4" s="1514" t="s">
        <v>864</v>
      </c>
      <c r="B4" s="1104" t="s">
        <v>241</v>
      </c>
      <c r="C4" s="934" t="s">
        <v>242</v>
      </c>
      <c r="D4" s="1104" t="s">
        <v>231</v>
      </c>
      <c r="E4" s="936" t="s">
        <v>234</v>
      </c>
      <c r="F4" s="936" t="s">
        <v>243</v>
      </c>
      <c r="G4" s="1104" t="s">
        <v>244</v>
      </c>
      <c r="H4" s="936" t="s">
        <v>245</v>
      </c>
      <c r="I4" s="923" t="s">
        <v>246</v>
      </c>
      <c r="J4" s="923" t="s">
        <v>247</v>
      </c>
      <c r="K4" s="923" t="s">
        <v>248</v>
      </c>
      <c r="L4" s="923" t="s">
        <v>249</v>
      </c>
      <c r="M4" s="80"/>
      <c r="N4" s="80"/>
      <c r="O4" s="80"/>
      <c r="P4" s="80"/>
      <c r="R4" s="890"/>
      <c r="T4" s="890"/>
      <c r="W4" s="890"/>
    </row>
    <row r="5" spans="1:33" ht="28.5" x14ac:dyDescent="0.2">
      <c r="A5" s="937" t="s">
        <v>892</v>
      </c>
      <c r="B5" s="960" t="s">
        <v>226</v>
      </c>
      <c r="C5" s="939" t="s">
        <v>14</v>
      </c>
      <c r="D5" s="944">
        <f>I51/10</f>
        <v>2751.8181818181815</v>
      </c>
      <c r="E5" s="918">
        <f>H52</f>
        <v>7.3287796498183022</v>
      </c>
      <c r="F5" s="948">
        <v>1</v>
      </c>
      <c r="G5" s="944">
        <f t="shared" ref="G5:G19" si="0">D5*E5</f>
        <v>20167.46909090909</v>
      </c>
      <c r="H5" s="943">
        <f t="shared" ref="H5:H19" si="1">G5*F5</f>
        <v>20167.46909090909</v>
      </c>
      <c r="I5" s="914">
        <f>VLOOKUP(B5,All_Ingredients!$A$1:$F$161,6,FALSE())</f>
        <v>0.99</v>
      </c>
      <c r="J5" s="940">
        <f>VLOOKUP(B5,All_Ingredients!$A$1:$J$161,10,FALSE())</f>
        <v>11.75</v>
      </c>
      <c r="K5" s="945">
        <f>(H5/I5)/1000</f>
        <v>20.371180899908172</v>
      </c>
      <c r="L5" s="945">
        <f>K5*J5</f>
        <v>239.36137557392101</v>
      </c>
      <c r="M5" s="80"/>
      <c r="N5" s="80"/>
      <c r="O5" s="80"/>
      <c r="P5" s="80"/>
      <c r="R5" s="890"/>
      <c r="T5" s="890"/>
      <c r="W5" s="890"/>
    </row>
    <row r="6" spans="1:33" x14ac:dyDescent="0.25">
      <c r="A6" s="949" t="s">
        <v>881</v>
      </c>
      <c r="B6" s="960" t="s">
        <v>12</v>
      </c>
      <c r="C6" s="947" t="s">
        <v>14</v>
      </c>
      <c r="D6" s="914">
        <v>416</v>
      </c>
      <c r="E6" s="940">
        <f>$G$1</f>
        <v>7.3294703999999991</v>
      </c>
      <c r="F6" s="948">
        <v>1</v>
      </c>
      <c r="G6" s="944">
        <f t="shared" si="0"/>
        <v>3049.0596863999995</v>
      </c>
      <c r="H6" s="943">
        <f t="shared" si="1"/>
        <v>3049.0596863999995</v>
      </c>
      <c r="I6" s="914">
        <f>VLOOKUP(B6,All_Ingredients!$A$1:$F$161,6,FALSE())</f>
        <v>0.9</v>
      </c>
      <c r="J6" s="940">
        <f>VLOOKUP(B6,All_Ingredients!$A$1:$J$161,10,FALSE())</f>
        <v>3</v>
      </c>
      <c r="K6" s="945">
        <f t="shared" ref="K6:K19" si="2">(H6/I6)/1000</f>
        <v>3.3878440959999994</v>
      </c>
      <c r="L6" s="945">
        <f t="shared" ref="L6:L19" si="3">K6*J6</f>
        <v>10.163532287999999</v>
      </c>
      <c r="R6" s="890"/>
      <c r="T6" s="890"/>
      <c r="W6" s="890"/>
    </row>
    <row r="7" spans="1:33" x14ac:dyDescent="0.25">
      <c r="A7" s="949"/>
      <c r="B7" s="960" t="s">
        <v>152</v>
      </c>
      <c r="C7" s="947" t="s">
        <v>14</v>
      </c>
      <c r="D7" s="914">
        <v>25</v>
      </c>
      <c r="E7" s="940">
        <f t="shared" ref="E7:E19" si="4">$G$1</f>
        <v>7.3294703999999991</v>
      </c>
      <c r="F7" s="948">
        <v>1</v>
      </c>
      <c r="G7" s="944">
        <f t="shared" si="0"/>
        <v>183.23675999999998</v>
      </c>
      <c r="H7" s="943">
        <f t="shared" si="1"/>
        <v>183.23675999999998</v>
      </c>
      <c r="I7" s="914">
        <f>VLOOKUP(B7,All_Ingredients!$A$1:$F$161,6,FALSE())</f>
        <v>1</v>
      </c>
      <c r="J7" s="940">
        <f>VLOOKUP(B7,All_Ingredients!$A$1:$J$161,10,FALSE())</f>
        <v>30</v>
      </c>
      <c r="K7" s="945">
        <f t="shared" si="2"/>
        <v>0.18323675999999997</v>
      </c>
      <c r="L7" s="945">
        <f t="shared" si="3"/>
        <v>5.4971027999999995</v>
      </c>
      <c r="R7" s="890"/>
      <c r="T7" s="890"/>
      <c r="W7" s="890"/>
    </row>
    <row r="8" spans="1:33" x14ac:dyDescent="0.25">
      <c r="A8" s="949" t="s">
        <v>870</v>
      </c>
      <c r="B8" s="960" t="s">
        <v>17</v>
      </c>
      <c r="C8" s="947" t="s">
        <v>14</v>
      </c>
      <c r="D8" s="914">
        <v>416</v>
      </c>
      <c r="E8" s="940">
        <f t="shared" si="4"/>
        <v>7.3294703999999991</v>
      </c>
      <c r="F8" s="948">
        <v>1</v>
      </c>
      <c r="G8" s="944">
        <f t="shared" si="0"/>
        <v>3049.0596863999995</v>
      </c>
      <c r="H8" s="943">
        <f t="shared" si="1"/>
        <v>3049.0596863999995</v>
      </c>
      <c r="I8" s="914">
        <f>VLOOKUP(B8,All_Ingredients!$A$1:$F$161,6,FALSE())</f>
        <v>0.98</v>
      </c>
      <c r="J8" s="940">
        <f>VLOOKUP(B8,All_Ingredients!$A$1:$J$161,10,FALSE())</f>
        <v>3.5</v>
      </c>
      <c r="K8" s="945">
        <f t="shared" si="2"/>
        <v>3.1112853942857135</v>
      </c>
      <c r="L8" s="945">
        <f t="shared" si="3"/>
        <v>10.889498879999998</v>
      </c>
      <c r="R8" s="890"/>
      <c r="T8" s="890"/>
      <c r="W8" s="890"/>
    </row>
    <row r="9" spans="1:33" x14ac:dyDescent="0.25">
      <c r="A9" s="949"/>
      <c r="B9" s="960" t="s">
        <v>105</v>
      </c>
      <c r="C9" s="947" t="s">
        <v>14</v>
      </c>
      <c r="D9" s="914">
        <v>8</v>
      </c>
      <c r="E9" s="940">
        <f t="shared" si="4"/>
        <v>7.3294703999999991</v>
      </c>
      <c r="F9" s="948">
        <v>1</v>
      </c>
      <c r="G9" s="944">
        <f t="shared" si="0"/>
        <v>58.635763199999992</v>
      </c>
      <c r="H9" s="943">
        <f t="shared" si="1"/>
        <v>58.635763199999992</v>
      </c>
      <c r="I9" s="914">
        <f>VLOOKUP(B9,All_Ingredients!$A$1:$F$161,6,FALSE())</f>
        <v>1</v>
      </c>
      <c r="J9" s="940">
        <f>VLOOKUP(B9,All_Ingredients!$A$1:$J$161,10,FALSE())</f>
        <v>15</v>
      </c>
      <c r="K9" s="945">
        <f t="shared" si="2"/>
        <v>5.8635763199999989E-2</v>
      </c>
      <c r="L9" s="945">
        <f t="shared" si="3"/>
        <v>0.87953644799999986</v>
      </c>
      <c r="R9" s="890"/>
      <c r="T9" s="890"/>
      <c r="W9" s="890"/>
    </row>
    <row r="10" spans="1:33" ht="29.25" x14ac:dyDescent="0.25">
      <c r="A10" s="949"/>
      <c r="B10" s="960" t="s">
        <v>107</v>
      </c>
      <c r="C10" s="947" t="s">
        <v>14</v>
      </c>
      <c r="D10" s="914">
        <v>16</v>
      </c>
      <c r="E10" s="940">
        <f t="shared" si="4"/>
        <v>7.3294703999999991</v>
      </c>
      <c r="F10" s="948">
        <v>1</v>
      </c>
      <c r="G10" s="944">
        <f t="shared" si="0"/>
        <v>117.27152639999998</v>
      </c>
      <c r="H10" s="943">
        <f t="shared" si="1"/>
        <v>117.27152639999998</v>
      </c>
      <c r="I10" s="914">
        <f>VLOOKUP(B10,All_Ingredients!$A$1:$F$161,6,FALSE())</f>
        <v>1</v>
      </c>
      <c r="J10" s="940">
        <f>VLOOKUP(B10,All_Ingredients!$A$1:$J$161,10,FALSE())</f>
        <v>8</v>
      </c>
      <c r="K10" s="945">
        <f t="shared" si="2"/>
        <v>0.11727152639999998</v>
      </c>
      <c r="L10" s="945">
        <f t="shared" si="3"/>
        <v>0.93817221119999983</v>
      </c>
      <c r="Q10" s="1515" t="s">
        <v>377</v>
      </c>
      <c r="R10" s="1516" t="s">
        <v>378</v>
      </c>
      <c r="S10" s="1091" t="s">
        <v>379</v>
      </c>
      <c r="T10" s="890"/>
      <c r="W10" s="890"/>
    </row>
    <row r="11" spans="1:33" ht="29.25" x14ac:dyDescent="0.25">
      <c r="A11" s="949"/>
      <c r="B11" s="960" t="s">
        <v>122</v>
      </c>
      <c r="C11" s="947" t="s">
        <v>14</v>
      </c>
      <c r="D11" s="914">
        <v>8</v>
      </c>
      <c r="E11" s="940">
        <f t="shared" si="4"/>
        <v>7.3294703999999991</v>
      </c>
      <c r="F11" s="948">
        <v>1</v>
      </c>
      <c r="G11" s="944">
        <f t="shared" si="0"/>
        <v>58.635763199999992</v>
      </c>
      <c r="H11" s="943">
        <f t="shared" si="1"/>
        <v>58.635763199999992</v>
      </c>
      <c r="I11" s="914">
        <f>VLOOKUP(B11,All_Ingredients!$A$1:$F$161,6,FALSE())</f>
        <v>1</v>
      </c>
      <c r="J11" s="940">
        <f>VLOOKUP(B11,All_Ingredients!$A$1:$J$161,10,FALSE())</f>
        <v>14</v>
      </c>
      <c r="K11" s="945">
        <f t="shared" si="2"/>
        <v>5.8635763199999989E-2</v>
      </c>
      <c r="L11" s="945">
        <f t="shared" si="3"/>
        <v>0.82090068479999989</v>
      </c>
      <c r="Q11" s="952">
        <v>17500</v>
      </c>
      <c r="R11" s="1043">
        <v>11750</v>
      </c>
      <c r="S11" s="952">
        <v>18220</v>
      </c>
      <c r="T11" s="890"/>
      <c r="W11" s="890"/>
    </row>
    <row r="12" spans="1:33" ht="29.25" x14ac:dyDescent="0.25">
      <c r="A12" s="949"/>
      <c r="B12" s="960" t="s">
        <v>99</v>
      </c>
      <c r="C12" s="947" t="s">
        <v>14</v>
      </c>
      <c r="D12" s="914">
        <v>10</v>
      </c>
      <c r="E12" s="940">
        <f t="shared" si="4"/>
        <v>7.3294703999999991</v>
      </c>
      <c r="F12" s="948">
        <v>1</v>
      </c>
      <c r="G12" s="944">
        <f t="shared" si="0"/>
        <v>73.294703999999996</v>
      </c>
      <c r="H12" s="943">
        <f t="shared" si="1"/>
        <v>73.294703999999996</v>
      </c>
      <c r="I12" s="914">
        <f>VLOOKUP(B12,All_Ingredients!$A$1:$F$161,6,FALSE())</f>
        <v>1</v>
      </c>
      <c r="J12" s="940">
        <f>VLOOKUP(B12,All_Ingredients!$A$1:$J$161,10,FALSE())</f>
        <v>31</v>
      </c>
      <c r="K12" s="945">
        <f t="shared" si="2"/>
        <v>7.3294704000000002E-2</v>
      </c>
      <c r="L12" s="945">
        <f t="shared" si="3"/>
        <v>2.2721358240000002</v>
      </c>
      <c r="Q12" s="952"/>
      <c r="R12" s="1043">
        <f>S11-R11</f>
        <v>6470</v>
      </c>
      <c r="S12" s="952"/>
      <c r="T12" s="890"/>
      <c r="W12" s="890"/>
    </row>
    <row r="13" spans="1:33" x14ac:dyDescent="0.25">
      <c r="A13" s="949"/>
      <c r="B13" s="960" t="s">
        <v>678</v>
      </c>
      <c r="C13" s="947" t="s">
        <v>14</v>
      </c>
      <c r="D13" s="914">
        <v>900</v>
      </c>
      <c r="E13" s="940">
        <f t="shared" si="4"/>
        <v>7.3294703999999991</v>
      </c>
      <c r="F13" s="948">
        <v>1</v>
      </c>
      <c r="G13" s="944">
        <f t="shared" si="0"/>
        <v>6596.5233599999992</v>
      </c>
      <c r="H13" s="943">
        <f t="shared" si="1"/>
        <v>6596.5233599999992</v>
      </c>
      <c r="I13" s="914">
        <f>VLOOKUP(B13,All_Ingredients!$A$1:$F$161,6,FALSE())</f>
        <v>1</v>
      </c>
      <c r="J13" s="940">
        <f>VLOOKUP(B13,All_Ingredients!$A$1:$J$161,10,FALSE())</f>
        <v>8.1520833333333336</v>
      </c>
      <c r="K13" s="945">
        <f t="shared" si="2"/>
        <v>6.5965233599999991</v>
      </c>
      <c r="L13" s="945">
        <f t="shared" si="3"/>
        <v>53.775408140999993</v>
      </c>
      <c r="Q13" s="952"/>
      <c r="R13" s="1517">
        <f>R12/S11</f>
        <v>0.35510428100987923</v>
      </c>
      <c r="S13" s="952"/>
      <c r="T13" s="890"/>
      <c r="W13" s="890"/>
    </row>
    <row r="14" spans="1:33" x14ac:dyDescent="0.25">
      <c r="A14" s="949"/>
      <c r="B14" s="960" t="s">
        <v>93</v>
      </c>
      <c r="C14" s="947" t="s">
        <v>14</v>
      </c>
      <c r="D14" s="914">
        <v>11</v>
      </c>
      <c r="E14" s="940">
        <f t="shared" si="4"/>
        <v>7.3294703999999991</v>
      </c>
      <c r="F14" s="948">
        <v>0.75</v>
      </c>
      <c r="G14" s="944">
        <f t="shared" si="0"/>
        <v>80.624174399999987</v>
      </c>
      <c r="H14" s="943">
        <f t="shared" si="1"/>
        <v>60.46813079999999</v>
      </c>
      <c r="I14" s="914">
        <f>VLOOKUP(B14,All_Ingredients!$A$1:$F$161,6,FALSE())</f>
        <v>1</v>
      </c>
      <c r="J14" s="940">
        <f>VLOOKUP(B14,All_Ingredients!$A$1:$J$161,10,FALSE())</f>
        <v>0.74</v>
      </c>
      <c r="K14" s="945">
        <f t="shared" si="2"/>
        <v>6.0468130799999992E-2</v>
      </c>
      <c r="L14" s="945">
        <f t="shared" si="3"/>
        <v>4.4746416791999991E-2</v>
      </c>
      <c r="Q14" s="952"/>
      <c r="R14" s="1518">
        <f>R11/S11</f>
        <v>0.64489571899012077</v>
      </c>
      <c r="S14" s="952"/>
      <c r="T14" s="890"/>
      <c r="W14" s="890"/>
    </row>
    <row r="15" spans="1:33" x14ac:dyDescent="0.25">
      <c r="A15" s="949"/>
      <c r="B15" s="960" t="s">
        <v>139</v>
      </c>
      <c r="C15" s="947" t="s">
        <v>14</v>
      </c>
      <c r="D15" s="914">
        <v>20</v>
      </c>
      <c r="E15" s="940">
        <f t="shared" si="4"/>
        <v>7.3294703999999991</v>
      </c>
      <c r="F15" s="948">
        <v>1</v>
      </c>
      <c r="G15" s="944">
        <f t="shared" si="0"/>
        <v>146.58940799999999</v>
      </c>
      <c r="H15" s="943">
        <f t="shared" si="1"/>
        <v>146.58940799999999</v>
      </c>
      <c r="I15" s="914">
        <f>VLOOKUP(B15,All_Ingredients!$A$1:$F$161,6,FALSE())</f>
        <v>1</v>
      </c>
      <c r="J15" s="940">
        <f>VLOOKUP(B15,All_Ingredients!$A$1:$J$161,10,FALSE())</f>
        <v>15.277777777777779</v>
      </c>
      <c r="K15" s="945">
        <f t="shared" si="2"/>
        <v>0.146589408</v>
      </c>
      <c r="L15" s="945">
        <f t="shared" si="3"/>
        <v>2.2395604000000002</v>
      </c>
      <c r="R15" s="890"/>
      <c r="T15" s="890"/>
      <c r="W15" s="890"/>
    </row>
    <row r="16" spans="1:33" x14ac:dyDescent="0.25">
      <c r="A16" s="949"/>
      <c r="B16" s="960" t="s">
        <v>208</v>
      </c>
      <c r="C16" s="947" t="s">
        <v>160</v>
      </c>
      <c r="D16" s="914">
        <v>33</v>
      </c>
      <c r="E16" s="940">
        <f t="shared" si="4"/>
        <v>7.3294703999999991</v>
      </c>
      <c r="F16" s="948">
        <v>1</v>
      </c>
      <c r="G16" s="944">
        <f t="shared" si="0"/>
        <v>241.87252319999996</v>
      </c>
      <c r="H16" s="943">
        <f t="shared" si="1"/>
        <v>241.87252319999996</v>
      </c>
      <c r="I16" s="914">
        <f>VLOOKUP(B16,All_Ingredients!$A$1:$F$161,6,FALSE())</f>
        <v>1</v>
      </c>
      <c r="J16" s="940">
        <f>VLOOKUP(B16,All_Ingredients!$A$1:$J$161,10,FALSE())</f>
        <v>2.1621621621621623</v>
      </c>
      <c r="K16" s="945">
        <f t="shared" si="2"/>
        <v>0.24187252319999997</v>
      </c>
      <c r="L16" s="945">
        <f t="shared" si="3"/>
        <v>0.52296761772972966</v>
      </c>
      <c r="R16" s="890"/>
      <c r="T16" s="890"/>
      <c r="W16" s="890"/>
    </row>
    <row r="17" spans="1:30" x14ac:dyDescent="0.25">
      <c r="A17" s="949" t="s">
        <v>868</v>
      </c>
      <c r="B17" s="960" t="s">
        <v>706</v>
      </c>
      <c r="C17" s="947" t="s">
        <v>14</v>
      </c>
      <c r="D17" s="914">
        <v>25</v>
      </c>
      <c r="E17" s="940">
        <f t="shared" si="4"/>
        <v>7.3294703999999991</v>
      </c>
      <c r="F17" s="948">
        <v>1</v>
      </c>
      <c r="G17" s="944">
        <f t="shared" si="0"/>
        <v>183.23675999999998</v>
      </c>
      <c r="H17" s="943">
        <f t="shared" si="1"/>
        <v>183.23675999999998</v>
      </c>
      <c r="I17" s="914">
        <f>VLOOKUP(B17,All_Ingredients!$A$1:$F$161,6,FALSE())</f>
        <v>1</v>
      </c>
      <c r="J17" s="940">
        <f>VLOOKUP(B17,All_Ingredients!$A$1:$J$161,10,FALSE())</f>
        <v>10.5</v>
      </c>
      <c r="K17" s="945">
        <f t="shared" si="2"/>
        <v>0.18323675999999997</v>
      </c>
      <c r="L17" s="945">
        <f t="shared" si="3"/>
        <v>1.9239859799999997</v>
      </c>
      <c r="R17" s="890"/>
      <c r="T17" s="890"/>
      <c r="W17" s="890"/>
    </row>
    <row r="18" spans="1:30" ht="29.25" x14ac:dyDescent="0.25">
      <c r="A18" s="949"/>
      <c r="B18" s="960" t="s">
        <v>192</v>
      </c>
      <c r="C18" s="947" t="s">
        <v>160</v>
      </c>
      <c r="D18" s="914">
        <v>20</v>
      </c>
      <c r="E18" s="940">
        <f t="shared" si="4"/>
        <v>7.3294703999999991</v>
      </c>
      <c r="F18" s="948">
        <v>1</v>
      </c>
      <c r="G18" s="944">
        <f t="shared" si="0"/>
        <v>146.58940799999999</v>
      </c>
      <c r="H18" s="943">
        <f t="shared" si="1"/>
        <v>146.58940799999999</v>
      </c>
      <c r="I18" s="914">
        <f>VLOOKUP(B18,All_Ingredients!$A$1:$F$161,6,FALSE())</f>
        <v>1</v>
      </c>
      <c r="J18" s="940">
        <f>VLOOKUP(B18,All_Ingredients!$A$1:$J$161,10,FALSE())</f>
        <v>58.685446009389672</v>
      </c>
      <c r="K18" s="945">
        <f t="shared" si="2"/>
        <v>0.146589408</v>
      </c>
      <c r="L18" s="945">
        <f t="shared" si="3"/>
        <v>8.6026647887323939</v>
      </c>
      <c r="R18" s="890"/>
      <c r="T18" s="890"/>
      <c r="W18" s="890"/>
    </row>
    <row r="19" spans="1:30" x14ac:dyDescent="0.25">
      <c r="A19" s="949"/>
      <c r="B19" s="960" t="s">
        <v>185</v>
      </c>
      <c r="C19" s="947" t="s">
        <v>14</v>
      </c>
      <c r="D19" s="914">
        <v>40</v>
      </c>
      <c r="E19" s="940">
        <f t="shared" si="4"/>
        <v>7.3294703999999991</v>
      </c>
      <c r="F19" s="948">
        <v>1</v>
      </c>
      <c r="G19" s="944">
        <f t="shared" si="0"/>
        <v>293.17881599999998</v>
      </c>
      <c r="H19" s="943">
        <f t="shared" si="1"/>
        <v>293.17881599999998</v>
      </c>
      <c r="I19" s="914">
        <f>VLOOKUP(B19,All_Ingredients!$A$1:$F$161,6,FALSE())</f>
        <v>1</v>
      </c>
      <c r="J19" s="940">
        <f>VLOOKUP(B19,All_Ingredients!$A$1:$J$161,10,FALSE())</f>
        <v>1.7</v>
      </c>
      <c r="K19" s="945">
        <f t="shared" si="2"/>
        <v>0.29317881600000001</v>
      </c>
      <c r="L19" s="945">
        <f t="shared" si="3"/>
        <v>0.49840398720000001</v>
      </c>
      <c r="R19" s="890"/>
      <c r="T19" s="890"/>
      <c r="W19" s="890"/>
    </row>
    <row r="20" spans="1:30" x14ac:dyDescent="0.25">
      <c r="B20" s="1513"/>
      <c r="C20" s="307"/>
      <c r="D20" s="140"/>
      <c r="E20" s="92"/>
      <c r="F20" s="900"/>
      <c r="G20" s="95"/>
      <c r="H20" s="901"/>
      <c r="I20" s="73"/>
      <c r="J20" s="94"/>
      <c r="K20" s="890"/>
      <c r="L20" s="190"/>
      <c r="R20" s="890"/>
      <c r="T20" s="890"/>
      <c r="W20" s="890"/>
    </row>
    <row r="21" spans="1:30" x14ac:dyDescent="0.25">
      <c r="B21" s="890"/>
      <c r="D21" s="890"/>
      <c r="E21" s="890"/>
      <c r="F21" s="890"/>
      <c r="H21" s="890"/>
      <c r="K21" s="890"/>
      <c r="L21" s="190"/>
      <c r="R21" s="890"/>
      <c r="T21" s="890"/>
      <c r="W21" s="890"/>
    </row>
    <row r="22" spans="1:30" x14ac:dyDescent="0.25">
      <c r="B22" s="890"/>
      <c r="D22" s="890"/>
      <c r="E22" s="890"/>
      <c r="F22" s="890"/>
      <c r="H22" s="890"/>
      <c r="K22" s="890"/>
      <c r="L22" s="190"/>
      <c r="R22" s="890"/>
      <c r="T22" s="890"/>
      <c r="W22" s="890"/>
    </row>
    <row r="23" spans="1:30" x14ac:dyDescent="0.25">
      <c r="B23" s="890"/>
      <c r="D23" s="890"/>
      <c r="E23" s="890"/>
      <c r="F23" s="890"/>
      <c r="H23" s="890"/>
      <c r="K23" s="890"/>
      <c r="L23" s="190"/>
      <c r="R23" s="890"/>
      <c r="T23" s="890"/>
      <c r="W23" s="890"/>
    </row>
    <row r="24" spans="1:30" x14ac:dyDescent="0.25">
      <c r="B24" s="890"/>
      <c r="D24" s="890"/>
      <c r="E24" s="890"/>
      <c r="F24" s="890"/>
      <c r="H24" s="890"/>
      <c r="K24" s="890"/>
      <c r="L24" s="190"/>
      <c r="R24" s="890"/>
      <c r="T24" s="890"/>
      <c r="W24" s="890"/>
      <c r="Z24" s="597"/>
    </row>
    <row r="25" spans="1:30" x14ac:dyDescent="0.25">
      <c r="B25" s="890"/>
      <c r="D25" s="890"/>
      <c r="E25" s="890"/>
      <c r="F25" s="890"/>
      <c r="H25" s="890"/>
      <c r="K25" s="890"/>
      <c r="L25" s="190"/>
      <c r="R25" s="1792" t="s">
        <v>380</v>
      </c>
      <c r="S25" s="1787"/>
      <c r="T25" s="1788"/>
      <c r="U25" s="1787"/>
      <c r="V25" s="952"/>
      <c r="W25" s="890"/>
      <c r="Z25" s="982" t="s">
        <v>252</v>
      </c>
      <c r="AA25" s="989">
        <v>1</v>
      </c>
      <c r="AB25" s="982" t="s">
        <v>249</v>
      </c>
      <c r="AC25" s="1138">
        <f>AD30*AA25</f>
        <v>1.6394856494872826E-2</v>
      </c>
    </row>
    <row r="26" spans="1:30" x14ac:dyDescent="0.25">
      <c r="B26" s="890"/>
      <c r="D26" s="890"/>
      <c r="E26" s="890"/>
      <c r="F26" s="890"/>
      <c r="H26" s="890"/>
      <c r="K26" s="890"/>
      <c r="L26" s="190"/>
      <c r="R26" s="1792" t="s">
        <v>768</v>
      </c>
      <c r="S26" s="1787"/>
      <c r="T26" s="1788"/>
      <c r="U26" s="1787"/>
      <c r="V26" s="952"/>
      <c r="W26" s="890"/>
    </row>
    <row r="27" spans="1:30" x14ac:dyDescent="0.25">
      <c r="B27" s="80"/>
      <c r="D27" s="890"/>
      <c r="E27" s="80"/>
      <c r="F27" s="80"/>
      <c r="H27" s="890"/>
      <c r="K27" s="890"/>
      <c r="L27" s="190"/>
      <c r="R27" s="961" t="s">
        <v>254</v>
      </c>
      <c r="S27" s="962" t="s">
        <v>375</v>
      </c>
      <c r="T27" s="961" t="s">
        <v>256</v>
      </c>
      <c r="U27" s="962" t="s">
        <v>257</v>
      </c>
      <c r="V27" s="962" t="s">
        <v>753</v>
      </c>
      <c r="W27" s="890"/>
      <c r="Z27" s="982" t="s">
        <v>258</v>
      </c>
      <c r="AA27" s="982" t="s">
        <v>259</v>
      </c>
      <c r="AB27" s="982" t="s">
        <v>260</v>
      </c>
      <c r="AC27" s="984" t="s">
        <v>753</v>
      </c>
      <c r="AD27" s="982" t="s">
        <v>262</v>
      </c>
    </row>
    <row r="28" spans="1:30" x14ac:dyDescent="0.25">
      <c r="B28" s="80"/>
      <c r="D28" s="890"/>
      <c r="E28" s="80"/>
      <c r="F28" s="80"/>
      <c r="H28" s="890"/>
      <c r="K28" s="890"/>
      <c r="R28" s="961" t="s">
        <v>263</v>
      </c>
      <c r="S28" s="1170">
        <f>U28*S40</f>
        <v>13310.5296</v>
      </c>
      <c r="T28" s="1132">
        <f>U28*U40</f>
        <v>7329.4703999999992</v>
      </c>
      <c r="U28" s="1391">
        <f>$Z$1</f>
        <v>20640</v>
      </c>
      <c r="V28" s="966">
        <f>H37</f>
        <v>141</v>
      </c>
      <c r="W28" s="890"/>
      <c r="Z28" s="1086"/>
      <c r="AA28" s="985">
        <f>AA25*$S$40</f>
        <v>0.64488999999999996</v>
      </c>
      <c r="AB28" s="985">
        <f>AA25*$U$40</f>
        <v>0.35510999999999998</v>
      </c>
      <c r="AC28" s="987"/>
      <c r="AD28" s="1088">
        <f>SUM(AA28:AB28)</f>
        <v>1</v>
      </c>
    </row>
    <row r="29" spans="1:30" x14ac:dyDescent="0.25">
      <c r="B29" s="890"/>
      <c r="D29" s="890"/>
      <c r="E29" s="890"/>
      <c r="F29" s="890"/>
      <c r="H29" s="890"/>
      <c r="K29" s="890"/>
      <c r="R29" s="961" t="s">
        <v>264</v>
      </c>
      <c r="S29" s="974"/>
      <c r="T29" s="1132"/>
      <c r="U29" s="966">
        <f>T29</f>
        <v>0</v>
      </c>
      <c r="V29" s="966"/>
      <c r="W29" s="890"/>
      <c r="Z29" s="1086"/>
      <c r="AA29" s="1089">
        <f>AA28/$AD$28</f>
        <v>0.64488999999999996</v>
      </c>
      <c r="AB29" s="1089">
        <f>AB28/$AD$28</f>
        <v>0.35510999999999998</v>
      </c>
      <c r="AC29" s="991"/>
      <c r="AD29" s="1089">
        <f>AD28/$AD$28</f>
        <v>1</v>
      </c>
    </row>
    <row r="30" spans="1:30" x14ac:dyDescent="0.25">
      <c r="B30" s="890"/>
      <c r="D30" s="890"/>
      <c r="E30" s="890"/>
      <c r="F30" s="890"/>
      <c r="H30" s="890"/>
      <c r="K30" s="890"/>
      <c r="R30" s="961" t="s">
        <v>265</v>
      </c>
      <c r="S30" s="1460">
        <f>U30*S40</f>
        <v>0</v>
      </c>
      <c r="T30" s="1132">
        <f>U30*U40</f>
        <v>0</v>
      </c>
      <c r="U30" s="1393">
        <f>$AB$1</f>
        <v>0</v>
      </c>
      <c r="V30" s="972"/>
      <c r="W30" s="890"/>
      <c r="Z30" s="982" t="s">
        <v>266</v>
      </c>
      <c r="AA30" s="1090">
        <f>S35/(S28)</f>
        <v>1.79828588919498E-2</v>
      </c>
      <c r="AB30" s="1091">
        <f>T35/T32</f>
        <v>1.3448476779475653E-2</v>
      </c>
      <c r="AC30" s="995">
        <f>V35/U32</f>
        <v>2.2202034883720931E-5</v>
      </c>
      <c r="AD30" s="1092">
        <f>SUMPRODUCT(AA30:AB30,AA29:AB29)+AC30</f>
        <v>1.6394856494872826E-2</v>
      </c>
    </row>
    <row r="31" spans="1:30" x14ac:dyDescent="0.25">
      <c r="B31" s="890"/>
      <c r="D31" s="890"/>
      <c r="E31" s="890"/>
      <c r="F31" s="890"/>
      <c r="H31" s="890"/>
      <c r="K31" s="890"/>
      <c r="R31" s="961" t="s">
        <v>267</v>
      </c>
      <c r="S31" s="959"/>
      <c r="T31" s="967"/>
      <c r="U31" s="966"/>
      <c r="V31" s="966"/>
      <c r="W31" s="890"/>
    </row>
    <row r="32" spans="1:30" x14ac:dyDescent="0.25">
      <c r="B32" s="80"/>
      <c r="D32" s="890"/>
      <c r="E32" s="80"/>
      <c r="F32" s="80"/>
      <c r="H32" s="890"/>
      <c r="K32" s="890"/>
      <c r="R32" s="961" t="s">
        <v>257</v>
      </c>
      <c r="S32" s="966">
        <f>SUM(S28:S30)</f>
        <v>13310.5296</v>
      </c>
      <c r="T32" s="967">
        <f>SUM(T28:T30)</f>
        <v>7329.4703999999992</v>
      </c>
      <c r="U32" s="966">
        <f>SUM(U28:U30)</f>
        <v>20640</v>
      </c>
      <c r="V32" s="966">
        <f>SUM(V28:V30)</f>
        <v>141</v>
      </c>
      <c r="W32" s="890"/>
    </row>
    <row r="33" spans="2:23" ht="30" x14ac:dyDescent="0.25">
      <c r="B33" s="80"/>
      <c r="D33" s="890"/>
      <c r="E33" s="80"/>
      <c r="F33" s="80"/>
      <c r="H33" s="890"/>
      <c r="K33" s="890"/>
      <c r="R33" s="976" t="s">
        <v>268</v>
      </c>
      <c r="S33" s="959"/>
      <c r="T33" s="960"/>
      <c r="U33" s="959">
        <f>F82</f>
        <v>0</v>
      </c>
      <c r="V33" s="959"/>
      <c r="W33" s="890"/>
    </row>
    <row r="34" spans="2:23" x14ac:dyDescent="0.25">
      <c r="B34" s="80"/>
      <c r="D34" s="890"/>
      <c r="E34" s="80"/>
      <c r="F34" s="80"/>
      <c r="H34" s="890"/>
      <c r="K34" s="890"/>
      <c r="R34" s="961" t="s">
        <v>269</v>
      </c>
      <c r="S34" s="959"/>
      <c r="T34" s="967"/>
      <c r="U34" s="966"/>
      <c r="V34" s="959"/>
      <c r="W34" s="890"/>
    </row>
    <row r="35" spans="2:23" ht="15.75" x14ac:dyDescent="0.25">
      <c r="B35" s="1781" t="s">
        <v>627</v>
      </c>
      <c r="C35" s="1782"/>
      <c r="D35" s="1781"/>
      <c r="E35" s="1781"/>
      <c r="F35" s="1781"/>
      <c r="G35" s="1001"/>
      <c r="H35" s="1434"/>
      <c r="I35" s="1010"/>
      <c r="J35" s="1010"/>
      <c r="K35" s="1009"/>
      <c r="L35" s="1010"/>
      <c r="R35" s="977" t="s">
        <v>249</v>
      </c>
      <c r="S35" s="978">
        <f>$L$5</f>
        <v>239.36137557392101</v>
      </c>
      <c r="T35" s="979">
        <f>SUM(L6:L18)</f>
        <v>98.570212480254114</v>
      </c>
      <c r="U35" s="981">
        <f>S35+T35+V35</f>
        <v>338.38983805417513</v>
      </c>
      <c r="V35" s="1136">
        <f>SUM(L37)</f>
        <v>0.45824999999999999</v>
      </c>
      <c r="W35" s="890"/>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row>
    <row r="37" spans="2:23" x14ac:dyDescent="0.25">
      <c r="B37" s="1005" t="s">
        <v>19</v>
      </c>
      <c r="C37" s="1006" t="s">
        <v>14</v>
      </c>
      <c r="D37" s="1007">
        <v>1</v>
      </c>
      <c r="E37" s="1005">
        <f>$AD$1</f>
        <v>141</v>
      </c>
      <c r="F37" s="1005">
        <f>D37*E37</f>
        <v>141</v>
      </c>
      <c r="H37" s="1005">
        <f>F37</f>
        <v>141</v>
      </c>
      <c r="I37" s="1005">
        <f>VLOOKUP(B37,All_Ingredients!$A$1:$F$161,6,FALSE())</f>
        <v>0.8</v>
      </c>
      <c r="J37" s="1005">
        <f>VLOOKUP(B37,All_Ingredients!$A$1:$J$161,10,FALSE())</f>
        <v>2.6</v>
      </c>
      <c r="K37" s="1005">
        <f>(H37/I37)/1000</f>
        <v>0.17624999999999999</v>
      </c>
      <c r="L37" s="1005">
        <f t="shared" ref="L37" si="5">K37*J37</f>
        <v>0.45824999999999999</v>
      </c>
      <c r="R37" s="890"/>
      <c r="T37" s="890"/>
      <c r="W37" s="890"/>
    </row>
    <row r="38" spans="2:23" x14ac:dyDescent="0.25">
      <c r="B38" s="890"/>
      <c r="D38" s="890"/>
      <c r="E38" s="890"/>
      <c r="F38" s="890"/>
      <c r="H38" s="890"/>
      <c r="K38" s="890"/>
      <c r="R38" s="890"/>
      <c r="S38" s="253"/>
      <c r="T38" s="890"/>
      <c r="W38" s="890"/>
    </row>
    <row r="39" spans="2:23" x14ac:dyDescent="0.25">
      <c r="B39" s="890"/>
      <c r="D39" s="890"/>
      <c r="E39" s="890"/>
      <c r="F39" s="890"/>
      <c r="H39" s="890"/>
      <c r="K39" s="890"/>
      <c r="R39" s="890"/>
      <c r="T39" s="890"/>
      <c r="W39" s="890"/>
    </row>
    <row r="40" spans="2:23" ht="26.25" x14ac:dyDescent="0.25">
      <c r="B40" s="890"/>
      <c r="D40" s="890"/>
      <c r="E40" s="890"/>
      <c r="F40" s="890"/>
      <c r="H40" s="890"/>
      <c r="K40" s="890"/>
      <c r="R40" s="1011" t="s">
        <v>270</v>
      </c>
      <c r="S40" s="1519">
        <v>0.64488999999999996</v>
      </c>
      <c r="T40" s="1011" t="s">
        <v>271</v>
      </c>
      <c r="U40" s="1519">
        <v>0.35510999999999998</v>
      </c>
      <c r="V40" s="1520">
        <f>S40+U40</f>
        <v>1</v>
      </c>
      <c r="W40" s="890"/>
    </row>
    <row r="41" spans="2:23" x14ac:dyDescent="0.25">
      <c r="B41" s="890"/>
      <c r="D41" s="890"/>
      <c r="E41" s="890"/>
      <c r="F41" s="890"/>
      <c r="H41" s="890"/>
      <c r="K41" s="890"/>
      <c r="R41" s="890"/>
      <c r="T41" s="890"/>
      <c r="U41" s="123"/>
      <c r="W41" s="890"/>
    </row>
    <row r="42" spans="2:23" x14ac:dyDescent="0.25">
      <c r="B42" s="890"/>
      <c r="D42" s="890"/>
      <c r="E42" s="890"/>
      <c r="F42" s="890"/>
      <c r="H42" s="890"/>
      <c r="K42" s="890"/>
      <c r="R42" s="890"/>
      <c r="T42" s="890"/>
      <c r="W42" s="890"/>
    </row>
    <row r="43" spans="2:23" ht="26.25" x14ac:dyDescent="0.25">
      <c r="B43" s="890"/>
      <c r="D43" s="890"/>
      <c r="E43" s="890"/>
      <c r="F43" s="890"/>
      <c r="H43" s="890"/>
      <c r="K43" s="890"/>
      <c r="Q43" s="1015" t="s">
        <v>272</v>
      </c>
      <c r="R43" s="1011" t="s">
        <v>273</v>
      </c>
      <c r="S43" s="1015" t="s">
        <v>274</v>
      </c>
      <c r="T43" s="1011" t="s">
        <v>275</v>
      </c>
      <c r="U43" s="1015" t="s">
        <v>276</v>
      </c>
      <c r="V43" s="1015" t="s">
        <v>277</v>
      </c>
      <c r="W43" s="1011" t="s">
        <v>278</v>
      </c>
    </row>
    <row r="44" spans="2:23" x14ac:dyDescent="0.25">
      <c r="B44" s="890"/>
      <c r="D44" s="890"/>
      <c r="E44" s="890"/>
      <c r="F44" s="890"/>
      <c r="H44" s="890"/>
      <c r="K44" s="890"/>
      <c r="Q44" s="1023">
        <v>28162</v>
      </c>
      <c r="R44" s="1017">
        <f>D51</f>
        <v>10000</v>
      </c>
      <c r="S44" s="1024">
        <v>1</v>
      </c>
      <c r="T44" s="1025">
        <v>0</v>
      </c>
      <c r="U44" s="1096">
        <f>R44*S44</f>
        <v>10000</v>
      </c>
      <c r="V44" s="1021">
        <f>R44*T44</f>
        <v>0</v>
      </c>
      <c r="W44" s="1026">
        <f>Q44-U44</f>
        <v>18162</v>
      </c>
    </row>
    <row r="50" spans="1:10" x14ac:dyDescent="0.25">
      <c r="B50" s="961"/>
      <c r="C50" s="962" t="s">
        <v>233</v>
      </c>
      <c r="D50" s="961" t="s">
        <v>279</v>
      </c>
      <c r="E50" s="80"/>
      <c r="F50" s="80"/>
      <c r="G50" s="962" t="s">
        <v>280</v>
      </c>
      <c r="H50" s="961" t="s">
        <v>233</v>
      </c>
      <c r="I50" s="962" t="s">
        <v>281</v>
      </c>
      <c r="J50" s="962" t="s">
        <v>282</v>
      </c>
    </row>
    <row r="51" spans="1:10" x14ac:dyDescent="0.25">
      <c r="B51" s="1027" t="s">
        <v>283</v>
      </c>
      <c r="C51" s="1028">
        <f>10/$K$1</f>
        <v>10</v>
      </c>
      <c r="D51" s="1029">
        <f>$C$1*10</f>
        <v>10000</v>
      </c>
      <c r="E51" s="135"/>
      <c r="F51" s="80"/>
      <c r="G51" s="1033" t="s">
        <v>283</v>
      </c>
      <c r="H51" s="1122">
        <f>I51/$D$5</f>
        <v>10</v>
      </c>
      <c r="I51" s="1028">
        <f>J51/$R$1</f>
        <v>27518.181818181816</v>
      </c>
      <c r="J51" s="1028">
        <f>$W$44</f>
        <v>18162</v>
      </c>
    </row>
    <row r="52" spans="1:10" x14ac:dyDescent="0.25">
      <c r="B52" s="958" t="s">
        <v>262</v>
      </c>
      <c r="C52" s="1099">
        <f>$I$1</f>
        <v>7.3294703999999991</v>
      </c>
      <c r="D52" s="1100">
        <f>$E$1</f>
        <v>7329.4703999999992</v>
      </c>
      <c r="E52" s="80"/>
      <c r="F52" s="80"/>
      <c r="G52" s="962" t="s">
        <v>262</v>
      </c>
      <c r="H52" s="1052">
        <f>I52/$D$5</f>
        <v>7.3287796498183022</v>
      </c>
      <c r="I52" s="1021">
        <f>J52/$R$1</f>
        <v>20167.46909090909</v>
      </c>
      <c r="J52" s="1030">
        <f>$S$32</f>
        <v>13310.5296</v>
      </c>
    </row>
    <row r="53" spans="1:10" x14ac:dyDescent="0.25">
      <c r="B53" s="958" t="s">
        <v>284</v>
      </c>
      <c r="C53" s="1101">
        <f>MIN(C52, C51)</f>
        <v>7.3294703999999991</v>
      </c>
      <c r="D53" s="1100">
        <f>(C53*$K$1)*$C$1</f>
        <v>7329.4703999999992</v>
      </c>
      <c r="E53" s="80"/>
      <c r="F53" s="80"/>
      <c r="G53" s="962" t="s">
        <v>284</v>
      </c>
      <c r="H53" s="1035">
        <f>MIN(H52,H51)</f>
        <v>7.3287796498183022</v>
      </c>
      <c r="I53" s="1021">
        <f>J53/$R$1</f>
        <v>20167.46909090909</v>
      </c>
      <c r="J53" s="1021">
        <f>MIN(J52,J51)</f>
        <v>13310.5296</v>
      </c>
    </row>
    <row r="54" spans="1:10" x14ac:dyDescent="0.25">
      <c r="B54" s="958" t="s">
        <v>285</v>
      </c>
      <c r="C54" s="1101">
        <f>MIN(MAX(C52-C53,0),C51)</f>
        <v>0</v>
      </c>
      <c r="D54" s="1100">
        <f>(C54*$K$1)*$C$1</f>
        <v>0</v>
      </c>
      <c r="E54" s="80"/>
      <c r="F54" s="80"/>
      <c r="G54" s="962" t="s">
        <v>285</v>
      </c>
      <c r="H54" s="1035">
        <f>MIN(MAX(H52-H53),H51)</f>
        <v>0</v>
      </c>
      <c r="I54" s="1021">
        <f>J54/$R$1</f>
        <v>0</v>
      </c>
      <c r="J54" s="1021">
        <f>MIN(MAX(J52-J53),J51)</f>
        <v>0</v>
      </c>
    </row>
    <row r="55" spans="1:10" x14ac:dyDescent="0.25">
      <c r="B55" s="958" t="s">
        <v>286</v>
      </c>
      <c r="C55" s="1101">
        <f>MIN(MAX(C52-C53-C54,0),C51)</f>
        <v>0</v>
      </c>
      <c r="D55" s="1100">
        <f>(C55*$K$1)*$C$1</f>
        <v>0</v>
      </c>
      <c r="E55" s="80"/>
      <c r="F55" s="80"/>
      <c r="G55" s="962" t="s">
        <v>286</v>
      </c>
      <c r="H55" s="1035">
        <f>MIN(MAX(H52-H53-H54),H51)</f>
        <v>0</v>
      </c>
      <c r="I55" s="1021">
        <f>J55/$R$1</f>
        <v>0</v>
      </c>
      <c r="J55" s="1021">
        <f>MIN(MAX(J52-J53-J54),J51)</f>
        <v>0</v>
      </c>
    </row>
    <row r="56" spans="1:10" x14ac:dyDescent="0.25">
      <c r="B56" s="890"/>
      <c r="D56" s="890"/>
      <c r="E56" s="890"/>
      <c r="F56" s="890"/>
      <c r="H56" s="890"/>
    </row>
    <row r="57" spans="1:10" x14ac:dyDescent="0.25">
      <c r="B57" s="890"/>
      <c r="D57" s="890"/>
      <c r="E57" s="890"/>
      <c r="F57" s="890"/>
      <c r="H57" s="890"/>
    </row>
    <row r="58" spans="1:10" x14ac:dyDescent="0.25">
      <c r="B58" s="890"/>
      <c r="D58" s="890"/>
      <c r="E58" s="890"/>
      <c r="F58" s="890"/>
      <c r="H58" s="890"/>
    </row>
    <row r="59" spans="1:10" x14ac:dyDescent="0.25">
      <c r="B59" s="890"/>
      <c r="D59" s="890"/>
      <c r="E59" s="890"/>
      <c r="F59" s="890"/>
      <c r="H59" s="890"/>
    </row>
    <row r="60" spans="1:10" x14ac:dyDescent="0.25">
      <c r="B60" s="890"/>
      <c r="D60" s="890"/>
      <c r="E60" s="890"/>
      <c r="F60" s="890"/>
      <c r="H60" s="890"/>
    </row>
    <row r="61" spans="1:10" x14ac:dyDescent="0.25">
      <c r="B61" s="890"/>
      <c r="D61" s="890"/>
      <c r="E61" s="890"/>
      <c r="F61" s="890"/>
      <c r="H61" s="890"/>
    </row>
    <row r="62" spans="1:10" x14ac:dyDescent="0.25">
      <c r="B62" s="890"/>
      <c r="D62" s="890"/>
      <c r="E62" s="890"/>
      <c r="F62" s="890"/>
      <c r="H62" s="890"/>
    </row>
    <row r="63" spans="1:10" x14ac:dyDescent="0.25">
      <c r="A63" s="1036"/>
      <c r="B63" s="1776" t="str">
        <f>" لحم مسقعة  1 / " &amp; COUNTIF($C$53:$C$55, "&gt;0")</f>
        <v xml:space="preserve"> لحم مسقعة  1 / 1</v>
      </c>
      <c r="C63" s="1777"/>
      <c r="D63" s="1778"/>
      <c r="E63" s="1778"/>
      <c r="F63" s="1778"/>
      <c r="G63" s="1777"/>
      <c r="H63" s="1778"/>
    </row>
    <row r="64" spans="1:10" x14ac:dyDescent="0.25">
      <c r="A64" s="1036"/>
      <c r="B64" s="1776" t="str">
        <f>" Sauce of Moussaka Meet 1 / " &amp; COUNTIF($C$53:$C$55, "&gt;0")</f>
        <v xml:space="preserve"> Sauce of Moussaka Meet 1 / 1</v>
      </c>
      <c r="C64" s="1777"/>
      <c r="D64" s="1778"/>
      <c r="E64" s="1778"/>
      <c r="F64" s="1778"/>
      <c r="G64" s="1777"/>
      <c r="H64" s="1778"/>
    </row>
    <row r="65" spans="1:8" ht="38.25" x14ac:dyDescent="0.2">
      <c r="A65" s="1514" t="s">
        <v>864</v>
      </c>
      <c r="B65" s="1104" t="s">
        <v>241</v>
      </c>
      <c r="C65" s="934" t="s">
        <v>242</v>
      </c>
      <c r="D65" s="1104" t="s">
        <v>231</v>
      </c>
      <c r="E65" s="936" t="s">
        <v>234</v>
      </c>
      <c r="F65" s="936" t="s">
        <v>243</v>
      </c>
      <c r="G65" s="1104" t="s">
        <v>244</v>
      </c>
      <c r="H65" s="936" t="s">
        <v>245</v>
      </c>
    </row>
    <row r="66" spans="1:8" ht="28.5" x14ac:dyDescent="0.2">
      <c r="A66" s="937" t="s">
        <v>892</v>
      </c>
      <c r="B66" s="960" t="str">
        <f t="shared" ref="B66:D80" si="6">B5</f>
        <v>Indian Meat Tammam Mafroom - مفروم هندى</v>
      </c>
      <c r="C66" s="947" t="str">
        <f t="shared" si="6"/>
        <v>gm</v>
      </c>
      <c r="D66" s="940">
        <f t="shared" si="6"/>
        <v>2751.8181818181815</v>
      </c>
      <c r="E66" s="1040">
        <f>H53</f>
        <v>7.3287796498183022</v>
      </c>
      <c r="F66" s="948">
        <f t="shared" ref="F66:F80" si="7">F5</f>
        <v>1</v>
      </c>
      <c r="G66" s="940">
        <f t="shared" ref="G66:G79" si="8">D66*E66</f>
        <v>20167.46909090909</v>
      </c>
      <c r="H66" s="943">
        <f t="shared" ref="H66:H79" si="9">G66*F66</f>
        <v>20167.46909090909</v>
      </c>
    </row>
    <row r="67" spans="1:8" x14ac:dyDescent="0.25">
      <c r="A67" s="949" t="s">
        <v>881</v>
      </c>
      <c r="B67" s="960" t="str">
        <f t="shared" si="6"/>
        <v>Onion - بصل</v>
      </c>
      <c r="C67" s="947" t="str">
        <f t="shared" si="6"/>
        <v>gm</v>
      </c>
      <c r="D67" s="914">
        <f t="shared" si="6"/>
        <v>416</v>
      </c>
      <c r="E67" s="1040">
        <f t="shared" ref="E67:E80" si="10">$C$53</f>
        <v>7.3294703999999991</v>
      </c>
      <c r="F67" s="948">
        <f t="shared" si="7"/>
        <v>1</v>
      </c>
      <c r="G67" s="940">
        <f t="shared" si="8"/>
        <v>3049.0596863999995</v>
      </c>
      <c r="H67" s="943">
        <f t="shared" si="9"/>
        <v>3049.0596863999995</v>
      </c>
    </row>
    <row r="68" spans="1:8" x14ac:dyDescent="0.25">
      <c r="A68" s="949"/>
      <c r="B68" s="960" t="str">
        <f t="shared" si="6"/>
        <v>Butter - زبدة</v>
      </c>
      <c r="C68" s="947" t="str">
        <f t="shared" si="6"/>
        <v>gm</v>
      </c>
      <c r="D68" s="914">
        <f t="shared" si="6"/>
        <v>25</v>
      </c>
      <c r="E68" s="1040">
        <f t="shared" si="10"/>
        <v>7.3294703999999991</v>
      </c>
      <c r="F68" s="948">
        <f t="shared" si="7"/>
        <v>1</v>
      </c>
      <c r="G68" s="940">
        <f t="shared" si="8"/>
        <v>183.23675999999998</v>
      </c>
      <c r="H68" s="943">
        <f t="shared" si="9"/>
        <v>183.23675999999998</v>
      </c>
    </row>
    <row r="69" spans="1:8" x14ac:dyDescent="0.25">
      <c r="A69" s="949" t="s">
        <v>870</v>
      </c>
      <c r="B69" s="960" t="str">
        <f t="shared" si="6"/>
        <v>Tomato - طماطم</v>
      </c>
      <c r="C69" s="947" t="str">
        <f t="shared" si="6"/>
        <v>gm</v>
      </c>
      <c r="D69" s="914">
        <f t="shared" si="6"/>
        <v>416</v>
      </c>
      <c r="E69" s="1040">
        <f t="shared" si="10"/>
        <v>7.3294703999999991</v>
      </c>
      <c r="F69" s="948">
        <f t="shared" si="7"/>
        <v>1</v>
      </c>
      <c r="G69" s="940">
        <f t="shared" si="8"/>
        <v>3049.0596863999995</v>
      </c>
      <c r="H69" s="943">
        <f t="shared" si="9"/>
        <v>3049.0596863999995</v>
      </c>
    </row>
    <row r="70" spans="1:8" x14ac:dyDescent="0.25">
      <c r="A70" s="949"/>
      <c r="B70" s="960" t="str">
        <f t="shared" si="6"/>
        <v>Cumin Powder - كمون مطحون</v>
      </c>
      <c r="C70" s="947" t="str">
        <f t="shared" si="6"/>
        <v>gm</v>
      </c>
      <c r="D70" s="914">
        <f t="shared" si="6"/>
        <v>8</v>
      </c>
      <c r="E70" s="1040">
        <f t="shared" si="10"/>
        <v>7.3294703999999991</v>
      </c>
      <c r="F70" s="948">
        <f t="shared" si="7"/>
        <v>1</v>
      </c>
      <c r="G70" s="940">
        <f t="shared" si="8"/>
        <v>58.635763199999992</v>
      </c>
      <c r="H70" s="943">
        <f t="shared" si="9"/>
        <v>58.635763199999992</v>
      </c>
    </row>
    <row r="71" spans="1:8" ht="29.25" x14ac:dyDescent="0.25">
      <c r="A71" s="949"/>
      <c r="B71" s="960" t="str">
        <f t="shared" si="6"/>
        <v>Coriander Powder - كزبرة مطحونة</v>
      </c>
      <c r="C71" s="947" t="str">
        <f t="shared" si="6"/>
        <v>gm</v>
      </c>
      <c r="D71" s="914">
        <f t="shared" si="6"/>
        <v>16</v>
      </c>
      <c r="E71" s="1040">
        <f t="shared" si="10"/>
        <v>7.3294703999999991</v>
      </c>
      <c r="F71" s="948">
        <f t="shared" si="7"/>
        <v>1</v>
      </c>
      <c r="G71" s="940">
        <f t="shared" si="8"/>
        <v>117.27152639999998</v>
      </c>
      <c r="H71" s="943">
        <f t="shared" si="9"/>
        <v>117.27152639999998</v>
      </c>
    </row>
    <row r="72" spans="1:8" ht="29.25" x14ac:dyDescent="0.25">
      <c r="A72" s="949"/>
      <c r="B72" s="960" t="str">
        <f t="shared" si="6"/>
        <v>Cinnamon Powder - قرفة مطحونة</v>
      </c>
      <c r="C72" s="947" t="str">
        <f t="shared" si="6"/>
        <v>gm</v>
      </c>
      <c r="D72" s="914">
        <f t="shared" si="6"/>
        <v>8</v>
      </c>
      <c r="E72" s="1040">
        <f t="shared" si="10"/>
        <v>7.3294703999999991</v>
      </c>
      <c r="F72" s="948">
        <f t="shared" si="7"/>
        <v>1</v>
      </c>
      <c r="G72" s="940">
        <f t="shared" si="8"/>
        <v>58.635763199999992</v>
      </c>
      <c r="H72" s="943">
        <f t="shared" si="9"/>
        <v>58.635763199999992</v>
      </c>
    </row>
    <row r="73" spans="1:8" ht="29.25" x14ac:dyDescent="0.25">
      <c r="A73" s="949"/>
      <c r="B73" s="960" t="str">
        <f t="shared" si="6"/>
        <v>Black Pepper Powder - فلفل أسود مطحون</v>
      </c>
      <c r="C73" s="947" t="str">
        <f t="shared" si="6"/>
        <v>gm</v>
      </c>
      <c r="D73" s="914">
        <f t="shared" si="6"/>
        <v>10</v>
      </c>
      <c r="E73" s="1040">
        <f t="shared" si="10"/>
        <v>7.3294703999999991</v>
      </c>
      <c r="F73" s="948">
        <f t="shared" si="7"/>
        <v>1</v>
      </c>
      <c r="G73" s="940">
        <f t="shared" si="8"/>
        <v>73.294703999999996</v>
      </c>
      <c r="H73" s="943">
        <f t="shared" si="9"/>
        <v>73.294703999999996</v>
      </c>
    </row>
    <row r="74" spans="1:8" x14ac:dyDescent="0.25">
      <c r="A74" s="949"/>
      <c r="B74" s="960" t="str">
        <f t="shared" si="6"/>
        <v>Tomato Paste - صلصة طماطم</v>
      </c>
      <c r="C74" s="947" t="str">
        <f t="shared" si="6"/>
        <v>gm</v>
      </c>
      <c r="D74" s="914">
        <f t="shared" si="6"/>
        <v>900</v>
      </c>
      <c r="E74" s="1040">
        <f t="shared" si="10"/>
        <v>7.3294703999999991</v>
      </c>
      <c r="F74" s="948">
        <f t="shared" si="7"/>
        <v>1</v>
      </c>
      <c r="G74" s="940">
        <f t="shared" si="8"/>
        <v>6596.5233599999992</v>
      </c>
      <c r="H74" s="943">
        <f t="shared" si="9"/>
        <v>6596.5233599999992</v>
      </c>
    </row>
    <row r="75" spans="1:8" x14ac:dyDescent="0.25">
      <c r="A75" s="949"/>
      <c r="B75" s="960" t="str">
        <f t="shared" si="6"/>
        <v>Salt - ملح</v>
      </c>
      <c r="C75" s="947" t="str">
        <f t="shared" si="6"/>
        <v>gm</v>
      </c>
      <c r="D75" s="914">
        <f t="shared" si="6"/>
        <v>11</v>
      </c>
      <c r="E75" s="1040">
        <f t="shared" si="10"/>
        <v>7.3294703999999991</v>
      </c>
      <c r="F75" s="948">
        <f t="shared" si="7"/>
        <v>0.75</v>
      </c>
      <c r="G75" s="940">
        <f t="shared" si="8"/>
        <v>80.624174399999987</v>
      </c>
      <c r="H75" s="943">
        <f t="shared" si="9"/>
        <v>60.46813079999999</v>
      </c>
    </row>
    <row r="76" spans="1:8" x14ac:dyDescent="0.25">
      <c r="A76" s="949"/>
      <c r="B76" s="960" t="str">
        <f t="shared" si="6"/>
        <v>Maggi Cubes - مكعبات ماجي</v>
      </c>
      <c r="C76" s="947" t="str">
        <f t="shared" si="6"/>
        <v>gm</v>
      </c>
      <c r="D76" s="914">
        <f t="shared" si="6"/>
        <v>20</v>
      </c>
      <c r="E76" s="1040">
        <f t="shared" si="10"/>
        <v>7.3294703999999991</v>
      </c>
      <c r="F76" s="948">
        <f t="shared" si="7"/>
        <v>1</v>
      </c>
      <c r="G76" s="940">
        <f t="shared" si="8"/>
        <v>146.58940799999999</v>
      </c>
      <c r="H76" s="943">
        <f t="shared" si="9"/>
        <v>146.58940799999999</v>
      </c>
    </row>
    <row r="77" spans="1:8" x14ac:dyDescent="0.25">
      <c r="A77" s="949"/>
      <c r="B77" s="960" t="str">
        <f t="shared" si="6"/>
        <v>Vinegar - خل</v>
      </c>
      <c r="C77" s="947" t="str">
        <f t="shared" si="6"/>
        <v>ml</v>
      </c>
      <c r="D77" s="914">
        <f t="shared" si="6"/>
        <v>33</v>
      </c>
      <c r="E77" s="1040">
        <f t="shared" si="10"/>
        <v>7.3294703999999991</v>
      </c>
      <c r="F77" s="948">
        <f t="shared" si="7"/>
        <v>1</v>
      </c>
      <c r="G77" s="940">
        <f t="shared" si="8"/>
        <v>241.87252319999996</v>
      </c>
      <c r="H77" s="943">
        <f t="shared" si="9"/>
        <v>241.87252319999996</v>
      </c>
    </row>
    <row r="78" spans="1:8" x14ac:dyDescent="0.25">
      <c r="A78" s="949" t="s">
        <v>868</v>
      </c>
      <c r="B78" s="960" t="str">
        <f t="shared" si="6"/>
        <v>Garlic - ثوم مقشر</v>
      </c>
      <c r="C78" s="947" t="str">
        <f t="shared" si="6"/>
        <v>gm</v>
      </c>
      <c r="D78" s="914">
        <f t="shared" si="6"/>
        <v>25</v>
      </c>
      <c r="E78" s="1040">
        <f t="shared" si="10"/>
        <v>7.3294703999999991</v>
      </c>
      <c r="F78" s="948">
        <f t="shared" si="7"/>
        <v>1</v>
      </c>
      <c r="G78" s="940">
        <f t="shared" si="8"/>
        <v>183.23675999999998</v>
      </c>
      <c r="H78" s="943">
        <f t="shared" si="9"/>
        <v>183.23675999999998</v>
      </c>
    </row>
    <row r="79" spans="1:8" ht="29.25" x14ac:dyDescent="0.25">
      <c r="A79" s="949"/>
      <c r="B79" s="960" t="str">
        <f t="shared" si="6"/>
        <v>Sriracha Sauce - صوص سريراتشا</v>
      </c>
      <c r="C79" s="947" t="str">
        <f t="shared" si="6"/>
        <v>ml</v>
      </c>
      <c r="D79" s="914">
        <f t="shared" si="6"/>
        <v>20</v>
      </c>
      <c r="E79" s="1040">
        <f t="shared" si="10"/>
        <v>7.3294703999999991</v>
      </c>
      <c r="F79" s="948">
        <f t="shared" si="7"/>
        <v>1</v>
      </c>
      <c r="G79" s="940">
        <f t="shared" si="8"/>
        <v>146.58940799999999</v>
      </c>
      <c r="H79" s="943">
        <f t="shared" si="9"/>
        <v>146.58940799999999</v>
      </c>
    </row>
    <row r="80" spans="1:8" x14ac:dyDescent="0.25">
      <c r="A80" s="949"/>
      <c r="B80" s="960" t="str">
        <f t="shared" si="6"/>
        <v>Flour - دقيق</v>
      </c>
      <c r="C80" s="947" t="str">
        <f t="shared" si="6"/>
        <v>gm</v>
      </c>
      <c r="D80" s="914">
        <f t="shared" si="6"/>
        <v>40</v>
      </c>
      <c r="E80" s="1040">
        <f t="shared" si="10"/>
        <v>7.3294703999999991</v>
      </c>
      <c r="F80" s="948">
        <f t="shared" si="7"/>
        <v>1</v>
      </c>
      <c r="G80" s="940">
        <f>D80*E80</f>
        <v>293.17881599999998</v>
      </c>
      <c r="H80" s="943">
        <f>G80*F80</f>
        <v>293.17881599999998</v>
      </c>
    </row>
    <row r="81" spans="1:8" ht="18" x14ac:dyDescent="0.25">
      <c r="A81" s="1070"/>
      <c r="B81" s="1041" t="s">
        <v>287</v>
      </c>
      <c r="C81" s="1042" t="s">
        <v>273</v>
      </c>
      <c r="D81" s="1043"/>
      <c r="E81" s="1044" t="s">
        <v>288</v>
      </c>
      <c r="F81" s="1043"/>
      <c r="G81" s="1045" t="s">
        <v>264</v>
      </c>
      <c r="H81" s="1046" t="s">
        <v>661</v>
      </c>
    </row>
    <row r="82" spans="1:8" ht="20.25" x14ac:dyDescent="0.3">
      <c r="A82" s="1070"/>
      <c r="B82" s="1047">
        <f>$J$53</f>
        <v>13310.5296</v>
      </c>
      <c r="C82" s="1048">
        <f>E82+G82</f>
        <v>7329.4703999999992</v>
      </c>
      <c r="D82" s="1049"/>
      <c r="E82" s="1047">
        <f>$D$53*$S$44</f>
        <v>7329.4703999999992</v>
      </c>
      <c r="F82" s="1050"/>
      <c r="G82" s="1048">
        <f>$D$53*$T$44</f>
        <v>0</v>
      </c>
      <c r="H82" s="1047">
        <f>B82+E82</f>
        <v>20640</v>
      </c>
    </row>
    <row r="83" spans="1:8" x14ac:dyDescent="0.25">
      <c r="B83" s="890"/>
      <c r="D83" s="890"/>
      <c r="E83" s="890"/>
      <c r="F83" s="890"/>
      <c r="H83" s="890"/>
    </row>
    <row r="84" spans="1:8" x14ac:dyDescent="0.25">
      <c r="A84" s="1036"/>
      <c r="B84" s="1776" t="str">
        <f>" لحم مسقعة 2 / " &amp; COUNTIF($C$53:$C$55, "&gt;0")</f>
        <v xml:space="preserve"> لحم مسقعة 2 / 1</v>
      </c>
      <c r="C84" s="1777"/>
      <c r="D84" s="1778"/>
      <c r="E84" s="1778"/>
      <c r="F84" s="1778"/>
      <c r="G84" s="1777"/>
      <c r="H84" s="1778"/>
    </row>
    <row r="85" spans="1:8" x14ac:dyDescent="0.25">
      <c r="A85" s="1036"/>
      <c r="B85" s="1776" t="str">
        <f>" Sauce of Moussaka Meet 2 / " &amp; COUNTIF($C$53:$C$55, "&gt;0")</f>
        <v xml:space="preserve"> Sauce of Moussaka Meet 2 / 1</v>
      </c>
      <c r="C85" s="1777"/>
      <c r="D85" s="1778"/>
      <c r="E85" s="1778"/>
      <c r="F85" s="1778"/>
      <c r="G85" s="1777"/>
      <c r="H85" s="1778"/>
    </row>
    <row r="86" spans="1:8" ht="38.25" x14ac:dyDescent="0.2">
      <c r="A86" s="1514" t="s">
        <v>864</v>
      </c>
      <c r="B86" s="1104" t="s">
        <v>241</v>
      </c>
      <c r="C86" s="934" t="s">
        <v>242</v>
      </c>
      <c r="D86" s="1104" t="s">
        <v>231</v>
      </c>
      <c r="E86" s="936" t="s">
        <v>234</v>
      </c>
      <c r="F86" s="936" t="s">
        <v>243</v>
      </c>
      <c r="G86" s="1104" t="s">
        <v>244</v>
      </c>
      <c r="H86" s="936" t="s">
        <v>245</v>
      </c>
    </row>
    <row r="87" spans="1:8" ht="28.5" x14ac:dyDescent="0.2">
      <c r="A87" s="937" t="s">
        <v>892</v>
      </c>
      <c r="B87" s="960" t="str">
        <f t="shared" ref="B87:D101" si="11">B5</f>
        <v>Indian Meat Tammam Mafroom - مفروم هندى</v>
      </c>
      <c r="C87" s="959" t="str">
        <f t="shared" si="11"/>
        <v>gm</v>
      </c>
      <c r="D87" s="1521">
        <f t="shared" si="11"/>
        <v>2751.8181818181815</v>
      </c>
      <c r="E87" s="1040">
        <f>$H$54</f>
        <v>0</v>
      </c>
      <c r="F87" s="948">
        <f>F5</f>
        <v>1</v>
      </c>
      <c r="G87" s="940">
        <f t="shared" ref="G87:G100" si="12">D87*E87</f>
        <v>0</v>
      </c>
      <c r="H87" s="943">
        <f t="shared" ref="H87:H100" si="13">G87*F87</f>
        <v>0</v>
      </c>
    </row>
    <row r="88" spans="1:8" x14ac:dyDescent="0.25">
      <c r="A88" s="949" t="s">
        <v>881</v>
      </c>
      <c r="B88" s="960" t="str">
        <f t="shared" si="11"/>
        <v>Onion - بصل</v>
      </c>
      <c r="C88" s="959" t="str">
        <f t="shared" si="11"/>
        <v>gm</v>
      </c>
      <c r="D88" s="960">
        <f t="shared" si="11"/>
        <v>416</v>
      </c>
      <c r="E88" s="1040">
        <f t="shared" ref="E88:E101" si="14">$C$54</f>
        <v>0</v>
      </c>
      <c r="F88" s="948">
        <f t="shared" ref="F88:F101" si="15">F6</f>
        <v>1</v>
      </c>
      <c r="G88" s="940">
        <f t="shared" si="12"/>
        <v>0</v>
      </c>
      <c r="H88" s="943">
        <f t="shared" si="13"/>
        <v>0</v>
      </c>
    </row>
    <row r="89" spans="1:8" x14ac:dyDescent="0.25">
      <c r="A89" s="949"/>
      <c r="B89" s="960" t="str">
        <f t="shared" si="11"/>
        <v>Butter - زبدة</v>
      </c>
      <c r="C89" s="959" t="str">
        <f t="shared" si="11"/>
        <v>gm</v>
      </c>
      <c r="D89" s="960">
        <f t="shared" si="11"/>
        <v>25</v>
      </c>
      <c r="E89" s="1040">
        <f t="shared" si="14"/>
        <v>0</v>
      </c>
      <c r="F89" s="948">
        <f t="shared" si="15"/>
        <v>1</v>
      </c>
      <c r="G89" s="940">
        <f t="shared" si="12"/>
        <v>0</v>
      </c>
      <c r="H89" s="943">
        <f t="shared" si="13"/>
        <v>0</v>
      </c>
    </row>
    <row r="90" spans="1:8" x14ac:dyDescent="0.25">
      <c r="A90" s="949" t="s">
        <v>870</v>
      </c>
      <c r="B90" s="960" t="str">
        <f t="shared" si="11"/>
        <v>Tomato - طماطم</v>
      </c>
      <c r="C90" s="959" t="str">
        <f t="shared" si="11"/>
        <v>gm</v>
      </c>
      <c r="D90" s="960">
        <f t="shared" si="11"/>
        <v>416</v>
      </c>
      <c r="E90" s="1040">
        <f t="shared" si="14"/>
        <v>0</v>
      </c>
      <c r="F90" s="948">
        <f t="shared" si="15"/>
        <v>1</v>
      </c>
      <c r="G90" s="940">
        <f t="shared" si="12"/>
        <v>0</v>
      </c>
      <c r="H90" s="943">
        <f t="shared" si="13"/>
        <v>0</v>
      </c>
    </row>
    <row r="91" spans="1:8" x14ac:dyDescent="0.25">
      <c r="A91" s="949"/>
      <c r="B91" s="960" t="str">
        <f t="shared" si="11"/>
        <v>Cumin Powder - كمون مطحون</v>
      </c>
      <c r="C91" s="959" t="str">
        <f t="shared" si="11"/>
        <v>gm</v>
      </c>
      <c r="D91" s="960">
        <f t="shared" si="11"/>
        <v>8</v>
      </c>
      <c r="E91" s="1040">
        <f t="shared" si="14"/>
        <v>0</v>
      </c>
      <c r="F91" s="948">
        <f t="shared" si="15"/>
        <v>1</v>
      </c>
      <c r="G91" s="940">
        <f t="shared" si="12"/>
        <v>0</v>
      </c>
      <c r="H91" s="943">
        <f t="shared" si="13"/>
        <v>0</v>
      </c>
    </row>
    <row r="92" spans="1:8" ht="29.25" x14ac:dyDescent="0.25">
      <c r="A92" s="949"/>
      <c r="B92" s="960" t="str">
        <f t="shared" si="11"/>
        <v>Coriander Powder - كزبرة مطحونة</v>
      </c>
      <c r="C92" s="959" t="str">
        <f t="shared" si="11"/>
        <v>gm</v>
      </c>
      <c r="D92" s="960">
        <f t="shared" si="11"/>
        <v>16</v>
      </c>
      <c r="E92" s="1040">
        <f t="shared" si="14"/>
        <v>0</v>
      </c>
      <c r="F92" s="948">
        <f t="shared" si="15"/>
        <v>1</v>
      </c>
      <c r="G92" s="940">
        <f t="shared" si="12"/>
        <v>0</v>
      </c>
      <c r="H92" s="943">
        <f t="shared" si="13"/>
        <v>0</v>
      </c>
    </row>
    <row r="93" spans="1:8" ht="29.25" x14ac:dyDescent="0.25">
      <c r="A93" s="949"/>
      <c r="B93" s="960" t="str">
        <f t="shared" si="11"/>
        <v>Cinnamon Powder - قرفة مطحونة</v>
      </c>
      <c r="C93" s="959" t="str">
        <f t="shared" si="11"/>
        <v>gm</v>
      </c>
      <c r="D93" s="960">
        <f t="shared" si="11"/>
        <v>8</v>
      </c>
      <c r="E93" s="1040">
        <f t="shared" si="14"/>
        <v>0</v>
      </c>
      <c r="F93" s="948">
        <f t="shared" si="15"/>
        <v>1</v>
      </c>
      <c r="G93" s="940">
        <f t="shared" si="12"/>
        <v>0</v>
      </c>
      <c r="H93" s="943">
        <f t="shared" si="13"/>
        <v>0</v>
      </c>
    </row>
    <row r="94" spans="1:8" ht="29.25" x14ac:dyDescent="0.25">
      <c r="A94" s="949"/>
      <c r="B94" s="960" t="str">
        <f t="shared" si="11"/>
        <v>Black Pepper Powder - فلفل أسود مطحون</v>
      </c>
      <c r="C94" s="959" t="str">
        <f t="shared" si="11"/>
        <v>gm</v>
      </c>
      <c r="D94" s="960">
        <f t="shared" si="11"/>
        <v>10</v>
      </c>
      <c r="E94" s="1040">
        <f t="shared" si="14"/>
        <v>0</v>
      </c>
      <c r="F94" s="948">
        <f t="shared" si="15"/>
        <v>1</v>
      </c>
      <c r="G94" s="940">
        <f t="shared" si="12"/>
        <v>0</v>
      </c>
      <c r="H94" s="943">
        <f t="shared" si="13"/>
        <v>0</v>
      </c>
    </row>
    <row r="95" spans="1:8" x14ac:dyDescent="0.25">
      <c r="A95" s="949"/>
      <c r="B95" s="960" t="str">
        <f t="shared" si="11"/>
        <v>Tomato Paste - صلصة طماطم</v>
      </c>
      <c r="C95" s="959" t="str">
        <f t="shared" si="11"/>
        <v>gm</v>
      </c>
      <c r="D95" s="960">
        <f t="shared" si="11"/>
        <v>900</v>
      </c>
      <c r="E95" s="1040">
        <f t="shared" si="14"/>
        <v>0</v>
      </c>
      <c r="F95" s="948">
        <f t="shared" si="15"/>
        <v>1</v>
      </c>
      <c r="G95" s="940">
        <f t="shared" si="12"/>
        <v>0</v>
      </c>
      <c r="H95" s="943">
        <f t="shared" si="13"/>
        <v>0</v>
      </c>
    </row>
    <row r="96" spans="1:8" x14ac:dyDescent="0.25">
      <c r="A96" s="949"/>
      <c r="B96" s="960" t="str">
        <f t="shared" si="11"/>
        <v>Salt - ملح</v>
      </c>
      <c r="C96" s="959" t="str">
        <f t="shared" si="11"/>
        <v>gm</v>
      </c>
      <c r="D96" s="960">
        <f t="shared" si="11"/>
        <v>11</v>
      </c>
      <c r="E96" s="1040">
        <f t="shared" si="14"/>
        <v>0</v>
      </c>
      <c r="F96" s="948">
        <f t="shared" si="15"/>
        <v>0.75</v>
      </c>
      <c r="G96" s="940">
        <f t="shared" si="12"/>
        <v>0</v>
      </c>
      <c r="H96" s="943">
        <f t="shared" si="13"/>
        <v>0</v>
      </c>
    </row>
    <row r="97" spans="1:8" x14ac:dyDescent="0.25">
      <c r="A97" s="949"/>
      <c r="B97" s="960" t="str">
        <f t="shared" si="11"/>
        <v>Maggi Cubes - مكعبات ماجي</v>
      </c>
      <c r="C97" s="959" t="str">
        <f t="shared" si="11"/>
        <v>gm</v>
      </c>
      <c r="D97" s="960">
        <f t="shared" si="11"/>
        <v>20</v>
      </c>
      <c r="E97" s="1040">
        <f t="shared" si="14"/>
        <v>0</v>
      </c>
      <c r="F97" s="948">
        <f t="shared" si="15"/>
        <v>1</v>
      </c>
      <c r="G97" s="940">
        <f t="shared" si="12"/>
        <v>0</v>
      </c>
      <c r="H97" s="943">
        <f t="shared" si="13"/>
        <v>0</v>
      </c>
    </row>
    <row r="98" spans="1:8" x14ac:dyDescent="0.25">
      <c r="A98" s="949"/>
      <c r="B98" s="960" t="str">
        <f t="shared" si="11"/>
        <v>Vinegar - خل</v>
      </c>
      <c r="C98" s="959" t="str">
        <f t="shared" si="11"/>
        <v>ml</v>
      </c>
      <c r="D98" s="960">
        <f t="shared" si="11"/>
        <v>33</v>
      </c>
      <c r="E98" s="1040">
        <f t="shared" si="14"/>
        <v>0</v>
      </c>
      <c r="F98" s="948">
        <f t="shared" si="15"/>
        <v>1</v>
      </c>
      <c r="G98" s="940">
        <f t="shared" si="12"/>
        <v>0</v>
      </c>
      <c r="H98" s="943">
        <f t="shared" si="13"/>
        <v>0</v>
      </c>
    </row>
    <row r="99" spans="1:8" x14ac:dyDescent="0.25">
      <c r="A99" s="949" t="s">
        <v>868</v>
      </c>
      <c r="B99" s="960" t="str">
        <f t="shared" si="11"/>
        <v>Garlic - ثوم مقشر</v>
      </c>
      <c r="C99" s="959" t="str">
        <f t="shared" si="11"/>
        <v>gm</v>
      </c>
      <c r="D99" s="960">
        <f t="shared" si="11"/>
        <v>25</v>
      </c>
      <c r="E99" s="1040">
        <f t="shared" si="14"/>
        <v>0</v>
      </c>
      <c r="F99" s="948">
        <f t="shared" si="15"/>
        <v>1</v>
      </c>
      <c r="G99" s="940">
        <f t="shared" si="12"/>
        <v>0</v>
      </c>
      <c r="H99" s="943">
        <f t="shared" si="13"/>
        <v>0</v>
      </c>
    </row>
    <row r="100" spans="1:8" ht="29.25" x14ac:dyDescent="0.25">
      <c r="A100" s="949"/>
      <c r="B100" s="960" t="str">
        <f t="shared" si="11"/>
        <v>Sriracha Sauce - صوص سريراتشا</v>
      </c>
      <c r="C100" s="959" t="str">
        <f t="shared" si="11"/>
        <v>ml</v>
      </c>
      <c r="D100" s="960">
        <f t="shared" si="11"/>
        <v>20</v>
      </c>
      <c r="E100" s="1040">
        <f t="shared" si="14"/>
        <v>0</v>
      </c>
      <c r="F100" s="948">
        <f t="shared" si="15"/>
        <v>1</v>
      </c>
      <c r="G100" s="940">
        <f t="shared" si="12"/>
        <v>0</v>
      </c>
      <c r="H100" s="943">
        <f t="shared" si="13"/>
        <v>0</v>
      </c>
    </row>
    <row r="101" spans="1:8" x14ac:dyDescent="0.25">
      <c r="A101" s="949"/>
      <c r="B101" s="960" t="str">
        <f t="shared" si="11"/>
        <v>Flour - دقيق</v>
      </c>
      <c r="C101" s="959" t="str">
        <f t="shared" si="11"/>
        <v>gm</v>
      </c>
      <c r="D101" s="960">
        <f t="shared" si="11"/>
        <v>40</v>
      </c>
      <c r="E101" s="1040">
        <f t="shared" si="14"/>
        <v>0</v>
      </c>
      <c r="F101" s="948">
        <f t="shared" si="15"/>
        <v>1</v>
      </c>
      <c r="G101" s="940">
        <f>D101*E101</f>
        <v>0</v>
      </c>
      <c r="H101" s="943">
        <f>G101*F101</f>
        <v>0</v>
      </c>
    </row>
    <row r="102" spans="1:8" ht="18" x14ac:dyDescent="0.25">
      <c r="A102" s="1070"/>
      <c r="B102" s="1041" t="s">
        <v>287</v>
      </c>
      <c r="C102" s="1042" t="s">
        <v>273</v>
      </c>
      <c r="D102" s="1043"/>
      <c r="E102" s="1044" t="s">
        <v>288</v>
      </c>
      <c r="F102" s="1043"/>
      <c r="G102" s="1045" t="s">
        <v>264</v>
      </c>
      <c r="H102" s="1046" t="s">
        <v>661</v>
      </c>
    </row>
    <row r="103" spans="1:8" ht="20.25" x14ac:dyDescent="0.3">
      <c r="A103" s="1070"/>
      <c r="B103" s="1047">
        <f>$J$54</f>
        <v>0</v>
      </c>
      <c r="C103" s="1048">
        <f>E103+G103</f>
        <v>0</v>
      </c>
      <c r="D103" s="1049"/>
      <c r="E103" s="1047">
        <f>$D$54*$S$44</f>
        <v>0</v>
      </c>
      <c r="F103" s="1050"/>
      <c r="G103" s="1048">
        <f>$D$54*$T$44</f>
        <v>0</v>
      </c>
      <c r="H103" s="1047">
        <f>B103+E103</f>
        <v>0</v>
      </c>
    </row>
  </sheetData>
  <mergeCells count="9">
    <mergeCell ref="B84:H84"/>
    <mergeCell ref="B85:H85"/>
    <mergeCell ref="AE2:AG3"/>
    <mergeCell ref="R26:U26"/>
    <mergeCell ref="R25:U25"/>
    <mergeCell ref="B64:H64"/>
    <mergeCell ref="B2:K3"/>
    <mergeCell ref="B63:H63"/>
    <mergeCell ref="B35:F35"/>
  </mergeCells>
  <printOptions horizontalCentered="1"/>
  <pageMargins left="0.4" right="0.4" top="1" bottom="0.5" header="0.3" footer="0.511811023622047"/>
  <pageSetup paperSize="9" scale="65" fitToHeight="0" orientation="landscape" r:id="rId1"/>
  <headerFooter>
    <oddHeader>&amp;C&amp;B&amp;16Moussaka Meat&amp;R&amp;B Day 3</oddHeader>
    <oddFooter>&amp;CPage &amp;P of &amp;N</oddFooter>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7" tint="-0.249977111117893"/>
    <pageSetUpPr fitToPage="1"/>
  </sheetPr>
  <dimension ref="A1:AG116"/>
  <sheetViews>
    <sheetView zoomScaleNormal="100" workbookViewId="0">
      <selection activeCell="C20" sqref="C20"/>
    </sheetView>
  </sheetViews>
  <sheetFormatPr defaultColWidth="32.87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4.5" style="14" customWidth="1"/>
    <col min="15" max="15" width="18.625" style="14" customWidth="1"/>
    <col min="16" max="16" width="8.625" style="14" customWidth="1"/>
    <col min="17" max="18" width="25.875" style="14" customWidth="1"/>
    <col min="19" max="19" width="12.625" style="14" customWidth="1"/>
    <col min="20" max="20" width="25.875" style="14" customWidth="1"/>
    <col min="21" max="22" width="12.625" style="14" customWidth="1"/>
    <col min="23" max="23" width="25.875" style="14" customWidth="1"/>
    <col min="24" max="24" width="10.5" style="14" customWidth="1"/>
    <col min="25" max="25" width="8.625" style="14" customWidth="1"/>
    <col min="26" max="30" width="12.625" style="14" customWidth="1"/>
    <col min="31" max="16384" width="32.875" style="14"/>
  </cols>
  <sheetData>
    <row r="1" spans="1:33" ht="25.5" x14ac:dyDescent="0.25">
      <c r="B1" s="913" t="s">
        <v>231</v>
      </c>
      <c r="C1" s="914">
        <v>1000</v>
      </c>
      <c r="D1" s="915" t="s">
        <v>232</v>
      </c>
      <c r="E1" s="941">
        <f>T32</f>
        <v>9855.2579999999998</v>
      </c>
      <c r="F1" s="913" t="s">
        <v>233</v>
      </c>
      <c r="G1" s="914">
        <f>E1/C1</f>
        <v>9.8552579999999992</v>
      </c>
      <c r="H1" s="913" t="s">
        <v>234</v>
      </c>
      <c r="I1" s="1040">
        <f>(G1/K1)</f>
        <v>10.160059793814433</v>
      </c>
      <c r="J1" s="919" t="s">
        <v>235</v>
      </c>
      <c r="K1" s="914">
        <v>0.97</v>
      </c>
      <c r="L1" s="80"/>
      <c r="M1" s="70"/>
      <c r="N1" s="922"/>
      <c r="O1" s="923" t="s">
        <v>236</v>
      </c>
      <c r="P1" s="914" t="s">
        <v>289</v>
      </c>
      <c r="Q1" s="924" t="s">
        <v>238</v>
      </c>
      <c r="R1" s="914">
        <v>0.49</v>
      </c>
      <c r="T1" s="890"/>
      <c r="W1" s="890"/>
      <c r="Y1" s="923" t="s">
        <v>444</v>
      </c>
      <c r="Z1" s="925">
        <v>30040</v>
      </c>
      <c r="AA1" s="923" t="s">
        <v>544</v>
      </c>
      <c r="AB1" s="925">
        <v>500</v>
      </c>
      <c r="AC1" s="923" t="s">
        <v>537</v>
      </c>
      <c r="AD1" s="925">
        <v>220</v>
      </c>
    </row>
    <row r="2" spans="1:33" ht="15.75" x14ac:dyDescent="0.25">
      <c r="A2" s="863"/>
      <c r="B2" s="1784" t="s">
        <v>381</v>
      </c>
      <c r="C2" s="1787"/>
      <c r="D2" s="1788"/>
      <c r="E2" s="1788"/>
      <c r="F2" s="1788"/>
      <c r="G2" s="1787"/>
      <c r="H2" s="1788"/>
      <c r="I2" s="921"/>
      <c r="J2" s="921"/>
      <c r="K2" s="921"/>
      <c r="L2" s="187"/>
      <c r="M2" s="80"/>
      <c r="N2" s="80"/>
      <c r="O2" s="80"/>
      <c r="P2" s="80"/>
      <c r="Q2" s="80"/>
      <c r="R2" s="80"/>
      <c r="T2" s="890"/>
      <c r="W2" s="890"/>
      <c r="AE2" s="1821"/>
      <c r="AF2" s="1799"/>
      <c r="AG2" s="1799"/>
    </row>
    <row r="3" spans="1:33" ht="15.75" x14ac:dyDescent="0.25">
      <c r="A3" s="863"/>
      <c r="B3" s="78"/>
      <c r="C3" s="78"/>
      <c r="D3" s="78"/>
      <c r="E3" s="78"/>
      <c r="F3" s="78"/>
      <c r="G3" s="78"/>
      <c r="H3" s="78"/>
      <c r="I3" s="78"/>
      <c r="J3" s="78"/>
      <c r="K3" s="1410"/>
      <c r="L3" s="187"/>
      <c r="M3" s="80"/>
      <c r="N3" s="80"/>
      <c r="O3" s="80"/>
      <c r="P3" s="80"/>
      <c r="Q3" s="80"/>
      <c r="R3" s="80"/>
      <c r="T3" s="890"/>
      <c r="W3" s="890"/>
      <c r="AE3" s="1799"/>
      <c r="AF3" s="1799"/>
      <c r="AG3" s="1799"/>
    </row>
    <row r="4" spans="1:33" ht="25.5" x14ac:dyDescent="0.2">
      <c r="A4" s="1350" t="s">
        <v>864</v>
      </c>
      <c r="B4" s="923" t="s">
        <v>241</v>
      </c>
      <c r="C4" s="934" t="s">
        <v>242</v>
      </c>
      <c r="D4" s="923" t="s">
        <v>231</v>
      </c>
      <c r="E4" s="935" t="s">
        <v>234</v>
      </c>
      <c r="F4" s="935" t="s">
        <v>243</v>
      </c>
      <c r="G4" s="923" t="s">
        <v>244</v>
      </c>
      <c r="H4" s="936" t="s">
        <v>334</v>
      </c>
      <c r="I4" s="923" t="s">
        <v>246</v>
      </c>
      <c r="J4" s="923" t="s">
        <v>247</v>
      </c>
      <c r="K4" s="923" t="s">
        <v>248</v>
      </c>
      <c r="L4" s="923" t="s">
        <v>249</v>
      </c>
      <c r="M4" s="80"/>
      <c r="N4" s="80"/>
      <c r="O4" s="80"/>
      <c r="P4" s="80"/>
      <c r="Q4" s="890"/>
      <c r="R4" s="890"/>
      <c r="T4" s="890"/>
      <c r="W4" s="890"/>
    </row>
    <row r="5" spans="1:33" ht="28.5" x14ac:dyDescent="0.2">
      <c r="A5" s="937" t="s">
        <v>873</v>
      </c>
      <c r="B5" s="1068" t="s">
        <v>223</v>
      </c>
      <c r="C5" s="939" t="s">
        <v>14</v>
      </c>
      <c r="D5" s="944">
        <f>I51/10</f>
        <v>4283.6734693877552</v>
      </c>
      <c r="E5" s="918">
        <f>H52</f>
        <v>9.8545697951405433</v>
      </c>
      <c r="F5" s="1166">
        <v>1</v>
      </c>
      <c r="G5" s="940">
        <f t="shared" ref="G5:G26" si="0">D5*E5</f>
        <v>42213.759183673472</v>
      </c>
      <c r="H5" s="943">
        <f t="shared" ref="H5:H26" si="1">G5*F5</f>
        <v>42213.759183673472</v>
      </c>
      <c r="I5" s="914">
        <f>VLOOKUP(B5,All_Ingredients!$A$1:$F$161,6,FALSE())</f>
        <v>0.55000000000000004</v>
      </c>
      <c r="J5" s="940">
        <f>VLOOKUP(B5,All_Ingredients!$A$1:$J$161,10,FALSE())</f>
        <v>14.361111111111111</v>
      </c>
      <c r="K5" s="945">
        <f t="shared" ref="K5" si="2">(H5/I5)/1000</f>
        <v>76.752289424860848</v>
      </c>
      <c r="L5" s="945">
        <f t="shared" ref="L5" si="3">K5*J5</f>
        <v>1102.248156462585</v>
      </c>
      <c r="M5" s="80"/>
      <c r="N5" s="80"/>
      <c r="O5" s="80"/>
      <c r="P5" s="80"/>
      <c r="Q5" s="890"/>
      <c r="R5" s="890"/>
      <c r="T5" s="890"/>
      <c r="W5" s="890"/>
    </row>
    <row r="6" spans="1:33" x14ac:dyDescent="0.25">
      <c r="A6" s="949" t="s">
        <v>881</v>
      </c>
      <c r="B6" s="1115" t="s">
        <v>12</v>
      </c>
      <c r="C6" s="939" t="s">
        <v>14</v>
      </c>
      <c r="D6" s="914">
        <v>50</v>
      </c>
      <c r="E6" s="1040">
        <f t="shared" ref="E6:E26" si="4">$I$1</f>
        <v>10.160059793814433</v>
      </c>
      <c r="F6" s="1166">
        <v>0.95</v>
      </c>
      <c r="G6" s="940">
        <f t="shared" si="0"/>
        <v>508.00298969072168</v>
      </c>
      <c r="H6" s="943">
        <f t="shared" si="1"/>
        <v>482.60284020618559</v>
      </c>
      <c r="I6" s="914">
        <f>VLOOKUP(B6,All_Ingredients!$A$1:$F$161,6,FALSE())</f>
        <v>0.9</v>
      </c>
      <c r="J6" s="940">
        <f>VLOOKUP(B6,All_Ingredients!$A$1:$J$161,10,FALSE())</f>
        <v>3</v>
      </c>
      <c r="K6" s="945">
        <f t="shared" ref="K6:K26" si="5">(H6/I6)/1000</f>
        <v>0.53622537800687287</v>
      </c>
      <c r="L6" s="945">
        <f t="shared" ref="L6:L26" si="6">K6*J6</f>
        <v>1.6086761340206186</v>
      </c>
      <c r="Q6" s="890"/>
      <c r="R6" s="890"/>
      <c r="T6" s="890"/>
      <c r="W6" s="890"/>
    </row>
    <row r="7" spans="1:33" x14ac:dyDescent="0.25">
      <c r="A7" s="949" t="s">
        <v>868</v>
      </c>
      <c r="B7" s="1115" t="s">
        <v>706</v>
      </c>
      <c r="C7" s="939" t="s">
        <v>14</v>
      </c>
      <c r="D7" s="914">
        <v>10</v>
      </c>
      <c r="E7" s="1040">
        <f t="shared" si="4"/>
        <v>10.160059793814433</v>
      </c>
      <c r="F7" s="1166">
        <v>1</v>
      </c>
      <c r="G7" s="940">
        <f t="shared" si="0"/>
        <v>101.60059793814433</v>
      </c>
      <c r="H7" s="943">
        <f t="shared" si="1"/>
        <v>101.60059793814433</v>
      </c>
      <c r="I7" s="914">
        <f>VLOOKUP(B7,All_Ingredients!$A$1:$F$161,6,FALSE())</f>
        <v>1</v>
      </c>
      <c r="J7" s="940">
        <f>VLOOKUP(B7,All_Ingredients!$A$1:$J$161,10,FALSE())</f>
        <v>10.5</v>
      </c>
      <c r="K7" s="945">
        <f t="shared" si="5"/>
        <v>0.10160059793814433</v>
      </c>
      <c r="L7" s="945">
        <f t="shared" si="6"/>
        <v>1.0668062783505154</v>
      </c>
      <c r="Q7" s="890"/>
      <c r="R7" s="890"/>
      <c r="T7" s="890"/>
      <c r="W7" s="890"/>
    </row>
    <row r="8" spans="1:33" ht="25.5" x14ac:dyDescent="0.25">
      <c r="A8" s="949"/>
      <c r="B8" s="1115" t="s">
        <v>200</v>
      </c>
      <c r="C8" s="939" t="s">
        <v>14</v>
      </c>
      <c r="D8" s="914">
        <v>25</v>
      </c>
      <c r="E8" s="1040">
        <f t="shared" si="4"/>
        <v>10.160059793814433</v>
      </c>
      <c r="F8" s="1166">
        <v>0.9</v>
      </c>
      <c r="G8" s="940">
        <f t="shared" si="0"/>
        <v>254.00149484536084</v>
      </c>
      <c r="H8" s="943">
        <f t="shared" si="1"/>
        <v>228.60134536082475</v>
      </c>
      <c r="I8" s="914">
        <f>VLOOKUP(B8,All_Ingredients!$A$1:$F$161,6,FALSE())</f>
        <v>1</v>
      </c>
      <c r="J8" s="940">
        <f>VLOOKUP(B8,All_Ingredients!$A$1:$J$161,10,FALSE())</f>
        <v>63.333333333333336</v>
      </c>
      <c r="K8" s="945">
        <f t="shared" si="5"/>
        <v>0.22860134536082474</v>
      </c>
      <c r="L8" s="945">
        <f t="shared" si="6"/>
        <v>14.478085206185568</v>
      </c>
      <c r="Q8" s="890"/>
      <c r="R8" s="890"/>
      <c r="T8" s="890"/>
      <c r="W8" s="890"/>
    </row>
    <row r="9" spans="1:33" x14ac:dyDescent="0.25">
      <c r="A9" s="949"/>
      <c r="B9" s="1115" t="s">
        <v>166</v>
      </c>
      <c r="C9" s="939" t="s">
        <v>160</v>
      </c>
      <c r="D9" s="914">
        <v>500</v>
      </c>
      <c r="E9" s="1040">
        <f t="shared" si="4"/>
        <v>10.160059793814433</v>
      </c>
      <c r="F9" s="1166">
        <v>1</v>
      </c>
      <c r="G9" s="940">
        <f t="shared" si="0"/>
        <v>5080.0298969072164</v>
      </c>
      <c r="H9" s="943">
        <f t="shared" si="1"/>
        <v>5080.0298969072164</v>
      </c>
      <c r="I9" s="914">
        <f>VLOOKUP(B9,All_Ingredients!$A$1:$F$161,6,FALSE())</f>
        <v>1</v>
      </c>
      <c r="J9" s="940">
        <f>VLOOKUP(B9,All_Ingredients!$A$1:$J$161,10,FALSE())</f>
        <v>12.666666666666666</v>
      </c>
      <c r="K9" s="945">
        <f t="shared" si="5"/>
        <v>5.0800298969072166</v>
      </c>
      <c r="L9" s="945">
        <f t="shared" si="6"/>
        <v>64.347045360824737</v>
      </c>
      <c r="Q9" s="890"/>
      <c r="R9" s="890"/>
      <c r="T9" s="890"/>
      <c r="W9" s="890"/>
    </row>
    <row r="10" spans="1:33" x14ac:dyDescent="0.25">
      <c r="A10" s="949"/>
      <c r="B10" s="1115" t="s">
        <v>152</v>
      </c>
      <c r="C10" s="939" t="s">
        <v>14</v>
      </c>
      <c r="D10" s="914">
        <v>10</v>
      </c>
      <c r="E10" s="1040">
        <f t="shared" si="4"/>
        <v>10.160059793814433</v>
      </c>
      <c r="F10" s="1166">
        <v>1</v>
      </c>
      <c r="G10" s="940">
        <f t="shared" si="0"/>
        <v>101.60059793814433</v>
      </c>
      <c r="H10" s="943">
        <f t="shared" si="1"/>
        <v>101.60059793814433</v>
      </c>
      <c r="I10" s="914">
        <f>VLOOKUP(B10,All_Ingredients!$A$1:$F$161,6,FALSE())</f>
        <v>1</v>
      </c>
      <c r="J10" s="940">
        <f>VLOOKUP(B10,All_Ingredients!$A$1:$J$161,10,FALSE())</f>
        <v>30</v>
      </c>
      <c r="K10" s="945">
        <f t="shared" si="5"/>
        <v>0.10160059793814433</v>
      </c>
      <c r="L10" s="945">
        <f t="shared" si="6"/>
        <v>3.04801793814433</v>
      </c>
      <c r="Q10" s="890"/>
      <c r="R10" s="890"/>
      <c r="T10" s="890"/>
      <c r="W10" s="890"/>
    </row>
    <row r="11" spans="1:33" x14ac:dyDescent="0.25">
      <c r="A11" s="949"/>
      <c r="B11" s="1115" t="s">
        <v>93</v>
      </c>
      <c r="C11" s="939" t="s">
        <v>14</v>
      </c>
      <c r="D11" s="914">
        <v>5</v>
      </c>
      <c r="E11" s="1040">
        <f t="shared" si="4"/>
        <v>10.160059793814433</v>
      </c>
      <c r="F11" s="1166">
        <v>0.75</v>
      </c>
      <c r="G11" s="940">
        <f t="shared" si="0"/>
        <v>50.800298969072166</v>
      </c>
      <c r="H11" s="943">
        <f t="shared" si="1"/>
        <v>38.100224226804123</v>
      </c>
      <c r="I11" s="914">
        <f>VLOOKUP(B11,All_Ingredients!$A$1:$F$161,6,FALSE())</f>
        <v>1</v>
      </c>
      <c r="J11" s="940">
        <f>VLOOKUP(B11,All_Ingredients!$A$1:$J$161,10,FALSE())</f>
        <v>0.74</v>
      </c>
      <c r="K11" s="945">
        <f t="shared" si="5"/>
        <v>3.8100224226804126E-2</v>
      </c>
      <c r="L11" s="945">
        <f t="shared" si="6"/>
        <v>2.8194165927835052E-2</v>
      </c>
      <c r="Q11" s="890"/>
      <c r="R11" s="890"/>
      <c r="T11" s="890"/>
      <c r="W11" s="890"/>
    </row>
    <row r="12" spans="1:33" x14ac:dyDescent="0.25">
      <c r="A12" s="949"/>
      <c r="B12" s="1115" t="s">
        <v>159</v>
      </c>
      <c r="C12" s="939" t="s">
        <v>160</v>
      </c>
      <c r="D12" s="914">
        <v>400</v>
      </c>
      <c r="E12" s="1040">
        <f t="shared" si="4"/>
        <v>10.160059793814433</v>
      </c>
      <c r="F12" s="1166">
        <v>1</v>
      </c>
      <c r="G12" s="940">
        <f t="shared" si="0"/>
        <v>4064.0239175257734</v>
      </c>
      <c r="H12" s="943">
        <f t="shared" si="1"/>
        <v>4064.0239175257734</v>
      </c>
      <c r="I12" s="914">
        <f>VLOOKUP(B12,All_Ingredients!$A$1:$F$161,6,FALSE())</f>
        <v>1</v>
      </c>
      <c r="J12" s="940">
        <f>VLOOKUP(B12,All_Ingredients!$A$1:$J$161,10,FALSE())</f>
        <v>4.2033333333333331</v>
      </c>
      <c r="K12" s="945">
        <f t="shared" si="5"/>
        <v>4.0640239175257733</v>
      </c>
      <c r="L12" s="945">
        <f t="shared" si="6"/>
        <v>17.082447200000001</v>
      </c>
      <c r="Q12" s="890"/>
      <c r="R12" s="890"/>
      <c r="T12" s="890"/>
      <c r="W12" s="890"/>
    </row>
    <row r="13" spans="1:33" x14ac:dyDescent="0.25">
      <c r="A13" s="949"/>
      <c r="B13" s="1115" t="s">
        <v>203</v>
      </c>
      <c r="C13" s="939" t="s">
        <v>160</v>
      </c>
      <c r="D13" s="914">
        <v>300</v>
      </c>
      <c r="E13" s="1040">
        <f t="shared" si="4"/>
        <v>10.160059793814433</v>
      </c>
      <c r="F13" s="1166">
        <v>1</v>
      </c>
      <c r="G13" s="940">
        <f t="shared" si="0"/>
        <v>3048.0179381443299</v>
      </c>
      <c r="H13" s="943">
        <f t="shared" si="1"/>
        <v>3048.0179381443299</v>
      </c>
      <c r="I13" s="914">
        <f>VLOOKUP(B13,All_Ingredients!$A$1:$F$161,6,FALSE())</f>
        <v>1</v>
      </c>
      <c r="J13" s="940">
        <f>VLOOKUP(B13,All_Ingredients!$A$1:$J$161,10,FALSE())</f>
        <v>0</v>
      </c>
      <c r="K13" s="945">
        <f t="shared" si="5"/>
        <v>3.04801793814433</v>
      </c>
      <c r="L13" s="945">
        <f t="shared" si="6"/>
        <v>0</v>
      </c>
      <c r="Q13" s="890"/>
      <c r="R13" s="890"/>
      <c r="T13" s="890"/>
      <c r="W13" s="890"/>
    </row>
    <row r="14" spans="1:33" ht="25.5" x14ac:dyDescent="0.25">
      <c r="A14" s="949"/>
      <c r="B14" s="1115" t="s">
        <v>99</v>
      </c>
      <c r="C14" s="939" t="s">
        <v>14</v>
      </c>
      <c r="D14" s="914">
        <v>2</v>
      </c>
      <c r="E14" s="1040">
        <f t="shared" si="4"/>
        <v>10.160059793814433</v>
      </c>
      <c r="F14" s="1166">
        <v>0.75</v>
      </c>
      <c r="G14" s="940">
        <f t="shared" si="0"/>
        <v>20.320119587628866</v>
      </c>
      <c r="H14" s="943">
        <f t="shared" si="1"/>
        <v>15.24008969072165</v>
      </c>
      <c r="I14" s="914">
        <f>VLOOKUP(B14,All_Ingredients!$A$1:$F$161,6,FALSE())</f>
        <v>1</v>
      </c>
      <c r="J14" s="940">
        <f>VLOOKUP(B14,All_Ingredients!$A$1:$J$161,10,FALSE())</f>
        <v>31</v>
      </c>
      <c r="K14" s="945">
        <f t="shared" si="5"/>
        <v>1.524008969072165E-2</v>
      </c>
      <c r="L14" s="945">
        <f t="shared" si="6"/>
        <v>0.47244278041237114</v>
      </c>
      <c r="Q14" s="890"/>
      <c r="R14" s="890"/>
      <c r="T14" s="890"/>
      <c r="W14" s="890"/>
    </row>
    <row r="15" spans="1:33" x14ac:dyDescent="0.25">
      <c r="A15" s="949"/>
      <c r="B15" s="1115" t="s">
        <v>139</v>
      </c>
      <c r="C15" s="939" t="s">
        <v>14</v>
      </c>
      <c r="D15" s="914">
        <v>10</v>
      </c>
      <c r="E15" s="1040">
        <f t="shared" si="4"/>
        <v>10.160059793814433</v>
      </c>
      <c r="F15" s="1166">
        <v>0.6</v>
      </c>
      <c r="G15" s="940">
        <f t="shared" si="0"/>
        <v>101.60059793814433</v>
      </c>
      <c r="H15" s="943">
        <f t="shared" si="1"/>
        <v>60.960358762886599</v>
      </c>
      <c r="I15" s="914">
        <f>VLOOKUP(B15,All_Ingredients!$A$1:$F$161,6,FALSE())</f>
        <v>1</v>
      </c>
      <c r="J15" s="940">
        <f>VLOOKUP(B15,All_Ingredients!$A$1:$J$161,10,FALSE())</f>
        <v>15.277777777777779</v>
      </c>
      <c r="K15" s="945">
        <f t="shared" si="5"/>
        <v>6.09603587628866E-2</v>
      </c>
      <c r="L15" s="945">
        <f t="shared" si="6"/>
        <v>0.93133881443298983</v>
      </c>
      <c r="Q15" s="890"/>
      <c r="R15" s="890"/>
      <c r="T15" s="890"/>
      <c r="W15" s="890"/>
    </row>
    <row r="16" spans="1:33" x14ac:dyDescent="0.25">
      <c r="A16" s="949"/>
      <c r="B16" s="1115" t="s">
        <v>215</v>
      </c>
      <c r="C16" s="939" t="s">
        <v>14</v>
      </c>
      <c r="D16" s="914">
        <v>1</v>
      </c>
      <c r="E16" s="1040">
        <f t="shared" si="4"/>
        <v>10.160059793814433</v>
      </c>
      <c r="F16" s="1166">
        <v>0.9</v>
      </c>
      <c r="G16" s="940">
        <f t="shared" si="0"/>
        <v>10.160059793814433</v>
      </c>
      <c r="H16" s="943">
        <f t="shared" si="1"/>
        <v>9.1440538144329899</v>
      </c>
      <c r="I16" s="914">
        <f>VLOOKUP(B16,All_Ingredients!$A$1:$F$161,6,FALSE())</f>
        <v>1</v>
      </c>
      <c r="J16" s="940">
        <f>VLOOKUP(B16,All_Ingredients!$A$1:$J$161,10,FALSE())</f>
        <v>40</v>
      </c>
      <c r="K16" s="945">
        <f t="shared" si="5"/>
        <v>9.1440538144329907E-3</v>
      </c>
      <c r="L16" s="945">
        <f t="shared" si="6"/>
        <v>0.36576215257731964</v>
      </c>
      <c r="Q16" s="890"/>
      <c r="R16" s="890"/>
      <c r="T16" s="890"/>
      <c r="W16" s="890"/>
    </row>
    <row r="17" spans="1:30" ht="29.25" x14ac:dyDescent="0.25">
      <c r="A17" s="949"/>
      <c r="B17" s="960" t="s">
        <v>97</v>
      </c>
      <c r="C17" s="939" t="s">
        <v>14</v>
      </c>
      <c r="D17" s="914">
        <v>2</v>
      </c>
      <c r="E17" s="1040">
        <f t="shared" si="4"/>
        <v>10.160059793814433</v>
      </c>
      <c r="F17" s="1166">
        <v>1</v>
      </c>
      <c r="G17" s="940">
        <f t="shared" si="0"/>
        <v>20.320119587628866</v>
      </c>
      <c r="H17" s="943">
        <f t="shared" si="1"/>
        <v>20.320119587628866</v>
      </c>
      <c r="I17" s="914">
        <f>VLOOKUP(B17,All_Ingredients!$A$1:$F$161,6,FALSE())</f>
        <v>1</v>
      </c>
      <c r="J17" s="940">
        <f>VLOOKUP(B17,All_Ingredients!$A$1:$J$161,10,FALSE())</f>
        <v>38</v>
      </c>
      <c r="K17" s="945">
        <f t="shared" si="5"/>
        <v>2.0320119587628867E-2</v>
      </c>
      <c r="L17" s="945">
        <f t="shared" si="6"/>
        <v>0.7721645443298969</v>
      </c>
      <c r="Q17" s="890"/>
      <c r="R17" s="890"/>
      <c r="T17" s="890"/>
      <c r="W17" s="890"/>
    </row>
    <row r="18" spans="1:30" x14ac:dyDescent="0.25">
      <c r="A18" s="949"/>
      <c r="B18" s="960" t="s">
        <v>120</v>
      </c>
      <c r="C18" s="939" t="s">
        <v>14</v>
      </c>
      <c r="D18" s="914">
        <v>2</v>
      </c>
      <c r="E18" s="1040">
        <f t="shared" si="4"/>
        <v>10.160059793814433</v>
      </c>
      <c r="F18" s="1166">
        <v>1</v>
      </c>
      <c r="G18" s="940">
        <f t="shared" si="0"/>
        <v>20.320119587628866</v>
      </c>
      <c r="H18" s="943">
        <f t="shared" si="1"/>
        <v>20.320119587628866</v>
      </c>
      <c r="I18" s="914">
        <f>VLOOKUP(B18,All_Ingredients!$A$1:$F$161,6,FALSE())</f>
        <v>1</v>
      </c>
      <c r="J18" s="940">
        <f>VLOOKUP(B18,All_Ingredients!$A$1:$J$161,10,FALSE())</f>
        <v>15</v>
      </c>
      <c r="K18" s="945">
        <f t="shared" si="5"/>
        <v>2.0320119587628867E-2</v>
      </c>
      <c r="L18" s="945">
        <f t="shared" si="6"/>
        <v>0.30480179381443301</v>
      </c>
      <c r="Q18" s="890"/>
      <c r="R18" s="890"/>
      <c r="T18" s="890"/>
      <c r="W18" s="890"/>
    </row>
    <row r="19" spans="1:30" x14ac:dyDescent="0.25">
      <c r="A19" s="949"/>
      <c r="B19" s="960" t="s">
        <v>103</v>
      </c>
      <c r="C19" s="939" t="s">
        <v>14</v>
      </c>
      <c r="D19" s="914">
        <v>2</v>
      </c>
      <c r="E19" s="1040">
        <f t="shared" si="4"/>
        <v>10.160059793814433</v>
      </c>
      <c r="F19" s="1166">
        <v>1</v>
      </c>
      <c r="G19" s="940">
        <f t="shared" si="0"/>
        <v>20.320119587628866</v>
      </c>
      <c r="H19" s="943">
        <f t="shared" si="1"/>
        <v>20.320119587628866</v>
      </c>
      <c r="I19" s="914">
        <f>VLOOKUP(B19,All_Ingredients!$A$1:$F$161,6,FALSE())</f>
        <v>1</v>
      </c>
      <c r="J19" s="940">
        <f>VLOOKUP(B19,All_Ingredients!$A$1:$J$161,10,FALSE())</f>
        <v>19</v>
      </c>
      <c r="K19" s="945">
        <f t="shared" si="5"/>
        <v>2.0320119587628867E-2</v>
      </c>
      <c r="L19" s="945">
        <f t="shared" si="6"/>
        <v>0.38608227216494845</v>
      </c>
      <c r="Q19" s="890"/>
      <c r="R19" s="890"/>
      <c r="T19" s="890"/>
      <c r="W19" s="890"/>
    </row>
    <row r="20" spans="1:30" x14ac:dyDescent="0.25">
      <c r="A20" s="949"/>
      <c r="B20" s="960" t="s">
        <v>124</v>
      </c>
      <c r="C20" s="939" t="s">
        <v>14</v>
      </c>
      <c r="D20" s="914">
        <v>2</v>
      </c>
      <c r="E20" s="1040">
        <f t="shared" si="4"/>
        <v>10.160059793814433</v>
      </c>
      <c r="F20" s="1166">
        <v>1</v>
      </c>
      <c r="G20" s="940">
        <f t="shared" si="0"/>
        <v>20.320119587628866</v>
      </c>
      <c r="H20" s="943">
        <f t="shared" si="1"/>
        <v>20.320119587628866</v>
      </c>
      <c r="I20" s="914">
        <f>VLOOKUP(B20,All_Ingredients!$A$1:$F$161,6,FALSE())</f>
        <v>1</v>
      </c>
      <c r="J20" s="940">
        <f>VLOOKUP(B20,All_Ingredients!$A$1:$J$161,10,FALSE())</f>
        <v>37</v>
      </c>
      <c r="K20" s="945">
        <f t="shared" si="5"/>
        <v>2.0320119587628867E-2</v>
      </c>
      <c r="L20" s="945">
        <f t="shared" si="6"/>
        <v>0.75184442474226809</v>
      </c>
      <c r="Q20" s="890"/>
      <c r="R20" s="890"/>
      <c r="T20" s="890"/>
      <c r="W20" s="890"/>
    </row>
    <row r="21" spans="1:30" ht="26.25" x14ac:dyDescent="0.25">
      <c r="A21" s="949"/>
      <c r="B21" s="960" t="s">
        <v>126</v>
      </c>
      <c r="C21" s="939" t="s">
        <v>14</v>
      </c>
      <c r="D21" s="914">
        <v>2</v>
      </c>
      <c r="E21" s="1040">
        <f t="shared" si="4"/>
        <v>10.160059793814433</v>
      </c>
      <c r="F21" s="1166">
        <v>1</v>
      </c>
      <c r="G21" s="940">
        <f t="shared" si="0"/>
        <v>20.320119587628866</v>
      </c>
      <c r="H21" s="943">
        <f t="shared" si="1"/>
        <v>20.320119587628866</v>
      </c>
      <c r="I21" s="914">
        <f>VLOOKUP(B21,All_Ingredients!$A$1:$F$161,6,FALSE())</f>
        <v>1</v>
      </c>
      <c r="J21" s="940">
        <f>VLOOKUP(B21,All_Ingredients!$A$1:$J$161,10,FALSE())</f>
        <v>125</v>
      </c>
      <c r="K21" s="945">
        <f t="shared" si="5"/>
        <v>2.0320119587628867E-2</v>
      </c>
      <c r="L21" s="945">
        <f t="shared" si="6"/>
        <v>2.5400149484536083</v>
      </c>
      <c r="Q21" s="1110" t="s">
        <v>382</v>
      </c>
      <c r="R21" s="890"/>
      <c r="T21" s="890"/>
      <c r="W21" s="890"/>
    </row>
    <row r="22" spans="1:30" x14ac:dyDescent="0.25">
      <c r="A22" s="949"/>
      <c r="B22" s="960" t="s">
        <v>129</v>
      </c>
      <c r="C22" s="939" t="s">
        <v>14</v>
      </c>
      <c r="D22" s="914">
        <v>2</v>
      </c>
      <c r="E22" s="1040">
        <f t="shared" si="4"/>
        <v>10.160059793814433</v>
      </c>
      <c r="F22" s="1166">
        <v>1</v>
      </c>
      <c r="G22" s="940">
        <f t="shared" si="0"/>
        <v>20.320119587628866</v>
      </c>
      <c r="H22" s="943">
        <f t="shared" si="1"/>
        <v>20.320119587628866</v>
      </c>
      <c r="I22" s="914">
        <f>VLOOKUP(B22,All_Ingredients!$A$1:$F$161,6,FALSE())</f>
        <v>1</v>
      </c>
      <c r="J22" s="940">
        <f>VLOOKUP(B22,All_Ingredients!$A$1:$J$161,10,FALSE())</f>
        <v>31.5</v>
      </c>
      <c r="K22" s="945">
        <f t="shared" si="5"/>
        <v>2.0320119587628867E-2</v>
      </c>
      <c r="L22" s="945">
        <f t="shared" si="6"/>
        <v>0.64008376701030933</v>
      </c>
      <c r="Q22" s="890"/>
      <c r="R22" s="890"/>
      <c r="T22" s="890"/>
      <c r="W22" s="890"/>
    </row>
    <row r="23" spans="1:30" x14ac:dyDescent="0.25">
      <c r="A23" s="949" t="s">
        <v>884</v>
      </c>
      <c r="B23" s="960" t="s">
        <v>735</v>
      </c>
      <c r="C23" s="939" t="s">
        <v>14</v>
      </c>
      <c r="D23" s="914">
        <v>2</v>
      </c>
      <c r="E23" s="1040">
        <f t="shared" si="4"/>
        <v>10.160059793814433</v>
      </c>
      <c r="F23" s="1166">
        <v>1</v>
      </c>
      <c r="G23" s="940">
        <f t="shared" si="0"/>
        <v>20.320119587628866</v>
      </c>
      <c r="H23" s="943">
        <f t="shared" si="1"/>
        <v>20.320119587628866</v>
      </c>
      <c r="I23" s="914">
        <f>VLOOKUP(B23,All_Ingredients!$A$1:$F$161,6,FALSE())</f>
        <v>0.74</v>
      </c>
      <c r="J23" s="940">
        <f>VLOOKUP(B23,All_Ingredients!$A$1:$J$161,10,FALSE())</f>
        <v>100</v>
      </c>
      <c r="K23" s="945">
        <f t="shared" si="5"/>
        <v>2.7459621064363334E-2</v>
      </c>
      <c r="L23" s="945">
        <f t="shared" si="6"/>
        <v>2.7459621064363335</v>
      </c>
      <c r="Q23" s="890"/>
      <c r="R23" s="890"/>
      <c r="T23" s="890"/>
      <c r="W23" s="890"/>
    </row>
    <row r="24" spans="1:30" x14ac:dyDescent="0.25">
      <c r="A24" s="949"/>
      <c r="B24" s="960" t="s">
        <v>90</v>
      </c>
      <c r="C24" s="939" t="s">
        <v>14</v>
      </c>
      <c r="D24" s="914">
        <v>2</v>
      </c>
      <c r="E24" s="1040">
        <f t="shared" si="4"/>
        <v>10.160059793814433</v>
      </c>
      <c r="F24" s="1166">
        <v>1</v>
      </c>
      <c r="G24" s="940">
        <f t="shared" si="0"/>
        <v>20.320119587628866</v>
      </c>
      <c r="H24" s="943">
        <f t="shared" si="1"/>
        <v>20.320119587628866</v>
      </c>
      <c r="I24" s="914">
        <f>VLOOKUP(B24,All_Ingredients!$A$1:$F$161,6,FALSE())</f>
        <v>1</v>
      </c>
      <c r="J24" s="940">
        <f>VLOOKUP(B24,All_Ingredients!$A$1:$J$161,10,FALSE())</f>
        <v>3.04</v>
      </c>
      <c r="K24" s="945">
        <f t="shared" si="5"/>
        <v>2.0320119587628867E-2</v>
      </c>
      <c r="L24" s="945">
        <f t="shared" si="6"/>
        <v>6.1773163546391757E-2</v>
      </c>
      <c r="Q24" s="890"/>
      <c r="R24" s="890"/>
      <c r="T24" s="890"/>
      <c r="W24" s="890"/>
      <c r="Z24" s="597"/>
    </row>
    <row r="25" spans="1:30" x14ac:dyDescent="0.25">
      <c r="A25" s="949"/>
      <c r="B25" s="1115" t="s">
        <v>93</v>
      </c>
      <c r="C25" s="939" t="s">
        <v>14</v>
      </c>
      <c r="D25" s="914">
        <v>5</v>
      </c>
      <c r="E25" s="1040">
        <f t="shared" si="4"/>
        <v>10.160059793814433</v>
      </c>
      <c r="F25" s="1166">
        <v>1</v>
      </c>
      <c r="G25" s="940">
        <f t="shared" si="0"/>
        <v>50.800298969072166</v>
      </c>
      <c r="H25" s="943">
        <f t="shared" si="1"/>
        <v>50.800298969072166</v>
      </c>
      <c r="I25" s="914">
        <f>VLOOKUP(B25,All_Ingredients!$A$1:$F$161,6,FALSE())</f>
        <v>1</v>
      </c>
      <c r="J25" s="940">
        <f>VLOOKUP(B25,All_Ingredients!$A$1:$J$161,10,FALSE())</f>
        <v>0.74</v>
      </c>
      <c r="K25" s="945">
        <f t="shared" si="5"/>
        <v>5.0800298969072163E-2</v>
      </c>
      <c r="L25" s="945">
        <f t="shared" si="6"/>
        <v>3.75922212371134E-2</v>
      </c>
      <c r="Q25" s="890"/>
      <c r="R25" s="1779" t="s">
        <v>381</v>
      </c>
      <c r="S25" s="1787"/>
      <c r="T25" s="1788"/>
      <c r="U25" s="1787"/>
      <c r="V25" s="952"/>
      <c r="W25" s="890"/>
      <c r="Z25" s="982" t="s">
        <v>252</v>
      </c>
      <c r="AA25" s="989">
        <v>1</v>
      </c>
      <c r="AB25" s="982" t="s">
        <v>249</v>
      </c>
      <c r="AC25" s="985">
        <f>AD30*AA25</f>
        <v>4.1187940390109999E-2</v>
      </c>
    </row>
    <row r="26" spans="1:30" x14ac:dyDescent="0.25">
      <c r="A26" s="949"/>
      <c r="B26" s="960" t="s">
        <v>187</v>
      </c>
      <c r="C26" s="947" t="s">
        <v>14</v>
      </c>
      <c r="D26" s="914">
        <v>20</v>
      </c>
      <c r="E26" s="944">
        <f t="shared" si="4"/>
        <v>10.160059793814433</v>
      </c>
      <c r="F26" s="948">
        <v>0.75</v>
      </c>
      <c r="G26" s="940">
        <f t="shared" si="0"/>
        <v>203.20119587628866</v>
      </c>
      <c r="H26" s="943">
        <f t="shared" si="1"/>
        <v>152.40089690721649</v>
      </c>
      <c r="I26" s="914">
        <f>VLOOKUP(B26,All_Ingredients!$A$1:$F$161,6,FALSE())</f>
        <v>0.9</v>
      </c>
      <c r="J26" s="940">
        <f>VLOOKUP(B26,All_Ingredients!$A$1:$J$161,10,FALSE())</f>
        <v>2.3199999999999998</v>
      </c>
      <c r="K26" s="945">
        <f t="shared" si="5"/>
        <v>0.16933432989690719</v>
      </c>
      <c r="L26" s="945">
        <f t="shared" si="6"/>
        <v>0.39285564536082468</v>
      </c>
      <c r="Q26" s="890"/>
      <c r="R26" s="1786" t="s">
        <v>356</v>
      </c>
      <c r="S26" s="1787"/>
      <c r="T26" s="1788"/>
      <c r="U26" s="1787"/>
      <c r="V26" s="952"/>
      <c r="W26" s="890"/>
    </row>
    <row r="27" spans="1:30" x14ac:dyDescent="0.25">
      <c r="B27" s="890"/>
      <c r="D27" s="890"/>
      <c r="E27" s="890"/>
      <c r="F27" s="890"/>
      <c r="H27" s="890"/>
      <c r="K27" s="890"/>
      <c r="L27" s="190"/>
      <c r="Q27" s="890"/>
      <c r="R27" s="958" t="s">
        <v>254</v>
      </c>
      <c r="S27" s="1076" t="s">
        <v>297</v>
      </c>
      <c r="T27" s="958" t="s">
        <v>256</v>
      </c>
      <c r="U27" s="1076" t="s">
        <v>257</v>
      </c>
      <c r="V27" s="962" t="s">
        <v>753</v>
      </c>
      <c r="W27" s="890"/>
      <c r="Z27" s="982" t="s">
        <v>258</v>
      </c>
      <c r="AA27" s="982" t="s">
        <v>259</v>
      </c>
      <c r="AB27" s="982" t="s">
        <v>260</v>
      </c>
      <c r="AC27" s="984" t="s">
        <v>753</v>
      </c>
      <c r="AD27" s="982" t="s">
        <v>262</v>
      </c>
    </row>
    <row r="28" spans="1:30" x14ac:dyDescent="0.25">
      <c r="B28" s="890"/>
      <c r="D28" s="890"/>
      <c r="E28" s="890"/>
      <c r="F28" s="890"/>
      <c r="H28" s="890"/>
      <c r="K28" s="890"/>
      <c r="Q28" s="890"/>
      <c r="R28" s="958" t="s">
        <v>263</v>
      </c>
      <c r="S28" s="1523">
        <f>U28*S40</f>
        <v>20346.092000000001</v>
      </c>
      <c r="T28" s="1524">
        <f>U28*U40</f>
        <v>9693.9079999999994</v>
      </c>
      <c r="U28" s="1525">
        <f>$Z$1</f>
        <v>30040</v>
      </c>
      <c r="V28" s="966">
        <f>SUM(H37:H38)</f>
        <v>440</v>
      </c>
      <c r="W28" s="890"/>
      <c r="Z28" s="1086"/>
      <c r="AA28" s="985">
        <f>AA25*$S$40</f>
        <v>0.67730000000000001</v>
      </c>
      <c r="AB28" s="985">
        <f>AA25*$U$40</f>
        <v>0.32269999999999999</v>
      </c>
      <c r="AC28" s="987"/>
      <c r="AD28" s="1088">
        <f>SUM(AA28:AC28)</f>
        <v>1</v>
      </c>
    </row>
    <row r="29" spans="1:30" x14ac:dyDescent="0.25">
      <c r="B29" s="890"/>
      <c r="D29" s="890"/>
      <c r="E29" s="890"/>
      <c r="F29" s="890"/>
      <c r="H29" s="890"/>
      <c r="K29" s="890"/>
      <c r="Q29" s="890"/>
      <c r="R29" s="958" t="s">
        <v>383</v>
      </c>
      <c r="S29" s="1526"/>
      <c r="T29" s="1524"/>
      <c r="U29" s="1083">
        <f>T29</f>
        <v>0</v>
      </c>
      <c r="V29" s="966"/>
      <c r="W29" s="890"/>
      <c r="Z29" s="1086"/>
      <c r="AA29" s="1089">
        <f>AA28/$AD$28</f>
        <v>0.67730000000000001</v>
      </c>
      <c r="AB29" s="1089">
        <f>AB28/$AD$28</f>
        <v>0.32269999999999999</v>
      </c>
      <c r="AC29" s="991"/>
      <c r="AD29" s="1089">
        <f>AD28/$AD$28</f>
        <v>1</v>
      </c>
    </row>
    <row r="30" spans="1:30" x14ac:dyDescent="0.25">
      <c r="B30" s="890"/>
      <c r="D30" s="890"/>
      <c r="E30" s="890"/>
      <c r="F30" s="890"/>
      <c r="H30" s="890"/>
      <c r="K30" s="890"/>
      <c r="Q30" s="890"/>
      <c r="R30" s="958" t="s">
        <v>265</v>
      </c>
      <c r="S30" s="1527">
        <f>U30*S40</f>
        <v>338.65000000000003</v>
      </c>
      <c r="T30" s="1528">
        <f>U30*U40</f>
        <v>161.35</v>
      </c>
      <c r="U30" s="1525">
        <f>$AB$1</f>
        <v>500</v>
      </c>
      <c r="V30" s="972"/>
      <c r="W30" s="890"/>
      <c r="Z30" s="982" t="s">
        <v>266</v>
      </c>
      <c r="AA30" s="1090">
        <f>S35/(S32)</f>
        <v>5.3287981859410423E-2</v>
      </c>
      <c r="AB30" s="1091">
        <f>T35/T32</f>
        <v>1.1327105089625708E-2</v>
      </c>
      <c r="AC30" s="995">
        <f>V35/U32</f>
        <v>1.4407334643091029E-3</v>
      </c>
      <c r="AD30" s="1092">
        <f>SUMPRODUCT(AA30:AB30,AA29:AB29)+AC30</f>
        <v>4.1187940390109999E-2</v>
      </c>
    </row>
    <row r="31" spans="1:30" x14ac:dyDescent="0.25">
      <c r="B31" s="890"/>
      <c r="D31" s="890"/>
      <c r="E31" s="890"/>
      <c r="F31" s="890"/>
      <c r="H31" s="890"/>
      <c r="K31" s="890"/>
      <c r="Q31" s="890"/>
      <c r="R31" s="958" t="s">
        <v>267</v>
      </c>
      <c r="S31" s="1082"/>
      <c r="T31" s="1081"/>
      <c r="U31" s="1083"/>
      <c r="V31" s="966"/>
      <c r="W31" s="890"/>
    </row>
    <row r="32" spans="1:30" x14ac:dyDescent="0.25">
      <c r="B32" s="890"/>
      <c r="D32" s="890"/>
      <c r="E32" s="890"/>
      <c r="F32" s="890"/>
      <c r="H32" s="890"/>
      <c r="K32" s="890"/>
      <c r="Q32" s="890"/>
      <c r="R32" s="958" t="s">
        <v>257</v>
      </c>
      <c r="S32" s="1083">
        <f>SUM(S28:S30)</f>
        <v>20684.742000000002</v>
      </c>
      <c r="T32" s="1081">
        <f>SUM(T28:T30)</f>
        <v>9855.2579999999998</v>
      </c>
      <c r="U32" s="1083">
        <f>SUM(U28:U30)</f>
        <v>30540</v>
      </c>
      <c r="V32" s="966">
        <f>SUM(V28:V30)</f>
        <v>440</v>
      </c>
      <c r="W32" s="890"/>
    </row>
    <row r="33" spans="2:23" ht="30" x14ac:dyDescent="0.25">
      <c r="B33" s="80"/>
      <c r="D33" s="890"/>
      <c r="E33" s="80"/>
      <c r="F33" s="80"/>
      <c r="H33" s="890"/>
      <c r="K33" s="890"/>
      <c r="Q33" s="890"/>
      <c r="R33" s="1084" t="s">
        <v>268</v>
      </c>
      <c r="S33" s="1082"/>
      <c r="T33" s="1073"/>
      <c r="U33" s="1082"/>
      <c r="V33" s="959"/>
      <c r="W33" s="890"/>
    </row>
    <row r="34" spans="2:23" x14ac:dyDescent="0.25">
      <c r="B34" s="80"/>
      <c r="D34" s="890"/>
      <c r="E34" s="80"/>
      <c r="F34" s="80"/>
      <c r="H34" s="890"/>
      <c r="K34" s="890"/>
      <c r="Q34" s="890"/>
      <c r="R34" s="958" t="s">
        <v>269</v>
      </c>
      <c r="S34" s="1082"/>
      <c r="T34" s="1081"/>
      <c r="U34" s="1082"/>
      <c r="V34" s="959"/>
      <c r="W34" s="890"/>
    </row>
    <row r="35" spans="2:23" ht="15.75" x14ac:dyDescent="0.25">
      <c r="B35" s="1781" t="s">
        <v>628</v>
      </c>
      <c r="C35" s="1782"/>
      <c r="D35" s="1781"/>
      <c r="E35" s="1781"/>
      <c r="F35" s="1781"/>
      <c r="G35" s="1001"/>
      <c r="H35" s="1434"/>
      <c r="I35" s="1010"/>
      <c r="J35" s="1010"/>
      <c r="K35" s="1009"/>
      <c r="L35" s="1010"/>
      <c r="Q35" s="890"/>
      <c r="R35" s="977" t="s">
        <v>249</v>
      </c>
      <c r="S35" s="1133">
        <f>$L$5</f>
        <v>1102.248156462585</v>
      </c>
      <c r="T35" s="1134">
        <f>SUM(L6:L24)</f>
        <v>111.63154305137448</v>
      </c>
      <c r="U35" s="1160">
        <f>S35+T35+V35</f>
        <v>1257.8796995139596</v>
      </c>
      <c r="V35" s="1136">
        <f>SUM(L37:L38)</f>
        <v>44</v>
      </c>
      <c r="W35" s="890"/>
    </row>
    <row r="36" spans="2:23" ht="31.5" x14ac:dyDescent="0.35">
      <c r="B36" s="1004" t="s">
        <v>241</v>
      </c>
      <c r="C36" s="1004" t="s">
        <v>316</v>
      </c>
      <c r="D36" s="1002" t="s">
        <v>610</v>
      </c>
      <c r="E36" s="1002" t="s">
        <v>611</v>
      </c>
      <c r="F36" s="1002" t="s">
        <v>612</v>
      </c>
      <c r="G36" s="1008"/>
      <c r="H36" s="1002" t="s">
        <v>612</v>
      </c>
      <c r="I36" s="1002" t="s">
        <v>246</v>
      </c>
      <c r="J36" s="1002" t="s">
        <v>247</v>
      </c>
      <c r="K36" s="1002" t="s">
        <v>248</v>
      </c>
      <c r="L36" s="1002" t="s">
        <v>249</v>
      </c>
      <c r="Q36" s="1522"/>
      <c r="R36" s="890"/>
      <c r="T36" s="890"/>
      <c r="W36" s="890"/>
    </row>
    <row r="37" spans="2:23" x14ac:dyDescent="0.25">
      <c r="B37" s="1005" t="s">
        <v>681</v>
      </c>
      <c r="C37" s="1006" t="s">
        <v>14</v>
      </c>
      <c r="D37" s="1007">
        <v>1</v>
      </c>
      <c r="E37" s="1005">
        <f>$AD$1</f>
        <v>220</v>
      </c>
      <c r="F37" s="1005">
        <f>D37*E37</f>
        <v>220</v>
      </c>
      <c r="G37" s="437"/>
      <c r="H37" s="1005">
        <f>F37</f>
        <v>220</v>
      </c>
      <c r="I37" s="1005">
        <f>VLOOKUP(B37,All_Ingredients!$A$1:$F$161,6,FALSE())</f>
        <v>1</v>
      </c>
      <c r="J37" s="1005">
        <f>VLOOKUP(B37,All_Ingredients!$A$1:$J$161,10,FALSE())</f>
        <v>160</v>
      </c>
      <c r="K37" s="1005">
        <f>(H37/I37)/1000</f>
        <v>0.22</v>
      </c>
      <c r="L37" s="1005">
        <f t="shared" ref="L37" si="7">K37*J37</f>
        <v>35.200000000000003</v>
      </c>
      <c r="Q37" s="1457"/>
      <c r="R37" s="890"/>
      <c r="T37" s="890"/>
      <c r="W37" s="890"/>
    </row>
    <row r="38" spans="2:23" x14ac:dyDescent="0.25">
      <c r="B38" s="1005" t="s">
        <v>952</v>
      </c>
      <c r="C38" s="1006" t="s">
        <v>14</v>
      </c>
      <c r="D38" s="1007">
        <v>1</v>
      </c>
      <c r="E38" s="1005">
        <f>$AD$1</f>
        <v>220</v>
      </c>
      <c r="F38" s="1005">
        <f>D38*E38</f>
        <v>220</v>
      </c>
      <c r="H38" s="1005">
        <f>F38</f>
        <v>220</v>
      </c>
      <c r="I38" s="1005">
        <f>VLOOKUP(B38,All_Ingredients!$A$1:$F$161,6,FALSE())</f>
        <v>1</v>
      </c>
      <c r="J38" s="1005">
        <f>VLOOKUP(B38,All_Ingredients!$A$1:$J$161,10,FALSE())</f>
        <v>40</v>
      </c>
      <c r="K38" s="1005">
        <f>(H38/I38)/1000</f>
        <v>0.22</v>
      </c>
      <c r="L38" s="1005">
        <f t="shared" ref="L38" si="8">K38*J38</f>
        <v>8.8000000000000007</v>
      </c>
      <c r="Q38" s="890"/>
      <c r="R38" s="890"/>
      <c r="T38" s="890"/>
      <c r="U38" s="255"/>
      <c r="W38" s="890"/>
    </row>
    <row r="39" spans="2:23" x14ac:dyDescent="0.25">
      <c r="B39" s="890"/>
      <c r="D39" s="890"/>
      <c r="E39" s="890"/>
      <c r="F39" s="890"/>
      <c r="H39" s="890"/>
      <c r="K39" s="890"/>
      <c r="Q39" s="890"/>
      <c r="R39" s="890"/>
      <c r="T39" s="890"/>
      <c r="W39" s="890"/>
    </row>
    <row r="40" spans="2:23" ht="26.25" x14ac:dyDescent="0.25">
      <c r="B40" s="890"/>
      <c r="D40" s="890"/>
      <c r="E40" s="890"/>
      <c r="F40" s="890"/>
      <c r="H40" s="890"/>
      <c r="K40" s="890"/>
      <c r="Q40" s="890"/>
      <c r="R40" s="1011" t="s">
        <v>270</v>
      </c>
      <c r="S40" s="1012">
        <v>0.67730000000000001</v>
      </c>
      <c r="T40" s="1011" t="s">
        <v>271</v>
      </c>
      <c r="U40" s="1013">
        <v>0.32269999999999999</v>
      </c>
      <c r="V40" s="1014">
        <f>S40+U40</f>
        <v>1</v>
      </c>
      <c r="W40" s="890"/>
    </row>
    <row r="41" spans="2:23" x14ac:dyDescent="0.25">
      <c r="B41" s="890"/>
      <c r="D41" s="890"/>
      <c r="E41" s="890"/>
      <c r="F41" s="890"/>
      <c r="H41" s="890"/>
      <c r="K41" s="890"/>
      <c r="Q41" s="890"/>
      <c r="R41" s="890"/>
      <c r="T41" s="890"/>
      <c r="U41" s="123"/>
      <c r="W41" s="890"/>
    </row>
    <row r="42" spans="2:23" x14ac:dyDescent="0.25">
      <c r="B42" s="890"/>
      <c r="D42" s="890"/>
      <c r="E42" s="890"/>
      <c r="F42" s="890"/>
      <c r="H42" s="890"/>
      <c r="K42" s="890"/>
      <c r="Q42" s="890"/>
      <c r="R42" s="890"/>
      <c r="T42" s="890"/>
      <c r="W42" s="890"/>
    </row>
    <row r="43" spans="2:23" ht="26.25" x14ac:dyDescent="0.25">
      <c r="B43" s="890"/>
      <c r="D43" s="890"/>
      <c r="E43" s="890"/>
      <c r="F43" s="890"/>
      <c r="H43" s="890"/>
      <c r="K43" s="890"/>
      <c r="Q43" s="1011" t="s">
        <v>272</v>
      </c>
      <c r="R43" s="1011" t="s">
        <v>273</v>
      </c>
      <c r="S43" s="1015" t="s">
        <v>274</v>
      </c>
      <c r="T43" s="1011" t="s">
        <v>275</v>
      </c>
      <c r="U43" s="1015" t="s">
        <v>276</v>
      </c>
      <c r="V43" s="1015" t="s">
        <v>277</v>
      </c>
      <c r="W43" s="1011" t="s">
        <v>278</v>
      </c>
    </row>
    <row r="44" spans="2:23" x14ac:dyDescent="0.25">
      <c r="B44" s="890"/>
      <c r="D44" s="890"/>
      <c r="E44" s="890"/>
      <c r="F44" s="890"/>
      <c r="H44" s="890"/>
      <c r="K44" s="890"/>
      <c r="Q44" s="1529">
        <v>30990</v>
      </c>
      <c r="R44" s="1017">
        <f>$D$51</f>
        <v>10000</v>
      </c>
      <c r="S44" s="1095">
        <v>1</v>
      </c>
      <c r="T44" s="1025">
        <v>0</v>
      </c>
      <c r="U44" s="1096">
        <f>R44*S44</f>
        <v>10000</v>
      </c>
      <c r="V44" s="1021">
        <f>R44*T44</f>
        <v>0</v>
      </c>
      <c r="W44" s="1026">
        <f>Q44-U44</f>
        <v>20990</v>
      </c>
    </row>
    <row r="50" spans="1:10" x14ac:dyDescent="0.25">
      <c r="B50" s="961"/>
      <c r="C50" s="962" t="s">
        <v>233</v>
      </c>
      <c r="D50" s="961" t="s">
        <v>279</v>
      </c>
      <c r="E50" s="135"/>
      <c r="F50" s="80"/>
      <c r="G50" s="962" t="s">
        <v>280</v>
      </c>
      <c r="H50" s="961" t="s">
        <v>233</v>
      </c>
      <c r="I50" s="962" t="s">
        <v>281</v>
      </c>
      <c r="J50" s="962" t="s">
        <v>282</v>
      </c>
    </row>
    <row r="51" spans="1:10" x14ac:dyDescent="0.25">
      <c r="B51" s="1027" t="s">
        <v>283</v>
      </c>
      <c r="C51" s="1028">
        <f>10/$K$1</f>
        <v>10.309278350515465</v>
      </c>
      <c r="D51" s="1029">
        <f>$C$1*10</f>
        <v>10000</v>
      </c>
      <c r="E51" s="135"/>
      <c r="F51" s="80"/>
      <c r="G51" s="1033" t="s">
        <v>283</v>
      </c>
      <c r="H51" s="1122">
        <f>I51/$D$5</f>
        <v>10</v>
      </c>
      <c r="I51" s="1028">
        <f>J51/$R$1</f>
        <v>42836.734693877552</v>
      </c>
      <c r="J51" s="1028">
        <f>$W$44</f>
        <v>20990</v>
      </c>
    </row>
    <row r="52" spans="1:10" x14ac:dyDescent="0.25">
      <c r="B52" s="958" t="s">
        <v>262</v>
      </c>
      <c r="C52" s="1099">
        <f>$I$1</f>
        <v>10.160059793814433</v>
      </c>
      <c r="D52" s="1100">
        <f>$E$1</f>
        <v>9855.2579999999998</v>
      </c>
      <c r="E52" s="80"/>
      <c r="F52" s="80"/>
      <c r="G52" s="962" t="s">
        <v>262</v>
      </c>
      <c r="H52" s="1052">
        <f>I52/$D$5</f>
        <v>9.8545697951405433</v>
      </c>
      <c r="I52" s="1021">
        <f>J52/$R$1</f>
        <v>42213.759183673472</v>
      </c>
      <c r="J52" s="1030">
        <f>$S$32</f>
        <v>20684.742000000002</v>
      </c>
    </row>
    <row r="53" spans="1:10" x14ac:dyDescent="0.25">
      <c r="B53" s="958" t="s">
        <v>284</v>
      </c>
      <c r="C53" s="1101">
        <f>MIN(C52, C51)</f>
        <v>10.160059793814433</v>
      </c>
      <c r="D53" s="1100">
        <f>(C53*$K$1)*$C$1</f>
        <v>9855.2579999999998</v>
      </c>
      <c r="E53" s="80"/>
      <c r="F53" s="80"/>
      <c r="G53" s="962" t="s">
        <v>284</v>
      </c>
      <c r="H53" s="1035">
        <f>MIN(H52,H51)</f>
        <v>9.8545697951405433</v>
      </c>
      <c r="I53" s="1021">
        <f>J53/$R$1</f>
        <v>42213.759183673472</v>
      </c>
      <c r="J53" s="1021">
        <f>MIN(J52,J51)</f>
        <v>20684.742000000002</v>
      </c>
    </row>
    <row r="54" spans="1:10" x14ac:dyDescent="0.25">
      <c r="B54" s="958" t="s">
        <v>285</v>
      </c>
      <c r="C54" s="1101">
        <f>MIN(MAX(C52-C53,0),C51)</f>
        <v>0</v>
      </c>
      <c r="D54" s="1100">
        <f>(C54*$K$1)*$C$1</f>
        <v>0</v>
      </c>
      <c r="E54" s="80"/>
      <c r="F54" s="80"/>
      <c r="G54" s="962" t="s">
        <v>285</v>
      </c>
      <c r="H54" s="1035">
        <f>MIN(MAX(H52-H53),H51)</f>
        <v>0</v>
      </c>
      <c r="I54" s="1021">
        <f>J54/$R$1</f>
        <v>0</v>
      </c>
      <c r="J54" s="1021">
        <f>MIN(MAX(J52-J53),J51)</f>
        <v>0</v>
      </c>
    </row>
    <row r="55" spans="1:10" x14ac:dyDescent="0.25">
      <c r="B55" s="958" t="s">
        <v>286</v>
      </c>
      <c r="C55" s="1101">
        <f>MIN(MAX(C52-C53-C54,0),C51)</f>
        <v>0</v>
      </c>
      <c r="D55" s="1100">
        <f>(C55*$K$1)*$C$1</f>
        <v>0</v>
      </c>
      <c r="E55" s="80"/>
      <c r="F55" s="80"/>
      <c r="G55" s="962" t="s">
        <v>286</v>
      </c>
      <c r="H55" s="1035">
        <f>MIN(MAX(H52-H53-H54),H51)</f>
        <v>0</v>
      </c>
      <c r="I55" s="1021">
        <f>J55/$R$1</f>
        <v>0</v>
      </c>
      <c r="J55" s="1021">
        <f>MIN(MAX(J52-J53-J54),J51)</f>
        <v>0</v>
      </c>
    </row>
    <row r="56" spans="1:10" x14ac:dyDescent="0.25">
      <c r="B56" s="890"/>
      <c r="D56" s="890"/>
      <c r="E56" s="890"/>
      <c r="F56" s="890"/>
      <c r="H56" s="890"/>
    </row>
    <row r="57" spans="1:10" x14ac:dyDescent="0.25">
      <c r="B57" s="890"/>
      <c r="D57" s="890"/>
      <c r="E57" s="890"/>
      <c r="F57" s="890"/>
      <c r="H57" s="890"/>
    </row>
    <row r="58" spans="1:10" x14ac:dyDescent="0.25">
      <c r="B58" s="890"/>
      <c r="D58" s="890"/>
      <c r="E58" s="890"/>
      <c r="F58" s="890"/>
      <c r="H58" s="890"/>
    </row>
    <row r="59" spans="1:10" x14ac:dyDescent="0.25">
      <c r="B59" s="890"/>
      <c r="D59" s="890"/>
      <c r="E59" s="890"/>
      <c r="F59" s="890"/>
      <c r="H59" s="890"/>
    </row>
    <row r="60" spans="1:10" x14ac:dyDescent="0.25">
      <c r="B60" s="890"/>
      <c r="D60" s="890"/>
      <c r="E60" s="890"/>
      <c r="F60" s="890"/>
      <c r="H60" s="890"/>
    </row>
    <row r="61" spans="1:10" x14ac:dyDescent="0.25">
      <c r="B61" s="890"/>
      <c r="D61" s="890"/>
      <c r="E61" s="890"/>
      <c r="F61" s="890"/>
      <c r="H61" s="890"/>
    </row>
    <row r="62" spans="1:10" x14ac:dyDescent="0.25">
      <c r="A62" s="1036"/>
      <c r="B62" s="1776" t="str">
        <f>"لحم اوريانتل 1 / " &amp; COUNTIF($C$53:$C$55, "&gt;0")</f>
        <v>لحم اوريانتل 1 / 1</v>
      </c>
      <c r="C62" s="1777"/>
      <c r="D62" s="1778"/>
      <c r="E62" s="1778"/>
      <c r="F62" s="1778"/>
      <c r="G62" s="1777"/>
      <c r="H62" s="1778"/>
    </row>
    <row r="63" spans="1:10" x14ac:dyDescent="0.25">
      <c r="A63" s="1036"/>
      <c r="B63" s="1776" t="str">
        <f>"Laham Oriental 1 / " &amp; COUNTIF($C$53:$C$55, "&gt;0")</f>
        <v>Laham Oriental 1 / 1</v>
      </c>
      <c r="C63" s="1777"/>
      <c r="D63" s="1778"/>
      <c r="E63" s="1778"/>
      <c r="F63" s="1778"/>
      <c r="G63" s="1777"/>
      <c r="H63" s="1778"/>
    </row>
    <row r="64" spans="1:10" ht="38.25" x14ac:dyDescent="0.2">
      <c r="A64" s="1350" t="s">
        <v>864</v>
      </c>
      <c r="B64" s="1104" t="s">
        <v>241</v>
      </c>
      <c r="C64" s="934" t="s">
        <v>242</v>
      </c>
      <c r="D64" s="1104" t="s">
        <v>231</v>
      </c>
      <c r="E64" s="936" t="s">
        <v>234</v>
      </c>
      <c r="F64" s="936" t="s">
        <v>243</v>
      </c>
      <c r="G64" s="1104" t="s">
        <v>244</v>
      </c>
      <c r="H64" s="936" t="s">
        <v>245</v>
      </c>
    </row>
    <row r="65" spans="1:8" x14ac:dyDescent="0.2">
      <c r="A65" s="937" t="s">
        <v>873</v>
      </c>
      <c r="B65" s="938" t="str">
        <f t="shared" ref="B65:D84" si="9">B5</f>
        <v>Indian Meat Alana  - لحم هندى ألانا</v>
      </c>
      <c r="C65" s="938" t="str">
        <f t="shared" si="9"/>
        <v>gm</v>
      </c>
      <c r="D65" s="1127">
        <f t="shared" si="9"/>
        <v>4283.6734693877552</v>
      </c>
      <c r="E65" s="940">
        <f>H53</f>
        <v>9.8545697951405433</v>
      </c>
      <c r="F65" s="1166">
        <f t="shared" ref="F65:F86" si="10">F5</f>
        <v>1</v>
      </c>
      <c r="G65" s="940">
        <f t="shared" ref="G65:G84" si="11">D65*E65</f>
        <v>42213.759183673472</v>
      </c>
      <c r="H65" s="943">
        <f t="shared" ref="H65:H84" si="12">G65*F65</f>
        <v>42213.759183673472</v>
      </c>
    </row>
    <row r="66" spans="1:8" x14ac:dyDescent="0.25">
      <c r="A66" s="949" t="s">
        <v>881</v>
      </c>
      <c r="B66" s="938" t="str">
        <f t="shared" si="9"/>
        <v>Onion - بصل</v>
      </c>
      <c r="C66" s="938" t="str">
        <f t="shared" si="9"/>
        <v>gm</v>
      </c>
      <c r="D66" s="938">
        <f t="shared" si="9"/>
        <v>50</v>
      </c>
      <c r="E66" s="940">
        <f t="shared" ref="E66:E86" si="13">$C$53</f>
        <v>10.160059793814433</v>
      </c>
      <c r="F66" s="1166">
        <f t="shared" si="10"/>
        <v>0.95</v>
      </c>
      <c r="G66" s="940">
        <f t="shared" si="11"/>
        <v>508.00298969072168</v>
      </c>
      <c r="H66" s="943">
        <f t="shared" si="12"/>
        <v>482.60284020618559</v>
      </c>
    </row>
    <row r="67" spans="1:8" x14ac:dyDescent="0.25">
      <c r="A67" s="949" t="s">
        <v>868</v>
      </c>
      <c r="B67" s="938" t="str">
        <f t="shared" si="9"/>
        <v>Garlic - ثوم مقشر</v>
      </c>
      <c r="C67" s="938" t="str">
        <f t="shared" si="9"/>
        <v>gm</v>
      </c>
      <c r="D67" s="938">
        <f t="shared" si="9"/>
        <v>10</v>
      </c>
      <c r="E67" s="940">
        <f t="shared" si="13"/>
        <v>10.160059793814433</v>
      </c>
      <c r="F67" s="1166">
        <f t="shared" si="10"/>
        <v>1</v>
      </c>
      <c r="G67" s="940">
        <f t="shared" si="11"/>
        <v>101.60059793814433</v>
      </c>
      <c r="H67" s="943">
        <f t="shared" si="12"/>
        <v>101.60059793814433</v>
      </c>
    </row>
    <row r="68" spans="1:8" ht="25.5" x14ac:dyDescent="0.25">
      <c r="A68" s="949"/>
      <c r="B68" s="938" t="str">
        <f t="shared" si="9"/>
        <v>Demi Glaze Sauce - صوص ديمي غلاز</v>
      </c>
      <c r="C68" s="938" t="str">
        <f t="shared" si="9"/>
        <v>gm</v>
      </c>
      <c r="D68" s="938">
        <f t="shared" si="9"/>
        <v>25</v>
      </c>
      <c r="E68" s="940">
        <f t="shared" si="13"/>
        <v>10.160059793814433</v>
      </c>
      <c r="F68" s="1166">
        <f t="shared" si="10"/>
        <v>0.9</v>
      </c>
      <c r="G68" s="940">
        <f t="shared" si="11"/>
        <v>254.00149484536084</v>
      </c>
      <c r="H68" s="943">
        <f t="shared" si="12"/>
        <v>228.60134536082475</v>
      </c>
    </row>
    <row r="69" spans="1:8" x14ac:dyDescent="0.25">
      <c r="A69" s="949"/>
      <c r="B69" s="938" t="str">
        <f t="shared" si="9"/>
        <v>Cooking Cream - كريمة طبخ</v>
      </c>
      <c r="C69" s="938" t="str">
        <f t="shared" si="9"/>
        <v>ml</v>
      </c>
      <c r="D69" s="938">
        <f t="shared" si="9"/>
        <v>500</v>
      </c>
      <c r="E69" s="940">
        <f t="shared" si="13"/>
        <v>10.160059793814433</v>
      </c>
      <c r="F69" s="1166">
        <f t="shared" si="10"/>
        <v>1</v>
      </c>
      <c r="G69" s="940">
        <f t="shared" si="11"/>
        <v>5080.0298969072164</v>
      </c>
      <c r="H69" s="943">
        <f t="shared" si="12"/>
        <v>5080.0298969072164</v>
      </c>
    </row>
    <row r="70" spans="1:8" x14ac:dyDescent="0.25">
      <c r="A70" s="949"/>
      <c r="B70" s="938" t="str">
        <f t="shared" si="9"/>
        <v>Butter - زبدة</v>
      </c>
      <c r="C70" s="938" t="str">
        <f t="shared" si="9"/>
        <v>gm</v>
      </c>
      <c r="D70" s="938">
        <f t="shared" si="9"/>
        <v>10</v>
      </c>
      <c r="E70" s="940">
        <f t="shared" si="13"/>
        <v>10.160059793814433</v>
      </c>
      <c r="F70" s="1166">
        <f t="shared" si="10"/>
        <v>1</v>
      </c>
      <c r="G70" s="940">
        <f t="shared" si="11"/>
        <v>101.60059793814433</v>
      </c>
      <c r="H70" s="943">
        <f t="shared" si="12"/>
        <v>101.60059793814433</v>
      </c>
    </row>
    <row r="71" spans="1:8" x14ac:dyDescent="0.25">
      <c r="A71" s="949"/>
      <c r="B71" s="938" t="str">
        <f t="shared" si="9"/>
        <v>Salt - ملح</v>
      </c>
      <c r="C71" s="938" t="str">
        <f t="shared" si="9"/>
        <v>gm</v>
      </c>
      <c r="D71" s="938">
        <f t="shared" si="9"/>
        <v>5</v>
      </c>
      <c r="E71" s="940">
        <f t="shared" si="13"/>
        <v>10.160059793814433</v>
      </c>
      <c r="F71" s="1166">
        <f t="shared" si="10"/>
        <v>0.75</v>
      </c>
      <c r="G71" s="940">
        <f t="shared" si="11"/>
        <v>50.800298969072166</v>
      </c>
      <c r="H71" s="943">
        <f t="shared" si="12"/>
        <v>38.100224226804123</v>
      </c>
    </row>
    <row r="72" spans="1:8" x14ac:dyDescent="0.25">
      <c r="A72" s="949"/>
      <c r="B72" s="938" t="str">
        <f t="shared" si="9"/>
        <v>Milk - حليب</v>
      </c>
      <c r="C72" s="938" t="str">
        <f t="shared" si="9"/>
        <v>ml</v>
      </c>
      <c r="D72" s="938">
        <f t="shared" si="9"/>
        <v>400</v>
      </c>
      <c r="E72" s="940">
        <f t="shared" si="13"/>
        <v>10.160059793814433</v>
      </c>
      <c r="F72" s="1166">
        <f t="shared" si="10"/>
        <v>1</v>
      </c>
      <c r="G72" s="940">
        <f t="shared" si="11"/>
        <v>4064.0239175257734</v>
      </c>
      <c r="H72" s="943">
        <f t="shared" si="12"/>
        <v>4064.0239175257734</v>
      </c>
    </row>
    <row r="73" spans="1:8" x14ac:dyDescent="0.25">
      <c r="A73" s="949"/>
      <c r="B73" s="938" t="str">
        <f t="shared" si="9"/>
        <v>Water - ماء</v>
      </c>
      <c r="C73" s="938" t="str">
        <f t="shared" si="9"/>
        <v>ml</v>
      </c>
      <c r="D73" s="938">
        <f t="shared" si="9"/>
        <v>300</v>
      </c>
      <c r="E73" s="940">
        <f t="shared" si="13"/>
        <v>10.160059793814433</v>
      </c>
      <c r="F73" s="1166">
        <f t="shared" si="10"/>
        <v>1</v>
      </c>
      <c r="G73" s="940">
        <f t="shared" si="11"/>
        <v>3048.0179381443299</v>
      </c>
      <c r="H73" s="943">
        <f t="shared" si="12"/>
        <v>3048.0179381443299</v>
      </c>
    </row>
    <row r="74" spans="1:8" ht="25.5" x14ac:dyDescent="0.25">
      <c r="A74" s="949"/>
      <c r="B74" s="938" t="str">
        <f t="shared" si="9"/>
        <v>Black Pepper Powder - فلفل أسود مطحون</v>
      </c>
      <c r="C74" s="938" t="str">
        <f t="shared" si="9"/>
        <v>gm</v>
      </c>
      <c r="D74" s="938">
        <f t="shared" si="9"/>
        <v>2</v>
      </c>
      <c r="E74" s="940">
        <f t="shared" si="13"/>
        <v>10.160059793814433</v>
      </c>
      <c r="F74" s="1166">
        <f t="shared" si="10"/>
        <v>0.75</v>
      </c>
      <c r="G74" s="940">
        <f t="shared" si="11"/>
        <v>20.320119587628866</v>
      </c>
      <c r="H74" s="943">
        <f t="shared" si="12"/>
        <v>15.24008969072165</v>
      </c>
    </row>
    <row r="75" spans="1:8" x14ac:dyDescent="0.25">
      <c r="A75" s="949"/>
      <c r="B75" s="938" t="str">
        <f t="shared" si="9"/>
        <v>Maggi Cubes - مكعبات ماجي</v>
      </c>
      <c r="C75" s="938" t="str">
        <f t="shared" si="9"/>
        <v>gm</v>
      </c>
      <c r="D75" s="938">
        <f t="shared" si="9"/>
        <v>10</v>
      </c>
      <c r="E75" s="940">
        <f t="shared" si="13"/>
        <v>10.160059793814433</v>
      </c>
      <c r="F75" s="1166">
        <f t="shared" si="10"/>
        <v>0.6</v>
      </c>
      <c r="G75" s="940">
        <f t="shared" si="11"/>
        <v>101.60059793814433</v>
      </c>
      <c r="H75" s="943">
        <f t="shared" si="12"/>
        <v>60.960358762886599</v>
      </c>
    </row>
    <row r="76" spans="1:8" x14ac:dyDescent="0.25">
      <c r="A76" s="949"/>
      <c r="B76" s="938" t="str">
        <f t="shared" si="9"/>
        <v>Brown Color - لون بني</v>
      </c>
      <c r="C76" s="938" t="str">
        <f t="shared" si="9"/>
        <v>gm</v>
      </c>
      <c r="D76" s="938">
        <f t="shared" si="9"/>
        <v>1</v>
      </c>
      <c r="E76" s="940">
        <f t="shared" si="13"/>
        <v>10.160059793814433</v>
      </c>
      <c r="F76" s="1166">
        <f t="shared" si="10"/>
        <v>0.9</v>
      </c>
      <c r="G76" s="940">
        <f t="shared" si="11"/>
        <v>10.160059793814433</v>
      </c>
      <c r="H76" s="943">
        <f t="shared" si="12"/>
        <v>9.1440538144329899</v>
      </c>
    </row>
    <row r="77" spans="1:8" x14ac:dyDescent="0.25">
      <c r="A77" s="949"/>
      <c r="B77" s="938" t="str">
        <f t="shared" si="9"/>
        <v>Black Pepper Whole - فلفل أسود حب</v>
      </c>
      <c r="C77" s="938" t="str">
        <f t="shared" si="9"/>
        <v>gm</v>
      </c>
      <c r="D77" s="938">
        <f t="shared" si="9"/>
        <v>2</v>
      </c>
      <c r="E77" s="940">
        <f t="shared" si="13"/>
        <v>10.160059793814433</v>
      </c>
      <c r="F77" s="1166">
        <f t="shared" si="10"/>
        <v>1</v>
      </c>
      <c r="G77" s="940">
        <f t="shared" si="11"/>
        <v>20.320119587628866</v>
      </c>
      <c r="H77" s="943">
        <f t="shared" si="12"/>
        <v>20.320119587628866</v>
      </c>
    </row>
    <row r="78" spans="1:8" x14ac:dyDescent="0.25">
      <c r="A78" s="949"/>
      <c r="B78" s="938" t="str">
        <f t="shared" si="9"/>
        <v>Cinnamon Whole - قرفة أعواد</v>
      </c>
      <c r="C78" s="938" t="str">
        <f t="shared" si="9"/>
        <v>gm</v>
      </c>
      <c r="D78" s="938">
        <f t="shared" si="9"/>
        <v>2</v>
      </c>
      <c r="E78" s="940">
        <f t="shared" si="13"/>
        <v>10.160059793814433</v>
      </c>
      <c r="F78" s="1166">
        <f t="shared" si="10"/>
        <v>1</v>
      </c>
      <c r="G78" s="940">
        <f t="shared" si="11"/>
        <v>20.320119587628866</v>
      </c>
      <c r="H78" s="943">
        <f t="shared" si="12"/>
        <v>20.320119587628866</v>
      </c>
    </row>
    <row r="79" spans="1:8" x14ac:dyDescent="0.25">
      <c r="A79" s="949"/>
      <c r="B79" s="938" t="str">
        <f t="shared" si="9"/>
        <v>Cumin Whole - كمون حب</v>
      </c>
      <c r="C79" s="938" t="str">
        <f t="shared" si="9"/>
        <v>gm</v>
      </c>
      <c r="D79" s="938">
        <f t="shared" si="9"/>
        <v>2</v>
      </c>
      <c r="E79" s="940">
        <f t="shared" si="13"/>
        <v>10.160059793814433</v>
      </c>
      <c r="F79" s="1166">
        <f t="shared" si="10"/>
        <v>1</v>
      </c>
      <c r="G79" s="940">
        <f t="shared" si="11"/>
        <v>20.320119587628866</v>
      </c>
      <c r="H79" s="943">
        <f t="shared" si="12"/>
        <v>20.320119587628866</v>
      </c>
    </row>
    <row r="80" spans="1:8" x14ac:dyDescent="0.25">
      <c r="A80" s="949"/>
      <c r="B80" s="938" t="str">
        <f t="shared" si="9"/>
        <v>Cloves Whole - قرنفل حب</v>
      </c>
      <c r="C80" s="938" t="str">
        <f t="shared" si="9"/>
        <v>gm</v>
      </c>
      <c r="D80" s="938">
        <f t="shared" si="9"/>
        <v>2</v>
      </c>
      <c r="E80" s="940">
        <f t="shared" si="13"/>
        <v>10.160059793814433</v>
      </c>
      <c r="F80" s="1166">
        <f t="shared" si="10"/>
        <v>1</v>
      </c>
      <c r="G80" s="940">
        <f t="shared" si="11"/>
        <v>20.320119587628866</v>
      </c>
      <c r="H80" s="943">
        <f t="shared" si="12"/>
        <v>20.320119587628866</v>
      </c>
    </row>
    <row r="81" spans="1:8" x14ac:dyDescent="0.25">
      <c r="A81" s="949"/>
      <c r="B81" s="938" t="str">
        <f t="shared" si="9"/>
        <v>Cardamom Whole - هيل حب</v>
      </c>
      <c r="C81" s="938" t="str">
        <f t="shared" si="9"/>
        <v>gm</v>
      </c>
      <c r="D81" s="938">
        <f t="shared" si="9"/>
        <v>2</v>
      </c>
      <c r="E81" s="940">
        <f t="shared" si="13"/>
        <v>10.160059793814433</v>
      </c>
      <c r="F81" s="1166">
        <f t="shared" si="10"/>
        <v>1</v>
      </c>
      <c r="G81" s="940">
        <f t="shared" si="11"/>
        <v>20.320119587628866</v>
      </c>
      <c r="H81" s="943">
        <f t="shared" si="12"/>
        <v>20.320119587628866</v>
      </c>
    </row>
    <row r="82" spans="1:8" x14ac:dyDescent="0.25">
      <c r="A82" s="949"/>
      <c r="B82" s="938" t="str">
        <f t="shared" si="9"/>
        <v>Star Anise - ينسون نجمي</v>
      </c>
      <c r="C82" s="938" t="str">
        <f t="shared" si="9"/>
        <v>gm</v>
      </c>
      <c r="D82" s="938">
        <f t="shared" si="9"/>
        <v>2</v>
      </c>
      <c r="E82" s="940">
        <f t="shared" si="13"/>
        <v>10.160059793814433</v>
      </c>
      <c r="F82" s="1166">
        <f t="shared" si="10"/>
        <v>1</v>
      </c>
      <c r="G82" s="940">
        <f t="shared" si="11"/>
        <v>20.320119587628866</v>
      </c>
      <c r="H82" s="943">
        <f t="shared" si="12"/>
        <v>20.320119587628866</v>
      </c>
    </row>
    <row r="83" spans="1:8" x14ac:dyDescent="0.25">
      <c r="A83" s="949" t="s">
        <v>884</v>
      </c>
      <c r="B83" s="938" t="str">
        <f t="shared" si="9"/>
        <v>Rosemary - روزميري مستورد</v>
      </c>
      <c r="C83" s="938" t="str">
        <f t="shared" si="9"/>
        <v>gm</v>
      </c>
      <c r="D83" s="938">
        <f t="shared" si="9"/>
        <v>2</v>
      </c>
      <c r="E83" s="940">
        <f t="shared" si="13"/>
        <v>10.160059793814433</v>
      </c>
      <c r="F83" s="1166">
        <f t="shared" si="10"/>
        <v>1</v>
      </c>
      <c r="G83" s="940">
        <f t="shared" si="11"/>
        <v>20.320119587628866</v>
      </c>
      <c r="H83" s="943">
        <f t="shared" si="12"/>
        <v>20.320119587628866</v>
      </c>
    </row>
    <row r="84" spans="1:8" x14ac:dyDescent="0.25">
      <c r="A84" s="949"/>
      <c r="B84" s="938" t="str">
        <f t="shared" si="9"/>
        <v>Bay Leaf - ورق غار</v>
      </c>
      <c r="C84" s="938" t="str">
        <f t="shared" si="9"/>
        <v>gm</v>
      </c>
      <c r="D84" s="938">
        <f t="shared" si="9"/>
        <v>2</v>
      </c>
      <c r="E84" s="940">
        <f t="shared" si="13"/>
        <v>10.160059793814433</v>
      </c>
      <c r="F84" s="1166">
        <f t="shared" si="10"/>
        <v>1</v>
      </c>
      <c r="G84" s="940">
        <f t="shared" si="11"/>
        <v>20.320119587628866</v>
      </c>
      <c r="H84" s="943">
        <f t="shared" si="12"/>
        <v>20.320119587628866</v>
      </c>
    </row>
    <row r="85" spans="1:8" x14ac:dyDescent="0.25">
      <c r="A85" s="949"/>
      <c r="B85" s="938" t="str">
        <f t="shared" ref="B85:D85" si="14">B25</f>
        <v>Salt - ملح</v>
      </c>
      <c r="C85" s="938" t="str">
        <f t="shared" si="14"/>
        <v>gm</v>
      </c>
      <c r="D85" s="938">
        <f t="shared" si="14"/>
        <v>5</v>
      </c>
      <c r="E85" s="940">
        <f t="shared" si="13"/>
        <v>10.160059793814433</v>
      </c>
      <c r="F85" s="1166">
        <f t="shared" si="10"/>
        <v>1</v>
      </c>
      <c r="G85" s="940">
        <f t="shared" ref="G85:G86" si="15">D85*E85</f>
        <v>50.800298969072166</v>
      </c>
      <c r="H85" s="943">
        <f t="shared" ref="H85:H86" si="16">G85*F85</f>
        <v>50.800298969072166</v>
      </c>
    </row>
    <row r="86" spans="1:8" x14ac:dyDescent="0.25">
      <c r="A86" s="949"/>
      <c r="B86" s="938" t="str">
        <f t="shared" ref="B86:D86" si="17">B26</f>
        <v>Corn Starch - نشا ذرة</v>
      </c>
      <c r="C86" s="938" t="str">
        <f t="shared" si="17"/>
        <v>gm</v>
      </c>
      <c r="D86" s="938">
        <f t="shared" si="17"/>
        <v>20</v>
      </c>
      <c r="E86" s="940">
        <f t="shared" si="13"/>
        <v>10.160059793814433</v>
      </c>
      <c r="F86" s="1166">
        <f t="shared" si="10"/>
        <v>0.75</v>
      </c>
      <c r="G86" s="940">
        <f t="shared" si="15"/>
        <v>203.20119587628866</v>
      </c>
      <c r="H86" s="943">
        <f t="shared" si="16"/>
        <v>152.40089690721649</v>
      </c>
    </row>
    <row r="87" spans="1:8" ht="18" x14ac:dyDescent="0.25">
      <c r="A87" s="1070"/>
      <c r="B87" s="1041" t="s">
        <v>287</v>
      </c>
      <c r="C87" s="1042" t="s">
        <v>273</v>
      </c>
      <c r="D87" s="1043"/>
      <c r="E87" s="1044" t="s">
        <v>288</v>
      </c>
      <c r="F87" s="1043"/>
      <c r="G87" s="1045" t="s">
        <v>264</v>
      </c>
      <c r="H87" s="1046" t="s">
        <v>661</v>
      </c>
    </row>
    <row r="88" spans="1:8" ht="20.25" x14ac:dyDescent="0.3">
      <c r="A88" s="1070"/>
      <c r="B88" s="1047">
        <f>$J$53</f>
        <v>20684.742000000002</v>
      </c>
      <c r="C88" s="1048">
        <f>E88+G88</f>
        <v>9855.2579999999998</v>
      </c>
      <c r="D88" s="1049"/>
      <c r="E88" s="1047">
        <f>$D$53*$S$44</f>
        <v>9855.2579999999998</v>
      </c>
      <c r="F88" s="1050"/>
      <c r="G88" s="1048">
        <f>$D$53*$T$44</f>
        <v>0</v>
      </c>
      <c r="H88" s="1047">
        <f>B88+E88</f>
        <v>30540</v>
      </c>
    </row>
    <row r="89" spans="1:8" x14ac:dyDescent="0.25">
      <c r="B89" s="80"/>
      <c r="D89" s="890"/>
      <c r="E89" s="80"/>
      <c r="F89" s="80"/>
      <c r="H89" s="890"/>
    </row>
    <row r="90" spans="1:8" x14ac:dyDescent="0.25">
      <c r="A90" s="1036"/>
      <c r="B90" s="1776" t="str">
        <f>"لحم اوريانتل 2 / " &amp; COUNTIF($C$53:$C$55, "&gt;0")</f>
        <v>لحم اوريانتل 2 / 1</v>
      </c>
      <c r="C90" s="1777"/>
      <c r="D90" s="1778"/>
      <c r="E90" s="1778"/>
      <c r="F90" s="1778"/>
      <c r="G90" s="1777"/>
      <c r="H90" s="1778"/>
    </row>
    <row r="91" spans="1:8" x14ac:dyDescent="0.25">
      <c r="A91" s="1036"/>
      <c r="B91" s="1776" t="str">
        <f>"Laham Oriental 2 / " &amp; COUNTIF($C$53:$C$55, "&gt;0")</f>
        <v>Laham Oriental 2 / 1</v>
      </c>
      <c r="C91" s="1777"/>
      <c r="D91" s="1778"/>
      <c r="E91" s="1778"/>
      <c r="F91" s="1778"/>
      <c r="G91" s="1777"/>
      <c r="H91" s="1778"/>
    </row>
    <row r="92" spans="1:8" ht="38.25" x14ac:dyDescent="0.2">
      <c r="A92" s="1350" t="s">
        <v>864</v>
      </c>
      <c r="B92" s="1104" t="s">
        <v>241</v>
      </c>
      <c r="C92" s="934" t="s">
        <v>242</v>
      </c>
      <c r="D92" s="1104" t="s">
        <v>231</v>
      </c>
      <c r="E92" s="936" t="s">
        <v>234</v>
      </c>
      <c r="F92" s="936" t="s">
        <v>243</v>
      </c>
      <c r="G92" s="1104" t="s">
        <v>244</v>
      </c>
      <c r="H92" s="936" t="s">
        <v>245</v>
      </c>
    </row>
    <row r="93" spans="1:8" x14ac:dyDescent="0.2">
      <c r="A93" s="937" t="s">
        <v>873</v>
      </c>
      <c r="B93" s="938" t="str">
        <f t="shared" ref="B93:D112" si="18">B5</f>
        <v>Indian Meat Alana  - لحم هندى ألانا</v>
      </c>
      <c r="C93" s="938" t="str">
        <f t="shared" si="18"/>
        <v>gm</v>
      </c>
      <c r="D93" s="1530">
        <f t="shared" si="18"/>
        <v>4283.6734693877552</v>
      </c>
      <c r="E93" s="1040">
        <f>H54</f>
        <v>0</v>
      </c>
      <c r="F93" s="1166">
        <f t="shared" ref="F93:F112" si="19">F5</f>
        <v>1</v>
      </c>
      <c r="G93" s="1040">
        <f t="shared" ref="G93:G112" si="20">D93*E93</f>
        <v>0</v>
      </c>
      <c r="H93" s="1039">
        <f t="shared" ref="H93:H112" si="21">G93*F93</f>
        <v>0</v>
      </c>
    </row>
    <row r="94" spans="1:8" x14ac:dyDescent="0.25">
      <c r="A94" s="949" t="s">
        <v>881</v>
      </c>
      <c r="B94" s="938" t="str">
        <f t="shared" si="18"/>
        <v>Onion - بصل</v>
      </c>
      <c r="C94" s="938" t="str">
        <f t="shared" si="18"/>
        <v>gm</v>
      </c>
      <c r="D94" s="1530">
        <f t="shared" si="18"/>
        <v>50</v>
      </c>
      <c r="E94" s="1040">
        <f t="shared" ref="E94:E114" si="22">$C$54</f>
        <v>0</v>
      </c>
      <c r="F94" s="1166">
        <f t="shared" si="19"/>
        <v>0.95</v>
      </c>
      <c r="G94" s="1040">
        <f t="shared" si="20"/>
        <v>0</v>
      </c>
      <c r="H94" s="1039">
        <f t="shared" si="21"/>
        <v>0</v>
      </c>
    </row>
    <row r="95" spans="1:8" x14ac:dyDescent="0.25">
      <c r="A95" s="949" t="s">
        <v>868</v>
      </c>
      <c r="B95" s="938" t="str">
        <f t="shared" si="18"/>
        <v>Garlic - ثوم مقشر</v>
      </c>
      <c r="C95" s="938" t="str">
        <f t="shared" si="18"/>
        <v>gm</v>
      </c>
      <c r="D95" s="1530">
        <f t="shared" si="18"/>
        <v>10</v>
      </c>
      <c r="E95" s="1040">
        <f t="shared" si="22"/>
        <v>0</v>
      </c>
      <c r="F95" s="1166">
        <f t="shared" si="19"/>
        <v>1</v>
      </c>
      <c r="G95" s="1040">
        <f t="shared" si="20"/>
        <v>0</v>
      </c>
      <c r="H95" s="1039">
        <f t="shared" si="21"/>
        <v>0</v>
      </c>
    </row>
    <row r="96" spans="1:8" ht="25.5" x14ac:dyDescent="0.25">
      <c r="A96" s="949"/>
      <c r="B96" s="938" t="str">
        <f t="shared" si="18"/>
        <v>Demi Glaze Sauce - صوص ديمي غلاز</v>
      </c>
      <c r="C96" s="938" t="str">
        <f t="shared" si="18"/>
        <v>gm</v>
      </c>
      <c r="D96" s="1530">
        <f t="shared" si="18"/>
        <v>25</v>
      </c>
      <c r="E96" s="1040">
        <f t="shared" si="22"/>
        <v>0</v>
      </c>
      <c r="F96" s="1166">
        <f t="shared" si="19"/>
        <v>0.9</v>
      </c>
      <c r="G96" s="1040">
        <f t="shared" si="20"/>
        <v>0</v>
      </c>
      <c r="H96" s="1039">
        <f t="shared" si="21"/>
        <v>0</v>
      </c>
    </row>
    <row r="97" spans="1:8" x14ac:dyDescent="0.25">
      <c r="A97" s="949"/>
      <c r="B97" s="938" t="str">
        <f t="shared" si="18"/>
        <v>Cooking Cream - كريمة طبخ</v>
      </c>
      <c r="C97" s="938" t="str">
        <f t="shared" si="18"/>
        <v>ml</v>
      </c>
      <c r="D97" s="1530">
        <f t="shared" si="18"/>
        <v>500</v>
      </c>
      <c r="E97" s="1040">
        <f t="shared" si="22"/>
        <v>0</v>
      </c>
      <c r="F97" s="1166">
        <f t="shared" si="19"/>
        <v>1</v>
      </c>
      <c r="G97" s="1040">
        <f t="shared" si="20"/>
        <v>0</v>
      </c>
      <c r="H97" s="1039">
        <f t="shared" si="21"/>
        <v>0</v>
      </c>
    </row>
    <row r="98" spans="1:8" x14ac:dyDescent="0.25">
      <c r="A98" s="949"/>
      <c r="B98" s="938" t="str">
        <f t="shared" si="18"/>
        <v>Butter - زبدة</v>
      </c>
      <c r="C98" s="938" t="str">
        <f t="shared" si="18"/>
        <v>gm</v>
      </c>
      <c r="D98" s="1530">
        <f t="shared" si="18"/>
        <v>10</v>
      </c>
      <c r="E98" s="1040">
        <f t="shared" si="22"/>
        <v>0</v>
      </c>
      <c r="F98" s="1166">
        <f t="shared" si="19"/>
        <v>1</v>
      </c>
      <c r="G98" s="1040">
        <f t="shared" si="20"/>
        <v>0</v>
      </c>
      <c r="H98" s="1039">
        <f t="shared" si="21"/>
        <v>0</v>
      </c>
    </row>
    <row r="99" spans="1:8" x14ac:dyDescent="0.25">
      <c r="A99" s="949"/>
      <c r="B99" s="938" t="str">
        <f t="shared" si="18"/>
        <v>Salt - ملح</v>
      </c>
      <c r="C99" s="938" t="str">
        <f t="shared" si="18"/>
        <v>gm</v>
      </c>
      <c r="D99" s="1530">
        <f t="shared" si="18"/>
        <v>5</v>
      </c>
      <c r="E99" s="1040">
        <f t="shared" si="22"/>
        <v>0</v>
      </c>
      <c r="F99" s="1166">
        <f t="shared" si="19"/>
        <v>0.75</v>
      </c>
      <c r="G99" s="1040">
        <f t="shared" si="20"/>
        <v>0</v>
      </c>
      <c r="H99" s="1039">
        <f t="shared" si="21"/>
        <v>0</v>
      </c>
    </row>
    <row r="100" spans="1:8" x14ac:dyDescent="0.25">
      <c r="A100" s="949"/>
      <c r="B100" s="938" t="str">
        <f t="shared" si="18"/>
        <v>Milk - حليب</v>
      </c>
      <c r="C100" s="938" t="str">
        <f t="shared" si="18"/>
        <v>ml</v>
      </c>
      <c r="D100" s="1530">
        <f t="shared" si="18"/>
        <v>400</v>
      </c>
      <c r="E100" s="1040">
        <f t="shared" si="22"/>
        <v>0</v>
      </c>
      <c r="F100" s="1166">
        <f t="shared" si="19"/>
        <v>1</v>
      </c>
      <c r="G100" s="1040">
        <f t="shared" si="20"/>
        <v>0</v>
      </c>
      <c r="H100" s="1039">
        <f t="shared" si="21"/>
        <v>0</v>
      </c>
    </row>
    <row r="101" spans="1:8" x14ac:dyDescent="0.25">
      <c r="A101" s="949"/>
      <c r="B101" s="938" t="str">
        <f t="shared" si="18"/>
        <v>Water - ماء</v>
      </c>
      <c r="C101" s="938" t="str">
        <f t="shared" si="18"/>
        <v>ml</v>
      </c>
      <c r="D101" s="1530">
        <f t="shared" si="18"/>
        <v>300</v>
      </c>
      <c r="E101" s="1040">
        <f t="shared" si="22"/>
        <v>0</v>
      </c>
      <c r="F101" s="1166">
        <f t="shared" si="19"/>
        <v>1</v>
      </c>
      <c r="G101" s="1040">
        <f t="shared" si="20"/>
        <v>0</v>
      </c>
      <c r="H101" s="1039">
        <f t="shared" si="21"/>
        <v>0</v>
      </c>
    </row>
    <row r="102" spans="1:8" ht="25.5" x14ac:dyDescent="0.25">
      <c r="A102" s="949"/>
      <c r="B102" s="938" t="str">
        <f t="shared" si="18"/>
        <v>Black Pepper Powder - فلفل أسود مطحون</v>
      </c>
      <c r="C102" s="938" t="str">
        <f t="shared" si="18"/>
        <v>gm</v>
      </c>
      <c r="D102" s="1530">
        <f t="shared" si="18"/>
        <v>2</v>
      </c>
      <c r="E102" s="1040">
        <f t="shared" si="22"/>
        <v>0</v>
      </c>
      <c r="F102" s="1166">
        <f t="shared" si="19"/>
        <v>0.75</v>
      </c>
      <c r="G102" s="1040">
        <f t="shared" si="20"/>
        <v>0</v>
      </c>
      <c r="H102" s="1039">
        <f t="shared" si="21"/>
        <v>0</v>
      </c>
    </row>
    <row r="103" spans="1:8" x14ac:dyDescent="0.25">
      <c r="A103" s="949"/>
      <c r="B103" s="938" t="str">
        <f t="shared" si="18"/>
        <v>Maggi Cubes - مكعبات ماجي</v>
      </c>
      <c r="C103" s="938" t="str">
        <f t="shared" si="18"/>
        <v>gm</v>
      </c>
      <c r="D103" s="1530">
        <f t="shared" si="18"/>
        <v>10</v>
      </c>
      <c r="E103" s="1040">
        <f t="shared" si="22"/>
        <v>0</v>
      </c>
      <c r="F103" s="1166">
        <f t="shared" si="19"/>
        <v>0.6</v>
      </c>
      <c r="G103" s="1040">
        <f t="shared" si="20"/>
        <v>0</v>
      </c>
      <c r="H103" s="1039">
        <f t="shared" si="21"/>
        <v>0</v>
      </c>
    </row>
    <row r="104" spans="1:8" x14ac:dyDescent="0.25">
      <c r="A104" s="949"/>
      <c r="B104" s="938" t="str">
        <f t="shared" si="18"/>
        <v>Brown Color - لون بني</v>
      </c>
      <c r="C104" s="938" t="str">
        <f t="shared" si="18"/>
        <v>gm</v>
      </c>
      <c r="D104" s="1530">
        <f t="shared" si="18"/>
        <v>1</v>
      </c>
      <c r="E104" s="1040">
        <f t="shared" si="22"/>
        <v>0</v>
      </c>
      <c r="F104" s="1166">
        <f t="shared" si="19"/>
        <v>0.9</v>
      </c>
      <c r="G104" s="1040">
        <f t="shared" si="20"/>
        <v>0</v>
      </c>
      <c r="H104" s="1039">
        <f t="shared" si="21"/>
        <v>0</v>
      </c>
    </row>
    <row r="105" spans="1:8" x14ac:dyDescent="0.25">
      <c r="A105" s="949"/>
      <c r="B105" s="938" t="str">
        <f t="shared" si="18"/>
        <v>Black Pepper Whole - فلفل أسود حب</v>
      </c>
      <c r="C105" s="938" t="str">
        <f t="shared" si="18"/>
        <v>gm</v>
      </c>
      <c r="D105" s="1530">
        <f t="shared" si="18"/>
        <v>2</v>
      </c>
      <c r="E105" s="1040">
        <f t="shared" si="22"/>
        <v>0</v>
      </c>
      <c r="F105" s="1166">
        <f t="shared" si="19"/>
        <v>1</v>
      </c>
      <c r="G105" s="1040">
        <f t="shared" si="20"/>
        <v>0</v>
      </c>
      <c r="H105" s="1039">
        <f t="shared" si="21"/>
        <v>0</v>
      </c>
    </row>
    <row r="106" spans="1:8" x14ac:dyDescent="0.25">
      <c r="A106" s="949"/>
      <c r="B106" s="938" t="str">
        <f t="shared" si="18"/>
        <v>Cinnamon Whole - قرفة أعواد</v>
      </c>
      <c r="C106" s="938" t="str">
        <f t="shared" si="18"/>
        <v>gm</v>
      </c>
      <c r="D106" s="1530">
        <f t="shared" si="18"/>
        <v>2</v>
      </c>
      <c r="E106" s="1040">
        <f t="shared" si="22"/>
        <v>0</v>
      </c>
      <c r="F106" s="1166">
        <f t="shared" si="19"/>
        <v>1</v>
      </c>
      <c r="G106" s="1040">
        <f t="shared" si="20"/>
        <v>0</v>
      </c>
      <c r="H106" s="1039">
        <f t="shared" si="21"/>
        <v>0</v>
      </c>
    </row>
    <row r="107" spans="1:8" x14ac:dyDescent="0.25">
      <c r="A107" s="949"/>
      <c r="B107" s="938" t="str">
        <f t="shared" si="18"/>
        <v>Cumin Whole - كمون حب</v>
      </c>
      <c r="C107" s="938" t="str">
        <f t="shared" si="18"/>
        <v>gm</v>
      </c>
      <c r="D107" s="1530">
        <f t="shared" si="18"/>
        <v>2</v>
      </c>
      <c r="E107" s="1040">
        <f t="shared" si="22"/>
        <v>0</v>
      </c>
      <c r="F107" s="1166">
        <f t="shared" si="19"/>
        <v>1</v>
      </c>
      <c r="G107" s="1040">
        <f t="shared" si="20"/>
        <v>0</v>
      </c>
      <c r="H107" s="1039">
        <f t="shared" si="21"/>
        <v>0</v>
      </c>
    </row>
    <row r="108" spans="1:8" x14ac:dyDescent="0.25">
      <c r="A108" s="949"/>
      <c r="B108" s="938" t="str">
        <f t="shared" si="18"/>
        <v>Cloves Whole - قرنفل حب</v>
      </c>
      <c r="C108" s="938" t="str">
        <f t="shared" si="18"/>
        <v>gm</v>
      </c>
      <c r="D108" s="1530">
        <f t="shared" si="18"/>
        <v>2</v>
      </c>
      <c r="E108" s="1040">
        <f t="shared" si="22"/>
        <v>0</v>
      </c>
      <c r="F108" s="1166">
        <f t="shared" si="19"/>
        <v>1</v>
      </c>
      <c r="G108" s="1040">
        <f t="shared" si="20"/>
        <v>0</v>
      </c>
      <c r="H108" s="1039">
        <f t="shared" si="21"/>
        <v>0</v>
      </c>
    </row>
    <row r="109" spans="1:8" x14ac:dyDescent="0.25">
      <c r="A109" s="949"/>
      <c r="B109" s="938" t="str">
        <f t="shared" si="18"/>
        <v>Cardamom Whole - هيل حب</v>
      </c>
      <c r="C109" s="938" t="str">
        <f t="shared" si="18"/>
        <v>gm</v>
      </c>
      <c r="D109" s="1530">
        <f t="shared" si="18"/>
        <v>2</v>
      </c>
      <c r="E109" s="1040">
        <f t="shared" si="22"/>
        <v>0</v>
      </c>
      <c r="F109" s="1166">
        <f t="shared" si="19"/>
        <v>1</v>
      </c>
      <c r="G109" s="1040">
        <f t="shared" si="20"/>
        <v>0</v>
      </c>
      <c r="H109" s="1039">
        <f t="shared" si="21"/>
        <v>0</v>
      </c>
    </row>
    <row r="110" spans="1:8" x14ac:dyDescent="0.25">
      <c r="A110" s="949"/>
      <c r="B110" s="938" t="str">
        <f t="shared" si="18"/>
        <v>Star Anise - ينسون نجمي</v>
      </c>
      <c r="C110" s="938" t="str">
        <f t="shared" si="18"/>
        <v>gm</v>
      </c>
      <c r="D110" s="1530">
        <f t="shared" si="18"/>
        <v>2</v>
      </c>
      <c r="E110" s="1040">
        <f t="shared" si="22"/>
        <v>0</v>
      </c>
      <c r="F110" s="1166">
        <f t="shared" si="19"/>
        <v>1</v>
      </c>
      <c r="G110" s="1040">
        <f t="shared" si="20"/>
        <v>0</v>
      </c>
      <c r="H110" s="1039">
        <f t="shared" si="21"/>
        <v>0</v>
      </c>
    </row>
    <row r="111" spans="1:8" x14ac:dyDescent="0.25">
      <c r="A111" s="949" t="s">
        <v>884</v>
      </c>
      <c r="B111" s="938" t="str">
        <f t="shared" si="18"/>
        <v>Rosemary - روزميري مستورد</v>
      </c>
      <c r="C111" s="938" t="str">
        <f t="shared" si="18"/>
        <v>gm</v>
      </c>
      <c r="D111" s="1530">
        <f t="shared" si="18"/>
        <v>2</v>
      </c>
      <c r="E111" s="1040">
        <f t="shared" si="22"/>
        <v>0</v>
      </c>
      <c r="F111" s="1166">
        <f t="shared" si="19"/>
        <v>1</v>
      </c>
      <c r="G111" s="1040">
        <f t="shared" si="20"/>
        <v>0</v>
      </c>
      <c r="H111" s="1039">
        <f t="shared" si="21"/>
        <v>0</v>
      </c>
    </row>
    <row r="112" spans="1:8" x14ac:dyDescent="0.25">
      <c r="A112" s="949"/>
      <c r="B112" s="938" t="str">
        <f t="shared" si="18"/>
        <v>Bay Leaf - ورق غار</v>
      </c>
      <c r="C112" s="938" t="str">
        <f t="shared" si="18"/>
        <v>gm</v>
      </c>
      <c r="D112" s="1530">
        <f t="shared" si="18"/>
        <v>2</v>
      </c>
      <c r="E112" s="1040">
        <f t="shared" si="22"/>
        <v>0</v>
      </c>
      <c r="F112" s="1166">
        <f t="shared" si="19"/>
        <v>1</v>
      </c>
      <c r="G112" s="1040">
        <f t="shared" si="20"/>
        <v>0</v>
      </c>
      <c r="H112" s="1039">
        <f t="shared" si="21"/>
        <v>0</v>
      </c>
    </row>
    <row r="113" spans="1:8" x14ac:dyDescent="0.25">
      <c r="A113" s="949"/>
      <c r="B113" s="938" t="str">
        <f t="shared" ref="B113:D113" si="23">B25</f>
        <v>Salt - ملح</v>
      </c>
      <c r="C113" s="938" t="str">
        <f t="shared" si="23"/>
        <v>gm</v>
      </c>
      <c r="D113" s="1530">
        <f t="shared" si="23"/>
        <v>5</v>
      </c>
      <c r="E113" s="1040">
        <f t="shared" si="22"/>
        <v>0</v>
      </c>
      <c r="F113" s="1166">
        <f t="shared" ref="F113:F114" si="24">F25</f>
        <v>1</v>
      </c>
      <c r="G113" s="1040">
        <f t="shared" ref="G113:G114" si="25">D113*E113</f>
        <v>0</v>
      </c>
      <c r="H113" s="1039">
        <f t="shared" ref="H113:H114" si="26">G113*F113</f>
        <v>0</v>
      </c>
    </row>
    <row r="114" spans="1:8" x14ac:dyDescent="0.25">
      <c r="A114" s="949"/>
      <c r="B114" s="938" t="str">
        <f t="shared" ref="B114:D114" si="27">B26</f>
        <v>Corn Starch - نشا ذرة</v>
      </c>
      <c r="C114" s="938" t="str">
        <f t="shared" si="27"/>
        <v>gm</v>
      </c>
      <c r="D114" s="1530">
        <f t="shared" si="27"/>
        <v>20</v>
      </c>
      <c r="E114" s="1040">
        <f t="shared" si="22"/>
        <v>0</v>
      </c>
      <c r="F114" s="1166">
        <f t="shared" si="24"/>
        <v>0.75</v>
      </c>
      <c r="G114" s="1040">
        <f t="shared" si="25"/>
        <v>0</v>
      </c>
      <c r="H114" s="1039">
        <f t="shared" si="26"/>
        <v>0</v>
      </c>
    </row>
    <row r="115" spans="1:8" ht="18" x14ac:dyDescent="0.25">
      <c r="A115" s="1070"/>
      <c r="B115" s="1041" t="s">
        <v>287</v>
      </c>
      <c r="C115" s="1042" t="s">
        <v>273</v>
      </c>
      <c r="D115" s="1043"/>
      <c r="E115" s="1044" t="s">
        <v>288</v>
      </c>
      <c r="F115" s="1043"/>
      <c r="G115" s="1045" t="s">
        <v>264</v>
      </c>
      <c r="H115" s="1046" t="s">
        <v>661</v>
      </c>
    </row>
    <row r="116" spans="1:8" ht="20.25" x14ac:dyDescent="0.3">
      <c r="A116" s="1070"/>
      <c r="B116" s="1047">
        <f>$J$54</f>
        <v>0</v>
      </c>
      <c r="C116" s="1048">
        <f>E116+G116</f>
        <v>0</v>
      </c>
      <c r="D116" s="1049"/>
      <c r="E116" s="1047">
        <f>$D$54*$S$44</f>
        <v>0</v>
      </c>
      <c r="F116" s="1050"/>
      <c r="G116" s="1048">
        <f>$D$54*$T$44</f>
        <v>0</v>
      </c>
      <c r="H116" s="1047">
        <f>B116+E116</f>
        <v>0</v>
      </c>
    </row>
  </sheetData>
  <mergeCells count="9">
    <mergeCell ref="AE2:AG3"/>
    <mergeCell ref="B63:H63"/>
    <mergeCell ref="R26:U26"/>
    <mergeCell ref="B91:H91"/>
    <mergeCell ref="B2:H2"/>
    <mergeCell ref="B62:H62"/>
    <mergeCell ref="R25:U25"/>
    <mergeCell ref="B90:H90"/>
    <mergeCell ref="B35:F35"/>
  </mergeCells>
  <printOptions horizontalCentered="1"/>
  <pageMargins left="0.4" right="0.4" top="1" bottom="0.5" header="0.3" footer="0.511811023622047"/>
  <pageSetup paperSize="9" scale="84" fitToHeight="0" orientation="landscape" r:id="rId1"/>
  <headerFooter>
    <oddHeader>&amp;C&amp;B&amp;16Laham Oriental&amp;R&amp;B Day 3</oddHeader>
    <oddFooter>&amp;CPage &amp;P of &amp;N</oddFooter>
  </headerFooter>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5EF12-6654-4B19-8D8B-EE68964A6287}">
  <sheetPr codeName="Sheet88">
    <tabColor theme="7" tint="-0.249977111117893"/>
    <pageSetUpPr fitToPage="1"/>
  </sheetPr>
  <dimension ref="A1:AD81"/>
  <sheetViews>
    <sheetView topLeftCell="A14" zoomScale="40" zoomScaleNormal="40" workbookViewId="0">
      <selection activeCell="D64" sqref="D64"/>
    </sheetView>
  </sheetViews>
  <sheetFormatPr defaultColWidth="12.5" defaultRowHeight="15" x14ac:dyDescent="0.2"/>
  <cols>
    <col min="1" max="1" width="18.625" style="885" customWidth="1"/>
    <col min="2" max="2" width="25.875" style="346" customWidth="1"/>
    <col min="3" max="3" width="18.625" style="346" customWidth="1"/>
    <col min="4" max="8" width="25.875" style="346" customWidth="1"/>
    <col min="9" max="10" width="18.625" style="346" customWidth="1"/>
    <col min="11" max="11" width="25.875" style="346" customWidth="1"/>
    <col min="12" max="12" width="12.625" style="346" customWidth="1"/>
    <col min="13" max="13" width="25.25" style="346" customWidth="1"/>
    <col min="14" max="14" width="12.5" style="346" customWidth="1"/>
    <col min="15" max="15" width="18.625" style="346" customWidth="1"/>
    <col min="16" max="16" width="8.625" style="346" customWidth="1"/>
    <col min="17" max="17" width="18.625" style="346" customWidth="1"/>
    <col min="18" max="18" width="25.875" style="346" customWidth="1"/>
    <col min="19" max="22" width="12.625" style="346" customWidth="1"/>
    <col min="23" max="23" width="25.875" style="346" customWidth="1"/>
    <col min="24" max="24" width="14.75" style="346" customWidth="1"/>
    <col min="25" max="25" width="8.625" style="346" customWidth="1"/>
    <col min="26" max="29" width="12.625" style="346" customWidth="1"/>
    <col min="30" max="30" width="8.625" style="346" customWidth="1"/>
    <col min="31" max="16384" width="12.5" style="346"/>
  </cols>
  <sheetData>
    <row r="1" spans="1:30" ht="25.5" x14ac:dyDescent="0.2">
      <c r="B1" s="1532" t="s">
        <v>669</v>
      </c>
      <c r="C1" s="1226">
        <v>5000</v>
      </c>
      <c r="D1" s="1533" t="s">
        <v>232</v>
      </c>
      <c r="E1" s="1534">
        <f>U30</f>
        <v>6008</v>
      </c>
      <c r="F1" s="1532" t="s">
        <v>233</v>
      </c>
      <c r="G1" s="1535">
        <f>E1/C1</f>
        <v>1.2016</v>
      </c>
      <c r="H1" s="1532" t="s">
        <v>234</v>
      </c>
      <c r="I1" s="1536">
        <f>(G1/K1)</f>
        <v>1.2016</v>
      </c>
      <c r="J1" s="1532" t="s">
        <v>235</v>
      </c>
      <c r="K1" s="1226">
        <v>1</v>
      </c>
      <c r="L1" s="347"/>
      <c r="M1" s="347"/>
      <c r="N1" s="347"/>
      <c r="O1" s="924" t="s">
        <v>236</v>
      </c>
      <c r="P1" s="1226" t="s">
        <v>902</v>
      </c>
      <c r="Q1" s="924" t="s">
        <v>238</v>
      </c>
      <c r="R1" s="914">
        <v>0.66</v>
      </c>
      <c r="S1" s="1537" t="s">
        <v>673</v>
      </c>
      <c r="T1" s="1538">
        <v>0.8</v>
      </c>
      <c r="W1" s="1209"/>
      <c r="Y1" s="1539" t="s">
        <v>444</v>
      </c>
      <c r="Z1" s="1540">
        <v>30040</v>
      </c>
      <c r="AA1" s="1539" t="s">
        <v>446</v>
      </c>
      <c r="AB1" s="1540">
        <v>0</v>
      </c>
      <c r="AD1" s="346">
        <v>220</v>
      </c>
    </row>
    <row r="2" spans="1:30" ht="14.25" x14ac:dyDescent="0.2">
      <c r="A2" s="1806"/>
      <c r="B2" s="1807" t="s">
        <v>670</v>
      </c>
      <c r="C2" s="1853"/>
      <c r="D2" s="1854"/>
      <c r="E2" s="1854"/>
      <c r="F2" s="1854"/>
      <c r="G2" s="1854"/>
      <c r="H2" s="1854"/>
      <c r="I2" s="1226"/>
      <c r="J2" s="1226"/>
      <c r="K2" s="1226"/>
      <c r="L2" s="347"/>
      <c r="M2" s="347"/>
      <c r="N2" s="347"/>
      <c r="O2" s="347"/>
      <c r="P2" s="347"/>
      <c r="Q2" s="347"/>
      <c r="R2" s="347"/>
      <c r="S2" s="347"/>
      <c r="W2" s="1209"/>
    </row>
    <row r="3" spans="1:30" ht="15.75" x14ac:dyDescent="0.2">
      <c r="A3" s="1855"/>
      <c r="B3" s="1541"/>
      <c r="C3" s="1541"/>
      <c r="D3" s="1541"/>
      <c r="E3" s="1541"/>
      <c r="F3" s="1541"/>
      <c r="G3" s="1541"/>
      <c r="H3" s="1541"/>
      <c r="I3" s="347"/>
      <c r="J3" s="347"/>
      <c r="K3" s="347"/>
      <c r="L3" s="347"/>
      <c r="M3" s="347"/>
      <c r="N3" s="347"/>
      <c r="O3" s="347"/>
      <c r="P3" s="347"/>
      <c r="Q3" s="347"/>
      <c r="R3" s="347"/>
      <c r="S3" s="347"/>
      <c r="W3" s="1209"/>
    </row>
    <row r="4" spans="1:30" ht="38.25" x14ac:dyDescent="0.2">
      <c r="A4" s="1542" t="s">
        <v>864</v>
      </c>
      <c r="B4" s="1219" t="s">
        <v>667</v>
      </c>
      <c r="C4" s="1220" t="s">
        <v>316</v>
      </c>
      <c r="D4" s="1219" t="s">
        <v>671</v>
      </c>
      <c r="E4" s="1543" t="s">
        <v>318</v>
      </c>
      <c r="F4" s="1543" t="s">
        <v>319</v>
      </c>
      <c r="G4" s="1544" t="s">
        <v>320</v>
      </c>
      <c r="H4" s="1224" t="s">
        <v>321</v>
      </c>
      <c r="I4" s="923" t="s">
        <v>246</v>
      </c>
      <c r="J4" s="923" t="s">
        <v>247</v>
      </c>
      <c r="K4" s="923" t="s">
        <v>248</v>
      </c>
      <c r="L4" s="923" t="s">
        <v>249</v>
      </c>
      <c r="M4" s="347"/>
      <c r="N4" s="347"/>
      <c r="O4" s="347"/>
      <c r="P4" s="347"/>
      <c r="Q4" s="347"/>
      <c r="R4" s="347"/>
      <c r="S4" s="347"/>
      <c r="W4" s="1209"/>
    </row>
    <row r="5" spans="1:30" ht="28.5" x14ac:dyDescent="0.2">
      <c r="A5" s="1225" t="s">
        <v>892</v>
      </c>
      <c r="B5" s="960" t="s">
        <v>226</v>
      </c>
      <c r="C5" s="1227" t="s">
        <v>227</v>
      </c>
      <c r="D5" s="1545">
        <f>5000/R1</f>
        <v>7575.7575757575751</v>
      </c>
      <c r="E5" s="1244">
        <f t="shared" ref="E5:E19" si="0">$G$1</f>
        <v>1.2016</v>
      </c>
      <c r="F5" s="1229">
        <v>1</v>
      </c>
      <c r="G5" s="1546">
        <f>D5*E5</f>
        <v>9103.0303030303021</v>
      </c>
      <c r="H5" s="1535">
        <f>G5*F5</f>
        <v>9103.0303030303021</v>
      </c>
      <c r="I5" s="914">
        <f>VLOOKUP(B5,All_Ingredients!$A$1:$F$161,6,FALSE())</f>
        <v>0.99</v>
      </c>
      <c r="J5" s="940">
        <f>VLOOKUP(B5,All_Ingredients!$A$1:$J$161,10,FALSE())</f>
        <v>11.75</v>
      </c>
      <c r="K5" s="945">
        <f t="shared" ref="K5:K8" si="1">(H5/I5)/1000</f>
        <v>9.1949801040710124</v>
      </c>
      <c r="L5" s="945">
        <f t="shared" ref="L5:L8" si="2">K5*J5</f>
        <v>108.0410162228344</v>
      </c>
      <c r="R5" s="1209"/>
      <c r="W5" s="1209"/>
    </row>
    <row r="6" spans="1:30" x14ac:dyDescent="0.2">
      <c r="A6" s="1225" t="s">
        <v>869</v>
      </c>
      <c r="B6" s="1547" t="s">
        <v>12</v>
      </c>
      <c r="C6" s="1227" t="s">
        <v>14</v>
      </c>
      <c r="D6" s="1548">
        <v>2200</v>
      </c>
      <c r="E6" s="1244">
        <f t="shared" si="0"/>
        <v>1.2016</v>
      </c>
      <c r="F6" s="1229">
        <v>1</v>
      </c>
      <c r="G6" s="1546">
        <f t="shared" ref="G6:G19" si="3">D6*E6</f>
        <v>2643.52</v>
      </c>
      <c r="H6" s="1535">
        <f t="shared" ref="H6:H19" si="4">G6*F6</f>
        <v>2643.52</v>
      </c>
      <c r="I6" s="914">
        <f>VLOOKUP(B6,All_Ingredients!$A$1:$F$161,6,FALSE())</f>
        <v>0.9</v>
      </c>
      <c r="J6" s="940">
        <f>VLOOKUP(B6,All_Ingredients!$A$1:$J$161,10,FALSE())</f>
        <v>3</v>
      </c>
      <c r="K6" s="945">
        <f t="shared" si="1"/>
        <v>2.9372444444444445</v>
      </c>
      <c r="L6" s="945">
        <f t="shared" si="2"/>
        <v>8.8117333333333328</v>
      </c>
      <c r="R6" s="1209"/>
      <c r="W6" s="1209"/>
    </row>
    <row r="7" spans="1:30" x14ac:dyDescent="0.2">
      <c r="A7" s="1225" t="s">
        <v>868</v>
      </c>
      <c r="B7" s="1547" t="s">
        <v>706</v>
      </c>
      <c r="C7" s="1227" t="s">
        <v>14</v>
      </c>
      <c r="D7" s="1548">
        <v>270</v>
      </c>
      <c r="E7" s="1244">
        <f t="shared" si="0"/>
        <v>1.2016</v>
      </c>
      <c r="F7" s="1229">
        <v>1</v>
      </c>
      <c r="G7" s="1546">
        <f t="shared" si="3"/>
        <v>324.43200000000002</v>
      </c>
      <c r="H7" s="1535">
        <f t="shared" si="4"/>
        <v>324.43200000000002</v>
      </c>
      <c r="I7" s="914">
        <f>VLOOKUP(B7,All_Ingredients!$A$1:$F$161,6,FALSE())</f>
        <v>1</v>
      </c>
      <c r="J7" s="940">
        <f>VLOOKUP(B7,All_Ingredients!$A$1:$J$161,10,FALSE())</f>
        <v>10.5</v>
      </c>
      <c r="K7" s="945">
        <f t="shared" si="1"/>
        <v>0.324432</v>
      </c>
      <c r="L7" s="945">
        <f t="shared" si="2"/>
        <v>3.406536</v>
      </c>
      <c r="R7" s="1209"/>
      <c r="W7" s="1209"/>
    </row>
    <row r="8" spans="1:30" x14ac:dyDescent="0.2">
      <c r="A8" s="1225"/>
      <c r="B8" s="1547" t="s">
        <v>152</v>
      </c>
      <c r="C8" s="1227" t="s">
        <v>14</v>
      </c>
      <c r="D8" s="1548">
        <v>360</v>
      </c>
      <c r="E8" s="1244">
        <f t="shared" si="0"/>
        <v>1.2016</v>
      </c>
      <c r="F8" s="1229">
        <v>1</v>
      </c>
      <c r="G8" s="1546">
        <f t="shared" si="3"/>
        <v>432.57600000000002</v>
      </c>
      <c r="H8" s="1535">
        <f t="shared" si="4"/>
        <v>432.57600000000002</v>
      </c>
      <c r="I8" s="914">
        <f>VLOOKUP(B8,All_Ingredients!$A$1:$F$161,6,FALSE())</f>
        <v>1</v>
      </c>
      <c r="J8" s="940">
        <f>VLOOKUP(B8,All_Ingredients!$A$1:$J$161,10,FALSE())</f>
        <v>30</v>
      </c>
      <c r="K8" s="945">
        <f t="shared" si="1"/>
        <v>0.43257600000000002</v>
      </c>
      <c r="L8" s="945">
        <f t="shared" si="2"/>
        <v>12.97728</v>
      </c>
      <c r="R8" s="1209"/>
      <c r="W8" s="1209"/>
    </row>
    <row r="9" spans="1:30" x14ac:dyDescent="0.2">
      <c r="A9" s="1225"/>
      <c r="B9" s="1547" t="s">
        <v>93</v>
      </c>
      <c r="C9" s="1227" t="s">
        <v>14</v>
      </c>
      <c r="D9" s="1548">
        <v>18</v>
      </c>
      <c r="E9" s="1244">
        <f t="shared" si="0"/>
        <v>1.2016</v>
      </c>
      <c r="F9" s="1229">
        <v>1</v>
      </c>
      <c r="G9" s="1546">
        <f t="shared" si="3"/>
        <v>21.628799999999998</v>
      </c>
      <c r="H9" s="1535">
        <f t="shared" si="4"/>
        <v>21.628799999999998</v>
      </c>
      <c r="I9" s="914">
        <f>VLOOKUP(B9,All_Ingredients!$A$1:$F$161,6,FALSE())</f>
        <v>1</v>
      </c>
      <c r="J9" s="940">
        <f>VLOOKUP(B9,All_Ingredients!$A$1:$J$161,10,FALSE())</f>
        <v>0.74</v>
      </c>
      <c r="K9" s="945">
        <f t="shared" ref="K9:K19" si="5">(H9/I9)/1000</f>
        <v>2.1628799999999997E-2</v>
      </c>
      <c r="L9" s="945">
        <f t="shared" ref="L9:L19" si="6">K9*J9</f>
        <v>1.6005311999999997E-2</v>
      </c>
      <c r="R9" s="1209"/>
      <c r="W9" s="1209"/>
    </row>
    <row r="10" spans="1:30" ht="25.5" x14ac:dyDescent="0.2">
      <c r="A10" s="1225"/>
      <c r="B10" s="1547" t="s">
        <v>99</v>
      </c>
      <c r="C10" s="1227" t="s">
        <v>14</v>
      </c>
      <c r="D10" s="1548">
        <v>18</v>
      </c>
      <c r="E10" s="1244">
        <f t="shared" si="0"/>
        <v>1.2016</v>
      </c>
      <c r="F10" s="1229">
        <v>1</v>
      </c>
      <c r="G10" s="1546">
        <f t="shared" si="3"/>
        <v>21.628799999999998</v>
      </c>
      <c r="H10" s="1535">
        <f t="shared" si="4"/>
        <v>21.628799999999998</v>
      </c>
      <c r="I10" s="914">
        <f>VLOOKUP(B10,All_Ingredients!$A$1:$F$161,6,FALSE())</f>
        <v>1</v>
      </c>
      <c r="J10" s="940">
        <f>VLOOKUP(B10,All_Ingredients!$A$1:$J$161,10,FALSE())</f>
        <v>31</v>
      </c>
      <c r="K10" s="945">
        <f t="shared" si="5"/>
        <v>2.1628799999999997E-2</v>
      </c>
      <c r="L10" s="945">
        <f t="shared" si="6"/>
        <v>0.67049279999999989</v>
      </c>
      <c r="R10" s="1209"/>
      <c r="W10" s="1209"/>
    </row>
    <row r="11" spans="1:30" x14ac:dyDescent="0.2">
      <c r="A11" s="1225"/>
      <c r="B11" s="1547" t="s">
        <v>122</v>
      </c>
      <c r="C11" s="1227" t="s">
        <v>14</v>
      </c>
      <c r="D11" s="1548">
        <v>36</v>
      </c>
      <c r="E11" s="1244">
        <f t="shared" si="0"/>
        <v>1.2016</v>
      </c>
      <c r="F11" s="1229">
        <v>1</v>
      </c>
      <c r="G11" s="1546">
        <f t="shared" si="3"/>
        <v>43.257599999999996</v>
      </c>
      <c r="H11" s="1535">
        <f t="shared" si="4"/>
        <v>43.257599999999996</v>
      </c>
      <c r="I11" s="914">
        <f>VLOOKUP(B11,All_Ingredients!$A$1:$F$161,6,FALSE())</f>
        <v>1</v>
      </c>
      <c r="J11" s="940">
        <f>VLOOKUP(B11,All_Ingredients!$A$1:$J$161,10,FALSE())</f>
        <v>14</v>
      </c>
      <c r="K11" s="945">
        <f t="shared" si="5"/>
        <v>4.3257599999999993E-2</v>
      </c>
      <c r="L11" s="945">
        <f t="shared" si="6"/>
        <v>0.60560639999999988</v>
      </c>
      <c r="R11" s="1209"/>
      <c r="W11" s="1209"/>
    </row>
    <row r="12" spans="1:30" x14ac:dyDescent="0.2">
      <c r="A12" s="1225"/>
      <c r="B12" s="1547" t="s">
        <v>105</v>
      </c>
      <c r="C12" s="1227" t="s">
        <v>14</v>
      </c>
      <c r="D12" s="1548">
        <v>7.2</v>
      </c>
      <c r="E12" s="1244">
        <f t="shared" si="0"/>
        <v>1.2016</v>
      </c>
      <c r="F12" s="1229">
        <v>1</v>
      </c>
      <c r="G12" s="1546">
        <f t="shared" si="3"/>
        <v>8.6515199999999997</v>
      </c>
      <c r="H12" s="1535">
        <f t="shared" si="4"/>
        <v>8.6515199999999997</v>
      </c>
      <c r="I12" s="914">
        <f>VLOOKUP(B12,All_Ingredients!$A$1:$F$161,6,FALSE())</f>
        <v>1</v>
      </c>
      <c r="J12" s="940">
        <f>VLOOKUP(B12,All_Ingredients!$A$1:$J$161,10,FALSE())</f>
        <v>15</v>
      </c>
      <c r="K12" s="945">
        <f t="shared" si="5"/>
        <v>8.6515199999999993E-3</v>
      </c>
      <c r="L12" s="945">
        <f t="shared" si="6"/>
        <v>0.12977279999999999</v>
      </c>
      <c r="R12" s="1209"/>
      <c r="W12" s="1209"/>
    </row>
    <row r="13" spans="1:30" x14ac:dyDescent="0.2">
      <c r="A13" s="1225"/>
      <c r="B13" s="1547" t="s">
        <v>107</v>
      </c>
      <c r="C13" s="1227" t="s">
        <v>14</v>
      </c>
      <c r="D13" s="1548">
        <v>9</v>
      </c>
      <c r="E13" s="1244">
        <f t="shared" si="0"/>
        <v>1.2016</v>
      </c>
      <c r="F13" s="1229">
        <v>1</v>
      </c>
      <c r="G13" s="1546">
        <f t="shared" si="3"/>
        <v>10.814399999999999</v>
      </c>
      <c r="H13" s="1535">
        <f t="shared" si="4"/>
        <v>10.814399999999999</v>
      </c>
      <c r="I13" s="914">
        <f>VLOOKUP(B13,All_Ingredients!$A$1:$F$161,6,FALSE())</f>
        <v>1</v>
      </c>
      <c r="J13" s="940">
        <f>VLOOKUP(B13,All_Ingredients!$A$1:$J$161,10,FALSE())</f>
        <v>8</v>
      </c>
      <c r="K13" s="945">
        <f t="shared" si="5"/>
        <v>1.0814399999999998E-2</v>
      </c>
      <c r="L13" s="945">
        <f t="shared" si="6"/>
        <v>8.6515199999999987E-2</v>
      </c>
      <c r="R13" s="1209"/>
      <c r="W13" s="1209"/>
    </row>
    <row r="14" spans="1:30" x14ac:dyDescent="0.2">
      <c r="A14" s="1225"/>
      <c r="B14" s="1547" t="s">
        <v>194</v>
      </c>
      <c r="C14" s="1227" t="s">
        <v>14</v>
      </c>
      <c r="D14" s="1548">
        <v>180</v>
      </c>
      <c r="E14" s="1244">
        <f t="shared" si="0"/>
        <v>1.2016</v>
      </c>
      <c r="F14" s="1229">
        <v>1</v>
      </c>
      <c r="G14" s="1546">
        <f t="shared" si="3"/>
        <v>216.28800000000001</v>
      </c>
      <c r="H14" s="1535">
        <f t="shared" si="4"/>
        <v>216.28800000000001</v>
      </c>
      <c r="I14" s="914">
        <f>VLOOKUP(B14,All_Ingredients!$A$1:$F$161,6,FALSE())</f>
        <v>1</v>
      </c>
      <c r="J14" s="940">
        <f>VLOOKUP(B14,All_Ingredients!$A$1:$J$161,10,FALSE())</f>
        <v>22.666666666666668</v>
      </c>
      <c r="K14" s="945">
        <f t="shared" si="5"/>
        <v>0.21628800000000001</v>
      </c>
      <c r="L14" s="945">
        <f t="shared" si="6"/>
        <v>4.9025280000000002</v>
      </c>
      <c r="R14" s="1209"/>
      <c r="W14" s="1209"/>
    </row>
    <row r="15" spans="1:30" x14ac:dyDescent="0.2">
      <c r="A15" s="1225"/>
      <c r="B15" s="1548" t="s">
        <v>139</v>
      </c>
      <c r="C15" s="1227" t="s">
        <v>14</v>
      </c>
      <c r="D15" s="1548">
        <v>54</v>
      </c>
      <c r="E15" s="1244">
        <f t="shared" si="0"/>
        <v>1.2016</v>
      </c>
      <c r="F15" s="1229">
        <v>1</v>
      </c>
      <c r="G15" s="1546">
        <f t="shared" si="3"/>
        <v>64.886399999999995</v>
      </c>
      <c r="H15" s="1535">
        <f t="shared" si="4"/>
        <v>64.886399999999995</v>
      </c>
      <c r="I15" s="914">
        <f>VLOOKUP(B15,All_Ingredients!$A$1:$F$161,6,FALSE())</f>
        <v>1</v>
      </c>
      <c r="J15" s="940">
        <f>VLOOKUP(B15,All_Ingredients!$A$1:$J$161,10,FALSE())</f>
        <v>15.277777777777779</v>
      </c>
      <c r="K15" s="945">
        <f t="shared" si="5"/>
        <v>6.4886399999999997E-2</v>
      </c>
      <c r="L15" s="945">
        <f t="shared" si="6"/>
        <v>0.99131999999999998</v>
      </c>
      <c r="R15" s="1209"/>
      <c r="W15" s="1209"/>
      <c r="Z15" s="630"/>
      <c r="AA15"/>
      <c r="AB15"/>
      <c r="AC15"/>
    </row>
    <row r="16" spans="1:30" x14ac:dyDescent="0.2">
      <c r="A16" s="1225"/>
      <c r="B16" s="1548" t="s">
        <v>90</v>
      </c>
      <c r="C16" s="1227" t="s">
        <v>14</v>
      </c>
      <c r="D16" s="1548">
        <v>3.6</v>
      </c>
      <c r="E16" s="1244">
        <f t="shared" si="0"/>
        <v>1.2016</v>
      </c>
      <c r="F16" s="1229">
        <v>1</v>
      </c>
      <c r="G16" s="1546">
        <f t="shared" si="3"/>
        <v>4.3257599999999998</v>
      </c>
      <c r="H16" s="1535">
        <f t="shared" si="4"/>
        <v>4.3257599999999998</v>
      </c>
      <c r="I16" s="914">
        <f>VLOOKUP(B16,All_Ingredients!$A$1:$F$161,6,FALSE())</f>
        <v>1</v>
      </c>
      <c r="J16" s="940">
        <f>VLOOKUP(B16,All_Ingredients!$A$1:$J$161,10,FALSE())</f>
        <v>3.04</v>
      </c>
      <c r="K16" s="945">
        <f t="shared" si="5"/>
        <v>4.3257599999999997E-3</v>
      </c>
      <c r="L16" s="945">
        <f t="shared" si="6"/>
        <v>1.3150310399999999E-2</v>
      </c>
      <c r="R16" s="1209"/>
      <c r="W16" s="1209"/>
      <c r="Z16" s="982" t="s">
        <v>252</v>
      </c>
      <c r="AA16" s="989">
        <v>1</v>
      </c>
      <c r="AB16" s="982" t="s">
        <v>249</v>
      </c>
      <c r="AC16" s="1138">
        <f>AC21*AA16</f>
        <v>2.3541458358616468E-2</v>
      </c>
    </row>
    <row r="17" spans="1:29" x14ac:dyDescent="0.2">
      <c r="A17" s="1225"/>
      <c r="B17" s="1226" t="s">
        <v>126</v>
      </c>
      <c r="C17" s="1227" t="s">
        <v>14</v>
      </c>
      <c r="D17" s="1226">
        <v>3.6</v>
      </c>
      <c r="E17" s="1244">
        <f t="shared" si="0"/>
        <v>1.2016</v>
      </c>
      <c r="F17" s="1229">
        <v>1</v>
      </c>
      <c r="G17" s="1546">
        <f t="shared" si="3"/>
        <v>4.3257599999999998</v>
      </c>
      <c r="H17" s="1535">
        <f t="shared" si="4"/>
        <v>4.3257599999999998</v>
      </c>
      <c r="I17" s="914">
        <f>VLOOKUP(B17,All_Ingredients!$A$1:$F$161,6,FALSE())</f>
        <v>1</v>
      </c>
      <c r="J17" s="940">
        <f>VLOOKUP(B17,All_Ingredients!$A$1:$J$161,10,FALSE())</f>
        <v>125</v>
      </c>
      <c r="K17" s="945">
        <f t="shared" si="5"/>
        <v>4.3257599999999997E-3</v>
      </c>
      <c r="L17" s="945">
        <f t="shared" si="6"/>
        <v>0.54071999999999998</v>
      </c>
      <c r="R17" s="1209"/>
      <c r="W17" s="1209"/>
      <c r="Z17"/>
      <c r="AA17"/>
      <c r="AB17" s="14"/>
      <c r="AC17" s="14"/>
    </row>
    <row r="18" spans="1:29" x14ac:dyDescent="0.2">
      <c r="A18" s="1225"/>
      <c r="B18" s="1226" t="s">
        <v>124</v>
      </c>
      <c r="C18" s="1227" t="s">
        <v>14</v>
      </c>
      <c r="D18" s="1226">
        <v>1.8</v>
      </c>
      <c r="E18" s="1244">
        <f t="shared" si="0"/>
        <v>1.2016</v>
      </c>
      <c r="F18" s="1229">
        <v>1</v>
      </c>
      <c r="G18" s="1546">
        <f t="shared" si="3"/>
        <v>2.1628799999999999</v>
      </c>
      <c r="H18" s="1535">
        <f t="shared" si="4"/>
        <v>2.1628799999999999</v>
      </c>
      <c r="I18" s="914">
        <f>VLOOKUP(B18,All_Ingredients!$A$1:$F$161,6,FALSE())</f>
        <v>1</v>
      </c>
      <c r="J18" s="940">
        <f>VLOOKUP(B18,All_Ingredients!$A$1:$J$161,10,FALSE())</f>
        <v>37</v>
      </c>
      <c r="K18" s="945">
        <f t="shared" si="5"/>
        <v>2.1628799999999998E-3</v>
      </c>
      <c r="L18" s="945">
        <f t="shared" si="6"/>
        <v>8.0026559999999997E-2</v>
      </c>
      <c r="R18" s="1209"/>
      <c r="W18" s="1209"/>
      <c r="Z18" s="982" t="s">
        <v>258</v>
      </c>
      <c r="AA18" s="982" t="s">
        <v>259</v>
      </c>
      <c r="AB18" s="984" t="s">
        <v>260</v>
      </c>
      <c r="AC18" s="982" t="s">
        <v>262</v>
      </c>
    </row>
    <row r="19" spans="1:29" x14ac:dyDescent="0.2">
      <c r="A19" s="1225"/>
      <c r="B19" s="1226" t="s">
        <v>97</v>
      </c>
      <c r="C19" s="1227" t="s">
        <v>14</v>
      </c>
      <c r="D19" s="1226">
        <v>3.6</v>
      </c>
      <c r="E19" s="1244">
        <f t="shared" si="0"/>
        <v>1.2016</v>
      </c>
      <c r="F19" s="1229">
        <v>1</v>
      </c>
      <c r="G19" s="1549">
        <f t="shared" si="3"/>
        <v>4.3257599999999998</v>
      </c>
      <c r="H19" s="1535">
        <f t="shared" si="4"/>
        <v>4.3257599999999998</v>
      </c>
      <c r="I19" s="914">
        <f>VLOOKUP(B19,All_Ingredients!$A$1:$F$161,6,FALSE())</f>
        <v>1</v>
      </c>
      <c r="J19" s="940">
        <f>VLOOKUP(B19,All_Ingredients!$A$1:$J$161,10,FALSE())</f>
        <v>38</v>
      </c>
      <c r="K19" s="945">
        <f t="shared" si="5"/>
        <v>4.3257599999999997E-3</v>
      </c>
      <c r="L19" s="945">
        <f t="shared" si="6"/>
        <v>0.16437887999999998</v>
      </c>
      <c r="R19" s="1209"/>
      <c r="W19" s="1209"/>
      <c r="Z19" s="1086"/>
      <c r="AA19" s="985">
        <f>AA16*S40</f>
        <v>0.9</v>
      </c>
      <c r="AB19" s="985">
        <f>AA16*U40</f>
        <v>0.1</v>
      </c>
      <c r="AC19" s="1088">
        <f>SUM(AA19:AB19)</f>
        <v>1</v>
      </c>
    </row>
    <row r="20" spans="1:29" x14ac:dyDescent="0.2">
      <c r="B20" s="1209"/>
      <c r="D20" s="1209"/>
      <c r="E20" s="1209"/>
      <c r="F20" s="1209"/>
      <c r="G20" s="347"/>
      <c r="H20" s="1209"/>
      <c r="I20" s="347"/>
      <c r="J20" s="347"/>
      <c r="K20" s="347"/>
      <c r="R20" s="1209"/>
      <c r="W20" s="1209"/>
      <c r="Z20" s="1086"/>
      <c r="AA20" s="1089">
        <f>AA19/AC19</f>
        <v>0.9</v>
      </c>
      <c r="AB20" s="1089">
        <f>AB19/AC19</f>
        <v>0.1</v>
      </c>
      <c r="AC20" s="1089">
        <f>AA20+AB20</f>
        <v>1</v>
      </c>
    </row>
    <row r="21" spans="1:29" x14ac:dyDescent="0.2">
      <c r="B21" s="1209"/>
      <c r="D21" s="1209"/>
      <c r="E21" s="347"/>
      <c r="F21" s="347"/>
      <c r="G21" s="347"/>
      <c r="H21" s="1209"/>
      <c r="J21" s="347"/>
      <c r="K21" s="347"/>
      <c r="R21" s="1209"/>
      <c r="W21" s="1209"/>
      <c r="Z21" s="982" t="s">
        <v>266</v>
      </c>
      <c r="AA21" s="1090">
        <f>S33/(S30)</f>
        <v>1.9980954324388667E-2</v>
      </c>
      <c r="AB21" s="1090">
        <f>T33/(T30)</f>
        <v>5.5585994666666673E-2</v>
      </c>
      <c r="AC21" s="1092">
        <f>SUMPRODUCT(AA21:AB21,AA20:AB20)</f>
        <v>2.3541458358616468E-2</v>
      </c>
    </row>
    <row r="22" spans="1:29" x14ac:dyDescent="0.2">
      <c r="B22" s="1209"/>
      <c r="D22" s="1209"/>
      <c r="E22" s="347"/>
      <c r="F22" s="347"/>
      <c r="G22" s="347"/>
      <c r="H22" s="1209"/>
      <c r="K22" s="1209"/>
      <c r="R22" s="1209"/>
      <c r="W22" s="1209"/>
    </row>
    <row r="23" spans="1:29" x14ac:dyDescent="0.2">
      <c r="B23" s="1209"/>
      <c r="D23" s="1209"/>
      <c r="E23" s="347"/>
      <c r="F23" s="347"/>
      <c r="G23" s="347"/>
      <c r="H23" s="1209"/>
      <c r="K23" s="1209"/>
      <c r="R23" s="1209"/>
      <c r="W23" s="1209"/>
    </row>
    <row r="24" spans="1:29" x14ac:dyDescent="0.2">
      <c r="B24" s="1209"/>
      <c r="D24" s="1209"/>
      <c r="E24" s="347"/>
      <c r="F24" s="347"/>
      <c r="G24" s="347"/>
      <c r="H24" s="1209"/>
      <c r="K24" s="1209"/>
      <c r="R24" s="1209"/>
      <c r="W24" s="1209"/>
    </row>
    <row r="25" spans="1:29" x14ac:dyDescent="0.2">
      <c r="B25" s="1209"/>
      <c r="D25" s="1209"/>
      <c r="E25" s="1209"/>
      <c r="F25" s="1209"/>
      <c r="G25" s="1209"/>
      <c r="H25" s="1209"/>
      <c r="K25" s="1209"/>
      <c r="R25" s="1811" t="s">
        <v>672</v>
      </c>
      <c r="S25" s="1812"/>
      <c r="T25" s="1812"/>
      <c r="U25" s="1812"/>
      <c r="W25" s="1209"/>
    </row>
    <row r="26" spans="1:29" x14ac:dyDescent="0.2">
      <c r="B26" s="1209"/>
      <c r="D26" s="1209"/>
      <c r="E26" s="1209"/>
      <c r="F26" s="1209"/>
      <c r="G26" s="1209"/>
      <c r="H26" s="1531"/>
      <c r="K26" s="1209"/>
      <c r="R26" s="1786" t="s">
        <v>356</v>
      </c>
      <c r="S26" s="1787"/>
      <c r="T26" s="1787"/>
      <c r="U26" s="1787"/>
      <c r="W26" s="1209"/>
    </row>
    <row r="27" spans="1:29" x14ac:dyDescent="0.2">
      <c r="B27" s="1209"/>
      <c r="D27" s="1209"/>
      <c r="E27" s="1209"/>
      <c r="F27" s="1209"/>
      <c r="G27" s="1209"/>
      <c r="H27" s="1209"/>
      <c r="K27" s="1209"/>
      <c r="R27" s="1234" t="s">
        <v>254</v>
      </c>
      <c r="S27" s="1235" t="s">
        <v>375</v>
      </c>
      <c r="T27" s="1235" t="s">
        <v>260</v>
      </c>
      <c r="U27" s="1235" t="s">
        <v>262</v>
      </c>
      <c r="W27" s="1209"/>
    </row>
    <row r="28" spans="1:29" x14ac:dyDescent="0.2">
      <c r="B28" s="1209"/>
      <c r="D28" s="1209"/>
      <c r="E28" s="1209"/>
      <c r="F28" s="1209"/>
      <c r="G28" s="1209"/>
      <c r="H28" s="1209"/>
      <c r="K28" s="1209"/>
      <c r="N28" s="1813"/>
      <c r="O28" s="1856"/>
      <c r="R28" s="1234" t="s">
        <v>502</v>
      </c>
      <c r="S28" s="1550">
        <f>($Z$1-(($Z$1*$T$1)+$AB$1))*$S$40</f>
        <v>5407.2</v>
      </c>
      <c r="T28" s="1551">
        <f>($Z$1-(($Z$1*$T$1)+$AB$1))*$U$40</f>
        <v>600.80000000000007</v>
      </c>
      <c r="U28" s="1552">
        <f>T28+S28</f>
        <v>6008</v>
      </c>
      <c r="W28" s="1209"/>
    </row>
    <row r="29" spans="1:29" x14ac:dyDescent="0.2">
      <c r="B29" s="1209"/>
      <c r="D29" s="1209"/>
      <c r="E29" s="1209"/>
      <c r="F29" s="1209"/>
      <c r="G29" s="1209"/>
      <c r="H29" s="1209"/>
      <c r="K29" s="1209"/>
      <c r="N29" s="449"/>
      <c r="O29" s="449"/>
      <c r="R29" s="1234" t="s">
        <v>265</v>
      </c>
      <c r="S29" s="1553"/>
      <c r="T29" s="1554"/>
      <c r="U29" s="1554"/>
      <c r="W29" s="1209"/>
    </row>
    <row r="30" spans="1:29" x14ac:dyDescent="0.2">
      <c r="B30" s="1209"/>
      <c r="D30" s="1209"/>
      <c r="E30" s="1209"/>
      <c r="F30" s="1209"/>
      <c r="G30" s="1209"/>
      <c r="H30" s="1209"/>
      <c r="K30" s="1209"/>
      <c r="N30" s="449"/>
      <c r="O30" s="476"/>
      <c r="R30" s="1234" t="s">
        <v>257</v>
      </c>
      <c r="S30" s="1553">
        <f>S28+S29</f>
        <v>5407.2</v>
      </c>
      <c r="T30" s="1553">
        <f>T28+T29</f>
        <v>600.80000000000007</v>
      </c>
      <c r="U30" s="1555">
        <f>T30+S30</f>
        <v>6008</v>
      </c>
      <c r="W30" s="1209"/>
    </row>
    <row r="33" spans="17:23" x14ac:dyDescent="0.2">
      <c r="R33" s="977" t="s">
        <v>249</v>
      </c>
      <c r="S33" s="978">
        <f>SUM(L5)</f>
        <v>108.0410162228344</v>
      </c>
      <c r="T33" s="978">
        <f>SUM(L6:L19)</f>
        <v>33.39606559573334</v>
      </c>
      <c r="U33" s="981">
        <f>SUM(S33:T33)</f>
        <v>141.43708181856775</v>
      </c>
      <c r="W33" s="1209"/>
    </row>
    <row r="34" spans="17:23" x14ac:dyDescent="0.2">
      <c r="R34" s="1209"/>
      <c r="W34" s="1209"/>
    </row>
    <row r="35" spans="17:23" x14ac:dyDescent="0.2">
      <c r="R35" s="1209"/>
      <c r="W35" s="1209"/>
    </row>
    <row r="36" spans="17:23" x14ac:dyDescent="0.2">
      <c r="R36" s="1209"/>
      <c r="S36" s="477"/>
      <c r="T36" s="477"/>
      <c r="W36" s="1209"/>
    </row>
    <row r="37" spans="17:23" x14ac:dyDescent="0.2">
      <c r="R37" s="1209"/>
      <c r="W37" s="1209"/>
    </row>
    <row r="38" spans="17:23" x14ac:dyDescent="0.2">
      <c r="R38" s="1209"/>
      <c r="W38" s="1209"/>
    </row>
    <row r="39" spans="17:23" x14ac:dyDescent="0.2">
      <c r="R39" s="1209"/>
      <c r="W39" s="1209"/>
    </row>
    <row r="40" spans="17:23" x14ac:dyDescent="0.2">
      <c r="R40" s="1556" t="s">
        <v>375</v>
      </c>
      <c r="S40" s="1557">
        <v>0.9</v>
      </c>
      <c r="T40" s="1556" t="s">
        <v>256</v>
      </c>
      <c r="U40" s="1557">
        <v>0.1</v>
      </c>
      <c r="W40" s="1209"/>
    </row>
    <row r="41" spans="17:23" x14ac:dyDescent="0.2">
      <c r="R41" s="1209"/>
      <c r="W41" s="1209"/>
    </row>
    <row r="42" spans="17:23" x14ac:dyDescent="0.2">
      <c r="R42" s="890"/>
      <c r="S42" s="14"/>
      <c r="T42" s="14"/>
      <c r="U42" s="14"/>
      <c r="V42" s="123"/>
      <c r="W42" s="890"/>
    </row>
    <row r="43" spans="17:23" ht="25.5" x14ac:dyDescent="0.2">
      <c r="Q43" s="1015" t="s">
        <v>272</v>
      </c>
      <c r="R43" s="1011" t="s">
        <v>273</v>
      </c>
      <c r="S43" s="1015" t="s">
        <v>274</v>
      </c>
      <c r="T43" s="1015" t="s">
        <v>275</v>
      </c>
      <c r="U43" s="1015" t="s">
        <v>276</v>
      </c>
      <c r="V43" s="1015" t="s">
        <v>277</v>
      </c>
      <c r="W43" s="1011" t="s">
        <v>278</v>
      </c>
    </row>
    <row r="44" spans="17:23" x14ac:dyDescent="0.2">
      <c r="Q44" s="1023">
        <v>50000</v>
      </c>
      <c r="R44" s="1017">
        <f>D51</f>
        <v>5000</v>
      </c>
      <c r="S44" s="1024">
        <v>0</v>
      </c>
      <c r="T44" s="1024">
        <v>0</v>
      </c>
      <c r="U44" s="1096">
        <f>R44*S44</f>
        <v>0</v>
      </c>
      <c r="V44" s="1021">
        <f>R44*T44</f>
        <v>0</v>
      </c>
      <c r="W44" s="1026">
        <f>Q44-U44</f>
        <v>50000</v>
      </c>
    </row>
    <row r="50" spans="1:10" x14ac:dyDescent="0.2">
      <c r="B50" s="1234"/>
      <c r="C50" s="1235" t="s">
        <v>233</v>
      </c>
      <c r="D50" s="1234" t="s">
        <v>279</v>
      </c>
      <c r="E50" s="1209"/>
      <c r="F50" s="1209"/>
      <c r="G50" s="961" t="s">
        <v>280</v>
      </c>
      <c r="H50" s="961" t="s">
        <v>233</v>
      </c>
      <c r="I50" s="962" t="s">
        <v>281</v>
      </c>
      <c r="J50" s="962" t="s">
        <v>282</v>
      </c>
    </row>
    <row r="51" spans="1:10" x14ac:dyDescent="0.2">
      <c r="B51" s="1027" t="s">
        <v>283</v>
      </c>
      <c r="C51" s="1028">
        <f>30/$K$1</f>
        <v>30</v>
      </c>
      <c r="D51" s="1029">
        <f>C1</f>
        <v>5000</v>
      </c>
      <c r="E51" s="1209"/>
      <c r="F51" s="1209"/>
      <c r="G51" s="1027" t="s">
        <v>283</v>
      </c>
      <c r="H51" s="1122">
        <f>I51/$D$5</f>
        <v>10.000000000000002</v>
      </c>
      <c r="I51" s="1241">
        <f>J51/$R$1</f>
        <v>75757.57575757576</v>
      </c>
      <c r="J51" s="1028">
        <f>$W$44</f>
        <v>50000</v>
      </c>
    </row>
    <row r="52" spans="1:10" x14ac:dyDescent="0.2">
      <c r="B52" s="1234" t="s">
        <v>257</v>
      </c>
      <c r="C52" s="1558">
        <f>I1</f>
        <v>1.2016</v>
      </c>
      <c r="D52" s="1559">
        <f>E1</f>
        <v>6008</v>
      </c>
      <c r="E52" s="1209"/>
      <c r="F52" s="1209"/>
      <c r="G52" s="961" t="s">
        <v>262</v>
      </c>
      <c r="H52" s="1052">
        <f>I52/$D$5</f>
        <v>1.08144</v>
      </c>
      <c r="I52" s="1021">
        <f>J52/$R$1</f>
        <v>8192.7272727272721</v>
      </c>
      <c r="J52" s="1030">
        <f>$S$30</f>
        <v>5407.2</v>
      </c>
    </row>
    <row r="53" spans="1:10" x14ac:dyDescent="0.2">
      <c r="B53" s="1234" t="s">
        <v>284</v>
      </c>
      <c r="C53" s="1101">
        <f>MIN(C52, C51)</f>
        <v>1.2016</v>
      </c>
      <c r="D53" s="1100">
        <f>(C53*$K$1)*$C$1</f>
        <v>6008</v>
      </c>
      <c r="E53" s="1209"/>
      <c r="F53" s="1209"/>
      <c r="G53" s="961" t="s">
        <v>284</v>
      </c>
      <c r="H53" s="1035">
        <f>MIN(H52,H51)</f>
        <v>1.08144</v>
      </c>
      <c r="I53" s="1021">
        <f>J53/$R$1</f>
        <v>8192.7272727272721</v>
      </c>
      <c r="J53" s="1021">
        <f>MIN(J52,J51)</f>
        <v>5407.2</v>
      </c>
    </row>
    <row r="54" spans="1:10" x14ac:dyDescent="0.2">
      <c r="B54" s="1234" t="s">
        <v>285</v>
      </c>
      <c r="C54" s="1101">
        <f>MIN(MAX(C52-C53,0),C51)</f>
        <v>0</v>
      </c>
      <c r="D54" s="1100">
        <f>(C54*$K$1)*$C$1</f>
        <v>0</v>
      </c>
      <c r="E54" s="1209"/>
      <c r="F54" s="1209"/>
      <c r="G54" s="961" t="s">
        <v>285</v>
      </c>
      <c r="H54" s="1035">
        <f>MIN(MAX(H52-H53),H51)</f>
        <v>0</v>
      </c>
      <c r="I54" s="1021">
        <f>J54/$R$1</f>
        <v>0</v>
      </c>
      <c r="J54" s="1021">
        <f>MIN(MAX(J52-J53),J51)</f>
        <v>0</v>
      </c>
    </row>
    <row r="55" spans="1:10" x14ac:dyDescent="0.2">
      <c r="B55" s="1234"/>
      <c r="C55" s="1101">
        <f>MIN(MAX(C52-C53-C54,0),C51)</f>
        <v>0</v>
      </c>
      <c r="D55" s="1100">
        <f>(C55*$K$1)*$C$1</f>
        <v>0</v>
      </c>
      <c r="E55" s="1209"/>
      <c r="F55" s="1209"/>
      <c r="G55" s="961" t="s">
        <v>286</v>
      </c>
      <c r="H55" s="1035">
        <f>MIN(MAX(H52-H53-H54),H51)</f>
        <v>0</v>
      </c>
      <c r="I55" s="1021">
        <f>J55/$R$1</f>
        <v>0</v>
      </c>
      <c r="J55" s="1021">
        <f>MIN(MAX(J52-J53-J54),J51)</f>
        <v>0</v>
      </c>
    </row>
    <row r="56" spans="1:10" x14ac:dyDescent="0.2">
      <c r="B56" s="1209"/>
      <c r="D56" s="1209"/>
      <c r="E56" s="1209"/>
      <c r="F56" s="1209"/>
      <c r="G56" s="1209"/>
      <c r="H56" s="1209"/>
    </row>
    <row r="57" spans="1:10" x14ac:dyDescent="0.2">
      <c r="B57" s="1209"/>
      <c r="D57" s="1209"/>
      <c r="E57" s="1209"/>
      <c r="F57" s="1209"/>
      <c r="G57" s="1209"/>
      <c r="H57" s="1209"/>
    </row>
    <row r="58" spans="1:10" x14ac:dyDescent="0.2">
      <c r="B58" s="1209"/>
      <c r="D58" s="1209"/>
      <c r="E58" s="1209"/>
      <c r="F58" s="1209"/>
      <c r="G58" s="1209"/>
      <c r="H58" s="1209"/>
    </row>
    <row r="59" spans="1:10" x14ac:dyDescent="0.2">
      <c r="B59" s="1209"/>
      <c r="D59" s="1209"/>
      <c r="E59" s="1209"/>
      <c r="F59" s="1209"/>
      <c r="G59" s="1209"/>
      <c r="H59" s="1209"/>
    </row>
    <row r="60" spans="1:10" x14ac:dyDescent="0.2">
      <c r="A60" s="884"/>
      <c r="B60" s="1209"/>
      <c r="D60" s="1209"/>
      <c r="E60" s="1209"/>
      <c r="F60" s="1209"/>
      <c r="G60" s="1209"/>
      <c r="H60" s="1209"/>
    </row>
    <row r="61" spans="1:10" x14ac:dyDescent="0.2">
      <c r="A61" s="884"/>
      <c r="B61" s="1209"/>
      <c r="D61" s="1209"/>
      <c r="E61" s="1209"/>
      <c r="F61" s="1209"/>
      <c r="G61" s="1209"/>
      <c r="H61" s="1209"/>
    </row>
    <row r="62" spans="1:10" ht="18" x14ac:dyDescent="0.2">
      <c r="A62" s="1753"/>
      <c r="B62" s="1852"/>
      <c r="C62" s="1852"/>
      <c r="D62" s="1852"/>
      <c r="E62" s="1852"/>
      <c r="F62" s="1852"/>
      <c r="G62" s="1852"/>
      <c r="H62" s="1852"/>
    </row>
    <row r="63" spans="1:10" ht="18" customHeight="1" x14ac:dyDescent="0.2">
      <c r="A63" s="1753"/>
      <c r="B63" s="1807" t="s">
        <v>670</v>
      </c>
      <c r="C63" s="1853"/>
      <c r="D63" s="1854"/>
      <c r="E63" s="1854"/>
      <c r="F63" s="1854"/>
      <c r="G63" s="1854"/>
      <c r="H63" s="1854"/>
    </row>
    <row r="64" spans="1:10" ht="38.25" x14ac:dyDescent="0.2">
      <c r="A64" s="1542" t="s">
        <v>864</v>
      </c>
      <c r="B64" s="1104" t="s">
        <v>241</v>
      </c>
      <c r="C64" s="934" t="s">
        <v>242</v>
      </c>
      <c r="D64" s="1219" t="s">
        <v>671</v>
      </c>
      <c r="E64" s="936" t="s">
        <v>234</v>
      </c>
      <c r="F64" s="936" t="s">
        <v>243</v>
      </c>
      <c r="G64" s="1104" t="s">
        <v>244</v>
      </c>
      <c r="H64" s="936" t="s">
        <v>245</v>
      </c>
    </row>
    <row r="65" spans="1:8" ht="25.5" x14ac:dyDescent="0.2">
      <c r="A65" s="1225" t="s">
        <v>892</v>
      </c>
      <c r="B65" s="1560" t="str">
        <f t="shared" ref="B65:D79" si="7">B5</f>
        <v>Indian Meat Tammam Mafroom - مفروم هندى</v>
      </c>
      <c r="C65" s="1560" t="str">
        <f t="shared" si="7"/>
        <v>KG</v>
      </c>
      <c r="D65" s="1561">
        <f>D5</f>
        <v>7575.7575757575751</v>
      </c>
      <c r="E65" s="1562">
        <f>$H$52</f>
        <v>1.08144</v>
      </c>
      <c r="F65" s="1563">
        <f>F5</f>
        <v>1</v>
      </c>
      <c r="G65" s="940">
        <f t="shared" ref="G65" si="8">D65*E65</f>
        <v>8192.7272727272721</v>
      </c>
      <c r="H65" s="943">
        <f t="shared" ref="H65" si="9">G65*F65</f>
        <v>8192.7272727272721</v>
      </c>
    </row>
    <row r="66" spans="1:8" x14ac:dyDescent="0.2">
      <c r="A66" s="1225" t="s">
        <v>869</v>
      </c>
      <c r="B66" s="1560" t="str">
        <f t="shared" si="7"/>
        <v>Onion - بصل</v>
      </c>
      <c r="C66" s="1560" t="str">
        <f t="shared" si="7"/>
        <v>gm</v>
      </c>
      <c r="D66" s="1560">
        <f t="shared" si="7"/>
        <v>2200</v>
      </c>
      <c r="E66" s="1562">
        <f>$C$52</f>
        <v>1.2016</v>
      </c>
      <c r="F66" s="1563">
        <f t="shared" ref="F66:F79" si="10">F6</f>
        <v>1</v>
      </c>
      <c r="G66" s="940">
        <f t="shared" ref="G66:G79" si="11">D66*E66</f>
        <v>2643.52</v>
      </c>
      <c r="H66" s="943">
        <f t="shared" ref="H66:H79" si="12">G66*F66</f>
        <v>2643.52</v>
      </c>
    </row>
    <row r="67" spans="1:8" x14ac:dyDescent="0.2">
      <c r="A67" s="1225" t="s">
        <v>868</v>
      </c>
      <c r="B67" s="1560" t="str">
        <f t="shared" si="7"/>
        <v>Garlic - ثوم مقشر</v>
      </c>
      <c r="C67" s="1560" t="str">
        <f t="shared" si="7"/>
        <v>gm</v>
      </c>
      <c r="D67" s="1560">
        <f t="shared" si="7"/>
        <v>270</v>
      </c>
      <c r="E67" s="1562">
        <f t="shared" ref="E67:E79" si="13">$C$52</f>
        <v>1.2016</v>
      </c>
      <c r="F67" s="1563">
        <f t="shared" si="10"/>
        <v>1</v>
      </c>
      <c r="G67" s="940">
        <f t="shared" si="11"/>
        <v>324.43200000000002</v>
      </c>
      <c r="H67" s="943">
        <f t="shared" si="12"/>
        <v>324.43200000000002</v>
      </c>
    </row>
    <row r="68" spans="1:8" x14ac:dyDescent="0.2">
      <c r="A68" s="1225"/>
      <c r="B68" s="1560" t="str">
        <f t="shared" si="7"/>
        <v>Butter - زبدة</v>
      </c>
      <c r="C68" s="1560" t="str">
        <f t="shared" si="7"/>
        <v>gm</v>
      </c>
      <c r="D68" s="1560">
        <f t="shared" si="7"/>
        <v>360</v>
      </c>
      <c r="E68" s="1562">
        <f t="shared" si="13"/>
        <v>1.2016</v>
      </c>
      <c r="F68" s="1563">
        <f t="shared" si="10"/>
        <v>1</v>
      </c>
      <c r="G68" s="940">
        <f t="shared" si="11"/>
        <v>432.57600000000002</v>
      </c>
      <c r="H68" s="943">
        <f t="shared" si="12"/>
        <v>432.57600000000002</v>
      </c>
    </row>
    <row r="69" spans="1:8" x14ac:dyDescent="0.2">
      <c r="A69" s="1225"/>
      <c r="B69" s="1560" t="str">
        <f t="shared" si="7"/>
        <v>Salt - ملح</v>
      </c>
      <c r="C69" s="1560" t="str">
        <f t="shared" si="7"/>
        <v>gm</v>
      </c>
      <c r="D69" s="1560">
        <f t="shared" si="7"/>
        <v>18</v>
      </c>
      <c r="E69" s="1562">
        <f t="shared" si="13"/>
        <v>1.2016</v>
      </c>
      <c r="F69" s="1563">
        <f t="shared" si="10"/>
        <v>1</v>
      </c>
      <c r="G69" s="940">
        <f t="shared" si="11"/>
        <v>21.628799999999998</v>
      </c>
      <c r="H69" s="943">
        <f t="shared" si="12"/>
        <v>21.628799999999998</v>
      </c>
    </row>
    <row r="70" spans="1:8" ht="25.5" x14ac:dyDescent="0.2">
      <c r="A70" s="1225"/>
      <c r="B70" s="1560" t="str">
        <f t="shared" si="7"/>
        <v>Black Pepper Powder - فلفل أسود مطحون</v>
      </c>
      <c r="C70" s="1560" t="str">
        <f t="shared" si="7"/>
        <v>gm</v>
      </c>
      <c r="D70" s="1560">
        <f t="shared" si="7"/>
        <v>18</v>
      </c>
      <c r="E70" s="1562">
        <f t="shared" si="13"/>
        <v>1.2016</v>
      </c>
      <c r="F70" s="1563">
        <f t="shared" si="10"/>
        <v>1</v>
      </c>
      <c r="G70" s="940">
        <f t="shared" si="11"/>
        <v>21.628799999999998</v>
      </c>
      <c r="H70" s="943">
        <f t="shared" si="12"/>
        <v>21.628799999999998</v>
      </c>
    </row>
    <row r="71" spans="1:8" x14ac:dyDescent="0.2">
      <c r="A71" s="1225"/>
      <c r="B71" s="1560" t="str">
        <f t="shared" si="7"/>
        <v>Cinnamon Powder - قرفة مطحونة</v>
      </c>
      <c r="C71" s="1560" t="str">
        <f t="shared" si="7"/>
        <v>gm</v>
      </c>
      <c r="D71" s="1560">
        <f t="shared" si="7"/>
        <v>36</v>
      </c>
      <c r="E71" s="1562">
        <f t="shared" si="13"/>
        <v>1.2016</v>
      </c>
      <c r="F71" s="1563">
        <f t="shared" si="10"/>
        <v>1</v>
      </c>
      <c r="G71" s="940">
        <f t="shared" si="11"/>
        <v>43.257599999999996</v>
      </c>
      <c r="H71" s="943">
        <f t="shared" si="12"/>
        <v>43.257599999999996</v>
      </c>
    </row>
    <row r="72" spans="1:8" x14ac:dyDescent="0.2">
      <c r="A72" s="1225"/>
      <c r="B72" s="1560" t="str">
        <f t="shared" si="7"/>
        <v>Cumin Powder - كمون مطحون</v>
      </c>
      <c r="C72" s="1560" t="str">
        <f t="shared" si="7"/>
        <v>gm</v>
      </c>
      <c r="D72" s="1560">
        <f t="shared" si="7"/>
        <v>7.2</v>
      </c>
      <c r="E72" s="1562">
        <f t="shared" si="13"/>
        <v>1.2016</v>
      </c>
      <c r="F72" s="1563">
        <f t="shared" si="10"/>
        <v>1</v>
      </c>
      <c r="G72" s="940">
        <f t="shared" si="11"/>
        <v>8.6515199999999997</v>
      </c>
      <c r="H72" s="943">
        <f t="shared" si="12"/>
        <v>8.6515199999999997</v>
      </c>
    </row>
    <row r="73" spans="1:8" x14ac:dyDescent="0.2">
      <c r="A73" s="1225"/>
      <c r="B73" s="1560" t="str">
        <f t="shared" si="7"/>
        <v>Coriander Powder - كزبرة مطحونة</v>
      </c>
      <c r="C73" s="1560" t="str">
        <f t="shared" si="7"/>
        <v>gm</v>
      </c>
      <c r="D73" s="1560">
        <f t="shared" si="7"/>
        <v>9</v>
      </c>
      <c r="E73" s="1562">
        <f t="shared" si="13"/>
        <v>1.2016</v>
      </c>
      <c r="F73" s="1563">
        <f t="shared" si="10"/>
        <v>1</v>
      </c>
      <c r="G73" s="940">
        <f t="shared" si="11"/>
        <v>10.814399999999999</v>
      </c>
      <c r="H73" s="943">
        <f t="shared" si="12"/>
        <v>10.814399999999999</v>
      </c>
    </row>
    <row r="74" spans="1:8" x14ac:dyDescent="0.2">
      <c r="A74" s="1225"/>
      <c r="B74" s="1560" t="str">
        <f t="shared" si="7"/>
        <v>Sweet Soy Sauce - صويا صوص حلو</v>
      </c>
      <c r="C74" s="1560" t="str">
        <f t="shared" si="7"/>
        <v>gm</v>
      </c>
      <c r="D74" s="1560">
        <f t="shared" si="7"/>
        <v>180</v>
      </c>
      <c r="E74" s="1562">
        <f t="shared" si="13"/>
        <v>1.2016</v>
      </c>
      <c r="F74" s="1563">
        <f t="shared" si="10"/>
        <v>1</v>
      </c>
      <c r="G74" s="940">
        <f t="shared" si="11"/>
        <v>216.28800000000001</v>
      </c>
      <c r="H74" s="943">
        <f t="shared" si="12"/>
        <v>216.28800000000001</v>
      </c>
    </row>
    <row r="75" spans="1:8" x14ac:dyDescent="0.2">
      <c r="A75" s="1225"/>
      <c r="B75" s="1560" t="str">
        <f t="shared" si="7"/>
        <v>Maggi Cubes - مكعبات ماجي</v>
      </c>
      <c r="C75" s="1560" t="str">
        <f t="shared" si="7"/>
        <v>gm</v>
      </c>
      <c r="D75" s="1560">
        <f t="shared" si="7"/>
        <v>54</v>
      </c>
      <c r="E75" s="1562">
        <f t="shared" si="13"/>
        <v>1.2016</v>
      </c>
      <c r="F75" s="1563">
        <f t="shared" si="10"/>
        <v>1</v>
      </c>
      <c r="G75" s="940">
        <f t="shared" si="11"/>
        <v>64.886399999999995</v>
      </c>
      <c r="H75" s="943">
        <f t="shared" si="12"/>
        <v>64.886399999999995</v>
      </c>
    </row>
    <row r="76" spans="1:8" x14ac:dyDescent="0.2">
      <c r="A76" s="1225"/>
      <c r="B76" s="1560" t="str">
        <f t="shared" si="7"/>
        <v>Bay Leaf - ورق غار</v>
      </c>
      <c r="C76" s="1560" t="str">
        <f t="shared" si="7"/>
        <v>gm</v>
      </c>
      <c r="D76" s="1560">
        <f t="shared" si="7"/>
        <v>3.6</v>
      </c>
      <c r="E76" s="1562">
        <f t="shared" si="13"/>
        <v>1.2016</v>
      </c>
      <c r="F76" s="1563">
        <f t="shared" si="10"/>
        <v>1</v>
      </c>
      <c r="G76" s="940">
        <f t="shared" si="11"/>
        <v>4.3257599999999998</v>
      </c>
      <c r="H76" s="943">
        <f t="shared" si="12"/>
        <v>4.3257599999999998</v>
      </c>
    </row>
    <row r="77" spans="1:8" x14ac:dyDescent="0.2">
      <c r="A77" s="1225"/>
      <c r="B77" s="1560" t="str">
        <f t="shared" si="7"/>
        <v>Cardamom Whole - هيل حب</v>
      </c>
      <c r="C77" s="1560" t="str">
        <f t="shared" si="7"/>
        <v>gm</v>
      </c>
      <c r="D77" s="1560">
        <f t="shared" si="7"/>
        <v>3.6</v>
      </c>
      <c r="E77" s="1562">
        <f t="shared" si="13"/>
        <v>1.2016</v>
      </c>
      <c r="F77" s="1563">
        <f t="shared" si="10"/>
        <v>1</v>
      </c>
      <c r="G77" s="940">
        <f t="shared" si="11"/>
        <v>4.3257599999999998</v>
      </c>
      <c r="H77" s="943">
        <f t="shared" si="12"/>
        <v>4.3257599999999998</v>
      </c>
    </row>
    <row r="78" spans="1:8" x14ac:dyDescent="0.2">
      <c r="A78" s="1225"/>
      <c r="B78" s="1560" t="str">
        <f t="shared" si="7"/>
        <v>Cloves Whole - قرنفل حب</v>
      </c>
      <c r="C78" s="1560" t="str">
        <f t="shared" si="7"/>
        <v>gm</v>
      </c>
      <c r="D78" s="1560">
        <f t="shared" si="7"/>
        <v>1.8</v>
      </c>
      <c r="E78" s="1562">
        <f t="shared" si="13"/>
        <v>1.2016</v>
      </c>
      <c r="F78" s="1563">
        <f t="shared" si="10"/>
        <v>1</v>
      </c>
      <c r="G78" s="940">
        <f t="shared" si="11"/>
        <v>2.1628799999999999</v>
      </c>
      <c r="H78" s="943">
        <f t="shared" si="12"/>
        <v>2.1628799999999999</v>
      </c>
    </row>
    <row r="79" spans="1:8" x14ac:dyDescent="0.2">
      <c r="A79" s="1225"/>
      <c r="B79" s="1560" t="str">
        <f t="shared" si="7"/>
        <v>Black Pepper Whole - فلفل أسود حب</v>
      </c>
      <c r="C79" s="1560" t="str">
        <f t="shared" si="7"/>
        <v>gm</v>
      </c>
      <c r="D79" s="1560">
        <f t="shared" si="7"/>
        <v>3.6</v>
      </c>
      <c r="E79" s="1562">
        <f t="shared" si="13"/>
        <v>1.2016</v>
      </c>
      <c r="F79" s="1563">
        <f t="shared" si="10"/>
        <v>1</v>
      </c>
      <c r="G79" s="940">
        <f t="shared" si="11"/>
        <v>4.3257599999999998</v>
      </c>
      <c r="H79" s="943">
        <f t="shared" si="12"/>
        <v>4.3257599999999998</v>
      </c>
    </row>
    <row r="80" spans="1:8" ht="18" x14ac:dyDescent="0.2">
      <c r="A80" s="1225"/>
      <c r="B80" s="1041" t="s">
        <v>287</v>
      </c>
      <c r="C80" s="1042" t="s">
        <v>273</v>
      </c>
      <c r="D80" s="1043"/>
      <c r="E80" s="1044" t="s">
        <v>288</v>
      </c>
      <c r="F80" s="1043"/>
      <c r="G80" s="1046" t="s">
        <v>264</v>
      </c>
      <c r="H80" s="1046" t="s">
        <v>661</v>
      </c>
    </row>
    <row r="81" spans="1:8" ht="20.25" x14ac:dyDescent="0.3">
      <c r="A81" s="1225"/>
      <c r="B81" s="1047">
        <f>$J$52</f>
        <v>5407.2</v>
      </c>
      <c r="C81" s="1048">
        <f>E81+G81</f>
        <v>0</v>
      </c>
      <c r="D81" s="1049"/>
      <c r="E81" s="1047">
        <f>$D$52*$S$44</f>
        <v>0</v>
      </c>
      <c r="F81" s="1050"/>
      <c r="G81" s="1047">
        <f>$D$52*$T$44</f>
        <v>0</v>
      </c>
      <c r="H81" s="1047">
        <f>B81+E81</f>
        <v>5407.2</v>
      </c>
    </row>
  </sheetData>
  <mergeCells count="7">
    <mergeCell ref="B62:H62"/>
    <mergeCell ref="B63:H63"/>
    <mergeCell ref="R26:U26"/>
    <mergeCell ref="A2:A3"/>
    <mergeCell ref="B2:H2"/>
    <mergeCell ref="R25:U25"/>
    <mergeCell ref="N28:O28"/>
  </mergeCells>
  <printOptions horizontalCentered="1"/>
  <pageMargins left="0.4" right="0.4" top="1" bottom="0.5" header="0.3" footer="0.511811023622047"/>
  <pageSetup paperSize="9" scale="79" fitToHeight="0" orientation="landscape" r:id="rId1"/>
  <headerFooter>
    <oddHeader>&amp;C&amp;B&amp;16Beef Oriental rice&amp;R&amp;B Day 3</oddHeader>
    <oddFooter>&amp;CPage &amp;P of &amp;N</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BF9000"/>
    <pageSetUpPr fitToPage="1"/>
  </sheetPr>
  <dimension ref="A1:AG98"/>
  <sheetViews>
    <sheetView topLeftCell="A30" zoomScale="55" zoomScaleNormal="55" workbookViewId="0">
      <selection activeCell="A90" sqref="A1:AG98"/>
    </sheetView>
  </sheetViews>
  <sheetFormatPr defaultColWidth="12.5" defaultRowHeight="15" x14ac:dyDescent="0.25"/>
  <cols>
    <col min="1" max="1" width="25.875" style="1" customWidth="1"/>
    <col min="2" max="2" width="25.875" customWidth="1"/>
    <col min="3" max="3" width="12.625" customWidth="1"/>
    <col min="4" max="8" width="25.875" customWidth="1"/>
    <col min="9" max="10" width="18.625" customWidth="1"/>
    <col min="11" max="11" width="25.875" customWidth="1"/>
    <col min="12" max="12" width="12.625" customWidth="1"/>
    <col min="13" max="13" width="31.875" customWidth="1"/>
    <col min="17" max="17" width="12.625" customWidth="1"/>
    <col min="18" max="18" width="25.875" customWidth="1"/>
    <col min="19" max="22" width="12.625" customWidth="1"/>
    <col min="23" max="23" width="25.875" customWidth="1"/>
    <col min="24" max="24" width="31.75" customWidth="1"/>
    <col min="25" max="25" width="8.625" customWidth="1"/>
    <col min="26" max="29" width="12.625" customWidth="1"/>
    <col min="30" max="30" width="8.625" customWidth="1"/>
  </cols>
  <sheetData>
    <row r="1" spans="1:33" x14ac:dyDescent="0.2">
      <c r="A1" s="1350" t="s">
        <v>231</v>
      </c>
      <c r="B1" s="914">
        <v>1000</v>
      </c>
      <c r="C1" s="923" t="s">
        <v>312</v>
      </c>
      <c r="D1" s="1262">
        <f>$S$30/J1</f>
        <v>24596.774193548386</v>
      </c>
      <c r="E1" s="923" t="s">
        <v>236</v>
      </c>
      <c r="F1" s="914" t="s">
        <v>384</v>
      </c>
      <c r="G1" s="923" t="s">
        <v>314</v>
      </c>
      <c r="H1" s="1263">
        <f>H52</f>
        <v>15.249999999999998</v>
      </c>
      <c r="I1" s="924" t="s">
        <v>238</v>
      </c>
      <c r="J1" s="1264">
        <v>0.62</v>
      </c>
      <c r="K1" s="80"/>
      <c r="R1" s="830"/>
      <c r="W1" s="830"/>
      <c r="Y1" s="923" t="s">
        <v>444</v>
      </c>
      <c r="Z1" s="925">
        <v>14250</v>
      </c>
      <c r="AA1" s="923" t="s">
        <v>544</v>
      </c>
      <c r="AB1" s="925">
        <v>1000</v>
      </c>
      <c r="AC1" s="923" t="s">
        <v>537</v>
      </c>
      <c r="AD1" s="925">
        <v>101</v>
      </c>
    </row>
    <row r="2" spans="1:33" x14ac:dyDescent="0.25">
      <c r="A2" s="1265"/>
      <c r="B2" s="1784" t="s">
        <v>918</v>
      </c>
      <c r="C2" s="1787"/>
      <c r="D2" s="1788"/>
      <c r="E2" s="1788"/>
      <c r="F2" s="1788"/>
      <c r="G2" s="1788"/>
      <c r="H2" s="1788"/>
      <c r="I2" s="1787"/>
      <c r="J2" s="1787"/>
      <c r="K2" s="1785"/>
      <c r="L2" s="187"/>
      <c r="M2" s="80"/>
      <c r="N2" s="80"/>
      <c r="R2" s="830"/>
      <c r="W2" s="830"/>
      <c r="AE2" s="1772"/>
      <c r="AF2" s="1796"/>
      <c r="AG2" s="1796"/>
    </row>
    <row r="3" spans="1:33" x14ac:dyDescent="0.25">
      <c r="A3" s="1257"/>
      <c r="B3" s="1785"/>
      <c r="C3" s="1796"/>
      <c r="D3" s="1785"/>
      <c r="E3" s="1785"/>
      <c r="F3" s="1785"/>
      <c r="G3" s="1785"/>
      <c r="H3" s="1785"/>
      <c r="I3" s="1796"/>
      <c r="J3" s="1796"/>
      <c r="K3" s="1785"/>
      <c r="L3" s="187"/>
      <c r="M3" s="80"/>
      <c r="N3" s="80"/>
      <c r="R3" s="830"/>
      <c r="W3" s="830"/>
      <c r="AE3" s="1796"/>
      <c r="AF3" s="1796"/>
      <c r="AG3" s="1796"/>
    </row>
    <row r="4" spans="1:33" ht="38.25" x14ac:dyDescent="0.2">
      <c r="A4" s="1350" t="s">
        <v>864</v>
      </c>
      <c r="B4" s="923" t="s">
        <v>241</v>
      </c>
      <c r="C4" s="1104" t="s">
        <v>316</v>
      </c>
      <c r="D4" s="923" t="s">
        <v>317</v>
      </c>
      <c r="E4" s="935" t="s">
        <v>318</v>
      </c>
      <c r="F4" s="935" t="s">
        <v>319</v>
      </c>
      <c r="G4" s="1266" t="s">
        <v>320</v>
      </c>
      <c r="H4" s="936" t="s">
        <v>321</v>
      </c>
      <c r="I4" s="923" t="s">
        <v>246</v>
      </c>
      <c r="J4" s="923" t="s">
        <v>247</v>
      </c>
      <c r="K4" s="923" t="s">
        <v>248</v>
      </c>
      <c r="L4" s="923" t="s">
        <v>249</v>
      </c>
      <c r="R4" s="830"/>
      <c r="W4" s="830"/>
    </row>
    <row r="5" spans="1:33" x14ac:dyDescent="0.25">
      <c r="A5" s="1267" t="s">
        <v>874</v>
      </c>
      <c r="B5" s="1118" t="s">
        <v>220</v>
      </c>
      <c r="C5" s="947" t="s">
        <v>14</v>
      </c>
      <c r="D5" s="1116">
        <f>I51/H51</f>
        <v>1612.9032258064517</v>
      </c>
      <c r="E5" s="940">
        <f>I52/D5</f>
        <v>15.249999999999998</v>
      </c>
      <c r="F5" s="948">
        <v>1</v>
      </c>
      <c r="G5" s="941">
        <f>D1</f>
        <v>24596.774193548386</v>
      </c>
      <c r="H5" s="1432">
        <f>D1</f>
        <v>24596.774193548386</v>
      </c>
      <c r="I5" s="914">
        <f>VLOOKUP(B5,All_Ingredients!$A$1:$F$161,6,FALSE())</f>
        <v>0.86</v>
      </c>
      <c r="J5" s="940">
        <f>VLOOKUP(B5,All_Ingredients!$A$1:$J$161,10,FALSE())</f>
        <v>17.100000000000001</v>
      </c>
      <c r="K5" s="945">
        <f t="shared" ref="K5" si="0">(H5/I5)/1000</f>
        <v>28.600900225056261</v>
      </c>
      <c r="L5" s="945">
        <f t="shared" ref="L5" si="1">K5*J5</f>
        <v>489.07539384846211</v>
      </c>
      <c r="R5" s="830"/>
      <c r="W5" s="830"/>
    </row>
    <row r="6" spans="1:33" x14ac:dyDescent="0.25">
      <c r="A6" s="1268"/>
      <c r="B6" s="1130" t="s">
        <v>105</v>
      </c>
      <c r="C6" s="947" t="s">
        <v>14</v>
      </c>
      <c r="D6" s="914">
        <v>25</v>
      </c>
      <c r="E6" s="1040">
        <f>$H$52</f>
        <v>15.249999999999998</v>
      </c>
      <c r="F6" s="948">
        <v>0.7</v>
      </c>
      <c r="G6" s="940">
        <f>D6*E6</f>
        <v>381.24999999999994</v>
      </c>
      <c r="H6" s="943">
        <f>G6*F6</f>
        <v>266.87499999999994</v>
      </c>
      <c r="I6" s="914">
        <f>VLOOKUP(B6,All_Ingredients!$A$1:$F$161,6,FALSE())</f>
        <v>1</v>
      </c>
      <c r="J6" s="940">
        <f>VLOOKUP(B6,All_Ingredients!$A$1:$J$161,10,FALSE())</f>
        <v>15</v>
      </c>
      <c r="K6" s="945">
        <f t="shared" ref="K6:K10" si="2">(H6/I6)/1000</f>
        <v>0.26687499999999992</v>
      </c>
      <c r="L6" s="945">
        <f t="shared" ref="L6:L10" si="3">K6*J6</f>
        <v>4.0031249999999989</v>
      </c>
      <c r="R6" s="830"/>
      <c r="W6" s="830"/>
    </row>
    <row r="7" spans="1:33" x14ac:dyDescent="0.25">
      <c r="A7" s="1268"/>
      <c r="B7" s="960" t="s">
        <v>678</v>
      </c>
      <c r="C7" s="947" t="s">
        <v>14</v>
      </c>
      <c r="D7" s="914">
        <v>35</v>
      </c>
      <c r="E7" s="1040">
        <f>$H$52</f>
        <v>15.249999999999998</v>
      </c>
      <c r="F7" s="948">
        <v>0.75</v>
      </c>
      <c r="G7" s="940">
        <f>D7*E7</f>
        <v>533.74999999999989</v>
      </c>
      <c r="H7" s="943">
        <f>G7*F7</f>
        <v>400.31249999999989</v>
      </c>
      <c r="I7" s="914">
        <f>VLOOKUP(B7,All_Ingredients!$A$1:$F$161,6,FALSE())</f>
        <v>1</v>
      </c>
      <c r="J7" s="940">
        <f>VLOOKUP(B7,All_Ingredients!$A$1:$J$161,10,FALSE())</f>
        <v>8.1520833333333336</v>
      </c>
      <c r="K7" s="945">
        <f t="shared" si="2"/>
        <v>0.4003124999999999</v>
      </c>
      <c r="L7" s="945">
        <f t="shared" si="3"/>
        <v>3.2633808593749993</v>
      </c>
      <c r="R7" s="830"/>
      <c r="W7" s="830"/>
    </row>
    <row r="8" spans="1:33" ht="28.5" x14ac:dyDescent="0.25">
      <c r="A8" s="1268"/>
      <c r="B8" s="1130" t="s">
        <v>107</v>
      </c>
      <c r="C8" s="947" t="s">
        <v>14</v>
      </c>
      <c r="D8" s="914">
        <v>20</v>
      </c>
      <c r="E8" s="1040">
        <f>$H$52</f>
        <v>15.249999999999998</v>
      </c>
      <c r="F8" s="948">
        <v>0.7</v>
      </c>
      <c r="G8" s="940">
        <f>D8*E8</f>
        <v>304.99999999999994</v>
      </c>
      <c r="H8" s="943">
        <f>G8*F8</f>
        <v>213.49999999999994</v>
      </c>
      <c r="I8" s="914">
        <f>VLOOKUP(B8,All_Ingredients!$A$1:$F$161,6,FALSE())</f>
        <v>1</v>
      </c>
      <c r="J8" s="940">
        <f>VLOOKUP(B8,All_Ingredients!$A$1:$J$161,10,FALSE())</f>
        <v>8</v>
      </c>
      <c r="K8" s="945">
        <f t="shared" si="2"/>
        <v>0.21349999999999994</v>
      </c>
      <c r="L8" s="945">
        <f t="shared" si="3"/>
        <v>1.7079999999999995</v>
      </c>
      <c r="R8" s="830"/>
      <c r="W8" s="830"/>
    </row>
    <row r="9" spans="1:33" x14ac:dyDescent="0.25">
      <c r="A9" s="1268"/>
      <c r="B9" s="1130" t="s">
        <v>93</v>
      </c>
      <c r="C9" s="947" t="s">
        <v>14</v>
      </c>
      <c r="D9" s="914">
        <v>15</v>
      </c>
      <c r="E9" s="1040">
        <f>$H$52</f>
        <v>15.249999999999998</v>
      </c>
      <c r="F9" s="948">
        <v>0.75</v>
      </c>
      <c r="G9" s="940">
        <f>D9*E9</f>
        <v>228.74999999999997</v>
      </c>
      <c r="H9" s="943">
        <f>G9*F9</f>
        <v>171.56249999999997</v>
      </c>
      <c r="I9" s="914">
        <f>VLOOKUP(B9,All_Ingredients!$A$1:$F$161,6,FALSE())</f>
        <v>1</v>
      </c>
      <c r="J9" s="940">
        <f>VLOOKUP(B9,All_Ingredients!$A$1:$J$161,10,FALSE())</f>
        <v>0.74</v>
      </c>
      <c r="K9" s="945">
        <f t="shared" si="2"/>
        <v>0.17156249999999998</v>
      </c>
      <c r="L9" s="945">
        <f t="shared" si="3"/>
        <v>0.12695624999999999</v>
      </c>
      <c r="R9" s="830"/>
      <c r="W9" s="830"/>
    </row>
    <row r="10" spans="1:33" x14ac:dyDescent="0.25">
      <c r="A10" s="1268"/>
      <c r="B10" s="1130" t="s">
        <v>203</v>
      </c>
      <c r="C10" s="947" t="s">
        <v>160</v>
      </c>
      <c r="D10" s="914">
        <v>1500</v>
      </c>
      <c r="E10" s="1040">
        <f>$H$52</f>
        <v>15.249999999999998</v>
      </c>
      <c r="F10" s="948">
        <v>1</v>
      </c>
      <c r="G10" s="940">
        <f>D10*E10</f>
        <v>22874.999999999996</v>
      </c>
      <c r="H10" s="943">
        <f>G10*F10</f>
        <v>22874.999999999996</v>
      </c>
      <c r="I10" s="914">
        <f>VLOOKUP(B10,All_Ingredients!$A$1:$F$161,6,FALSE())</f>
        <v>1</v>
      </c>
      <c r="J10" s="1040">
        <f>VLOOKUP(B10,All_Ingredients!$A$1:$J$161,10,FALSE())</f>
        <v>0</v>
      </c>
      <c r="K10" s="945">
        <f t="shared" si="2"/>
        <v>22.874999999999996</v>
      </c>
      <c r="L10" s="945">
        <f t="shared" si="3"/>
        <v>0</v>
      </c>
      <c r="R10" s="830"/>
      <c r="W10" s="830"/>
    </row>
    <row r="25" spans="18:29" x14ac:dyDescent="0.25">
      <c r="R25" s="1779" t="str">
        <f>B2</f>
        <v>Chicken Saleeq - سليق دجاج</v>
      </c>
      <c r="S25" s="1787"/>
      <c r="T25" s="1787"/>
      <c r="U25" s="959"/>
      <c r="W25" s="830"/>
      <c r="Z25" s="982" t="s">
        <v>252</v>
      </c>
      <c r="AA25" s="989">
        <v>1</v>
      </c>
      <c r="AB25" s="982" t="s">
        <v>249</v>
      </c>
      <c r="AC25" s="985">
        <f>AC30*AA25</f>
        <v>3.2667334816907354E-2</v>
      </c>
    </row>
    <row r="26" spans="18:29" x14ac:dyDescent="0.25">
      <c r="R26" s="1786" t="s">
        <v>323</v>
      </c>
      <c r="S26" s="1787"/>
      <c r="T26" s="1787"/>
      <c r="U26" s="959"/>
      <c r="W26" s="830"/>
      <c r="AB26" s="14"/>
      <c r="AC26" s="14"/>
    </row>
    <row r="27" spans="18:29" x14ac:dyDescent="0.25">
      <c r="R27" s="961" t="s">
        <v>254</v>
      </c>
      <c r="S27" s="962" t="s">
        <v>255</v>
      </c>
      <c r="T27" s="962" t="s">
        <v>257</v>
      </c>
      <c r="U27" s="962" t="s">
        <v>753</v>
      </c>
      <c r="W27" s="830"/>
      <c r="Z27" s="982" t="s">
        <v>258</v>
      </c>
      <c r="AA27" s="982" t="s">
        <v>259</v>
      </c>
      <c r="AB27" s="984" t="s">
        <v>753</v>
      </c>
      <c r="AC27" s="982" t="s">
        <v>262</v>
      </c>
    </row>
    <row r="28" spans="18:29" x14ac:dyDescent="0.25">
      <c r="R28" s="961" t="s">
        <v>324</v>
      </c>
      <c r="S28" s="1391">
        <f>$Z$1</f>
        <v>14250</v>
      </c>
      <c r="T28" s="975">
        <f>S28</f>
        <v>14250</v>
      </c>
      <c r="U28" s="975">
        <f>SUM(G21)</f>
        <v>0</v>
      </c>
      <c r="W28" s="830"/>
      <c r="Z28" s="1086"/>
      <c r="AA28" s="985">
        <f>AA25</f>
        <v>1</v>
      </c>
      <c r="AB28" s="987"/>
      <c r="AC28" s="1088">
        <f>SUM(AA28:AB28)</f>
        <v>1</v>
      </c>
    </row>
    <row r="29" spans="18:29" x14ac:dyDescent="0.25">
      <c r="R29" s="961" t="s">
        <v>325</v>
      </c>
      <c r="S29" s="1564">
        <f>$AB$1</f>
        <v>1000</v>
      </c>
      <c r="T29" s="974">
        <f>S29</f>
        <v>1000</v>
      </c>
      <c r="U29" s="974"/>
      <c r="W29" s="830"/>
      <c r="Z29" s="1086"/>
      <c r="AA29" s="1089">
        <v>1</v>
      </c>
      <c r="AB29" s="991"/>
      <c r="AC29" s="1089">
        <f>AC28/$AC$28</f>
        <v>1</v>
      </c>
    </row>
    <row r="30" spans="18:29" x14ac:dyDescent="0.25">
      <c r="R30" s="961" t="s">
        <v>326</v>
      </c>
      <c r="S30" s="966">
        <f>S28+S29</f>
        <v>15250</v>
      </c>
      <c r="T30" s="966">
        <f>T28+T29</f>
        <v>15250</v>
      </c>
      <c r="U30" s="966">
        <f>U28+U29</f>
        <v>0</v>
      </c>
      <c r="W30" s="830"/>
      <c r="Z30" s="982" t="s">
        <v>266</v>
      </c>
      <c r="AA30" s="1090">
        <f>S33/(S30)</f>
        <v>3.2667334816907354E-2</v>
      </c>
      <c r="AB30" s="995">
        <f>U33/T30</f>
        <v>0</v>
      </c>
      <c r="AC30" s="1092">
        <f>SUMPRODUCT(AA30,AA29)+AB30</f>
        <v>3.2667334816907354E-2</v>
      </c>
    </row>
    <row r="31" spans="18:29" ht="30" x14ac:dyDescent="0.25">
      <c r="R31" s="976" t="s">
        <v>268</v>
      </c>
      <c r="S31" s="959"/>
      <c r="T31" s="959"/>
      <c r="U31" s="959"/>
      <c r="W31" s="830"/>
    </row>
    <row r="32" spans="18:29" x14ac:dyDescent="0.25">
      <c r="R32" s="961" t="s">
        <v>269</v>
      </c>
      <c r="S32" s="959"/>
      <c r="T32" s="959"/>
      <c r="U32" s="959"/>
      <c r="W32" s="830"/>
    </row>
    <row r="33" spans="17:23" x14ac:dyDescent="0.25">
      <c r="R33" s="977" t="s">
        <v>249</v>
      </c>
      <c r="S33" s="1133">
        <f>SUM(L5:L10)</f>
        <v>498.17685595783712</v>
      </c>
      <c r="T33" s="1133">
        <f>S33</f>
        <v>498.17685595783712</v>
      </c>
      <c r="U33" s="1133">
        <f>SUM(L37)</f>
        <v>0</v>
      </c>
      <c r="W33" s="830"/>
    </row>
    <row r="34" spans="17:23" x14ac:dyDescent="0.25">
      <c r="R34" s="830"/>
      <c r="W34" s="830"/>
    </row>
    <row r="35" spans="17:23" x14ac:dyDescent="0.25">
      <c r="R35" s="830"/>
      <c r="W35" s="830"/>
    </row>
    <row r="36" spans="17:23" x14ac:dyDescent="0.25">
      <c r="R36" s="830"/>
      <c r="W36" s="830"/>
    </row>
    <row r="37" spans="17:23" x14ac:dyDescent="0.25">
      <c r="R37" s="830"/>
      <c r="W37" s="830"/>
    </row>
    <row r="38" spans="17:23" x14ac:dyDescent="0.25">
      <c r="R38" s="830"/>
      <c r="W38" s="830"/>
    </row>
    <row r="39" spans="17:23" x14ac:dyDescent="0.25">
      <c r="R39" s="830"/>
      <c r="W39" s="830"/>
    </row>
    <row r="40" spans="17:23" x14ac:dyDescent="0.25">
      <c r="Q40" s="14"/>
      <c r="R40" s="119" t="s">
        <v>327</v>
      </c>
      <c r="S40" s="163">
        <v>1</v>
      </c>
      <c r="W40" s="830"/>
    </row>
    <row r="41" spans="17:23" x14ac:dyDescent="0.25">
      <c r="Q41" s="14"/>
      <c r="R41" s="890"/>
      <c r="S41" s="14"/>
      <c r="T41" s="14"/>
      <c r="U41" s="123"/>
      <c r="V41" s="14"/>
      <c r="W41" s="890"/>
    </row>
    <row r="42" spans="17:23" x14ac:dyDescent="0.25">
      <c r="Q42" s="14"/>
      <c r="R42" s="890"/>
      <c r="S42" s="14"/>
      <c r="T42" s="14"/>
      <c r="U42" s="14"/>
      <c r="V42" s="14"/>
      <c r="W42" s="890"/>
    </row>
    <row r="43" spans="17:23" ht="26.25" x14ac:dyDescent="0.25">
      <c r="Q43" s="1015" t="s">
        <v>272</v>
      </c>
      <c r="R43" s="1011" t="s">
        <v>273</v>
      </c>
      <c r="S43" s="1015" t="s">
        <v>274</v>
      </c>
      <c r="T43" s="1015" t="s">
        <v>275</v>
      </c>
      <c r="U43" s="1015" t="s">
        <v>276</v>
      </c>
      <c r="V43" s="1015" t="s">
        <v>277</v>
      </c>
      <c r="W43" s="1011" t="s">
        <v>328</v>
      </c>
    </row>
    <row r="44" spans="17:23" x14ac:dyDescent="0.25">
      <c r="Q44" s="1023">
        <v>10000</v>
      </c>
      <c r="R44" s="1017">
        <v>0</v>
      </c>
      <c r="S44" s="1095">
        <v>0</v>
      </c>
      <c r="T44" s="1095">
        <v>0</v>
      </c>
      <c r="U44" s="1096">
        <f>R44*S44</f>
        <v>0</v>
      </c>
      <c r="V44" s="1021">
        <f>R44*T44</f>
        <v>0</v>
      </c>
      <c r="W44" s="1026">
        <f>Q44-U44</f>
        <v>10000</v>
      </c>
    </row>
    <row r="50" spans="1:10" x14ac:dyDescent="0.25">
      <c r="A50" s="874"/>
      <c r="B50" s="830"/>
      <c r="D50" s="830"/>
      <c r="E50" s="830"/>
      <c r="F50" s="830"/>
      <c r="G50" s="961" t="s">
        <v>280</v>
      </c>
      <c r="H50" s="961" t="s">
        <v>233</v>
      </c>
      <c r="I50" s="962" t="s">
        <v>281</v>
      </c>
      <c r="J50" s="962" t="s">
        <v>282</v>
      </c>
    </row>
    <row r="51" spans="1:10" x14ac:dyDescent="0.25">
      <c r="A51" s="874"/>
      <c r="B51" s="830"/>
      <c r="D51" s="830"/>
      <c r="E51" s="830"/>
      <c r="F51" s="830"/>
      <c r="G51" s="1027" t="s">
        <v>322</v>
      </c>
      <c r="H51" s="1034">
        <v>10</v>
      </c>
      <c r="I51" s="1028">
        <f>J51/J1</f>
        <v>16129.032258064517</v>
      </c>
      <c r="J51" s="1028">
        <f>$W$44</f>
        <v>10000</v>
      </c>
    </row>
    <row r="52" spans="1:10" x14ac:dyDescent="0.25">
      <c r="A52" s="874"/>
      <c r="B52" s="830"/>
      <c r="D52" s="830"/>
      <c r="E52" s="830"/>
      <c r="F52" s="830"/>
      <c r="G52" s="961" t="s">
        <v>262</v>
      </c>
      <c r="H52" s="1277">
        <f>E5</f>
        <v>15.249999999999998</v>
      </c>
      <c r="I52" s="1021">
        <f>J52/$J$1</f>
        <v>24596.774193548386</v>
      </c>
      <c r="J52" s="1030">
        <f>$S$30</f>
        <v>15250</v>
      </c>
    </row>
    <row r="53" spans="1:10" x14ac:dyDescent="0.25">
      <c r="A53" s="874"/>
      <c r="B53" s="830"/>
      <c r="D53" s="1259"/>
      <c r="E53" s="830"/>
      <c r="F53" s="830"/>
      <c r="G53" s="961" t="s">
        <v>284</v>
      </c>
      <c r="H53" s="1278">
        <f>MIN($H$52, H51)</f>
        <v>10</v>
      </c>
      <c r="I53" s="1021">
        <f>J53/$J$1</f>
        <v>16129.032258064517</v>
      </c>
      <c r="J53" s="1279">
        <f>MIN(MAX($J$52,0),$J$51)</f>
        <v>10000</v>
      </c>
    </row>
    <row r="54" spans="1:10" x14ac:dyDescent="0.25">
      <c r="A54" s="874"/>
      <c r="B54" s="830"/>
      <c r="D54" s="1259"/>
      <c r="E54" s="830"/>
      <c r="F54" s="830"/>
      <c r="G54" s="961" t="s">
        <v>285</v>
      </c>
      <c r="H54" s="1278">
        <f>MIN(MAX($H$52-H53,0),H51)</f>
        <v>5.2499999999999982</v>
      </c>
      <c r="I54" s="1021">
        <f>J54/$J$1</f>
        <v>8467.7419354838712</v>
      </c>
      <c r="J54" s="1030">
        <f>MIN(MAX($J$52-J53,0),$J$51)</f>
        <v>5250</v>
      </c>
    </row>
    <row r="55" spans="1:10" x14ac:dyDescent="0.25">
      <c r="A55" s="874"/>
      <c r="B55" s="830"/>
      <c r="D55" s="1259"/>
      <c r="E55" s="830"/>
      <c r="F55" s="830"/>
      <c r="G55" s="961" t="s">
        <v>286</v>
      </c>
      <c r="H55" s="1278">
        <f>MIN(MAX($H$52-H53-H54,0),H51)</f>
        <v>0</v>
      </c>
      <c r="I55" s="1021">
        <f>J55/$J$1</f>
        <v>0</v>
      </c>
      <c r="J55" s="1279">
        <f>MIN(MAX($J$52-J53-J54,0),$J$51)</f>
        <v>0</v>
      </c>
    </row>
    <row r="56" spans="1:10" x14ac:dyDescent="0.25">
      <c r="A56" s="874"/>
      <c r="B56" s="830"/>
      <c r="D56" s="830"/>
      <c r="E56" s="830"/>
      <c r="F56" s="830"/>
      <c r="G56" s="961" t="s">
        <v>293</v>
      </c>
      <c r="H56" s="1278">
        <f>MIN(MAX($H$52-H53-H54-H55,0),H52)</f>
        <v>0</v>
      </c>
      <c r="I56" s="1021">
        <f>J56/$J$1</f>
        <v>0</v>
      </c>
      <c r="J56" s="1279">
        <f>MIN(MAX($J$52-J53-J54-J55,0),$J$51)</f>
        <v>0</v>
      </c>
    </row>
    <row r="57" spans="1:10" x14ac:dyDescent="0.25">
      <c r="A57" s="874"/>
      <c r="B57" s="830"/>
      <c r="D57" s="830"/>
      <c r="E57" s="830"/>
      <c r="F57" s="830"/>
      <c r="G57" s="830"/>
      <c r="H57" s="830"/>
    </row>
    <row r="58" spans="1:10" x14ac:dyDescent="0.25">
      <c r="A58" s="874"/>
      <c r="B58" s="830"/>
      <c r="D58" s="830"/>
      <c r="E58" s="830"/>
      <c r="F58" s="830"/>
      <c r="G58" s="830"/>
      <c r="H58" s="830"/>
    </row>
    <row r="59" spans="1:10" x14ac:dyDescent="0.25">
      <c r="A59" s="874"/>
      <c r="B59" s="830"/>
      <c r="D59" s="830"/>
      <c r="E59" s="830"/>
      <c r="F59" s="830"/>
      <c r="G59" s="830"/>
      <c r="H59" s="830"/>
    </row>
    <row r="60" spans="1:10" x14ac:dyDescent="0.25">
      <c r="A60" s="874"/>
      <c r="B60" s="830"/>
      <c r="D60" s="830"/>
      <c r="E60" s="830"/>
      <c r="F60" s="830"/>
      <c r="G60" s="830"/>
      <c r="H60" s="830"/>
    </row>
    <row r="61" spans="1:10" x14ac:dyDescent="0.25">
      <c r="A61" s="874"/>
      <c r="B61" s="830"/>
      <c r="D61" s="830"/>
      <c r="E61" s="830"/>
      <c r="F61" s="830"/>
      <c r="G61" s="830"/>
      <c r="H61" s="830"/>
    </row>
    <row r="62" spans="1:10" x14ac:dyDescent="0.2">
      <c r="A62" s="875"/>
      <c r="B62" s="1776" t="str">
        <f>"سليق دجاج 1 / " &amp; COUNTIF($H$53:$H$55, "&gt;0")</f>
        <v>سليق دجاج 1 / 2</v>
      </c>
      <c r="C62" s="1777"/>
      <c r="D62" s="1778"/>
      <c r="E62" s="1778"/>
      <c r="F62" s="1778"/>
      <c r="G62" s="1778"/>
      <c r="H62" s="1778"/>
    </row>
    <row r="63" spans="1:10" x14ac:dyDescent="0.2">
      <c r="A63" s="875"/>
      <c r="B63" s="1776" t="str">
        <f>"Chicken Saleeq 1 / " &amp; COUNTIF($H$53:$H$55, "&gt;0")</f>
        <v>Chicken Saleeq 1 / 2</v>
      </c>
      <c r="C63" s="1777"/>
      <c r="D63" s="1778"/>
      <c r="E63" s="1778"/>
      <c r="F63" s="1778"/>
      <c r="G63" s="1778"/>
      <c r="H63" s="1778"/>
    </row>
    <row r="64" spans="1:10" ht="38.25" x14ac:dyDescent="0.2">
      <c r="A64" s="1350" t="s">
        <v>864</v>
      </c>
      <c r="B64" s="923" t="s">
        <v>241</v>
      </c>
      <c r="C64" s="1104" t="s">
        <v>316</v>
      </c>
      <c r="D64" s="923" t="s">
        <v>317</v>
      </c>
      <c r="E64" s="935" t="s">
        <v>318</v>
      </c>
      <c r="F64" s="935" t="s">
        <v>319</v>
      </c>
      <c r="G64" s="1266" t="s">
        <v>320</v>
      </c>
      <c r="H64" s="936" t="s">
        <v>321</v>
      </c>
    </row>
    <row r="65" spans="1:8" x14ac:dyDescent="0.25">
      <c r="A65" s="1267" t="s">
        <v>874</v>
      </c>
      <c r="B65" s="1130" t="str">
        <f t="shared" ref="B65:D70" si="4">B5</f>
        <v>Chicken - دجاج</v>
      </c>
      <c r="C65" s="1252" t="str">
        <f t="shared" si="4"/>
        <v>gm</v>
      </c>
      <c r="D65" s="1280">
        <f t="shared" si="4"/>
        <v>1612.9032258064517</v>
      </c>
      <c r="E65" s="1040">
        <f t="shared" ref="E65:E70" si="5">$H$53</f>
        <v>10</v>
      </c>
      <c r="F65" s="948">
        <f t="shared" ref="F65:F70" si="6">F5</f>
        <v>1</v>
      </c>
      <c r="G65" s="940">
        <f t="shared" ref="G65:G70" si="7">D65*E65</f>
        <v>16129.032258064517</v>
      </c>
      <c r="H65" s="943">
        <f t="shared" ref="H65:H70" si="8">G65*F65</f>
        <v>16129.032258064517</v>
      </c>
    </row>
    <row r="66" spans="1:8" x14ac:dyDescent="0.25">
      <c r="A66" s="874"/>
      <c r="B66" s="1130" t="str">
        <f t="shared" si="4"/>
        <v>Cumin Powder - كمون مطحون</v>
      </c>
      <c r="C66" s="1252" t="str">
        <f t="shared" si="4"/>
        <v>gm</v>
      </c>
      <c r="D66" s="1130">
        <f t="shared" si="4"/>
        <v>25</v>
      </c>
      <c r="E66" s="1040">
        <f t="shared" si="5"/>
        <v>10</v>
      </c>
      <c r="F66" s="948">
        <f t="shared" si="6"/>
        <v>0.7</v>
      </c>
      <c r="G66" s="914">
        <f t="shared" si="7"/>
        <v>250</v>
      </c>
      <c r="H66" s="943">
        <f t="shared" si="8"/>
        <v>175</v>
      </c>
    </row>
    <row r="67" spans="1:8" x14ac:dyDescent="0.25">
      <c r="A67" s="874"/>
      <c r="B67" s="1130" t="str">
        <f t="shared" si="4"/>
        <v>Tomato Paste - صلصة طماطم</v>
      </c>
      <c r="C67" s="1252" t="str">
        <f t="shared" si="4"/>
        <v>gm</v>
      </c>
      <c r="D67" s="1130">
        <f t="shared" si="4"/>
        <v>35</v>
      </c>
      <c r="E67" s="1040">
        <f t="shared" si="5"/>
        <v>10</v>
      </c>
      <c r="F67" s="948">
        <f t="shared" si="6"/>
        <v>0.75</v>
      </c>
      <c r="G67" s="914">
        <f t="shared" si="7"/>
        <v>350</v>
      </c>
      <c r="H67" s="943">
        <f t="shared" si="8"/>
        <v>262.5</v>
      </c>
    </row>
    <row r="68" spans="1:8" ht="28.5" x14ac:dyDescent="0.25">
      <c r="A68" s="874"/>
      <c r="B68" s="1130" t="str">
        <f t="shared" si="4"/>
        <v>Coriander Powder - كزبرة مطحونة</v>
      </c>
      <c r="C68" s="1252" t="str">
        <f t="shared" si="4"/>
        <v>gm</v>
      </c>
      <c r="D68" s="1130">
        <f t="shared" si="4"/>
        <v>20</v>
      </c>
      <c r="E68" s="1040">
        <f t="shared" si="5"/>
        <v>10</v>
      </c>
      <c r="F68" s="948">
        <f t="shared" si="6"/>
        <v>0.7</v>
      </c>
      <c r="G68" s="914">
        <f t="shared" si="7"/>
        <v>200</v>
      </c>
      <c r="H68" s="943">
        <f t="shared" si="8"/>
        <v>140</v>
      </c>
    </row>
    <row r="69" spans="1:8" x14ac:dyDescent="0.25">
      <c r="A69" s="874"/>
      <c r="B69" s="1130" t="str">
        <f t="shared" si="4"/>
        <v>Salt - ملح</v>
      </c>
      <c r="C69" s="1252" t="str">
        <f t="shared" si="4"/>
        <v>gm</v>
      </c>
      <c r="D69" s="1130">
        <f t="shared" si="4"/>
        <v>15</v>
      </c>
      <c r="E69" s="1040">
        <f t="shared" si="5"/>
        <v>10</v>
      </c>
      <c r="F69" s="948">
        <f t="shared" si="6"/>
        <v>0.75</v>
      </c>
      <c r="G69" s="914">
        <f t="shared" si="7"/>
        <v>150</v>
      </c>
      <c r="H69" s="943">
        <f t="shared" si="8"/>
        <v>112.5</v>
      </c>
    </row>
    <row r="70" spans="1:8" x14ac:dyDescent="0.25">
      <c r="A70" s="874"/>
      <c r="B70" s="1130" t="str">
        <f t="shared" si="4"/>
        <v>Water - ماء</v>
      </c>
      <c r="C70" s="1252" t="str">
        <f t="shared" si="4"/>
        <v>ml</v>
      </c>
      <c r="D70" s="1130">
        <f t="shared" si="4"/>
        <v>1500</v>
      </c>
      <c r="E70" s="1040">
        <f t="shared" si="5"/>
        <v>10</v>
      </c>
      <c r="F70" s="948">
        <f t="shared" si="6"/>
        <v>1</v>
      </c>
      <c r="G70" s="914">
        <f t="shared" si="7"/>
        <v>15000</v>
      </c>
      <c r="H70" s="943">
        <f t="shared" si="8"/>
        <v>15000</v>
      </c>
    </row>
    <row r="71" spans="1:8" ht="18" x14ac:dyDescent="0.25">
      <c r="A71" s="1258"/>
      <c r="B71" s="1041" t="s">
        <v>287</v>
      </c>
      <c r="C71" s="1042" t="s">
        <v>273</v>
      </c>
      <c r="D71" s="1043"/>
      <c r="E71" s="1044" t="s">
        <v>288</v>
      </c>
      <c r="F71" s="1043"/>
      <c r="G71" s="1046" t="s">
        <v>264</v>
      </c>
      <c r="H71" s="1046" t="s">
        <v>661</v>
      </c>
    </row>
    <row r="72" spans="1:8" ht="20.25" x14ac:dyDescent="0.3">
      <c r="A72" s="1258"/>
      <c r="B72" s="1047">
        <f>$J$53</f>
        <v>10000</v>
      </c>
      <c r="C72" s="1283">
        <f>E72+G72</f>
        <v>0</v>
      </c>
      <c r="D72" s="973"/>
      <c r="E72" s="1284">
        <f>$C$53*$S$44</f>
        <v>0</v>
      </c>
      <c r="F72" s="1208"/>
      <c r="G72" s="1285">
        <f>$C$53*$T$44</f>
        <v>0</v>
      </c>
      <c r="H72" s="1285">
        <f>B72+E72</f>
        <v>10000</v>
      </c>
    </row>
    <row r="73" spans="1:8" x14ac:dyDescent="0.25">
      <c r="A73" s="874"/>
      <c r="B73" s="80"/>
      <c r="D73" s="830"/>
      <c r="E73" s="80"/>
      <c r="F73" s="80"/>
      <c r="G73" s="830"/>
      <c r="H73" s="830"/>
    </row>
    <row r="74" spans="1:8" x14ac:dyDescent="0.2">
      <c r="A74" s="875"/>
      <c r="B74" s="1776" t="str">
        <f>"سليق دجاج 2 / " &amp; COUNTIF($H$53:$H$55, "&gt;0")</f>
        <v>سليق دجاج 2 / 2</v>
      </c>
      <c r="C74" s="1777"/>
      <c r="D74" s="1778"/>
      <c r="E74" s="1778"/>
      <c r="F74" s="1778"/>
      <c r="G74" s="1778"/>
      <c r="H74" s="1778"/>
    </row>
    <row r="75" spans="1:8" x14ac:dyDescent="0.2">
      <c r="A75" s="875"/>
      <c r="B75" s="1776" t="str">
        <f>"Chicken Saleeq 2 / " &amp; COUNTIF($H$53:$H$55, "&gt;0")</f>
        <v>Chicken Saleeq 2 / 2</v>
      </c>
      <c r="C75" s="1777"/>
      <c r="D75" s="1778"/>
      <c r="E75" s="1778"/>
      <c r="F75" s="1778"/>
      <c r="G75" s="1778"/>
      <c r="H75" s="1778"/>
    </row>
    <row r="76" spans="1:8" ht="38.25" x14ac:dyDescent="0.2">
      <c r="A76" s="1350" t="s">
        <v>864</v>
      </c>
      <c r="B76" s="923" t="s">
        <v>241</v>
      </c>
      <c r="C76" s="1104" t="s">
        <v>316</v>
      </c>
      <c r="D76" s="923" t="s">
        <v>317</v>
      </c>
      <c r="E76" s="935" t="s">
        <v>318</v>
      </c>
      <c r="F76" s="935" t="s">
        <v>319</v>
      </c>
      <c r="G76" s="1266" t="s">
        <v>320</v>
      </c>
      <c r="H76" s="936" t="s">
        <v>321</v>
      </c>
    </row>
    <row r="77" spans="1:8" x14ac:dyDescent="0.25">
      <c r="A77" s="1267" t="s">
        <v>874</v>
      </c>
      <c r="B77" s="1130" t="str">
        <f t="shared" ref="B77:D82" si="9">B5</f>
        <v>Chicken - دجاج</v>
      </c>
      <c r="C77" s="1252" t="str">
        <f t="shared" si="9"/>
        <v>gm</v>
      </c>
      <c r="D77" s="940">
        <f t="shared" si="9"/>
        <v>1612.9032258064517</v>
      </c>
      <c r="E77" s="1040">
        <f t="shared" ref="E77:E82" si="10">$H$54</f>
        <v>5.2499999999999982</v>
      </c>
      <c r="F77" s="948">
        <f t="shared" ref="F77:F82" si="11">F5</f>
        <v>1</v>
      </c>
      <c r="G77" s="940">
        <f t="shared" ref="G77:G82" si="12">D77*E77</f>
        <v>8467.7419354838694</v>
      </c>
      <c r="H77" s="943">
        <f t="shared" ref="H77:H82" si="13">G77*F77</f>
        <v>8467.7419354838694</v>
      </c>
    </row>
    <row r="78" spans="1:8" x14ac:dyDescent="0.25">
      <c r="A78" s="874"/>
      <c r="B78" s="1130" t="str">
        <f t="shared" si="9"/>
        <v>Cumin Powder - كمون مطحون</v>
      </c>
      <c r="C78" s="1252" t="str">
        <f t="shared" si="9"/>
        <v>gm</v>
      </c>
      <c r="D78" s="1130">
        <f t="shared" si="9"/>
        <v>25</v>
      </c>
      <c r="E78" s="1040">
        <f t="shared" si="10"/>
        <v>5.2499999999999982</v>
      </c>
      <c r="F78" s="948">
        <f t="shared" si="11"/>
        <v>0.7</v>
      </c>
      <c r="G78" s="940">
        <f t="shared" si="12"/>
        <v>131.24999999999994</v>
      </c>
      <c r="H78" s="943">
        <f t="shared" si="13"/>
        <v>91.874999999999957</v>
      </c>
    </row>
    <row r="79" spans="1:8" x14ac:dyDescent="0.25">
      <c r="A79" s="874"/>
      <c r="B79" s="1130" t="str">
        <f t="shared" si="9"/>
        <v>Tomato Paste - صلصة طماطم</v>
      </c>
      <c r="C79" s="1252" t="str">
        <f t="shared" si="9"/>
        <v>gm</v>
      </c>
      <c r="D79" s="1130">
        <f t="shared" si="9"/>
        <v>35</v>
      </c>
      <c r="E79" s="1040">
        <f t="shared" si="10"/>
        <v>5.2499999999999982</v>
      </c>
      <c r="F79" s="948">
        <f t="shared" si="11"/>
        <v>0.75</v>
      </c>
      <c r="G79" s="940">
        <f t="shared" si="12"/>
        <v>183.74999999999994</v>
      </c>
      <c r="H79" s="943">
        <f t="shared" si="13"/>
        <v>137.81249999999994</v>
      </c>
    </row>
    <row r="80" spans="1:8" ht="28.5" x14ac:dyDescent="0.25">
      <c r="A80" s="874"/>
      <c r="B80" s="1130" t="str">
        <f t="shared" si="9"/>
        <v>Coriander Powder - كزبرة مطحونة</v>
      </c>
      <c r="C80" s="1252" t="str">
        <f t="shared" si="9"/>
        <v>gm</v>
      </c>
      <c r="D80" s="1130">
        <f t="shared" si="9"/>
        <v>20</v>
      </c>
      <c r="E80" s="1040">
        <f t="shared" si="10"/>
        <v>5.2499999999999982</v>
      </c>
      <c r="F80" s="948">
        <f t="shared" si="11"/>
        <v>0.7</v>
      </c>
      <c r="G80" s="940">
        <f t="shared" si="12"/>
        <v>104.99999999999997</v>
      </c>
      <c r="H80" s="943">
        <f t="shared" si="13"/>
        <v>73.499999999999972</v>
      </c>
    </row>
    <row r="81" spans="1:8" x14ac:dyDescent="0.25">
      <c r="A81" s="874"/>
      <c r="B81" s="1130" t="str">
        <f t="shared" si="9"/>
        <v>Salt - ملح</v>
      </c>
      <c r="C81" s="1252" t="str">
        <f t="shared" si="9"/>
        <v>gm</v>
      </c>
      <c r="D81" s="1130">
        <f t="shared" si="9"/>
        <v>15</v>
      </c>
      <c r="E81" s="1040">
        <f t="shared" si="10"/>
        <v>5.2499999999999982</v>
      </c>
      <c r="F81" s="948">
        <f t="shared" si="11"/>
        <v>0.75</v>
      </c>
      <c r="G81" s="940">
        <f t="shared" si="12"/>
        <v>78.749999999999972</v>
      </c>
      <c r="H81" s="943">
        <f t="shared" si="13"/>
        <v>59.062499999999979</v>
      </c>
    </row>
    <row r="82" spans="1:8" x14ac:dyDescent="0.25">
      <c r="A82" s="874"/>
      <c r="B82" s="1130" t="str">
        <f t="shared" si="9"/>
        <v>Water - ماء</v>
      </c>
      <c r="C82" s="1252" t="str">
        <f t="shared" si="9"/>
        <v>ml</v>
      </c>
      <c r="D82" s="1130">
        <f t="shared" si="9"/>
        <v>1500</v>
      </c>
      <c r="E82" s="1040">
        <f t="shared" si="10"/>
        <v>5.2499999999999982</v>
      </c>
      <c r="F82" s="948">
        <f t="shared" si="11"/>
        <v>1</v>
      </c>
      <c r="G82" s="940">
        <f t="shared" si="12"/>
        <v>7874.9999999999973</v>
      </c>
      <c r="H82" s="943">
        <f t="shared" si="13"/>
        <v>7874.9999999999973</v>
      </c>
    </row>
    <row r="83" spans="1:8" ht="18" x14ac:dyDescent="0.25">
      <c r="A83" s="1258"/>
      <c r="B83" s="1041" t="s">
        <v>287</v>
      </c>
      <c r="C83" s="1042" t="s">
        <v>273</v>
      </c>
      <c r="D83" s="1043"/>
      <c r="E83" s="1044" t="s">
        <v>288</v>
      </c>
      <c r="F83" s="1043"/>
      <c r="G83" s="1046" t="s">
        <v>264</v>
      </c>
      <c r="H83" s="1046" t="s">
        <v>661</v>
      </c>
    </row>
    <row r="84" spans="1:8" ht="20.25" x14ac:dyDescent="0.3">
      <c r="A84" s="1258"/>
      <c r="B84" s="1047">
        <f>$J$54</f>
        <v>5250</v>
      </c>
      <c r="C84" s="1283">
        <f>E84+G84</f>
        <v>0</v>
      </c>
      <c r="D84" s="973"/>
      <c r="E84" s="1284">
        <f>$C$54*$S$44</f>
        <v>0</v>
      </c>
      <c r="F84" s="1208"/>
      <c r="G84" s="1285">
        <f>$C$54*$T$44</f>
        <v>0</v>
      </c>
      <c r="H84" s="1285">
        <f>B84+E84</f>
        <v>5250</v>
      </c>
    </row>
    <row r="85" spans="1:8" x14ac:dyDescent="0.25">
      <c r="A85" s="874"/>
      <c r="B85" s="830"/>
      <c r="D85" s="830"/>
      <c r="E85" s="830"/>
      <c r="F85" s="830"/>
      <c r="G85" s="830"/>
      <c r="H85" s="830"/>
    </row>
    <row r="86" spans="1:8" x14ac:dyDescent="0.25">
      <c r="A86" s="874"/>
      <c r="B86" s="830"/>
      <c r="D86" s="830"/>
      <c r="E86" s="830"/>
      <c r="F86" s="830"/>
      <c r="G86" s="830"/>
      <c r="H86" s="830"/>
    </row>
    <row r="87" spans="1:8" x14ac:dyDescent="0.25">
      <c r="A87" s="874"/>
      <c r="B87" s="830"/>
      <c r="D87" s="830"/>
      <c r="E87" s="830"/>
      <c r="F87" s="830"/>
      <c r="G87" s="830"/>
      <c r="H87" s="830"/>
    </row>
    <row r="88" spans="1:8" x14ac:dyDescent="0.2">
      <c r="A88" s="875"/>
      <c r="B88" s="1776" t="str">
        <f>"سليق دجاج 3 / " &amp; COUNTIF($H$53:$H$55, "&gt;0")</f>
        <v>سليق دجاج 3 / 2</v>
      </c>
      <c r="C88" s="1777"/>
      <c r="D88" s="1778"/>
      <c r="E88" s="1778"/>
      <c r="F88" s="1778"/>
      <c r="G88" s="1778"/>
      <c r="H88" s="1778"/>
    </row>
    <row r="89" spans="1:8" x14ac:dyDescent="0.2">
      <c r="A89" s="875"/>
      <c r="B89" s="1776" t="str">
        <f>"Chicken Saleeq 3 / " &amp; COUNTIF($H$53:$H$55, "&gt;0")</f>
        <v>Chicken Saleeq 3 / 2</v>
      </c>
      <c r="C89" s="1777"/>
      <c r="D89" s="1778"/>
      <c r="E89" s="1778"/>
      <c r="F89" s="1778"/>
      <c r="G89" s="1778"/>
      <c r="H89" s="1778"/>
    </row>
    <row r="90" spans="1:8" ht="38.25" x14ac:dyDescent="0.2">
      <c r="A90" s="1350" t="s">
        <v>864</v>
      </c>
      <c r="B90" s="923" t="s">
        <v>241</v>
      </c>
      <c r="C90" s="1104" t="s">
        <v>316</v>
      </c>
      <c r="D90" s="923" t="s">
        <v>317</v>
      </c>
      <c r="E90" s="935" t="s">
        <v>318</v>
      </c>
      <c r="F90" s="935" t="s">
        <v>319</v>
      </c>
      <c r="G90" s="1266" t="s">
        <v>320</v>
      </c>
      <c r="H90" s="936" t="s">
        <v>321</v>
      </c>
    </row>
    <row r="91" spans="1:8" x14ac:dyDescent="0.25">
      <c r="A91" s="1267" t="s">
        <v>874</v>
      </c>
      <c r="B91" s="1281" t="str">
        <f t="shared" ref="B91:D96" si="14">B5</f>
        <v>Chicken - دجاج</v>
      </c>
      <c r="C91" s="1281" t="str">
        <f t="shared" si="14"/>
        <v>gm</v>
      </c>
      <c r="D91" s="940">
        <f t="shared" si="14"/>
        <v>1612.9032258064517</v>
      </c>
      <c r="E91" s="1040">
        <f t="shared" ref="E91:E96" si="15">$H$55</f>
        <v>0</v>
      </c>
      <c r="F91" s="1282">
        <f t="shared" ref="F91:F96" si="16">F5</f>
        <v>1</v>
      </c>
      <c r="G91" s="940">
        <f t="shared" ref="G91:G96" si="17">D91*E91</f>
        <v>0</v>
      </c>
      <c r="H91" s="943">
        <f t="shared" ref="H91:H96" si="18">G91*F91</f>
        <v>0</v>
      </c>
    </row>
    <row r="92" spans="1:8" x14ac:dyDescent="0.2">
      <c r="A92" s="876"/>
      <c r="B92" s="1281" t="str">
        <f t="shared" si="14"/>
        <v>Cumin Powder - كمون مطحون</v>
      </c>
      <c r="C92" s="1281" t="str">
        <f t="shared" si="14"/>
        <v>gm</v>
      </c>
      <c r="D92" s="1281">
        <f t="shared" si="14"/>
        <v>25</v>
      </c>
      <c r="E92" s="1040">
        <f t="shared" si="15"/>
        <v>0</v>
      </c>
      <c r="F92" s="1282">
        <f t="shared" si="16"/>
        <v>0.7</v>
      </c>
      <c r="G92" s="940">
        <f t="shared" si="17"/>
        <v>0</v>
      </c>
      <c r="H92" s="943">
        <f t="shared" si="18"/>
        <v>0</v>
      </c>
    </row>
    <row r="93" spans="1:8" x14ac:dyDescent="0.2">
      <c r="A93" s="876"/>
      <c r="B93" s="1281" t="str">
        <f t="shared" si="14"/>
        <v>Tomato Paste - صلصة طماطم</v>
      </c>
      <c r="C93" s="1281" t="str">
        <f t="shared" si="14"/>
        <v>gm</v>
      </c>
      <c r="D93" s="1281">
        <f t="shared" si="14"/>
        <v>35</v>
      </c>
      <c r="E93" s="1040">
        <f t="shared" si="15"/>
        <v>0</v>
      </c>
      <c r="F93" s="1282">
        <f t="shared" si="16"/>
        <v>0.75</v>
      </c>
      <c r="G93" s="940">
        <f t="shared" si="17"/>
        <v>0</v>
      </c>
      <c r="H93" s="943">
        <f t="shared" si="18"/>
        <v>0</v>
      </c>
    </row>
    <row r="94" spans="1:8" x14ac:dyDescent="0.2">
      <c r="A94" s="876"/>
      <c r="B94" s="1281" t="str">
        <f t="shared" si="14"/>
        <v>Coriander Powder - كزبرة مطحونة</v>
      </c>
      <c r="C94" s="1281" t="str">
        <f t="shared" si="14"/>
        <v>gm</v>
      </c>
      <c r="D94" s="1281">
        <f t="shared" si="14"/>
        <v>20</v>
      </c>
      <c r="E94" s="1040">
        <f t="shared" si="15"/>
        <v>0</v>
      </c>
      <c r="F94" s="1282">
        <f t="shared" si="16"/>
        <v>0.7</v>
      </c>
      <c r="G94" s="940">
        <f t="shared" si="17"/>
        <v>0</v>
      </c>
      <c r="H94" s="943">
        <f t="shared" si="18"/>
        <v>0</v>
      </c>
    </row>
    <row r="95" spans="1:8" x14ac:dyDescent="0.2">
      <c r="A95" s="876"/>
      <c r="B95" s="1281" t="str">
        <f t="shared" si="14"/>
        <v>Salt - ملح</v>
      </c>
      <c r="C95" s="1281" t="str">
        <f t="shared" si="14"/>
        <v>gm</v>
      </c>
      <c r="D95" s="1281">
        <f t="shared" si="14"/>
        <v>15</v>
      </c>
      <c r="E95" s="1040">
        <f t="shared" si="15"/>
        <v>0</v>
      </c>
      <c r="F95" s="1282">
        <f t="shared" si="16"/>
        <v>0.75</v>
      </c>
      <c r="G95" s="940">
        <f t="shared" si="17"/>
        <v>0</v>
      </c>
      <c r="H95" s="943">
        <f t="shared" si="18"/>
        <v>0</v>
      </c>
    </row>
    <row r="96" spans="1:8" x14ac:dyDescent="0.2">
      <c r="A96" s="876"/>
      <c r="B96" s="1281" t="str">
        <f t="shared" si="14"/>
        <v>Water - ماء</v>
      </c>
      <c r="C96" s="1281" t="str">
        <f t="shared" si="14"/>
        <v>ml</v>
      </c>
      <c r="D96" s="1281">
        <f t="shared" si="14"/>
        <v>1500</v>
      </c>
      <c r="E96" s="1040">
        <f t="shared" si="15"/>
        <v>0</v>
      </c>
      <c r="F96" s="1282">
        <f t="shared" si="16"/>
        <v>1</v>
      </c>
      <c r="G96" s="940">
        <f t="shared" si="17"/>
        <v>0</v>
      </c>
      <c r="H96" s="943">
        <f t="shared" si="18"/>
        <v>0</v>
      </c>
    </row>
    <row r="97" spans="1:8" ht="18" x14ac:dyDescent="0.25">
      <c r="A97" s="1258"/>
      <c r="B97" s="1041" t="s">
        <v>287</v>
      </c>
      <c r="C97" s="1042" t="s">
        <v>273</v>
      </c>
      <c r="D97" s="1043"/>
      <c r="E97" s="1044" t="s">
        <v>288</v>
      </c>
      <c r="F97" s="1043"/>
      <c r="G97" s="1046" t="s">
        <v>264</v>
      </c>
      <c r="H97" s="1046" t="s">
        <v>661</v>
      </c>
    </row>
    <row r="98" spans="1:8" ht="20.25" x14ac:dyDescent="0.3">
      <c r="A98" s="1258"/>
      <c r="B98" s="1047">
        <f>$J$55</f>
        <v>0</v>
      </c>
      <c r="C98" s="1283">
        <f>E98+G98</f>
        <v>0</v>
      </c>
      <c r="D98" s="973"/>
      <c r="E98" s="1284">
        <f>$C$55*$S$44</f>
        <v>0</v>
      </c>
      <c r="F98" s="1208"/>
      <c r="G98" s="1285">
        <f>$C$55*$T$44</f>
        <v>0</v>
      </c>
      <c r="H98" s="1285">
        <f>B98+E98</f>
        <v>0</v>
      </c>
    </row>
  </sheetData>
  <mergeCells count="10">
    <mergeCell ref="B89:H89"/>
    <mergeCell ref="AE2:AG3"/>
    <mergeCell ref="B74:H74"/>
    <mergeCell ref="B88:H88"/>
    <mergeCell ref="B75:H75"/>
    <mergeCell ref="B62:H62"/>
    <mergeCell ref="R26:T26"/>
    <mergeCell ref="R25:T25"/>
    <mergeCell ref="B2:K3"/>
    <mergeCell ref="B63:H63"/>
  </mergeCells>
  <printOptions horizontalCentered="1"/>
  <pageMargins left="0.4" right="0.4" top="1" bottom="0.5" header="0.3" footer="0.511811023622047"/>
  <pageSetup paperSize="9" scale="69" fitToHeight="0" orientation="landscape" r:id="rId1"/>
  <headerFooter>
    <oddHeader>&amp;C&amp;B&amp;16Chicken Saleeq (3)&amp;R&amp;B Day 3</oddHeader>
    <oddFooter>&amp;CPage &amp;P of &amp;N</oddFooter>
  </headerFooter>
  <rowBreaks count="1" manualBreakCount="1">
    <brk id="73" max="15" man="1"/>
  </rowBreaks>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BF9000"/>
    <pageSetUpPr fitToPage="1"/>
  </sheetPr>
  <dimension ref="A1:AG95"/>
  <sheetViews>
    <sheetView topLeftCell="A73" zoomScale="70" zoomScaleNormal="70" workbookViewId="0">
      <selection activeCell="A88" sqref="A88:A89"/>
    </sheetView>
  </sheetViews>
  <sheetFormatPr defaultColWidth="12.5" defaultRowHeight="15" x14ac:dyDescent="0.25"/>
  <cols>
    <col min="1" max="1" width="25.875" style="1" customWidth="1"/>
    <col min="2" max="2" width="25.875" customWidth="1"/>
    <col min="3" max="3" width="12.625" customWidth="1"/>
    <col min="4" max="8" width="25.875" customWidth="1"/>
    <col min="9" max="10" width="18.625" customWidth="1"/>
    <col min="11" max="11" width="25.875" customWidth="1"/>
    <col min="12" max="12" width="12.625" customWidth="1"/>
    <col min="13" max="16" width="4.75" customWidth="1"/>
    <col min="17" max="17" width="12.625" customWidth="1"/>
    <col min="18" max="18" width="25.875" customWidth="1"/>
    <col min="19" max="22" width="12.625" customWidth="1"/>
    <col min="23" max="23" width="25.875" customWidth="1"/>
    <col min="24" max="24" width="31.75" customWidth="1"/>
    <col min="25" max="25" width="8.625" customWidth="1"/>
    <col min="26" max="29" width="12.625" customWidth="1"/>
    <col min="30" max="30" width="8.625" customWidth="1"/>
  </cols>
  <sheetData>
    <row r="1" spans="1:33" x14ac:dyDescent="0.2">
      <c r="A1" s="1350" t="s">
        <v>231</v>
      </c>
      <c r="B1" s="914">
        <v>1000</v>
      </c>
      <c r="C1" s="923" t="s">
        <v>312</v>
      </c>
      <c r="D1" s="1262">
        <f>$S$30/J1</f>
        <v>25014.619883040934</v>
      </c>
      <c r="E1" s="923" t="s">
        <v>236</v>
      </c>
      <c r="F1" s="914" t="s">
        <v>313</v>
      </c>
      <c r="G1" s="923" t="s">
        <v>314</v>
      </c>
      <c r="H1" s="1263">
        <f>H52</f>
        <v>17.110000000000003</v>
      </c>
      <c r="I1" s="924" t="s">
        <v>238</v>
      </c>
      <c r="J1" s="1264">
        <v>0.68400000000000005</v>
      </c>
      <c r="K1" s="80"/>
      <c r="R1" s="830"/>
      <c r="W1" s="830"/>
      <c r="Y1" s="923" t="s">
        <v>444</v>
      </c>
      <c r="Z1" s="925">
        <v>16110</v>
      </c>
      <c r="AA1" s="923" t="s">
        <v>544</v>
      </c>
      <c r="AB1" s="925">
        <v>1000</v>
      </c>
      <c r="AC1" s="923" t="s">
        <v>537</v>
      </c>
      <c r="AD1" s="925">
        <v>109</v>
      </c>
    </row>
    <row r="2" spans="1:33" x14ac:dyDescent="0.25">
      <c r="A2" s="1265"/>
      <c r="B2" s="1784" t="s">
        <v>315</v>
      </c>
      <c r="C2" s="1787"/>
      <c r="D2" s="1788"/>
      <c r="E2" s="1788"/>
      <c r="F2" s="1788"/>
      <c r="G2" s="1788"/>
      <c r="H2" s="1788"/>
      <c r="I2" s="1787"/>
      <c r="J2" s="1787"/>
      <c r="K2" s="1785"/>
      <c r="L2" s="187"/>
      <c r="M2" s="80"/>
      <c r="N2" s="80"/>
      <c r="R2" s="830"/>
      <c r="W2" s="830"/>
      <c r="AE2" s="1772"/>
      <c r="AF2" s="1796"/>
      <c r="AG2" s="1796"/>
    </row>
    <row r="3" spans="1:33" x14ac:dyDescent="0.25">
      <c r="A3" s="1257"/>
      <c r="B3" s="1785"/>
      <c r="C3" s="1796"/>
      <c r="D3" s="1785"/>
      <c r="E3" s="1785"/>
      <c r="F3" s="1785"/>
      <c r="G3" s="1785"/>
      <c r="H3" s="1785"/>
      <c r="I3" s="1796"/>
      <c r="J3" s="1796"/>
      <c r="K3" s="1785"/>
      <c r="L3" s="187"/>
      <c r="M3" s="80"/>
      <c r="N3" s="80"/>
      <c r="R3" s="830"/>
      <c r="W3" s="830"/>
      <c r="AE3" s="1796"/>
      <c r="AF3" s="1796"/>
      <c r="AG3" s="1796"/>
    </row>
    <row r="4" spans="1:33" ht="38.25" x14ac:dyDescent="0.2">
      <c r="A4" s="1350" t="s">
        <v>864</v>
      </c>
      <c r="B4" s="923" t="s">
        <v>241</v>
      </c>
      <c r="C4" s="1104" t="s">
        <v>316</v>
      </c>
      <c r="D4" s="923" t="s">
        <v>317</v>
      </c>
      <c r="E4" s="935" t="s">
        <v>318</v>
      </c>
      <c r="F4" s="935" t="s">
        <v>319</v>
      </c>
      <c r="G4" s="1266" t="s">
        <v>320</v>
      </c>
      <c r="H4" s="936" t="s">
        <v>321</v>
      </c>
      <c r="I4" s="923" t="s">
        <v>246</v>
      </c>
      <c r="J4" s="923" t="s">
        <v>247</v>
      </c>
      <c r="K4" s="923" t="s">
        <v>248</v>
      </c>
      <c r="L4" s="923" t="s">
        <v>249</v>
      </c>
      <c r="R4" s="830"/>
      <c r="W4" s="830"/>
    </row>
    <row r="5" spans="1:33" x14ac:dyDescent="0.25">
      <c r="A5" s="1267" t="s">
        <v>874</v>
      </c>
      <c r="B5" s="1118" t="s">
        <v>220</v>
      </c>
      <c r="C5" s="947" t="s">
        <v>14</v>
      </c>
      <c r="D5" s="940">
        <f>I51/H51</f>
        <v>1461.988304093567</v>
      </c>
      <c r="E5" s="940">
        <f>I52/D5</f>
        <v>17.110000000000003</v>
      </c>
      <c r="F5" s="948">
        <v>1</v>
      </c>
      <c r="G5" s="940">
        <f>D5*E5</f>
        <v>25014.619883040934</v>
      </c>
      <c r="H5" s="940">
        <f>D1</f>
        <v>25014.619883040934</v>
      </c>
      <c r="I5" s="914">
        <f>VLOOKUP(B5,All_Ingredients!$A$1:$F$161,6,FALSE())</f>
        <v>0.86</v>
      </c>
      <c r="J5" s="940">
        <f>VLOOKUP(B5,All_Ingredients!$A$1:$J$161,10,FALSE())</f>
        <v>17.100000000000001</v>
      </c>
      <c r="K5" s="945">
        <f>(H5/I5)/1000</f>
        <v>29.086767305861549</v>
      </c>
      <c r="L5" s="945">
        <f>K5*J5</f>
        <v>497.38372093023253</v>
      </c>
      <c r="R5" s="830"/>
      <c r="W5" s="830"/>
    </row>
    <row r="6" spans="1:33" x14ac:dyDescent="0.25">
      <c r="A6" s="1268"/>
      <c r="B6" s="1130" t="s">
        <v>93</v>
      </c>
      <c r="C6" s="947" t="s">
        <v>14</v>
      </c>
      <c r="D6" s="914">
        <v>50</v>
      </c>
      <c r="E6" s="940">
        <f>$H$52</f>
        <v>17.110000000000003</v>
      </c>
      <c r="F6" s="948">
        <v>0.75</v>
      </c>
      <c r="G6" s="940">
        <f>D6*E6</f>
        <v>855.50000000000011</v>
      </c>
      <c r="H6" s="943">
        <f>G6*F6</f>
        <v>641.62500000000011</v>
      </c>
      <c r="I6" s="914">
        <f>VLOOKUP(B6,All_Ingredients!$A$1:$F$161,6,FALSE())</f>
        <v>1</v>
      </c>
      <c r="J6" s="940">
        <f>VLOOKUP(B6,All_Ingredients!$A$1:$J$161,10,FALSE())</f>
        <v>0.74</v>
      </c>
      <c r="K6" s="945">
        <f t="shared" ref="K6:K9" si="0">(H6/I6)/1000</f>
        <v>0.64162500000000011</v>
      </c>
      <c r="L6" s="945">
        <f t="shared" ref="L6:L9" si="1">K6*J6</f>
        <v>0.47480250000000007</v>
      </c>
      <c r="R6" s="830"/>
      <c r="W6" s="830"/>
    </row>
    <row r="7" spans="1:33" ht="28.5" x14ac:dyDescent="0.25">
      <c r="A7" s="1268"/>
      <c r="B7" s="1130" t="s">
        <v>799</v>
      </c>
      <c r="C7" s="947" t="s">
        <v>14</v>
      </c>
      <c r="D7" s="914">
        <v>3</v>
      </c>
      <c r="E7" s="940">
        <f>$H$52</f>
        <v>17.110000000000003</v>
      </c>
      <c r="F7" s="948">
        <v>0.75</v>
      </c>
      <c r="G7" s="940">
        <f>D7*E7</f>
        <v>51.330000000000013</v>
      </c>
      <c r="H7" s="943">
        <f>G7*F7</f>
        <v>38.497500000000009</v>
      </c>
      <c r="I7" s="914">
        <f>VLOOKUP(B7,All_Ingredients!$A$1:$F$161,6,FALSE())</f>
        <v>1</v>
      </c>
      <c r="J7" s="940">
        <f>VLOOKUP(B7,All_Ingredients!$A$1:$J$161,10,FALSE())</f>
        <v>22.5</v>
      </c>
      <c r="K7" s="945">
        <f t="shared" si="0"/>
        <v>3.8497500000000011E-2</v>
      </c>
      <c r="L7" s="945">
        <f t="shared" si="1"/>
        <v>0.86619375000000021</v>
      </c>
      <c r="R7" s="830"/>
      <c r="W7" s="830"/>
    </row>
    <row r="8" spans="1:33" x14ac:dyDescent="0.25">
      <c r="A8" s="1268"/>
      <c r="B8" s="1130" t="s">
        <v>214</v>
      </c>
      <c r="C8" s="947" t="s">
        <v>14</v>
      </c>
      <c r="D8" s="914">
        <v>3</v>
      </c>
      <c r="E8" s="940">
        <f>$H$52</f>
        <v>17.110000000000003</v>
      </c>
      <c r="F8" s="948">
        <v>0.9</v>
      </c>
      <c r="G8" s="940">
        <f>D8*E8</f>
        <v>51.330000000000013</v>
      </c>
      <c r="H8" s="943">
        <f>G8*F8</f>
        <v>46.19700000000001</v>
      </c>
      <c r="I8" s="914">
        <f>VLOOKUP(B8,All_Ingredients!$A$1:$F$161,6,FALSE())</f>
        <v>1</v>
      </c>
      <c r="J8" s="940">
        <f>VLOOKUP(B8,All_Ingredients!$A$1:$J$161,10,FALSE())</f>
        <v>35</v>
      </c>
      <c r="K8" s="945">
        <f t="shared" si="0"/>
        <v>4.6197000000000009E-2</v>
      </c>
      <c r="L8" s="945">
        <f t="shared" si="1"/>
        <v>1.6168950000000004</v>
      </c>
      <c r="R8" s="830"/>
      <c r="W8" s="830"/>
    </row>
    <row r="9" spans="1:33" x14ac:dyDescent="0.25">
      <c r="A9" s="1268"/>
      <c r="B9" s="1130" t="s">
        <v>105</v>
      </c>
      <c r="C9" s="947" t="s">
        <v>14</v>
      </c>
      <c r="D9" s="914">
        <v>5</v>
      </c>
      <c r="E9" s="940">
        <f>$H$52</f>
        <v>17.110000000000003</v>
      </c>
      <c r="F9" s="948">
        <v>0.8</v>
      </c>
      <c r="G9" s="940">
        <f>D9*E9</f>
        <v>85.550000000000011</v>
      </c>
      <c r="H9" s="943">
        <f>G9*F9</f>
        <v>68.440000000000012</v>
      </c>
      <c r="I9" s="914">
        <f>VLOOKUP(B9,All_Ingredients!$A$1:$F$161,6,FALSE())</f>
        <v>1</v>
      </c>
      <c r="J9" s="940">
        <f>VLOOKUP(B9,All_Ingredients!$A$1:$J$161,10,FALSE())</f>
        <v>15</v>
      </c>
      <c r="K9" s="945">
        <f t="shared" si="0"/>
        <v>6.8440000000000015E-2</v>
      </c>
      <c r="L9" s="945">
        <f t="shared" si="1"/>
        <v>1.0266000000000002</v>
      </c>
      <c r="R9" s="830"/>
      <c r="W9" s="830"/>
    </row>
    <row r="25" spans="18:29" x14ac:dyDescent="0.25">
      <c r="R25" s="1779" t="str">
        <f>B2</f>
        <v>Chicken Mandi - مندي دجاج</v>
      </c>
      <c r="S25" s="1787"/>
      <c r="T25" s="1787"/>
      <c r="W25" s="830"/>
      <c r="Z25" s="982" t="s">
        <v>252</v>
      </c>
      <c r="AA25" s="989">
        <v>1</v>
      </c>
      <c r="AB25" s="982" t="s">
        <v>249</v>
      </c>
      <c r="AC25" s="1397">
        <f>AC30*AA25</f>
        <v>3.0874222279964777E-2</v>
      </c>
    </row>
    <row r="26" spans="18:29" x14ac:dyDescent="0.25">
      <c r="R26" s="1786" t="s">
        <v>323</v>
      </c>
      <c r="S26" s="1787"/>
      <c r="T26" s="1787"/>
      <c r="W26" s="830"/>
      <c r="AB26" s="14"/>
      <c r="AC26" s="14"/>
    </row>
    <row r="27" spans="18:29" x14ac:dyDescent="0.25">
      <c r="R27" s="961" t="s">
        <v>254</v>
      </c>
      <c r="S27" s="962" t="s">
        <v>255</v>
      </c>
      <c r="T27" s="962" t="s">
        <v>257</v>
      </c>
      <c r="W27" s="830"/>
      <c r="Z27" s="982" t="s">
        <v>258</v>
      </c>
      <c r="AA27" s="982" t="s">
        <v>259</v>
      </c>
      <c r="AB27" s="982" t="s">
        <v>311</v>
      </c>
      <c r="AC27" s="982" t="s">
        <v>262</v>
      </c>
    </row>
    <row r="28" spans="18:29" x14ac:dyDescent="0.25">
      <c r="R28" s="961" t="s">
        <v>324</v>
      </c>
      <c r="S28" s="1391">
        <f>$Z$1</f>
        <v>16110</v>
      </c>
      <c r="T28" s="975">
        <f>S28</f>
        <v>16110</v>
      </c>
      <c r="W28" s="830"/>
      <c r="Z28" s="1086"/>
      <c r="AA28" s="985">
        <f>AA25</f>
        <v>1</v>
      </c>
      <c r="AB28" s="985">
        <f>AA25-AA28</f>
        <v>0</v>
      </c>
      <c r="AC28" s="1088">
        <f>SUM(AA28:AB28)</f>
        <v>1</v>
      </c>
    </row>
    <row r="29" spans="18:29" x14ac:dyDescent="0.25">
      <c r="R29" s="961" t="s">
        <v>325</v>
      </c>
      <c r="S29" s="1564">
        <f>$AB$1</f>
        <v>1000</v>
      </c>
      <c r="T29" s="974">
        <f>S29</f>
        <v>1000</v>
      </c>
      <c r="W29" s="830"/>
      <c r="Z29" s="1086"/>
      <c r="AA29" s="1089">
        <v>1</v>
      </c>
      <c r="AB29" s="1565">
        <f>AB28/$AC$28</f>
        <v>0</v>
      </c>
      <c r="AC29" s="1089">
        <f>AC28/$AC$28</f>
        <v>1</v>
      </c>
    </row>
    <row r="30" spans="18:29" x14ac:dyDescent="0.25">
      <c r="R30" s="961" t="s">
        <v>326</v>
      </c>
      <c r="S30" s="966">
        <f>S28+S29</f>
        <v>17110</v>
      </c>
      <c r="T30" s="966">
        <f>T28+T29</f>
        <v>17110</v>
      </c>
      <c r="W30" s="830"/>
      <c r="Z30" s="982" t="s">
        <v>266</v>
      </c>
      <c r="AA30" s="1090">
        <f>S33/(S28)</f>
        <v>3.0874222279964777E-2</v>
      </c>
      <c r="AB30" s="1091">
        <f>SUM(L6:L9)/SUM(K6:K9)</f>
        <v>5.0134553283100107</v>
      </c>
      <c r="AC30" s="1399">
        <f>SUMPRODUCT(AA30:AB30,AA29:AB29)</f>
        <v>3.0874222279964777E-2</v>
      </c>
    </row>
    <row r="31" spans="18:29" ht="30" x14ac:dyDescent="0.25">
      <c r="R31" s="976" t="s">
        <v>268</v>
      </c>
      <c r="S31" s="959"/>
      <c r="T31" s="959"/>
      <c r="W31" s="830"/>
    </row>
    <row r="32" spans="18:29" x14ac:dyDescent="0.25">
      <c r="R32" s="961" t="s">
        <v>269</v>
      </c>
      <c r="S32" s="959"/>
      <c r="T32" s="959"/>
      <c r="W32" s="830"/>
    </row>
    <row r="33" spans="2:23" x14ac:dyDescent="0.25">
      <c r="B33" s="830"/>
      <c r="D33" s="830"/>
      <c r="E33" s="830"/>
      <c r="F33" s="830"/>
      <c r="G33" s="830"/>
      <c r="H33" s="830"/>
      <c r="K33" s="830"/>
      <c r="R33" s="977" t="s">
        <v>249</v>
      </c>
      <c r="S33" s="1133">
        <f>$L$5</f>
        <v>497.38372093023253</v>
      </c>
      <c r="T33" s="1133">
        <f>S33</f>
        <v>497.38372093023253</v>
      </c>
      <c r="W33" s="830"/>
    </row>
    <row r="34" spans="2:23" x14ac:dyDescent="0.25">
      <c r="B34" s="830"/>
      <c r="D34" s="830"/>
      <c r="E34" s="830"/>
      <c r="F34" s="830"/>
      <c r="G34" s="830"/>
      <c r="H34" s="830"/>
      <c r="K34" s="830"/>
      <c r="R34" s="830"/>
      <c r="W34" s="830"/>
    </row>
    <row r="35" spans="2:23" ht="15.75" x14ac:dyDescent="0.25">
      <c r="B35" s="1781" t="s">
        <v>645</v>
      </c>
      <c r="C35" s="1782"/>
      <c r="D35" s="1781"/>
      <c r="E35" s="1781"/>
      <c r="F35" s="1781"/>
      <c r="G35" s="1275"/>
      <c r="H35" s="1434"/>
      <c r="I35" s="1010"/>
      <c r="J35" s="1010"/>
      <c r="K35" s="1009"/>
      <c r="L35" s="1010"/>
      <c r="R35" s="830"/>
      <c r="W35" s="830"/>
    </row>
    <row r="36" spans="2:23" ht="31.5" x14ac:dyDescent="0.25">
      <c r="B36" s="1004" t="s">
        <v>241</v>
      </c>
      <c r="C36" s="1004" t="s">
        <v>316</v>
      </c>
      <c r="D36" s="1002" t="s">
        <v>610</v>
      </c>
      <c r="E36" s="1002" t="s">
        <v>611</v>
      </c>
      <c r="F36" s="1002" t="s">
        <v>612</v>
      </c>
      <c r="G36" s="1276"/>
      <c r="H36" s="1002" t="s">
        <v>612</v>
      </c>
      <c r="I36" s="1002" t="s">
        <v>246</v>
      </c>
      <c r="J36" s="1002" t="s">
        <v>247</v>
      </c>
      <c r="K36" s="1002" t="s">
        <v>248</v>
      </c>
      <c r="L36" s="1002" t="s">
        <v>249</v>
      </c>
      <c r="R36" s="830"/>
      <c r="W36" s="830"/>
    </row>
    <row r="37" spans="2:23" x14ac:dyDescent="0.25">
      <c r="B37" s="1005" t="s">
        <v>666</v>
      </c>
      <c r="C37" s="1006" t="s">
        <v>14</v>
      </c>
      <c r="D37" s="1007">
        <v>1</v>
      </c>
      <c r="E37" s="1005">
        <f>$AD$1</f>
        <v>109</v>
      </c>
      <c r="F37" s="1005">
        <f>D37*E37</f>
        <v>109</v>
      </c>
      <c r="G37" s="1340"/>
      <c r="H37" s="1005">
        <f>F37</f>
        <v>109</v>
      </c>
      <c r="I37" s="1005">
        <f>VLOOKUP(B37,All_Ingredients!$A$1:$F$161,6,FALSE())</f>
        <v>0.65</v>
      </c>
      <c r="J37" s="1005">
        <f>VLOOKUP(B37,All_Ingredients!$A$1:$J$161,10,FALSE())</f>
        <v>45</v>
      </c>
      <c r="K37" s="1005">
        <f>(H37/I37)/1000</f>
        <v>0.16769230769230767</v>
      </c>
      <c r="L37" s="1005">
        <f>K37*J37</f>
        <v>7.5461538461538451</v>
      </c>
      <c r="R37" s="830"/>
      <c r="W37" s="830"/>
    </row>
    <row r="38" spans="2:23" x14ac:dyDescent="0.25">
      <c r="B38" s="80"/>
      <c r="D38" s="830"/>
      <c r="E38" s="80"/>
      <c r="F38" s="80"/>
      <c r="G38" s="830"/>
      <c r="H38" s="830"/>
      <c r="K38" s="830"/>
      <c r="R38" s="830"/>
      <c r="W38" s="830"/>
    </row>
    <row r="39" spans="2:23" x14ac:dyDescent="0.25">
      <c r="B39" s="830"/>
      <c r="D39" s="830"/>
      <c r="E39" s="830"/>
      <c r="F39" s="830"/>
      <c r="G39" s="830"/>
      <c r="H39" s="830"/>
      <c r="K39" s="830"/>
      <c r="R39" s="830"/>
      <c r="W39" s="830"/>
    </row>
    <row r="40" spans="2:23" x14ac:dyDescent="0.25">
      <c r="B40" s="830"/>
      <c r="D40" s="830"/>
      <c r="E40" s="830"/>
      <c r="F40" s="830"/>
      <c r="G40" s="830"/>
      <c r="H40" s="830"/>
      <c r="K40" s="830"/>
      <c r="Q40" s="14"/>
      <c r="R40" s="119" t="s">
        <v>327</v>
      </c>
      <c r="S40" s="163">
        <v>1</v>
      </c>
      <c r="W40" s="830"/>
    </row>
    <row r="41" spans="2:23" x14ac:dyDescent="0.25">
      <c r="B41" s="830"/>
      <c r="D41" s="830"/>
      <c r="E41" s="830"/>
      <c r="F41" s="830"/>
      <c r="G41" s="830"/>
      <c r="H41" s="830"/>
      <c r="K41" s="830"/>
      <c r="Q41" s="14"/>
      <c r="R41" s="890"/>
      <c r="S41" s="14"/>
      <c r="T41" s="14"/>
      <c r="U41" s="123"/>
      <c r="V41" s="14"/>
      <c r="W41" s="890"/>
    </row>
    <row r="42" spans="2:23" x14ac:dyDescent="0.25">
      <c r="B42" s="830"/>
      <c r="D42" s="830"/>
      <c r="E42" s="830"/>
      <c r="F42" s="830"/>
      <c r="G42" s="830"/>
      <c r="H42" s="830"/>
      <c r="K42" s="830"/>
      <c r="Q42" s="14"/>
      <c r="R42" s="890"/>
      <c r="S42" s="14"/>
      <c r="T42" s="14"/>
      <c r="U42" s="14"/>
      <c r="V42" s="14"/>
      <c r="W42" s="890"/>
    </row>
    <row r="43" spans="2:23" ht="26.25" x14ac:dyDescent="0.25">
      <c r="B43" s="830"/>
      <c r="D43" s="830"/>
      <c r="E43" s="830"/>
      <c r="F43" s="830"/>
      <c r="G43" s="830"/>
      <c r="H43" s="830"/>
      <c r="K43" s="830"/>
      <c r="Q43" s="1015" t="s">
        <v>272</v>
      </c>
      <c r="R43" s="1011" t="s">
        <v>273</v>
      </c>
      <c r="S43" s="1015" t="s">
        <v>274</v>
      </c>
      <c r="T43" s="1015" t="s">
        <v>275</v>
      </c>
      <c r="U43" s="1015" t="s">
        <v>276</v>
      </c>
      <c r="V43" s="1015" t="s">
        <v>277</v>
      </c>
      <c r="W43" s="1011" t="s">
        <v>328</v>
      </c>
    </row>
    <row r="44" spans="2:23" x14ac:dyDescent="0.25">
      <c r="B44" s="830"/>
      <c r="D44" s="830"/>
      <c r="E44" s="830"/>
      <c r="F44" s="830"/>
      <c r="G44" s="830"/>
      <c r="H44" s="830"/>
      <c r="K44" s="830"/>
      <c r="Q44" s="1023">
        <v>10000</v>
      </c>
      <c r="R44" s="1017">
        <v>0</v>
      </c>
      <c r="S44" s="1095">
        <v>0</v>
      </c>
      <c r="T44" s="1095">
        <v>0</v>
      </c>
      <c r="U44" s="1096">
        <f>R44*S44</f>
        <v>0</v>
      </c>
      <c r="V44" s="1021">
        <f>R44*T44</f>
        <v>0</v>
      </c>
      <c r="W44" s="1026">
        <f>Q44-U44</f>
        <v>10000</v>
      </c>
    </row>
    <row r="50" spans="1:10" x14ac:dyDescent="0.25">
      <c r="A50" s="874"/>
      <c r="B50" s="830"/>
      <c r="D50" s="830"/>
      <c r="E50" s="830"/>
      <c r="F50" s="830"/>
      <c r="G50" s="961" t="s">
        <v>280</v>
      </c>
      <c r="H50" s="961" t="s">
        <v>233</v>
      </c>
      <c r="I50" s="962" t="s">
        <v>281</v>
      </c>
      <c r="J50" s="962" t="s">
        <v>282</v>
      </c>
    </row>
    <row r="51" spans="1:10" x14ac:dyDescent="0.25">
      <c r="A51" s="874"/>
      <c r="B51" s="830"/>
      <c r="D51" s="830"/>
      <c r="E51" s="830"/>
      <c r="F51" s="830"/>
      <c r="G51" s="1027" t="s">
        <v>322</v>
      </c>
      <c r="H51" s="1034">
        <v>10</v>
      </c>
      <c r="I51" s="1028">
        <f>J51/J1</f>
        <v>14619.883040935671</v>
      </c>
      <c r="J51" s="1028">
        <f>$W$44</f>
        <v>10000</v>
      </c>
    </row>
    <row r="52" spans="1:10" x14ac:dyDescent="0.25">
      <c r="A52" s="874"/>
      <c r="B52" s="830"/>
      <c r="D52" s="830"/>
      <c r="E52" s="830"/>
      <c r="F52" s="830"/>
      <c r="G52" s="961" t="s">
        <v>262</v>
      </c>
      <c r="H52" s="1566">
        <f>E5</f>
        <v>17.110000000000003</v>
      </c>
      <c r="I52" s="1567">
        <f>J52/$J$1</f>
        <v>25014.619883040934</v>
      </c>
      <c r="J52" s="1030">
        <f>$S$30</f>
        <v>17110</v>
      </c>
    </row>
    <row r="53" spans="1:10" x14ac:dyDescent="0.25">
      <c r="A53" s="874"/>
      <c r="B53" s="830"/>
      <c r="D53" s="1259"/>
      <c r="E53" s="830"/>
      <c r="F53" s="830"/>
      <c r="G53" s="961" t="s">
        <v>284</v>
      </c>
      <c r="H53" s="1568">
        <f>MIN($H$52, H51)</f>
        <v>10</v>
      </c>
      <c r="I53" s="1021">
        <f>J53/$J$1</f>
        <v>14619.883040935671</v>
      </c>
      <c r="J53" s="1279">
        <f>MIN(MAX($J$52,0),$J$51)</f>
        <v>10000</v>
      </c>
    </row>
    <row r="54" spans="1:10" x14ac:dyDescent="0.25">
      <c r="A54" s="874"/>
      <c r="B54" s="830"/>
      <c r="D54" s="1259"/>
      <c r="E54" s="830"/>
      <c r="F54" s="830"/>
      <c r="G54" s="961" t="s">
        <v>285</v>
      </c>
      <c r="H54" s="1569">
        <f>MIN(MAX($H$52-H53,0),H51)</f>
        <v>7.110000000000003</v>
      </c>
      <c r="I54" s="1021">
        <f>J54/$J$1</f>
        <v>10394.736842105262</v>
      </c>
      <c r="J54" s="1030">
        <f>MIN(MAX($J$52-J53,0),$J$51)</f>
        <v>7110</v>
      </c>
    </row>
    <row r="55" spans="1:10" x14ac:dyDescent="0.25">
      <c r="A55" s="874"/>
      <c r="B55" s="830"/>
      <c r="D55" s="1259"/>
      <c r="E55" s="830"/>
      <c r="F55" s="830"/>
      <c r="G55" s="961" t="s">
        <v>286</v>
      </c>
      <c r="H55" s="1569">
        <f>MIN(MAX($H$52-H53-H54,0),H51)</f>
        <v>0</v>
      </c>
      <c r="I55" s="1021">
        <f>J55/$J$1</f>
        <v>0</v>
      </c>
      <c r="J55" s="1279">
        <f>MIN(MAX($J$52-J53-J54,0),$J$51)</f>
        <v>0</v>
      </c>
    </row>
    <row r="56" spans="1:10" x14ac:dyDescent="0.25">
      <c r="A56" s="874"/>
      <c r="B56" s="830"/>
      <c r="D56" s="830"/>
      <c r="E56" s="830"/>
      <c r="F56" s="830"/>
      <c r="G56" s="830"/>
      <c r="H56" s="830"/>
    </row>
    <row r="57" spans="1:10" x14ac:dyDescent="0.25">
      <c r="A57" s="874"/>
      <c r="B57" s="830"/>
      <c r="D57" s="830"/>
      <c r="E57" s="830"/>
      <c r="F57" s="830"/>
      <c r="G57" s="830"/>
      <c r="H57" s="830"/>
    </row>
    <row r="58" spans="1:10" x14ac:dyDescent="0.25">
      <c r="A58" s="874"/>
      <c r="B58" s="830"/>
      <c r="D58" s="830"/>
      <c r="E58" s="830"/>
      <c r="F58" s="830"/>
      <c r="G58" s="830"/>
      <c r="H58" s="830"/>
    </row>
    <row r="59" spans="1:10" x14ac:dyDescent="0.25">
      <c r="A59" s="874"/>
      <c r="B59" s="830"/>
      <c r="D59" s="830"/>
      <c r="E59" s="830"/>
      <c r="F59" s="830"/>
      <c r="G59" s="830"/>
      <c r="H59" s="830"/>
    </row>
    <row r="60" spans="1:10" x14ac:dyDescent="0.25">
      <c r="A60" s="874"/>
      <c r="B60" s="830"/>
      <c r="D60" s="830"/>
      <c r="E60" s="830"/>
      <c r="F60" s="830"/>
      <c r="G60" s="830"/>
      <c r="H60" s="830"/>
    </row>
    <row r="61" spans="1:10" x14ac:dyDescent="0.25">
      <c r="A61" s="874"/>
      <c r="B61" s="830"/>
      <c r="D61" s="830"/>
      <c r="E61" s="830"/>
      <c r="F61" s="830"/>
      <c r="G61" s="830"/>
      <c r="H61" s="830"/>
    </row>
    <row r="62" spans="1:10" x14ac:dyDescent="0.2">
      <c r="A62" s="875"/>
      <c r="B62" s="1776" t="str">
        <f>"دجاج مندى 1 / " &amp; COUNTIF($H$53:$H$55, "&gt;0")</f>
        <v>دجاج مندى 1 / 2</v>
      </c>
      <c r="C62" s="1777"/>
      <c r="D62" s="1778"/>
      <c r="E62" s="1778"/>
      <c r="F62" s="1778"/>
      <c r="G62" s="1778"/>
      <c r="H62" s="1778"/>
    </row>
    <row r="63" spans="1:10" x14ac:dyDescent="0.2">
      <c r="A63" s="875"/>
      <c r="B63" s="1776" t="str">
        <f>"Mandi Chicken 1 / " &amp; COUNTIF($H$53:$H$55, "&gt;0")</f>
        <v>Mandi Chicken 1 / 2</v>
      </c>
      <c r="C63" s="1777"/>
      <c r="D63" s="1778"/>
      <c r="E63" s="1778"/>
      <c r="F63" s="1778"/>
      <c r="G63" s="1778"/>
      <c r="H63" s="1778"/>
    </row>
    <row r="64" spans="1:10" ht="38.25" x14ac:dyDescent="0.2">
      <c r="A64" s="1350" t="s">
        <v>864</v>
      </c>
      <c r="B64" s="923" t="s">
        <v>241</v>
      </c>
      <c r="C64" s="1104" t="s">
        <v>316</v>
      </c>
      <c r="D64" s="923" t="s">
        <v>317</v>
      </c>
      <c r="E64" s="935" t="s">
        <v>318</v>
      </c>
      <c r="F64" s="935" t="s">
        <v>319</v>
      </c>
      <c r="G64" s="1266" t="s">
        <v>320</v>
      </c>
      <c r="H64" s="936" t="s">
        <v>321</v>
      </c>
    </row>
    <row r="65" spans="1:8" x14ac:dyDescent="0.25">
      <c r="A65" s="1267" t="s">
        <v>874</v>
      </c>
      <c r="B65" s="1130" t="str">
        <f t="shared" ref="B65:D69" si="2">B5</f>
        <v>Chicken - دجاج</v>
      </c>
      <c r="C65" s="1252" t="str">
        <f t="shared" si="2"/>
        <v>gm</v>
      </c>
      <c r="D65" s="1280">
        <f t="shared" si="2"/>
        <v>1461.988304093567</v>
      </c>
      <c r="E65" s="1040">
        <f>$H$53</f>
        <v>10</v>
      </c>
      <c r="F65" s="948">
        <f>F5</f>
        <v>1</v>
      </c>
      <c r="G65" s="940">
        <f>D65*E65</f>
        <v>14619.883040935671</v>
      </c>
      <c r="H65" s="943">
        <f>G65*F65</f>
        <v>14619.883040935671</v>
      </c>
    </row>
    <row r="66" spans="1:8" x14ac:dyDescent="0.25">
      <c r="A66" s="874"/>
      <c r="B66" s="1130" t="str">
        <f t="shared" si="2"/>
        <v>Salt - ملح</v>
      </c>
      <c r="C66" s="1252" t="str">
        <f t="shared" si="2"/>
        <v>gm</v>
      </c>
      <c r="D66" s="1130">
        <f t="shared" si="2"/>
        <v>50</v>
      </c>
      <c r="E66" s="1040">
        <f>$H$53</f>
        <v>10</v>
      </c>
      <c r="F66" s="948">
        <f>F6</f>
        <v>0.75</v>
      </c>
      <c r="G66" s="914">
        <f>D66*E66</f>
        <v>500</v>
      </c>
      <c r="H66" s="943">
        <f>G66*F66</f>
        <v>375</v>
      </c>
    </row>
    <row r="67" spans="1:8" ht="28.5" x14ac:dyDescent="0.25">
      <c r="A67" s="874"/>
      <c r="B67" s="1130" t="str">
        <f t="shared" si="2"/>
        <v>Saffron yellow color powder - لون صفار زعفران بودر</v>
      </c>
      <c r="C67" s="1252" t="str">
        <f t="shared" si="2"/>
        <v>gm</v>
      </c>
      <c r="D67" s="1130">
        <f t="shared" si="2"/>
        <v>3</v>
      </c>
      <c r="E67" s="1040">
        <f>$H$53</f>
        <v>10</v>
      </c>
      <c r="F67" s="948">
        <f>F7</f>
        <v>0.75</v>
      </c>
      <c r="G67" s="914">
        <f>D67*E67</f>
        <v>30</v>
      </c>
      <c r="H67" s="943">
        <f>G67*F67</f>
        <v>22.5</v>
      </c>
    </row>
    <row r="68" spans="1:8" x14ac:dyDescent="0.25">
      <c r="A68" s="874"/>
      <c r="B68" s="1130" t="str">
        <f t="shared" si="2"/>
        <v>Orange Color - لون برتقالي</v>
      </c>
      <c r="C68" s="1252" t="str">
        <f t="shared" si="2"/>
        <v>gm</v>
      </c>
      <c r="D68" s="1130">
        <f t="shared" si="2"/>
        <v>3</v>
      </c>
      <c r="E68" s="1040">
        <f>$H$53</f>
        <v>10</v>
      </c>
      <c r="F68" s="948">
        <f>F8</f>
        <v>0.9</v>
      </c>
      <c r="G68" s="914">
        <f>D68*E68</f>
        <v>30</v>
      </c>
      <c r="H68" s="943">
        <f>G68*F68</f>
        <v>27</v>
      </c>
    </row>
    <row r="69" spans="1:8" x14ac:dyDescent="0.25">
      <c r="A69" s="874"/>
      <c r="B69" s="1130" t="str">
        <f t="shared" si="2"/>
        <v>Cumin Powder - كمون مطحون</v>
      </c>
      <c r="C69" s="1252" t="str">
        <f t="shared" si="2"/>
        <v>gm</v>
      </c>
      <c r="D69" s="1130">
        <f t="shared" si="2"/>
        <v>5</v>
      </c>
      <c r="E69" s="1040">
        <f>$H$53</f>
        <v>10</v>
      </c>
      <c r="F69" s="948">
        <f>F9</f>
        <v>0.8</v>
      </c>
      <c r="G69" s="914">
        <f>D69*E69</f>
        <v>50</v>
      </c>
      <c r="H69" s="943">
        <f>G69*F69</f>
        <v>40</v>
      </c>
    </row>
    <row r="70" spans="1:8" ht="18" x14ac:dyDescent="0.25">
      <c r="A70" s="1258"/>
      <c r="B70" s="1041" t="s">
        <v>287</v>
      </c>
      <c r="C70" s="1042" t="s">
        <v>273</v>
      </c>
      <c r="D70" s="1043"/>
      <c r="E70" s="1044" t="s">
        <v>288</v>
      </c>
      <c r="F70" s="1043"/>
      <c r="G70" s="1046" t="s">
        <v>264</v>
      </c>
      <c r="H70" s="1046" t="s">
        <v>661</v>
      </c>
    </row>
    <row r="71" spans="1:8" ht="20.25" x14ac:dyDescent="0.3">
      <c r="A71" s="1258"/>
      <c r="B71" s="1047">
        <f>$J$53</f>
        <v>10000</v>
      </c>
      <c r="C71" s="1283">
        <f>E71+G71</f>
        <v>0</v>
      </c>
      <c r="D71" s="973"/>
      <c r="E71" s="1284">
        <f>$C$53*$S$44</f>
        <v>0</v>
      </c>
      <c r="F71" s="1208"/>
      <c r="G71" s="1285">
        <f>$C$53*$T$44</f>
        <v>0</v>
      </c>
      <c r="H71" s="1285">
        <f>B71+E71</f>
        <v>10000</v>
      </c>
    </row>
    <row r="72" spans="1:8" x14ac:dyDescent="0.25">
      <c r="A72" s="874"/>
      <c r="B72" s="80"/>
      <c r="D72" s="830"/>
      <c r="E72" s="80"/>
      <c r="F72" s="80"/>
      <c r="G72" s="830"/>
      <c r="H72" s="830"/>
    </row>
    <row r="73" spans="1:8" x14ac:dyDescent="0.2">
      <c r="A73" s="875"/>
      <c r="B73" s="1776" t="str">
        <f>"دجاج مندى 2 / " &amp; COUNTIF($H$53:$H$55, "&gt;0")</f>
        <v>دجاج مندى 2 / 2</v>
      </c>
      <c r="C73" s="1777"/>
      <c r="D73" s="1778"/>
      <c r="E73" s="1778"/>
      <c r="F73" s="1778"/>
      <c r="G73" s="1778"/>
      <c r="H73" s="1778"/>
    </row>
    <row r="74" spans="1:8" x14ac:dyDescent="0.2">
      <c r="A74" s="875"/>
      <c r="B74" s="1776" t="str">
        <f>"Mandi Chicken 2 / " &amp; COUNTIF($H$53:$H$55, "&gt;0")</f>
        <v>Mandi Chicken 2 / 2</v>
      </c>
      <c r="C74" s="1777"/>
      <c r="D74" s="1778"/>
      <c r="E74" s="1778"/>
      <c r="F74" s="1778"/>
      <c r="G74" s="1778"/>
      <c r="H74" s="1778"/>
    </row>
    <row r="75" spans="1:8" ht="38.25" x14ac:dyDescent="0.2">
      <c r="A75" s="1350" t="s">
        <v>864</v>
      </c>
      <c r="B75" s="923" t="s">
        <v>241</v>
      </c>
      <c r="C75" s="1104" t="s">
        <v>316</v>
      </c>
      <c r="D75" s="923" t="s">
        <v>317</v>
      </c>
      <c r="E75" s="935" t="s">
        <v>318</v>
      </c>
      <c r="F75" s="935" t="s">
        <v>319</v>
      </c>
      <c r="G75" s="1266" t="s">
        <v>320</v>
      </c>
      <c r="H75" s="936" t="s">
        <v>321</v>
      </c>
    </row>
    <row r="76" spans="1:8" x14ac:dyDescent="0.25">
      <c r="A76" s="1267" t="s">
        <v>874</v>
      </c>
      <c r="B76" s="1130" t="str">
        <f t="shared" ref="B76:D79" si="3">B5</f>
        <v>Chicken - دجاج</v>
      </c>
      <c r="C76" s="1252" t="str">
        <f t="shared" si="3"/>
        <v>gm</v>
      </c>
      <c r="D76" s="940">
        <f t="shared" si="3"/>
        <v>1461.988304093567</v>
      </c>
      <c r="E76" s="1040">
        <f>$H$54</f>
        <v>7.110000000000003</v>
      </c>
      <c r="F76" s="948">
        <f>F5</f>
        <v>1</v>
      </c>
      <c r="G76" s="940">
        <f>D76*E76</f>
        <v>10394.736842105265</v>
      </c>
      <c r="H76" s="943">
        <f>G76*F76</f>
        <v>10394.736842105265</v>
      </c>
    </row>
    <row r="77" spans="1:8" x14ac:dyDescent="0.25">
      <c r="A77" s="874"/>
      <c r="B77" s="1130" t="str">
        <f t="shared" si="3"/>
        <v>Salt - ملح</v>
      </c>
      <c r="C77" s="1252" t="str">
        <f t="shared" si="3"/>
        <v>gm</v>
      </c>
      <c r="D77" s="1130">
        <f t="shared" si="3"/>
        <v>50</v>
      </c>
      <c r="E77" s="1040">
        <f>$H$54</f>
        <v>7.110000000000003</v>
      </c>
      <c r="F77" s="948">
        <f>F6</f>
        <v>0.75</v>
      </c>
      <c r="G77" s="940">
        <f>D77*E77</f>
        <v>355.50000000000017</v>
      </c>
      <c r="H77" s="943">
        <f>G77*F77</f>
        <v>266.62500000000011</v>
      </c>
    </row>
    <row r="78" spans="1:8" ht="28.5" x14ac:dyDescent="0.25">
      <c r="A78" s="874"/>
      <c r="B78" s="1130" t="str">
        <f t="shared" si="3"/>
        <v>Saffron yellow color powder - لون صفار زعفران بودر</v>
      </c>
      <c r="C78" s="1252" t="str">
        <f t="shared" si="3"/>
        <v>gm</v>
      </c>
      <c r="D78" s="1130">
        <f t="shared" si="3"/>
        <v>3</v>
      </c>
      <c r="E78" s="1040">
        <f>$H$54</f>
        <v>7.110000000000003</v>
      </c>
      <c r="F78" s="948">
        <f>F7</f>
        <v>0.75</v>
      </c>
      <c r="G78" s="940">
        <f>D78*E78</f>
        <v>21.330000000000009</v>
      </c>
      <c r="H78" s="943">
        <f>G78*F78</f>
        <v>15.997500000000006</v>
      </c>
    </row>
    <row r="79" spans="1:8" x14ac:dyDescent="0.25">
      <c r="A79" s="874"/>
      <c r="B79" s="1130" t="str">
        <f t="shared" si="3"/>
        <v>Orange Color - لون برتقالي</v>
      </c>
      <c r="C79" s="1252" t="str">
        <f t="shared" si="3"/>
        <v>gm</v>
      </c>
      <c r="D79" s="1130">
        <f t="shared" si="3"/>
        <v>3</v>
      </c>
      <c r="E79" s="1040">
        <f>$H$54</f>
        <v>7.110000000000003</v>
      </c>
      <c r="F79" s="948">
        <f>F8</f>
        <v>0.9</v>
      </c>
      <c r="G79" s="940">
        <f>D79*E79</f>
        <v>21.330000000000009</v>
      </c>
      <c r="H79" s="943">
        <f>G79*F79</f>
        <v>19.19700000000001</v>
      </c>
    </row>
    <row r="80" spans="1:8" ht="18" x14ac:dyDescent="0.25">
      <c r="A80" s="1258"/>
      <c r="B80" s="1041" t="s">
        <v>287</v>
      </c>
      <c r="C80" s="1042" t="s">
        <v>273</v>
      </c>
      <c r="D80" s="1043"/>
      <c r="E80" s="1044" t="s">
        <v>288</v>
      </c>
      <c r="F80" s="1043"/>
      <c r="G80" s="1046" t="s">
        <v>264</v>
      </c>
      <c r="H80" s="1046" t="s">
        <v>661</v>
      </c>
    </row>
    <row r="81" spans="1:8" ht="20.25" x14ac:dyDescent="0.3">
      <c r="A81" s="1258"/>
      <c r="B81" s="1047">
        <f>$J$54</f>
        <v>7110</v>
      </c>
      <c r="C81" s="1283">
        <f>E81+G81</f>
        <v>0</v>
      </c>
      <c r="D81" s="973"/>
      <c r="E81" s="1284">
        <f>$C$54*$S$44</f>
        <v>0</v>
      </c>
      <c r="F81" s="1208"/>
      <c r="G81" s="1285">
        <f>$C$54*$T$44</f>
        <v>0</v>
      </c>
      <c r="H81" s="1285">
        <f>B81+E81</f>
        <v>7110</v>
      </c>
    </row>
    <row r="82" spans="1:8" x14ac:dyDescent="0.25">
      <c r="A82" s="874"/>
      <c r="B82" s="80"/>
      <c r="D82" s="830"/>
      <c r="E82" s="80"/>
      <c r="F82" s="80"/>
      <c r="G82" s="830"/>
      <c r="H82" s="830"/>
    </row>
    <row r="83" spans="1:8" x14ac:dyDescent="0.25">
      <c r="A83" s="874"/>
      <c r="B83" s="80"/>
      <c r="D83" s="830"/>
      <c r="E83" s="80"/>
      <c r="F83" s="80"/>
      <c r="G83" s="830"/>
      <c r="H83" s="830"/>
    </row>
    <row r="84" spans="1:8" x14ac:dyDescent="0.25">
      <c r="A84" s="874"/>
      <c r="B84" s="80"/>
      <c r="D84" s="830"/>
      <c r="E84" s="80"/>
      <c r="F84" s="80"/>
      <c r="G84" s="830"/>
      <c r="H84" s="830"/>
    </row>
    <row r="85" spans="1:8" x14ac:dyDescent="0.25">
      <c r="A85" s="874"/>
      <c r="B85" s="80"/>
      <c r="D85" s="830"/>
      <c r="E85" s="80"/>
      <c r="F85" s="80"/>
      <c r="G85" s="830"/>
      <c r="H85" s="830"/>
    </row>
    <row r="86" spans="1:8" x14ac:dyDescent="0.2">
      <c r="A86" s="875"/>
      <c r="B86" s="1776" t="str">
        <f>"دجاج مندى 3 / " &amp; COUNTIF($H$53:$H$55, "&gt;0")</f>
        <v>دجاج مندى 3 / 2</v>
      </c>
      <c r="C86" s="1777"/>
      <c r="D86" s="1778"/>
      <c r="E86" s="1778"/>
      <c r="F86" s="1778"/>
      <c r="G86" s="1778"/>
      <c r="H86" s="1778"/>
    </row>
    <row r="87" spans="1:8" x14ac:dyDescent="0.2">
      <c r="A87" s="875"/>
      <c r="B87" s="1776" t="str">
        <f>"Mandi Chicken 3 / " &amp; COUNTIF($H$53:$H$55, "&gt;0")</f>
        <v>Mandi Chicken 3 / 2</v>
      </c>
      <c r="C87" s="1777"/>
      <c r="D87" s="1778"/>
      <c r="E87" s="1778"/>
      <c r="F87" s="1778"/>
      <c r="G87" s="1778"/>
      <c r="H87" s="1778"/>
    </row>
    <row r="88" spans="1:8" ht="38.25" x14ac:dyDescent="0.2">
      <c r="A88" s="1350" t="s">
        <v>864</v>
      </c>
      <c r="B88" s="923" t="s">
        <v>241</v>
      </c>
      <c r="C88" s="1104" t="s">
        <v>316</v>
      </c>
      <c r="D88" s="923" t="s">
        <v>317</v>
      </c>
      <c r="E88" s="935" t="s">
        <v>318</v>
      </c>
      <c r="F88" s="935" t="s">
        <v>319</v>
      </c>
      <c r="G88" s="1266" t="s">
        <v>320</v>
      </c>
      <c r="H88" s="936" t="s">
        <v>321</v>
      </c>
    </row>
    <row r="89" spans="1:8" x14ac:dyDescent="0.25">
      <c r="A89" s="1267" t="s">
        <v>874</v>
      </c>
      <c r="B89" s="1281" t="str">
        <f t="shared" ref="B89:D93" si="4">B5</f>
        <v>Chicken - دجاج</v>
      </c>
      <c r="C89" s="1281" t="str">
        <f t="shared" si="4"/>
        <v>gm</v>
      </c>
      <c r="D89" s="940">
        <f t="shared" si="4"/>
        <v>1461.988304093567</v>
      </c>
      <c r="E89" s="1040">
        <f>$H$55</f>
        <v>0</v>
      </c>
      <c r="F89" s="1282">
        <f>F5</f>
        <v>1</v>
      </c>
      <c r="G89" s="940">
        <f>D89*E89</f>
        <v>0</v>
      </c>
      <c r="H89" s="943">
        <f>G89*F89</f>
        <v>0</v>
      </c>
    </row>
    <row r="90" spans="1:8" x14ac:dyDescent="0.2">
      <c r="A90" s="876"/>
      <c r="B90" s="1281" t="str">
        <f t="shared" si="4"/>
        <v>Salt - ملح</v>
      </c>
      <c r="C90" s="1281" t="str">
        <f t="shared" si="4"/>
        <v>gm</v>
      </c>
      <c r="D90" s="1281">
        <f t="shared" si="4"/>
        <v>50</v>
      </c>
      <c r="E90" s="1040">
        <f>$H$55</f>
        <v>0</v>
      </c>
      <c r="F90" s="1282">
        <f>F6</f>
        <v>0.75</v>
      </c>
      <c r="G90" s="940">
        <f>D90*E90</f>
        <v>0</v>
      </c>
      <c r="H90" s="943">
        <f>G90*F90</f>
        <v>0</v>
      </c>
    </row>
    <row r="91" spans="1:8" ht="25.5" x14ac:dyDescent="0.2">
      <c r="A91" s="876"/>
      <c r="B91" s="1281" t="str">
        <f t="shared" si="4"/>
        <v>Saffron yellow color powder - لون صفار زعفران بودر</v>
      </c>
      <c r="C91" s="1281" t="str">
        <f t="shared" si="4"/>
        <v>gm</v>
      </c>
      <c r="D91" s="1281">
        <f t="shared" si="4"/>
        <v>3</v>
      </c>
      <c r="E91" s="1040">
        <f>$H$55</f>
        <v>0</v>
      </c>
      <c r="F91" s="1282">
        <f>F7</f>
        <v>0.75</v>
      </c>
      <c r="G91" s="940">
        <f>D91*E91</f>
        <v>0</v>
      </c>
      <c r="H91" s="943">
        <f>G91*F91</f>
        <v>0</v>
      </c>
    </row>
    <row r="92" spans="1:8" x14ac:dyDescent="0.2">
      <c r="A92" s="876"/>
      <c r="B92" s="1281" t="str">
        <f t="shared" si="4"/>
        <v>Orange Color - لون برتقالي</v>
      </c>
      <c r="C92" s="1281" t="str">
        <f t="shared" si="4"/>
        <v>gm</v>
      </c>
      <c r="D92" s="1281">
        <f t="shared" si="4"/>
        <v>3</v>
      </c>
      <c r="E92" s="1040">
        <f>$H$55</f>
        <v>0</v>
      </c>
      <c r="F92" s="1282">
        <f>F8</f>
        <v>0.9</v>
      </c>
      <c r="G92" s="940">
        <f>D92*E92</f>
        <v>0</v>
      </c>
      <c r="H92" s="943">
        <f>G92*F92</f>
        <v>0</v>
      </c>
    </row>
    <row r="93" spans="1:8" x14ac:dyDescent="0.2">
      <c r="A93" s="876"/>
      <c r="B93" s="1281" t="str">
        <f t="shared" si="4"/>
        <v>Cumin Powder - كمون مطحون</v>
      </c>
      <c r="C93" s="1281" t="str">
        <f t="shared" si="4"/>
        <v>gm</v>
      </c>
      <c r="D93" s="1281">
        <f t="shared" si="4"/>
        <v>5</v>
      </c>
      <c r="E93" s="1040">
        <f>$H$55</f>
        <v>0</v>
      </c>
      <c r="F93" s="1282">
        <f>F9</f>
        <v>0.8</v>
      </c>
      <c r="G93" s="940">
        <f>D93*E93</f>
        <v>0</v>
      </c>
      <c r="H93" s="943">
        <f>G93*F93</f>
        <v>0</v>
      </c>
    </row>
    <row r="94" spans="1:8" ht="18" x14ac:dyDescent="0.25">
      <c r="A94" s="1258"/>
      <c r="B94" s="1041" t="s">
        <v>287</v>
      </c>
      <c r="C94" s="1042" t="s">
        <v>273</v>
      </c>
      <c r="D94" s="1043"/>
      <c r="E94" s="1044" t="s">
        <v>288</v>
      </c>
      <c r="F94" s="1043"/>
      <c r="G94" s="1046" t="s">
        <v>264</v>
      </c>
      <c r="H94" s="1046" t="s">
        <v>661</v>
      </c>
    </row>
    <row r="95" spans="1:8" ht="20.25" x14ac:dyDescent="0.3">
      <c r="A95" s="1258"/>
      <c r="B95" s="1047">
        <f>$J$55</f>
        <v>0</v>
      </c>
      <c r="C95" s="1283">
        <f>E95+G95</f>
        <v>0</v>
      </c>
      <c r="D95" s="973"/>
      <c r="E95" s="1284">
        <f>$C$55*$S$44</f>
        <v>0</v>
      </c>
      <c r="F95" s="1208"/>
      <c r="G95" s="1285">
        <f>$C$55*$T$44</f>
        <v>0</v>
      </c>
      <c r="H95" s="1285">
        <f>B95+E95</f>
        <v>0</v>
      </c>
    </row>
  </sheetData>
  <mergeCells count="11">
    <mergeCell ref="AE2:AG3"/>
    <mergeCell ref="B74:H74"/>
    <mergeCell ref="B73:H73"/>
    <mergeCell ref="B87:H87"/>
    <mergeCell ref="B62:H62"/>
    <mergeCell ref="R26:T26"/>
    <mergeCell ref="B86:H86"/>
    <mergeCell ref="R25:T25"/>
    <mergeCell ref="B2:K3"/>
    <mergeCell ref="B63:H63"/>
    <mergeCell ref="B35:F35"/>
  </mergeCells>
  <printOptions horizontalCentered="1"/>
  <pageMargins left="0.4" right="0.4" top="1" bottom="0.5" header="0.3" footer="0.511811023622047"/>
  <pageSetup paperSize="9" scale="69" fitToHeight="0" orientation="landscape" r:id="rId1"/>
  <headerFooter>
    <oddHeader>&amp;C&amp;B&amp;16Chicken Mandi (3)&amp;R&amp;B Day 3</oddHeader>
    <oddFooter>&amp;CPage &amp;P of &amp;N</oddFooter>
  </headerFooter>
  <rowBreaks count="1" manualBreakCount="1">
    <brk id="72" max="15" man="1"/>
  </rowBreaks>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rgb="FFBF9000"/>
    <pageSetUpPr fitToPage="1"/>
  </sheetPr>
  <dimension ref="A1:AT67"/>
  <sheetViews>
    <sheetView topLeftCell="A35" zoomScale="70" zoomScaleNormal="70" workbookViewId="0">
      <selection activeCell="A39" sqref="A39"/>
    </sheetView>
  </sheetViews>
  <sheetFormatPr defaultColWidth="12.5" defaultRowHeight="15" x14ac:dyDescent="0.25"/>
  <cols>
    <col min="1" max="1" width="18.625" style="61" customWidth="1"/>
    <col min="2" max="2" width="25.875" style="14" customWidth="1"/>
    <col min="3" max="3" width="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5.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8.625" style="14" customWidth="1"/>
    <col min="21" max="22" width="12.625" style="14" customWidth="1"/>
    <col min="23" max="24" width="12.5" style="14" customWidth="1"/>
    <col min="25" max="25" width="8.625" style="14" customWidth="1"/>
    <col min="26" max="29" width="12.625" style="14" customWidth="1"/>
    <col min="30" max="30" width="8.625" style="14" customWidth="1"/>
    <col min="31" max="35" width="3.7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ht="25.5" x14ac:dyDescent="0.25">
      <c r="B1" s="913" t="s">
        <v>330</v>
      </c>
      <c r="C1" s="914">
        <v>1</v>
      </c>
      <c r="D1" s="915" t="s">
        <v>232</v>
      </c>
      <c r="E1" s="941">
        <f>U32</f>
        <v>312</v>
      </c>
      <c r="F1" s="913" t="s">
        <v>233</v>
      </c>
      <c r="G1" s="941">
        <f>E1/C1</f>
        <v>312</v>
      </c>
      <c r="H1" s="913" t="s">
        <v>234</v>
      </c>
      <c r="I1" s="1185"/>
      <c r="J1" s="209" t="s">
        <v>235</v>
      </c>
      <c r="K1" s="210"/>
      <c r="L1" s="80"/>
      <c r="M1" s="70"/>
      <c r="N1" s="922"/>
      <c r="O1" s="923" t="s">
        <v>236</v>
      </c>
      <c r="P1" s="914" t="s">
        <v>237</v>
      </c>
      <c r="Q1" s="924" t="s">
        <v>238</v>
      </c>
      <c r="R1" s="914">
        <v>0.51</v>
      </c>
      <c r="S1" s="924" t="s">
        <v>385</v>
      </c>
      <c r="T1" s="1186">
        <v>20</v>
      </c>
      <c r="Y1" s="923" t="s">
        <v>444</v>
      </c>
      <c r="Z1" s="925">
        <v>310</v>
      </c>
      <c r="AA1" s="923" t="s">
        <v>544</v>
      </c>
      <c r="AB1" s="925">
        <v>2</v>
      </c>
      <c r="AC1" s="923" t="s">
        <v>537</v>
      </c>
      <c r="AD1" s="925">
        <v>310</v>
      </c>
      <c r="AE1" s="168"/>
      <c r="AF1" s="170"/>
      <c r="AG1" s="73"/>
      <c r="AJ1" s="926" t="s">
        <v>250</v>
      </c>
      <c r="AK1" s="926">
        <v>10000</v>
      </c>
      <c r="AL1" s="927" t="s">
        <v>474</v>
      </c>
      <c r="AM1" s="928">
        <f>$S$32</f>
        <v>312</v>
      </c>
      <c r="AN1" s="926" t="s">
        <v>239</v>
      </c>
      <c r="AO1" s="929">
        <f>((S32*T1)/$R$1)/$AK$1</f>
        <v>1.223529411764706</v>
      </c>
      <c r="AP1" s="76"/>
      <c r="AS1" s="890"/>
    </row>
    <row r="2" spans="1:46" ht="15.75" x14ac:dyDescent="0.25">
      <c r="A2" s="863"/>
      <c r="B2" s="1784" t="s">
        <v>386</v>
      </c>
      <c r="C2" s="1784"/>
      <c r="D2" s="1784"/>
      <c r="E2" s="1784"/>
      <c r="F2" s="1784"/>
      <c r="G2" s="1784"/>
      <c r="H2" s="1784"/>
      <c r="I2" s="327"/>
      <c r="J2" s="327"/>
      <c r="K2" s="1183"/>
      <c r="L2" s="187"/>
      <c r="M2" s="80"/>
      <c r="N2" s="80"/>
      <c r="O2" s="80"/>
      <c r="P2" s="80"/>
      <c r="Q2" s="80"/>
      <c r="R2" s="80"/>
      <c r="AC2" s="79"/>
      <c r="AD2" s="79"/>
      <c r="AE2" s="1795"/>
      <c r="AF2" s="1799"/>
      <c r="AG2" s="1799"/>
      <c r="AJ2" s="930"/>
      <c r="AK2" s="1783" t="s">
        <v>387</v>
      </c>
      <c r="AL2" s="1783"/>
      <c r="AM2" s="1783"/>
      <c r="AN2" s="1783"/>
      <c r="AO2" s="930"/>
      <c r="AP2" s="81"/>
      <c r="AS2" s="890"/>
    </row>
    <row r="3" spans="1:46" ht="15.75" x14ac:dyDescent="0.25">
      <c r="A3" s="863"/>
      <c r="B3" s="1791"/>
      <c r="C3" s="1791"/>
      <c r="D3" s="1791"/>
      <c r="E3" s="1791"/>
      <c r="F3" s="1791"/>
      <c r="G3" s="1791"/>
      <c r="H3" s="1791"/>
      <c r="I3" s="1187"/>
      <c r="J3" s="1187"/>
      <c r="K3" s="1188"/>
      <c r="L3" s="187"/>
      <c r="M3" s="80"/>
      <c r="N3" s="80"/>
      <c r="O3" s="80"/>
      <c r="P3" s="80"/>
      <c r="Q3" s="80"/>
      <c r="R3" s="80"/>
      <c r="AC3" s="79"/>
      <c r="AD3" s="79"/>
      <c r="AE3" s="1799"/>
      <c r="AF3" s="1799"/>
      <c r="AG3" s="1799"/>
      <c r="AJ3" s="1354"/>
      <c r="AK3" s="81"/>
      <c r="AL3" s="82"/>
      <c r="AM3" s="82"/>
      <c r="AN3" s="82"/>
      <c r="AO3" s="81"/>
      <c r="AP3" s="81"/>
      <c r="AS3" s="890"/>
    </row>
    <row r="4" spans="1:46" ht="38.25" x14ac:dyDescent="0.2">
      <c r="A4" s="1350" t="s">
        <v>864</v>
      </c>
      <c r="B4" s="923" t="s">
        <v>241</v>
      </c>
      <c r="C4" s="934" t="s">
        <v>242</v>
      </c>
      <c r="D4" s="923" t="s">
        <v>231</v>
      </c>
      <c r="E4" s="936" t="s">
        <v>234</v>
      </c>
      <c r="F4" s="935" t="s">
        <v>243</v>
      </c>
      <c r="G4" s="923" t="s">
        <v>244</v>
      </c>
      <c r="H4" s="936" t="s">
        <v>321</v>
      </c>
      <c r="I4" s="923" t="s">
        <v>246</v>
      </c>
      <c r="J4" s="923" t="s">
        <v>247</v>
      </c>
      <c r="K4" s="923" t="s">
        <v>248</v>
      </c>
      <c r="L4" s="923" t="s">
        <v>249</v>
      </c>
      <c r="M4" s="80"/>
      <c r="N4" s="80"/>
      <c r="O4" s="80"/>
      <c r="P4" s="80"/>
      <c r="R4" s="890"/>
      <c r="AA4" s="169"/>
      <c r="AB4" s="171"/>
      <c r="AC4" s="169"/>
      <c r="AD4" s="169"/>
      <c r="AE4" s="169"/>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
      <c r="A5" s="937" t="s">
        <v>873</v>
      </c>
      <c r="B5" s="1118" t="s">
        <v>220</v>
      </c>
      <c r="C5" s="947" t="s">
        <v>227</v>
      </c>
      <c r="D5" s="1116">
        <f>T1/R1</f>
        <v>39.215686274509807</v>
      </c>
      <c r="E5" s="940">
        <f>G1</f>
        <v>312</v>
      </c>
      <c r="F5" s="948">
        <v>1</v>
      </c>
      <c r="G5" s="940">
        <f>D5*E5</f>
        <v>12235.294117647059</v>
      </c>
      <c r="H5" s="943">
        <f>G5*F5</f>
        <v>12235.294117647059</v>
      </c>
      <c r="I5" s="914">
        <f>VLOOKUP(B5,All_Ingredients!$A$1:$F$161,6,FALSE())</f>
        <v>0.86</v>
      </c>
      <c r="J5" s="940">
        <f>VLOOKUP(B5,All_Ingredients!$A$1:$J$161,10,FALSE())</f>
        <v>17.100000000000001</v>
      </c>
      <c r="K5" s="945">
        <f>(H5/I5)/1000</f>
        <v>14.227086183310533</v>
      </c>
      <c r="L5" s="945">
        <f>K5*J5</f>
        <v>243.28317373461013</v>
      </c>
      <c r="M5" s="80"/>
      <c r="N5" s="80"/>
      <c r="O5" s="80"/>
      <c r="P5" s="80"/>
      <c r="R5" s="890"/>
      <c r="AA5" s="73"/>
      <c r="AB5" s="89"/>
      <c r="AC5" s="172"/>
      <c r="AD5" s="90"/>
      <c r="AE5" s="91"/>
      <c r="AJ5" s="1355" t="s">
        <v>220</v>
      </c>
      <c r="AK5" s="951" t="s">
        <v>227</v>
      </c>
      <c r="AL5" s="1356">
        <v>10</v>
      </c>
      <c r="AM5" s="1357">
        <f t="shared" ref="AM5:AM13" si="0">$AO$1</f>
        <v>1.223529411764706</v>
      </c>
      <c r="AN5" s="1358">
        <v>1</v>
      </c>
      <c r="AO5" s="1356">
        <f t="shared" ref="AO5:AO13" si="1">AL5*AM5</f>
        <v>12.23529411764706</v>
      </c>
      <c r="AP5" s="1359">
        <f t="shared" ref="AP5:AP13" si="2">AO5*AN5</f>
        <v>12.23529411764706</v>
      </c>
      <c r="AQ5" s="952"/>
      <c r="AR5" s="953"/>
      <c r="AS5" s="954"/>
      <c r="AT5" s="955"/>
    </row>
    <row r="6" spans="1:46" x14ac:dyDescent="0.25">
      <c r="B6" s="1246"/>
      <c r="C6" s="214"/>
      <c r="D6" s="73"/>
      <c r="E6" s="92"/>
      <c r="F6" s="900"/>
      <c r="G6" s="92"/>
      <c r="H6" s="901"/>
      <c r="I6" s="73"/>
      <c r="J6" s="92"/>
      <c r="K6" s="87"/>
      <c r="L6" s="87"/>
      <c r="R6" s="890"/>
      <c r="AJ6" s="1355" t="s">
        <v>54</v>
      </c>
      <c r="AK6" s="951" t="s">
        <v>14</v>
      </c>
      <c r="AL6" s="1356">
        <v>50</v>
      </c>
      <c r="AM6" s="1357">
        <f t="shared" si="0"/>
        <v>1.223529411764706</v>
      </c>
      <c r="AN6" s="1358">
        <v>1</v>
      </c>
      <c r="AO6" s="1356">
        <f t="shared" si="1"/>
        <v>61.176470588235297</v>
      </c>
      <c r="AP6" s="1359">
        <f t="shared" si="2"/>
        <v>61.176470588235297</v>
      </c>
      <c r="AQ6" s="955">
        <f>VLOOKUP(AJ6,Marination_Ordering!$A:$J,6,FALSE)</f>
        <v>0.87</v>
      </c>
      <c r="AR6" s="955">
        <f>VLOOKUP(AJ6,Marination_Ordering!$A:$J,10,FALSE)</f>
        <v>7</v>
      </c>
      <c r="AS6" s="954">
        <f>AP6/AQ6</f>
        <v>70.317782285327922</v>
      </c>
      <c r="AT6" s="955">
        <f>AR6*(AS6/1000)</f>
        <v>0.49222447599729546</v>
      </c>
    </row>
    <row r="7" spans="1:46" x14ac:dyDescent="0.25">
      <c r="B7" s="1246"/>
      <c r="C7" s="214"/>
      <c r="D7" s="73"/>
      <c r="E7" s="92"/>
      <c r="F7" s="900"/>
      <c r="G7" s="92"/>
      <c r="H7" s="901"/>
      <c r="I7" s="73"/>
      <c r="J7" s="92"/>
      <c r="K7" s="87"/>
      <c r="L7" s="87"/>
      <c r="R7" s="890"/>
      <c r="AJ7" s="1355" t="s">
        <v>706</v>
      </c>
      <c r="AK7" s="951" t="s">
        <v>14</v>
      </c>
      <c r="AL7" s="1356">
        <v>100</v>
      </c>
      <c r="AM7" s="1357">
        <f t="shared" si="0"/>
        <v>1.223529411764706</v>
      </c>
      <c r="AN7" s="1358">
        <v>1</v>
      </c>
      <c r="AO7" s="1356">
        <f t="shared" si="1"/>
        <v>122.35294117647059</v>
      </c>
      <c r="AP7" s="1359">
        <f t="shared" si="2"/>
        <v>122.35294117647059</v>
      </c>
      <c r="AQ7" s="955">
        <f>VLOOKUP(AJ7,Marination_Ordering!$A:$J,6,FALSE)</f>
        <v>1</v>
      </c>
      <c r="AR7" s="955">
        <f>VLOOKUP(AJ7,Marination_Ordering!$A:$J,10,FALSE)</f>
        <v>10.5</v>
      </c>
      <c r="AS7" s="954">
        <f t="shared" ref="AS7:AS13" si="3">AP7/AQ7</f>
        <v>122.35294117647059</v>
      </c>
      <c r="AT7" s="955">
        <f t="shared" ref="AT7:AT13" si="4">AR7*(AS7/1000)</f>
        <v>1.2847058823529411</v>
      </c>
    </row>
    <row r="8" spans="1:46" x14ac:dyDescent="0.25">
      <c r="B8" s="1246"/>
      <c r="C8" s="214"/>
      <c r="D8" s="73"/>
      <c r="E8" s="92"/>
      <c r="F8" s="900"/>
      <c r="G8" s="92"/>
      <c r="H8" s="901"/>
      <c r="I8" s="73"/>
      <c r="J8" s="92"/>
      <c r="K8" s="87"/>
      <c r="L8" s="87"/>
      <c r="R8" s="890"/>
      <c r="AJ8" s="1355" t="s">
        <v>105</v>
      </c>
      <c r="AK8" s="951" t="s">
        <v>14</v>
      </c>
      <c r="AL8" s="1356">
        <v>50</v>
      </c>
      <c r="AM8" s="1357">
        <f t="shared" si="0"/>
        <v>1.223529411764706</v>
      </c>
      <c r="AN8" s="1358">
        <v>1</v>
      </c>
      <c r="AO8" s="1356">
        <f t="shared" si="1"/>
        <v>61.176470588235297</v>
      </c>
      <c r="AP8" s="1359">
        <f t="shared" si="2"/>
        <v>61.176470588235297</v>
      </c>
      <c r="AQ8" s="955">
        <f>VLOOKUP(AJ8,Marination_Ordering!$A:$J,6,FALSE)</f>
        <v>1</v>
      </c>
      <c r="AR8" s="955">
        <f>VLOOKUP(AJ8,Marination_Ordering!$A:$J,10,FALSE)</f>
        <v>15</v>
      </c>
      <c r="AS8" s="954">
        <f t="shared" si="3"/>
        <v>61.176470588235297</v>
      </c>
      <c r="AT8" s="955">
        <f t="shared" si="4"/>
        <v>0.91764705882352948</v>
      </c>
    </row>
    <row r="9" spans="1:46" x14ac:dyDescent="0.25">
      <c r="B9" s="1246"/>
      <c r="C9" s="214"/>
      <c r="D9" s="73"/>
      <c r="E9" s="92"/>
      <c r="F9" s="900"/>
      <c r="G9" s="92"/>
      <c r="H9" s="901"/>
      <c r="I9" s="73"/>
      <c r="J9" s="92"/>
      <c r="K9" s="87"/>
      <c r="L9" s="87"/>
      <c r="R9" s="890"/>
      <c r="AJ9" s="1355" t="s">
        <v>202</v>
      </c>
      <c r="AK9" s="951" t="s">
        <v>14</v>
      </c>
      <c r="AL9" s="1356">
        <v>100</v>
      </c>
      <c r="AM9" s="1357">
        <f t="shared" si="0"/>
        <v>1.223529411764706</v>
      </c>
      <c r="AN9" s="1358">
        <v>1</v>
      </c>
      <c r="AO9" s="1356">
        <f t="shared" si="1"/>
        <v>122.35294117647059</v>
      </c>
      <c r="AP9" s="1359">
        <f t="shared" si="2"/>
        <v>122.35294117647059</v>
      </c>
      <c r="AQ9" s="955">
        <f>VLOOKUP(AJ9,Marination_Ordering!$A:$J,6,FALSE)</f>
        <v>1</v>
      </c>
      <c r="AR9" s="955">
        <f>VLOOKUP(AJ9,Marination_Ordering!$A:$J,10,FALSE)</f>
        <v>11.243386243386244</v>
      </c>
      <c r="AS9" s="954">
        <f t="shared" si="3"/>
        <v>122.35294117647059</v>
      </c>
      <c r="AT9" s="955">
        <f t="shared" si="4"/>
        <v>1.3756613756613758</v>
      </c>
    </row>
    <row r="10" spans="1:46" x14ac:dyDescent="0.25">
      <c r="B10" s="1175"/>
      <c r="C10" s="214"/>
      <c r="D10" s="73"/>
      <c r="E10" s="92"/>
      <c r="F10" s="900"/>
      <c r="G10" s="92"/>
      <c r="H10" s="901"/>
      <c r="I10" s="73"/>
      <c r="J10" s="92"/>
      <c r="K10" s="87"/>
      <c r="L10" s="87"/>
      <c r="R10" s="890"/>
      <c r="AJ10" s="1355" t="s">
        <v>93</v>
      </c>
      <c r="AK10" s="951" t="s">
        <v>14</v>
      </c>
      <c r="AL10" s="1356">
        <v>20</v>
      </c>
      <c r="AM10" s="1357">
        <f t="shared" si="0"/>
        <v>1.223529411764706</v>
      </c>
      <c r="AN10" s="1358">
        <v>1</v>
      </c>
      <c r="AO10" s="1356">
        <f t="shared" si="1"/>
        <v>24.47058823529412</v>
      </c>
      <c r="AP10" s="1359">
        <f t="shared" si="2"/>
        <v>24.47058823529412</v>
      </c>
      <c r="AQ10" s="955">
        <f>VLOOKUP(AJ10,Marination_Ordering!$A:$J,6,FALSE)</f>
        <v>1</v>
      </c>
      <c r="AR10" s="955">
        <f>VLOOKUP(AJ10,Marination_Ordering!$A:$J,10,FALSE)</f>
        <v>0.74</v>
      </c>
      <c r="AS10" s="954">
        <f t="shared" si="3"/>
        <v>24.47058823529412</v>
      </c>
      <c r="AT10" s="955">
        <f t="shared" si="4"/>
        <v>1.8108235294117647E-2</v>
      </c>
    </row>
    <row r="11" spans="1:46" ht="28.5" x14ac:dyDescent="0.25">
      <c r="B11" s="1246"/>
      <c r="C11" s="214"/>
      <c r="D11" s="73"/>
      <c r="E11" s="92"/>
      <c r="F11" s="900"/>
      <c r="G11" s="92"/>
      <c r="H11" s="901"/>
      <c r="I11" s="73"/>
      <c r="J11" s="92"/>
      <c r="K11" s="87"/>
      <c r="L11" s="87"/>
      <c r="R11" s="890"/>
      <c r="AJ11" s="1355" t="s">
        <v>99</v>
      </c>
      <c r="AK11" s="951" t="s">
        <v>14</v>
      </c>
      <c r="AL11" s="1356">
        <v>25</v>
      </c>
      <c r="AM11" s="1357">
        <f t="shared" si="0"/>
        <v>1.223529411764706</v>
      </c>
      <c r="AN11" s="1358">
        <v>1</v>
      </c>
      <c r="AO11" s="1356">
        <f t="shared" si="1"/>
        <v>30.588235294117649</v>
      </c>
      <c r="AP11" s="1359">
        <f t="shared" si="2"/>
        <v>30.588235294117649</v>
      </c>
      <c r="AQ11" s="955">
        <f>VLOOKUP(AJ11,Marination_Ordering!$A:$J,6,FALSE)</f>
        <v>1</v>
      </c>
      <c r="AR11" s="955">
        <f>VLOOKUP(AJ11,Marination_Ordering!$A:$J,10,FALSE)</f>
        <v>31</v>
      </c>
      <c r="AS11" s="954">
        <f t="shared" si="3"/>
        <v>30.588235294117649</v>
      </c>
      <c r="AT11" s="955">
        <f t="shared" si="4"/>
        <v>0.94823529411764707</v>
      </c>
    </row>
    <row r="12" spans="1:46" x14ac:dyDescent="0.25">
      <c r="B12" s="1246"/>
      <c r="C12" s="214"/>
      <c r="D12" s="73"/>
      <c r="E12" s="92"/>
      <c r="F12" s="900"/>
      <c r="G12" s="92"/>
      <c r="H12" s="901"/>
      <c r="I12" s="73"/>
      <c r="J12" s="92"/>
      <c r="K12" s="87"/>
      <c r="L12" s="87"/>
      <c r="R12" s="890"/>
      <c r="AJ12" s="1355" t="s">
        <v>110</v>
      </c>
      <c r="AK12" s="951" t="s">
        <v>14</v>
      </c>
      <c r="AL12" s="1356">
        <v>50</v>
      </c>
      <c r="AM12" s="1357">
        <f t="shared" si="0"/>
        <v>1.223529411764706</v>
      </c>
      <c r="AN12" s="1358">
        <v>1</v>
      </c>
      <c r="AO12" s="1356">
        <f t="shared" si="1"/>
        <v>61.176470588235297</v>
      </c>
      <c r="AP12" s="1359">
        <f t="shared" si="2"/>
        <v>61.176470588235297</v>
      </c>
      <c r="AQ12" s="955">
        <f>VLOOKUP(AJ12,Marination_Ordering!$A:$J,6,FALSE)</f>
        <v>1</v>
      </c>
      <c r="AR12" s="955">
        <f>VLOOKUP(AJ12,Marination_Ordering!$A:$J,10,FALSE)</f>
        <v>64.243759177679877</v>
      </c>
      <c r="AS12" s="954">
        <f t="shared" si="3"/>
        <v>61.176470588235297</v>
      </c>
      <c r="AT12" s="955">
        <f t="shared" si="4"/>
        <v>3.9302064438110045</v>
      </c>
    </row>
    <row r="13" spans="1:46" x14ac:dyDescent="0.25">
      <c r="B13" s="1175"/>
      <c r="C13" s="214"/>
      <c r="D13" s="73"/>
      <c r="E13" s="92"/>
      <c r="F13" s="900"/>
      <c r="G13" s="92"/>
      <c r="H13" s="901"/>
      <c r="I13" s="73"/>
      <c r="J13" s="92"/>
      <c r="K13" s="87"/>
      <c r="L13" s="87"/>
      <c r="R13" s="890"/>
      <c r="AJ13" s="1355" t="s">
        <v>212</v>
      </c>
      <c r="AK13" s="951" t="s">
        <v>160</v>
      </c>
      <c r="AL13" s="1356">
        <v>200</v>
      </c>
      <c r="AM13" s="1357">
        <f t="shared" si="0"/>
        <v>1.223529411764706</v>
      </c>
      <c r="AN13" s="1358">
        <v>1</v>
      </c>
      <c r="AO13" s="1356">
        <f t="shared" si="1"/>
        <v>244.70588235294119</v>
      </c>
      <c r="AP13" s="1359">
        <f t="shared" si="2"/>
        <v>244.70588235294119</v>
      </c>
      <c r="AQ13" s="955">
        <f>VLOOKUP(AJ13,Marination_Ordering!$A:$J,6,FALSE)</f>
        <v>1</v>
      </c>
      <c r="AR13" s="955">
        <f>VLOOKUP(AJ13,Marination_Ordering!$A:$J,10,FALSE)</f>
        <v>5</v>
      </c>
      <c r="AS13" s="954">
        <f t="shared" si="3"/>
        <v>244.70588235294119</v>
      </c>
      <c r="AT13" s="955">
        <f t="shared" si="4"/>
        <v>1.223529411764706</v>
      </c>
    </row>
    <row r="25" spans="18:29" x14ac:dyDescent="0.25">
      <c r="R25" s="1792" t="s">
        <v>387</v>
      </c>
      <c r="S25" s="1858"/>
      <c r="T25" s="1858"/>
      <c r="U25" s="1858"/>
      <c r="V25" s="1202"/>
      <c r="Z25" s="982" t="s">
        <v>252</v>
      </c>
      <c r="AA25" s="989">
        <v>507</v>
      </c>
      <c r="AB25" s="982" t="s">
        <v>249</v>
      </c>
      <c r="AC25" s="1138">
        <f>AC30*AA25+(AB30*(AA28/R1))</f>
        <v>411.89442435770326</v>
      </c>
    </row>
    <row r="26" spans="18:29" x14ac:dyDescent="0.25">
      <c r="R26" s="1792" t="s">
        <v>296</v>
      </c>
      <c r="S26" s="1857"/>
      <c r="T26" s="1857"/>
      <c r="U26" s="1857"/>
      <c r="V26" s="1202"/>
      <c r="Z26"/>
      <c r="AA26"/>
    </row>
    <row r="27" spans="18:29" x14ac:dyDescent="0.25">
      <c r="R27" s="961" t="s">
        <v>254</v>
      </c>
      <c r="S27" s="962" t="s">
        <v>354</v>
      </c>
      <c r="T27" s="962" t="s">
        <v>256</v>
      </c>
      <c r="U27" s="962" t="s">
        <v>257</v>
      </c>
      <c r="V27" s="962" t="s">
        <v>746</v>
      </c>
      <c r="Z27" s="982" t="s">
        <v>258</v>
      </c>
      <c r="AA27" s="982" t="s">
        <v>259</v>
      </c>
      <c r="AB27" s="984" t="s">
        <v>311</v>
      </c>
      <c r="AC27" s="982" t="s">
        <v>262</v>
      </c>
    </row>
    <row r="28" spans="18:29" x14ac:dyDescent="0.25">
      <c r="R28" s="961" t="s">
        <v>263</v>
      </c>
      <c r="S28" s="1391">
        <f>$Z$1</f>
        <v>310</v>
      </c>
      <c r="T28" s="966"/>
      <c r="U28" s="975">
        <f>S28</f>
        <v>310</v>
      </c>
      <c r="V28" s="966">
        <f>SUM(AP5:AP13)</f>
        <v>740.23529411764707</v>
      </c>
      <c r="Z28" s="1086"/>
      <c r="AA28" s="1087">
        <f>AA25</f>
        <v>507</v>
      </c>
      <c r="AB28" s="987"/>
      <c r="AC28" s="1088">
        <f>SUM(AA28:AB28)</f>
        <v>507</v>
      </c>
    </row>
    <row r="29" spans="18:29" x14ac:dyDescent="0.25">
      <c r="R29" s="961" t="s">
        <v>264</v>
      </c>
      <c r="S29" s="959"/>
      <c r="T29" s="966"/>
      <c r="U29" s="975">
        <f>T29</f>
        <v>0</v>
      </c>
      <c r="V29" s="966"/>
      <c r="Z29" s="1086"/>
      <c r="AA29" s="1089">
        <v>1</v>
      </c>
      <c r="AB29" s="991"/>
      <c r="AC29" s="1089">
        <f>AC28/$AC$28</f>
        <v>1</v>
      </c>
    </row>
    <row r="30" spans="18:29" x14ac:dyDescent="0.25">
      <c r="R30" s="961" t="s">
        <v>265</v>
      </c>
      <c r="S30" s="1570">
        <f>$AB$1</f>
        <v>2</v>
      </c>
      <c r="T30" s="966"/>
      <c r="U30" s="975">
        <f>S30</f>
        <v>2</v>
      </c>
      <c r="V30" s="972"/>
      <c r="Z30" s="982" t="s">
        <v>266</v>
      </c>
      <c r="AA30" s="1090">
        <f>S35/(S32)</f>
        <v>0.77975376196990431</v>
      </c>
      <c r="AB30" s="994">
        <f>V35/(S32/R1)</f>
        <v>1.6657250867594665E-2</v>
      </c>
      <c r="AC30" s="1164">
        <f>SUMPRODUCT(AA29,AA30)</f>
        <v>0.77975376196990431</v>
      </c>
    </row>
    <row r="31" spans="18:29" x14ac:dyDescent="0.25">
      <c r="R31" s="961" t="s">
        <v>267</v>
      </c>
      <c r="S31" s="959" t="s">
        <v>309</v>
      </c>
      <c r="T31" s="966">
        <f>T28+T29</f>
        <v>0</v>
      </c>
      <c r="U31" s="966">
        <f>T31</f>
        <v>0</v>
      </c>
      <c r="V31" s="966"/>
    </row>
    <row r="32" spans="18:29" x14ac:dyDescent="0.25">
      <c r="R32" s="961" t="s">
        <v>257</v>
      </c>
      <c r="S32" s="966">
        <f>S28+S30</f>
        <v>312</v>
      </c>
      <c r="T32" s="966">
        <f>SUM(T28:T30)</f>
        <v>0</v>
      </c>
      <c r="U32" s="966">
        <f>U28+U30</f>
        <v>312</v>
      </c>
      <c r="V32" s="966">
        <f>SUM(V28:V30)</f>
        <v>740.23529411764707</v>
      </c>
    </row>
    <row r="33" spans="18:22" ht="30" x14ac:dyDescent="0.25">
      <c r="R33" s="976" t="s">
        <v>268</v>
      </c>
      <c r="S33" s="959"/>
      <c r="T33" s="959"/>
      <c r="U33" s="959"/>
      <c r="V33" s="959"/>
    </row>
    <row r="34" spans="18:22" x14ac:dyDescent="0.25">
      <c r="R34" s="961" t="s">
        <v>269</v>
      </c>
      <c r="S34" s="959"/>
      <c r="T34" s="966">
        <f>T33-(T28+T29)</f>
        <v>0</v>
      </c>
      <c r="U34" s="959"/>
      <c r="V34" s="959"/>
    </row>
    <row r="35" spans="18:22" x14ac:dyDescent="0.25">
      <c r="R35" s="977" t="s">
        <v>249</v>
      </c>
      <c r="S35" s="1133">
        <f>$L$5</f>
        <v>243.28317373461013</v>
      </c>
      <c r="T35" s="1133">
        <f>SUM(N6:N23)</f>
        <v>0</v>
      </c>
      <c r="U35" s="1133">
        <f>S35+T35+V35</f>
        <v>253.47349191243273</v>
      </c>
      <c r="V35" s="978">
        <f>SUM(AT6:AT13)</f>
        <v>10.190318177822618</v>
      </c>
    </row>
    <row r="62" spans="1:8" ht="18" customHeight="1" x14ac:dyDescent="0.25">
      <c r="A62" s="1752"/>
      <c r="B62" s="1784" t="s">
        <v>386</v>
      </c>
      <c r="C62" s="1784"/>
      <c r="D62" s="1784"/>
      <c r="E62" s="1784"/>
      <c r="F62" s="1784"/>
      <c r="G62" s="1784"/>
      <c r="H62" s="1784"/>
    </row>
    <row r="63" spans="1:8" ht="18" customHeight="1" x14ac:dyDescent="0.25">
      <c r="A63" s="1752"/>
      <c r="B63" s="1791"/>
      <c r="C63" s="1791"/>
      <c r="D63" s="1791"/>
      <c r="E63" s="1791"/>
      <c r="F63" s="1791"/>
      <c r="G63" s="1791"/>
      <c r="H63" s="1791"/>
    </row>
    <row r="64" spans="1:8" ht="42" customHeight="1" x14ac:dyDescent="0.2">
      <c r="A64" s="1350" t="s">
        <v>864</v>
      </c>
      <c r="B64" s="923" t="s">
        <v>241</v>
      </c>
      <c r="C64" s="934" t="s">
        <v>242</v>
      </c>
      <c r="D64" s="923" t="s">
        <v>231</v>
      </c>
      <c r="E64" s="936" t="s">
        <v>234</v>
      </c>
      <c r="F64" s="935" t="s">
        <v>243</v>
      </c>
      <c r="G64" s="923" t="s">
        <v>244</v>
      </c>
      <c r="H64" s="936" t="s">
        <v>321</v>
      </c>
    </row>
    <row r="65" spans="1:8" ht="14.25" customHeight="1" x14ac:dyDescent="0.2">
      <c r="A65" s="937" t="s">
        <v>873</v>
      </c>
      <c r="B65" s="1118" t="str">
        <f>B5</f>
        <v>Chicken - دجاج</v>
      </c>
      <c r="C65" s="1118" t="str">
        <f t="shared" ref="C65:F65" si="5">C5</f>
        <v>KG</v>
      </c>
      <c r="D65" s="940">
        <f t="shared" si="5"/>
        <v>39.215686274509807</v>
      </c>
      <c r="E65" s="914">
        <f t="shared" si="5"/>
        <v>312</v>
      </c>
      <c r="F65" s="1742">
        <f t="shared" si="5"/>
        <v>1</v>
      </c>
      <c r="G65" s="940">
        <f>D65*E65</f>
        <v>12235.294117647059</v>
      </c>
      <c r="H65" s="943">
        <f>G65*F65</f>
        <v>12235.294117647059</v>
      </c>
    </row>
    <row r="66" spans="1:8" ht="14.25" customHeight="1" x14ac:dyDescent="0.25">
      <c r="B66" s="1041" t="s">
        <v>287</v>
      </c>
      <c r="C66" s="228"/>
      <c r="D66" s="228"/>
      <c r="E66" s="260"/>
      <c r="F66" s="91"/>
      <c r="G66" s="92"/>
      <c r="H66" s="93"/>
    </row>
    <row r="67" spans="1:8" ht="24" customHeight="1" x14ac:dyDescent="0.3">
      <c r="B67" s="1047">
        <f>$S$32*$T$1</f>
        <v>6240</v>
      </c>
      <c r="C67" s="228"/>
      <c r="D67" s="228"/>
      <c r="E67" s="260"/>
      <c r="F67" s="91"/>
      <c r="G67" s="92"/>
      <c r="H67" s="93"/>
    </row>
  </sheetData>
  <mergeCells count="6">
    <mergeCell ref="B62:H63"/>
    <mergeCell ref="AK2:AN2"/>
    <mergeCell ref="AE2:AG3"/>
    <mergeCell ref="R26:U26"/>
    <mergeCell ref="R25:U25"/>
    <mergeCell ref="B2:H3"/>
  </mergeCells>
  <printOptions horizontalCentered="1"/>
  <pageMargins left="0.4" right="0.4" top="1" bottom="0.5" header="0.3" footer="0.511811023622047"/>
  <pageSetup paperSize="9" scale="17" orientation="landscape"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6319C-DD19-4DC2-B7D5-4690D4E9CFBE}">
  <sheetPr codeName="Sheet95">
    <tabColor theme="7" tint="-0.249977111117893"/>
    <pageSetUpPr fitToPage="1"/>
  </sheetPr>
  <dimension ref="A1:AF84"/>
  <sheetViews>
    <sheetView topLeftCell="A28" zoomScale="55" zoomScaleNormal="55" workbookViewId="0">
      <selection activeCell="D71" sqref="D71"/>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3.75" style="14" customWidth="1"/>
    <col min="15" max="15" width="18.625" style="14" customWidth="1"/>
    <col min="16" max="16" width="8.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5" width="8.625" style="14" customWidth="1"/>
    <col min="26" max="28" width="12.625" style="14" customWidth="1"/>
    <col min="29" max="29" width="18.625" style="14" customWidth="1"/>
    <col min="30" max="30" width="8.625" style="14" customWidth="1"/>
    <col min="31" max="31" width="12.625" style="14" customWidth="1"/>
    <col min="32" max="32" width="8.625" style="14" customWidth="1"/>
    <col min="33" max="35" width="2.875" style="14" customWidth="1"/>
    <col min="36" max="16384" width="12.5" style="14"/>
  </cols>
  <sheetData>
    <row r="1" spans="1:32" ht="25.5" x14ac:dyDescent="0.25">
      <c r="B1" s="913" t="s">
        <v>330</v>
      </c>
      <c r="C1" s="914">
        <v>1</v>
      </c>
      <c r="D1" s="915" t="s">
        <v>232</v>
      </c>
      <c r="E1" s="941">
        <f>U32</f>
        <v>218</v>
      </c>
      <c r="F1" s="913" t="s">
        <v>233</v>
      </c>
      <c r="G1" s="941">
        <f>E1/C1</f>
        <v>218</v>
      </c>
      <c r="H1" s="913" t="s">
        <v>234</v>
      </c>
      <c r="I1" s="1185"/>
      <c r="J1" s="209" t="s">
        <v>235</v>
      </c>
      <c r="K1" s="210">
        <v>1</v>
      </c>
      <c r="L1" s="80"/>
      <c r="M1" s="80"/>
      <c r="N1" s="80"/>
      <c r="O1" s="923" t="s">
        <v>236</v>
      </c>
      <c r="P1" s="914" t="s">
        <v>298</v>
      </c>
      <c r="Q1" s="924" t="s">
        <v>238</v>
      </c>
      <c r="R1" s="914">
        <v>0.89</v>
      </c>
      <c r="S1" s="924" t="s">
        <v>332</v>
      </c>
      <c r="T1" s="1186">
        <v>95</v>
      </c>
      <c r="U1" s="80"/>
      <c r="V1" s="80"/>
      <c r="W1" s="890"/>
      <c r="Y1" s="923" t="s">
        <v>444</v>
      </c>
      <c r="Z1" s="925">
        <v>213</v>
      </c>
      <c r="AA1" s="923" t="s">
        <v>544</v>
      </c>
      <c r="AB1" s="925">
        <v>5</v>
      </c>
      <c r="AC1" s="923" t="s">
        <v>537</v>
      </c>
      <c r="AD1" s="925">
        <v>213</v>
      </c>
      <c r="AE1" s="923" t="s">
        <v>529</v>
      </c>
      <c r="AF1" s="925">
        <f>Z1+AB1</f>
        <v>218</v>
      </c>
    </row>
    <row r="2" spans="1:32" x14ac:dyDescent="0.25">
      <c r="A2" s="863"/>
      <c r="B2" s="1784" t="s">
        <v>842</v>
      </c>
      <c r="C2" s="1784"/>
      <c r="D2" s="1784"/>
      <c r="E2" s="1784"/>
      <c r="F2" s="1784"/>
      <c r="G2" s="1784"/>
      <c r="H2" s="1784"/>
      <c r="I2" s="327"/>
      <c r="J2" s="327"/>
      <c r="K2" s="1183"/>
      <c r="L2" s="187"/>
      <c r="M2" s="80"/>
      <c r="N2" s="80"/>
      <c r="O2" s="80"/>
      <c r="P2" s="80"/>
      <c r="Q2" s="80"/>
      <c r="R2" s="80"/>
      <c r="S2" s="80"/>
      <c r="T2" s="80"/>
      <c r="U2" s="80"/>
      <c r="W2" s="890"/>
    </row>
    <row r="3" spans="1:32" x14ac:dyDescent="0.25">
      <c r="A3" s="863"/>
      <c r="B3" s="1791"/>
      <c r="C3" s="1791"/>
      <c r="D3" s="1791"/>
      <c r="E3" s="1791"/>
      <c r="F3" s="1791"/>
      <c r="G3" s="1791"/>
      <c r="H3" s="1791"/>
      <c r="I3" s="1187"/>
      <c r="J3" s="1187"/>
      <c r="K3" s="1188"/>
      <c r="L3" s="187"/>
      <c r="M3" s="80"/>
      <c r="N3" s="80"/>
      <c r="O3" s="80"/>
      <c r="P3" s="80"/>
      <c r="Q3" s="80"/>
      <c r="R3" s="80"/>
      <c r="S3" s="80"/>
      <c r="T3" s="80"/>
      <c r="U3" s="80"/>
      <c r="W3" s="890"/>
    </row>
    <row r="4" spans="1:32" ht="25.5" x14ac:dyDescent="0.2">
      <c r="A4" s="1350" t="s">
        <v>864</v>
      </c>
      <c r="B4" s="923" t="s">
        <v>241</v>
      </c>
      <c r="C4" s="934" t="s">
        <v>242</v>
      </c>
      <c r="D4" s="923" t="s">
        <v>895</v>
      </c>
      <c r="E4" s="935" t="s">
        <v>234</v>
      </c>
      <c r="F4" s="935" t="s">
        <v>243</v>
      </c>
      <c r="G4" s="923" t="s">
        <v>244</v>
      </c>
      <c r="H4" s="936" t="s">
        <v>334</v>
      </c>
      <c r="I4" s="923" t="s">
        <v>246</v>
      </c>
      <c r="J4" s="923" t="s">
        <v>247</v>
      </c>
      <c r="K4" s="923" t="s">
        <v>248</v>
      </c>
      <c r="L4" s="923" t="s">
        <v>249</v>
      </c>
      <c r="M4" s="235"/>
      <c r="N4" s="80"/>
      <c r="O4" s="80"/>
      <c r="P4" s="80"/>
      <c r="Q4" s="80"/>
      <c r="R4" s="80"/>
      <c r="S4" s="80"/>
      <c r="T4" s="890"/>
      <c r="W4" s="890"/>
    </row>
    <row r="5" spans="1:32" x14ac:dyDescent="0.2">
      <c r="A5" s="1572" t="s">
        <v>892</v>
      </c>
      <c r="B5" s="1130" t="s">
        <v>478</v>
      </c>
      <c r="C5" s="1247" t="s">
        <v>14</v>
      </c>
      <c r="D5" s="1248">
        <v>120</v>
      </c>
      <c r="E5" s="940">
        <f>$G$1</f>
        <v>218</v>
      </c>
      <c r="F5" s="948">
        <v>1</v>
      </c>
      <c r="G5" s="940">
        <f>D5*E5</f>
        <v>26160</v>
      </c>
      <c r="H5" s="943">
        <f>G5*F5</f>
        <v>26160</v>
      </c>
      <c r="I5" s="914">
        <f>VLOOKUP(B5,All_Ingredients!$A$1:$F$161,6,FALSE())</f>
        <v>0.97</v>
      </c>
      <c r="J5" s="940">
        <f>VLOOKUP(B5,All_Ingredients!$A$1:$J$161,10,FALSE())</f>
        <v>37.82</v>
      </c>
      <c r="K5" s="945">
        <f t="shared" ref="K5" si="0">(H5/I5)/1000</f>
        <v>26.969072164948454</v>
      </c>
      <c r="L5" s="945">
        <f t="shared" ref="L5" si="1">K5*J5</f>
        <v>1019.9703092783506</v>
      </c>
      <c r="M5" s="87"/>
      <c r="R5" s="890"/>
      <c r="T5" s="890"/>
      <c r="W5" s="890"/>
    </row>
    <row r="6" spans="1:32" ht="28.5" x14ac:dyDescent="0.2">
      <c r="A6" s="1573" t="s">
        <v>888</v>
      </c>
      <c r="B6" s="1130" t="s">
        <v>951</v>
      </c>
      <c r="C6" s="1247" t="s">
        <v>14</v>
      </c>
      <c r="D6" s="1248">
        <v>10</v>
      </c>
      <c r="E6" s="940">
        <f>$G$1</f>
        <v>218</v>
      </c>
      <c r="F6" s="948">
        <v>1</v>
      </c>
      <c r="G6" s="940">
        <f>D6*E6</f>
        <v>2180</v>
      </c>
      <c r="H6" s="943">
        <f>G6*F6</f>
        <v>2180</v>
      </c>
      <c r="I6" s="914">
        <f>VLOOKUP(B6,All_Ingredients!$A$1:$F$161,6,FALSE())</f>
        <v>0.5</v>
      </c>
      <c r="J6" s="940">
        <f>VLOOKUP(B6,All_Ingredients!$A$1:$J$161,10,FALSE())</f>
        <v>8.5</v>
      </c>
      <c r="K6" s="945">
        <f t="shared" ref="K6:K9" si="2">(H6/I6)/1000</f>
        <v>4.3600000000000003</v>
      </c>
      <c r="L6" s="945">
        <f t="shared" ref="L6:L9" si="3">K6*J6</f>
        <v>37.06</v>
      </c>
      <c r="M6" s="87"/>
      <c r="R6" s="890"/>
      <c r="T6" s="890"/>
      <c r="W6" s="890"/>
    </row>
    <row r="7" spans="1:32" ht="28.5" x14ac:dyDescent="0.2">
      <c r="A7" s="1573"/>
      <c r="B7" s="1130" t="s">
        <v>775</v>
      </c>
      <c r="C7" s="947" t="s">
        <v>230</v>
      </c>
      <c r="D7" s="1248">
        <v>1</v>
      </c>
      <c r="E7" s="940">
        <f>$Z$1+$AB$1</f>
        <v>218</v>
      </c>
      <c r="F7" s="948">
        <v>1</v>
      </c>
      <c r="G7" s="944">
        <f>D7*($Z$1+$AB$1)</f>
        <v>218</v>
      </c>
      <c r="H7" s="943">
        <f>G7*F7</f>
        <v>218</v>
      </c>
      <c r="I7" s="914">
        <f>VLOOKUP(B7,All_Ingredients!$A$1:$F$161,6,FALSE())</f>
        <v>1</v>
      </c>
      <c r="J7" s="940">
        <f>VLOOKUP(B7,All_Ingredients!$A$1:$J$161,10,FALSE())</f>
        <v>0.6</v>
      </c>
      <c r="K7" s="945">
        <f t="shared" si="2"/>
        <v>0.218</v>
      </c>
      <c r="L7" s="945">
        <f t="shared" si="3"/>
        <v>0.1308</v>
      </c>
      <c r="M7" s="87"/>
      <c r="R7" s="890"/>
      <c r="T7" s="890"/>
      <c r="W7" s="890"/>
    </row>
    <row r="8" spans="1:32" x14ac:dyDescent="0.2">
      <c r="A8" s="1573" t="s">
        <v>882</v>
      </c>
      <c r="B8" s="1130" t="s">
        <v>807</v>
      </c>
      <c r="C8" s="1247" t="s">
        <v>14</v>
      </c>
      <c r="D8" s="1248">
        <v>25</v>
      </c>
      <c r="E8" s="940">
        <f t="shared" ref="E8:E9" si="4">$G$1</f>
        <v>218</v>
      </c>
      <c r="F8" s="948">
        <v>1</v>
      </c>
      <c r="G8" s="944">
        <f t="shared" ref="G8:G9" si="5">D8*($Z$1+$AB$1)</f>
        <v>5450</v>
      </c>
      <c r="H8" s="943">
        <f t="shared" ref="H8:H9" si="6">G8*F8</f>
        <v>5450</v>
      </c>
      <c r="I8" s="914">
        <f>VLOOKUP(B8,All_Ingredients!$A$1:$F$161,6,FALSE())</f>
        <v>0.66</v>
      </c>
      <c r="J8" s="940">
        <f>VLOOKUP(B8,All_Ingredients!$A$1:$J$161,10,FALSE())</f>
        <v>3.5</v>
      </c>
      <c r="K8" s="945">
        <f t="shared" si="2"/>
        <v>8.2575757575757578</v>
      </c>
      <c r="L8" s="945">
        <f t="shared" si="3"/>
        <v>28.901515151515152</v>
      </c>
      <c r="M8" s="87"/>
      <c r="R8" s="890"/>
      <c r="T8" s="890"/>
      <c r="W8" s="890"/>
    </row>
    <row r="9" spans="1:32" x14ac:dyDescent="0.2">
      <c r="A9" s="1573"/>
      <c r="B9" s="1130" t="s">
        <v>798</v>
      </c>
      <c r="C9" s="947" t="s">
        <v>230</v>
      </c>
      <c r="D9" s="1248">
        <v>1</v>
      </c>
      <c r="E9" s="940">
        <f t="shared" si="4"/>
        <v>218</v>
      </c>
      <c r="F9" s="948">
        <v>1</v>
      </c>
      <c r="G9" s="944">
        <f t="shared" si="5"/>
        <v>218</v>
      </c>
      <c r="H9" s="943">
        <f t="shared" si="6"/>
        <v>218</v>
      </c>
      <c r="I9" s="914">
        <f>VLOOKUP(B9,All_Ingredients!$A$1:$F$161,6,FALSE())</f>
        <v>1</v>
      </c>
      <c r="J9" s="940">
        <f>VLOOKUP(B9,All_Ingredients!$A$1:$J$161,10,FALSE())</f>
        <v>0.58333333333333337</v>
      </c>
      <c r="K9" s="945">
        <f t="shared" si="2"/>
        <v>0.218</v>
      </c>
      <c r="L9" s="945">
        <f t="shared" si="3"/>
        <v>0.12716666666666668</v>
      </c>
      <c r="M9" s="87"/>
      <c r="R9" s="890"/>
      <c r="T9" s="890"/>
      <c r="W9" s="890"/>
    </row>
    <row r="10" spans="1:32" x14ac:dyDescent="0.25">
      <c r="B10" s="1175"/>
      <c r="C10" s="228"/>
      <c r="D10" s="92"/>
      <c r="E10" s="92"/>
      <c r="F10" s="900"/>
      <c r="G10" s="92"/>
      <c r="H10" s="901"/>
      <c r="I10" s="73"/>
      <c r="J10" s="92"/>
      <c r="K10" s="87"/>
      <c r="L10" s="87"/>
      <c r="M10" s="87"/>
      <c r="R10" s="890"/>
      <c r="T10" s="890"/>
      <c r="W10" s="890"/>
    </row>
    <row r="11" spans="1:32" ht="15.75" x14ac:dyDescent="0.25">
      <c r="B11" s="1191" t="s">
        <v>1015</v>
      </c>
      <c r="C11" s="1783" t="s">
        <v>842</v>
      </c>
      <c r="D11" s="1783"/>
      <c r="E11" s="1783"/>
      <c r="F11" s="1783"/>
      <c r="G11" s="930"/>
      <c r="H11" s="930"/>
      <c r="I11" s="930"/>
      <c r="J11" s="930"/>
      <c r="K11" s="930"/>
      <c r="L11" s="930"/>
      <c r="M11" s="87"/>
      <c r="R11" s="890"/>
      <c r="T11" s="890"/>
      <c r="W11" s="890"/>
    </row>
    <row r="12" spans="1:32" x14ac:dyDescent="0.25">
      <c r="B12" s="926" t="s">
        <v>250</v>
      </c>
      <c r="C12" s="926">
        <v>10000</v>
      </c>
      <c r="D12" s="927" t="s">
        <v>474</v>
      </c>
      <c r="E12" s="928">
        <f>$S$32*$T$1</f>
        <v>20710</v>
      </c>
      <c r="F12" s="926" t="s">
        <v>239</v>
      </c>
      <c r="G12" s="929">
        <f>(($S$32*$T$1)/$R$1)/C12</f>
        <v>2.3269662921348315</v>
      </c>
      <c r="H12" s="1207"/>
      <c r="I12" s="1207"/>
      <c r="J12" s="1207"/>
      <c r="K12" s="1207"/>
      <c r="L12" s="1207"/>
      <c r="M12" s="87"/>
      <c r="R12" s="890"/>
      <c r="T12" s="890"/>
      <c r="W12" s="890"/>
    </row>
    <row r="13" spans="1:32" ht="38.25" x14ac:dyDescent="0.25">
      <c r="B13" s="926" t="s">
        <v>241</v>
      </c>
      <c r="C13" s="926" t="s">
        <v>242</v>
      </c>
      <c r="D13" s="926" t="s">
        <v>250</v>
      </c>
      <c r="E13" s="926" t="s">
        <v>234</v>
      </c>
      <c r="F13" s="926" t="s">
        <v>243</v>
      </c>
      <c r="G13" s="926" t="s">
        <v>244</v>
      </c>
      <c r="H13" s="926" t="s">
        <v>245</v>
      </c>
      <c r="I13" s="926" t="s">
        <v>246</v>
      </c>
      <c r="J13" s="926" t="s">
        <v>247</v>
      </c>
      <c r="K13" s="926" t="s">
        <v>248</v>
      </c>
      <c r="L13" s="926" t="s">
        <v>249</v>
      </c>
      <c r="M13" s="87"/>
      <c r="R13" s="890"/>
      <c r="T13" s="890"/>
      <c r="W13" s="890"/>
    </row>
    <row r="14" spans="1:32" ht="28.5" x14ac:dyDescent="0.25">
      <c r="B14" s="1130" t="s">
        <v>477</v>
      </c>
      <c r="C14" s="951" t="s">
        <v>14</v>
      </c>
      <c r="D14" s="1248">
        <v>150</v>
      </c>
      <c r="E14" s="1250">
        <f>$G$12</f>
        <v>2.3269662921348315</v>
      </c>
      <c r="F14" s="948">
        <v>1</v>
      </c>
      <c r="G14" s="944">
        <f t="shared" ref="G14:G22" si="7">D14*E14</f>
        <v>349.04494382022472</v>
      </c>
      <c r="H14" s="943">
        <f t="shared" ref="H14:H22" si="8">G14*F14</f>
        <v>349.04494382022472</v>
      </c>
      <c r="I14" s="914">
        <f>VLOOKUP(B14,All_Ingredients!$A$1:$F$161,6,FALSE())</f>
        <v>1</v>
      </c>
      <c r="J14" s="940">
        <f>VLOOKUP(B14,All_Ingredients!$A$1:$J$161,10,FALSE())</f>
        <v>35.310734463276837</v>
      </c>
      <c r="K14" s="945">
        <f t="shared" ref="K14" si="9">(H14/I14)/1000</f>
        <v>0.34904494382022472</v>
      </c>
      <c r="L14" s="945">
        <f t="shared" ref="L14" si="10">K14*J14</f>
        <v>12.325033326985336</v>
      </c>
      <c r="M14" s="87"/>
      <c r="R14" s="890"/>
      <c r="T14" s="890"/>
      <c r="W14" s="890"/>
    </row>
    <row r="15" spans="1:32" x14ac:dyDescent="0.25">
      <c r="B15" s="1130" t="s">
        <v>146</v>
      </c>
      <c r="C15" s="951" t="s">
        <v>14</v>
      </c>
      <c r="D15" s="1248">
        <v>110</v>
      </c>
      <c r="E15" s="1250">
        <f t="shared" ref="E15:E22" si="11">$G$12</f>
        <v>2.3269662921348315</v>
      </c>
      <c r="F15" s="948">
        <v>1</v>
      </c>
      <c r="G15" s="944">
        <f t="shared" si="7"/>
        <v>255.96629213483146</v>
      </c>
      <c r="H15" s="943">
        <f t="shared" si="8"/>
        <v>255.96629213483146</v>
      </c>
      <c r="I15" s="914">
        <f>VLOOKUP(B15,All_Ingredients!$A$1:$F$161,6,FALSE())</f>
        <v>1</v>
      </c>
      <c r="J15" s="940">
        <f>VLOOKUP(B15,All_Ingredients!$A$1:$J$161,10,FALSE())</f>
        <v>12</v>
      </c>
      <c r="K15" s="945">
        <f t="shared" ref="K15:K22" si="12">(H15/I15)/1000</f>
        <v>0.25596629213483146</v>
      </c>
      <c r="L15" s="945">
        <f t="shared" ref="L15:L22" si="13">K15*J15</f>
        <v>3.0715955056179776</v>
      </c>
    </row>
    <row r="16" spans="1:32" x14ac:dyDescent="0.25">
      <c r="B16" s="1130" t="s">
        <v>149</v>
      </c>
      <c r="C16" s="951" t="s">
        <v>14</v>
      </c>
      <c r="D16" s="1248">
        <v>110</v>
      </c>
      <c r="E16" s="1250">
        <f t="shared" si="11"/>
        <v>2.3269662921348315</v>
      </c>
      <c r="F16" s="948">
        <v>1</v>
      </c>
      <c r="G16" s="944">
        <f t="shared" si="7"/>
        <v>255.96629213483146</v>
      </c>
      <c r="H16" s="943">
        <f t="shared" si="8"/>
        <v>255.96629213483146</v>
      </c>
      <c r="I16" s="914">
        <f>VLOOKUP(B16,All_Ingredients!$A$1:$F$161,6,FALSE())</f>
        <v>1</v>
      </c>
      <c r="J16" s="940">
        <f>VLOOKUP(B16,All_Ingredients!$A$1:$J$161,10,FALSE())</f>
        <v>10</v>
      </c>
      <c r="K16" s="945">
        <f t="shared" si="12"/>
        <v>0.25596629213483146</v>
      </c>
      <c r="L16" s="945">
        <f t="shared" si="13"/>
        <v>2.5596629213483144</v>
      </c>
    </row>
    <row r="17" spans="2:31" ht="28.5" x14ac:dyDescent="0.25">
      <c r="B17" s="1130" t="s">
        <v>811</v>
      </c>
      <c r="C17" s="951" t="s">
        <v>14</v>
      </c>
      <c r="D17" s="1248">
        <v>100</v>
      </c>
      <c r="E17" s="1250">
        <f t="shared" si="11"/>
        <v>2.3269662921348315</v>
      </c>
      <c r="F17" s="948">
        <v>1</v>
      </c>
      <c r="G17" s="944">
        <f t="shared" si="7"/>
        <v>232.69662921348316</v>
      </c>
      <c r="H17" s="943">
        <f t="shared" si="8"/>
        <v>232.69662921348316</v>
      </c>
      <c r="I17" s="914">
        <f>VLOOKUP(B17,All_Ingredients!$A$1:$F$161,6,FALSE())</f>
        <v>1</v>
      </c>
      <c r="J17" s="940">
        <f>VLOOKUP(B17,All_Ingredients!$A$1:$J$161,10,FALSE())</f>
        <v>96.916299559471369</v>
      </c>
      <c r="K17" s="945">
        <f t="shared" si="12"/>
        <v>0.23269662921348316</v>
      </c>
      <c r="L17" s="945">
        <f t="shared" si="13"/>
        <v>22.552096223333169</v>
      </c>
    </row>
    <row r="18" spans="2:31" x14ac:dyDescent="0.25">
      <c r="B18" s="1130" t="s">
        <v>829</v>
      </c>
      <c r="C18" s="951" t="s">
        <v>14</v>
      </c>
      <c r="D18" s="1248">
        <v>200</v>
      </c>
      <c r="E18" s="1250">
        <f t="shared" si="11"/>
        <v>2.3269662921348315</v>
      </c>
      <c r="F18" s="948">
        <v>1</v>
      </c>
      <c r="G18" s="944">
        <f t="shared" si="7"/>
        <v>465.39325842696633</v>
      </c>
      <c r="H18" s="943">
        <f t="shared" si="8"/>
        <v>465.39325842696633</v>
      </c>
      <c r="I18" s="914">
        <f>VLOOKUP(B18,All_Ingredients!$A$1:$F$161,6,FALSE())</f>
        <v>1</v>
      </c>
      <c r="J18" s="940">
        <f>VLOOKUP(B18,All_Ingredients!$A$1:$J$161,10,FALSE())</f>
        <v>0</v>
      </c>
      <c r="K18" s="945">
        <f t="shared" si="12"/>
        <v>0.46539325842696633</v>
      </c>
      <c r="L18" s="945">
        <f t="shared" si="13"/>
        <v>0</v>
      </c>
    </row>
    <row r="19" spans="2:31" ht="28.5" x14ac:dyDescent="0.25">
      <c r="B19" s="1130" t="s">
        <v>188</v>
      </c>
      <c r="C19" s="951" t="s">
        <v>14</v>
      </c>
      <c r="D19" s="1248">
        <v>600</v>
      </c>
      <c r="E19" s="1250">
        <f t="shared" si="11"/>
        <v>2.3269662921348315</v>
      </c>
      <c r="F19" s="948">
        <v>1</v>
      </c>
      <c r="G19" s="944">
        <f t="shared" si="7"/>
        <v>1396.1797752808989</v>
      </c>
      <c r="H19" s="943">
        <f t="shared" si="8"/>
        <v>1396.1797752808989</v>
      </c>
      <c r="I19" s="914">
        <f>VLOOKUP(B19,All_Ingredients!$A$1:$F$161,6,FALSE())</f>
        <v>1</v>
      </c>
      <c r="J19" s="940">
        <f>VLOOKUP(B19,All_Ingredients!$A$1:$J$161,10,FALSE())</f>
        <v>8.5</v>
      </c>
      <c r="K19" s="945">
        <f t="shared" si="12"/>
        <v>1.3961797752808989</v>
      </c>
      <c r="L19" s="945">
        <f t="shared" si="13"/>
        <v>11.867528089887641</v>
      </c>
    </row>
    <row r="20" spans="2:31" x14ac:dyDescent="0.25">
      <c r="B20" s="1130" t="s">
        <v>229</v>
      </c>
      <c r="C20" s="951" t="s">
        <v>230</v>
      </c>
      <c r="D20" s="1248">
        <v>12</v>
      </c>
      <c r="E20" s="1250">
        <f t="shared" si="11"/>
        <v>2.3269662921348315</v>
      </c>
      <c r="F20" s="948">
        <v>1</v>
      </c>
      <c r="G20" s="944">
        <f t="shared" si="7"/>
        <v>27.923595505617978</v>
      </c>
      <c r="H20" s="943">
        <f t="shared" si="8"/>
        <v>27.923595505617978</v>
      </c>
      <c r="I20" s="914">
        <f>VLOOKUP(B20,All_Ingredients!$A$1:$F$161,6,FALSE())</f>
        <v>1</v>
      </c>
      <c r="J20" s="940">
        <f>VLOOKUP(B20,All_Ingredients!$A$1:$J$161,10,FALSE())</f>
        <v>0.43333333333333335</v>
      </c>
      <c r="K20" s="945">
        <f t="shared" si="12"/>
        <v>2.7923595505617977E-2</v>
      </c>
      <c r="L20" s="945">
        <f t="shared" si="13"/>
        <v>1.2100224719101124E-2</v>
      </c>
    </row>
    <row r="21" spans="2:31" ht="28.5" x14ac:dyDescent="0.25">
      <c r="B21" s="1130" t="s">
        <v>99</v>
      </c>
      <c r="C21" s="951" t="s">
        <v>14</v>
      </c>
      <c r="D21" s="1248">
        <v>35</v>
      </c>
      <c r="E21" s="1250">
        <f t="shared" si="11"/>
        <v>2.3269662921348315</v>
      </c>
      <c r="F21" s="948">
        <v>1</v>
      </c>
      <c r="G21" s="944">
        <f t="shared" si="7"/>
        <v>81.443820224719104</v>
      </c>
      <c r="H21" s="943">
        <f t="shared" si="8"/>
        <v>81.443820224719104</v>
      </c>
      <c r="I21" s="914">
        <f>VLOOKUP(B21,All_Ingredients!$A$1:$F$161,6,FALSE())</f>
        <v>1</v>
      </c>
      <c r="J21" s="940">
        <f>VLOOKUP(B21,All_Ingredients!$A$1:$J$161,10,FALSE())</f>
        <v>31</v>
      </c>
      <c r="K21" s="945">
        <f t="shared" si="12"/>
        <v>8.1443820224719105E-2</v>
      </c>
      <c r="L21" s="945">
        <f t="shared" si="13"/>
        <v>2.5247584269662924</v>
      </c>
    </row>
    <row r="22" spans="2:31" x14ac:dyDescent="0.25">
      <c r="B22" s="1130" t="s">
        <v>93</v>
      </c>
      <c r="C22" s="951" t="s">
        <v>14</v>
      </c>
      <c r="D22" s="1248">
        <v>30</v>
      </c>
      <c r="E22" s="1250">
        <f t="shared" si="11"/>
        <v>2.3269662921348315</v>
      </c>
      <c r="F22" s="948">
        <v>1</v>
      </c>
      <c r="G22" s="944">
        <f t="shared" si="7"/>
        <v>69.80898876404494</v>
      </c>
      <c r="H22" s="943">
        <f t="shared" si="8"/>
        <v>69.80898876404494</v>
      </c>
      <c r="I22" s="914">
        <f>VLOOKUP(B22,All_Ingredients!$A$1:$F$161,6,FALSE())</f>
        <v>1</v>
      </c>
      <c r="J22" s="940">
        <f>VLOOKUP(B22,All_Ingredients!$A$1:$J$161,10,FALSE())</f>
        <v>0.74</v>
      </c>
      <c r="K22" s="945">
        <f t="shared" si="12"/>
        <v>6.9808988764044941E-2</v>
      </c>
      <c r="L22" s="945">
        <f t="shared" si="13"/>
        <v>5.1658651685393256E-2</v>
      </c>
    </row>
    <row r="25" spans="2:31" x14ac:dyDescent="0.25">
      <c r="R25" s="1792" t="s">
        <v>842</v>
      </c>
      <c r="S25" s="1787"/>
      <c r="T25" s="1788"/>
      <c r="U25" s="1787"/>
      <c r="V25" s="956"/>
      <c r="W25" s="1043"/>
      <c r="X25" s="952"/>
      <c r="Z25" s="982" t="s">
        <v>252</v>
      </c>
      <c r="AA25" s="989">
        <v>1</v>
      </c>
      <c r="AB25" s="982" t="s">
        <v>249</v>
      </c>
      <c r="AC25" s="985">
        <f>AE30*AA25</f>
        <v>5.1014933149031823</v>
      </c>
    </row>
    <row r="26" spans="2:31" x14ac:dyDescent="0.25">
      <c r="R26" s="1792" t="s">
        <v>291</v>
      </c>
      <c r="S26" s="1797"/>
      <c r="T26" s="1798"/>
      <c r="U26" s="1797"/>
      <c r="V26" s="956"/>
      <c r="W26" s="1043"/>
      <c r="X26" s="952"/>
    </row>
    <row r="27" spans="2:31" x14ac:dyDescent="0.25">
      <c r="R27" s="961" t="s">
        <v>254</v>
      </c>
      <c r="S27" s="962" t="s">
        <v>297</v>
      </c>
      <c r="T27" s="961" t="s">
        <v>256</v>
      </c>
      <c r="U27" s="962" t="s">
        <v>262</v>
      </c>
      <c r="V27" s="962" t="s">
        <v>746</v>
      </c>
      <c r="W27" s="961" t="s">
        <v>767</v>
      </c>
      <c r="X27" s="962" t="s">
        <v>766</v>
      </c>
      <c r="Z27" s="982" t="s">
        <v>258</v>
      </c>
      <c r="AA27" s="982" t="s">
        <v>746</v>
      </c>
      <c r="AB27" s="982" t="s">
        <v>259</v>
      </c>
      <c r="AC27" s="982" t="s">
        <v>757</v>
      </c>
      <c r="AD27" s="982" t="s">
        <v>754</v>
      </c>
      <c r="AE27" s="982" t="s">
        <v>262</v>
      </c>
    </row>
    <row r="28" spans="2:31" x14ac:dyDescent="0.25">
      <c r="R28" s="961" t="s">
        <v>263</v>
      </c>
      <c r="S28" s="965">
        <f>$Z$1</f>
        <v>213</v>
      </c>
      <c r="T28" s="964"/>
      <c r="U28" s="963">
        <f>S28</f>
        <v>213</v>
      </c>
      <c r="V28" s="966">
        <f>SUM(H14:H22)</f>
        <v>3134.4235955056183</v>
      </c>
      <c r="W28" s="967">
        <f>SUM(L6)</f>
        <v>37.06</v>
      </c>
      <c r="X28" s="966" t="str">
        <f>K13</f>
        <v>Ordering quantity (KG or L)</v>
      </c>
      <c r="Z28" s="1086"/>
      <c r="AA28" s="1205"/>
      <c r="AB28" s="985">
        <f>AA25*$S$40</f>
        <v>1</v>
      </c>
      <c r="AC28" s="1205"/>
      <c r="AD28" s="1205"/>
      <c r="AE28" s="1088">
        <f>SUM(AB28:AB28)</f>
        <v>1</v>
      </c>
    </row>
    <row r="29" spans="2:31" x14ac:dyDescent="0.25">
      <c r="K29" s="14" t="s">
        <v>541</v>
      </c>
      <c r="R29" s="961" t="s">
        <v>264</v>
      </c>
      <c r="S29" s="968"/>
      <c r="T29" s="967"/>
      <c r="U29" s="963">
        <f>T29</f>
        <v>0</v>
      </c>
      <c r="V29" s="966"/>
      <c r="W29" s="967"/>
      <c r="X29" s="966"/>
      <c r="Z29" s="1086"/>
      <c r="AA29" s="1205"/>
      <c r="AB29" s="1089">
        <f>AB28/$AE$28</f>
        <v>1</v>
      </c>
      <c r="AC29" s="1205"/>
      <c r="AD29" s="1205"/>
      <c r="AE29" s="1089">
        <f>AE28/$AE$28</f>
        <v>1</v>
      </c>
    </row>
    <row r="30" spans="2:31" x14ac:dyDescent="0.25">
      <c r="R30" s="961" t="s">
        <v>265</v>
      </c>
      <c r="S30" s="1204">
        <f>$AB$1</f>
        <v>5</v>
      </c>
      <c r="T30" s="964"/>
      <c r="U30" s="963"/>
      <c r="V30" s="972"/>
      <c r="W30" s="973"/>
      <c r="X30" s="972"/>
      <c r="Z30" s="982" t="s">
        <v>266</v>
      </c>
      <c r="AA30" s="955">
        <f>V35/$AF$1</f>
        <v>0.25213042830524418</v>
      </c>
      <c r="AB30" s="1090">
        <f>S35/(AF1)</f>
        <v>4.678762886597938</v>
      </c>
      <c r="AC30" s="955">
        <f>W35/AF1</f>
        <v>0.17</v>
      </c>
      <c r="AD30" s="955">
        <f>X35/$AF$1</f>
        <v>5.9999999999999995E-4</v>
      </c>
      <c r="AE30" s="1121">
        <f>AB30+AD30+AC30+AA30</f>
        <v>5.1014933149031823</v>
      </c>
    </row>
    <row r="31" spans="2:31" x14ac:dyDescent="0.25">
      <c r="R31" s="961" t="s">
        <v>267</v>
      </c>
      <c r="S31" s="959" t="s">
        <v>309</v>
      </c>
      <c r="T31" s="967"/>
      <c r="U31" s="966"/>
      <c r="V31" s="966"/>
      <c r="W31" s="967"/>
      <c r="X31" s="966"/>
    </row>
    <row r="32" spans="2:31" x14ac:dyDescent="0.25">
      <c r="R32" s="961" t="s">
        <v>257</v>
      </c>
      <c r="S32" s="1251">
        <f>S28+S30</f>
        <v>218</v>
      </c>
      <c r="T32" s="967">
        <f>SUM(T28:T30)</f>
        <v>0</v>
      </c>
      <c r="U32" s="966">
        <f>T32+S32</f>
        <v>218</v>
      </c>
      <c r="V32" s="966"/>
      <c r="W32" s="967"/>
      <c r="X32" s="966"/>
    </row>
    <row r="33" spans="2:24" x14ac:dyDescent="0.25">
      <c r="B33" s="890"/>
      <c r="D33" s="890"/>
      <c r="E33" s="890"/>
      <c r="F33" s="890"/>
      <c r="H33" s="890"/>
      <c r="K33" s="890"/>
      <c r="R33" s="976" t="s">
        <v>254</v>
      </c>
      <c r="S33" s="959"/>
      <c r="T33" s="960">
        <f>F40+F59</f>
        <v>0</v>
      </c>
      <c r="U33" s="959"/>
      <c r="V33" s="959"/>
      <c r="W33" s="960"/>
      <c r="X33" s="959"/>
    </row>
    <row r="34" spans="2:24" x14ac:dyDescent="0.25">
      <c r="B34" s="890"/>
      <c r="D34" s="890"/>
      <c r="E34" s="890"/>
      <c r="F34" s="890"/>
      <c r="H34" s="890"/>
      <c r="K34" s="890"/>
      <c r="R34" s="961" t="s">
        <v>269</v>
      </c>
      <c r="S34" s="959"/>
      <c r="T34" s="967">
        <f>T33-(T28+T29)</f>
        <v>0</v>
      </c>
      <c r="U34" s="959"/>
      <c r="V34" s="959"/>
      <c r="W34" s="960"/>
      <c r="X34" s="959"/>
    </row>
    <row r="35" spans="2:24" x14ac:dyDescent="0.25">
      <c r="B35" s="890"/>
      <c r="D35" s="890"/>
      <c r="E35" s="890"/>
      <c r="F35" s="890"/>
      <c r="H35" s="890"/>
      <c r="K35" s="890"/>
      <c r="R35" s="977" t="s">
        <v>249</v>
      </c>
      <c r="S35" s="978">
        <f>L5</f>
        <v>1019.9703092783506</v>
      </c>
      <c r="T35" s="979">
        <f>SUM(O6:O19)</f>
        <v>0</v>
      </c>
      <c r="U35" s="1136">
        <f>S35+T35+V35+W35+X35</f>
        <v>1112.1255426488935</v>
      </c>
      <c r="V35" s="978">
        <f>SUM(L14:L22)</f>
        <v>54.964433370543226</v>
      </c>
      <c r="W35" s="979">
        <f>L6</f>
        <v>37.06</v>
      </c>
      <c r="X35" s="978">
        <f>L7</f>
        <v>0.1308</v>
      </c>
    </row>
    <row r="36" spans="2:24" x14ac:dyDescent="0.25">
      <c r="B36" s="890"/>
      <c r="D36" s="890"/>
      <c r="E36" s="890"/>
      <c r="F36" s="890"/>
      <c r="H36" s="890"/>
      <c r="K36" s="890"/>
      <c r="R36" s="890"/>
      <c r="T36" s="890"/>
      <c r="W36" s="890"/>
    </row>
    <row r="37" spans="2:24" x14ac:dyDescent="0.25">
      <c r="B37" s="890"/>
      <c r="D37" s="890"/>
      <c r="E37" s="890"/>
      <c r="F37" s="890"/>
      <c r="H37" s="890"/>
      <c r="K37" s="890"/>
      <c r="R37" s="890"/>
      <c r="T37" s="890"/>
      <c r="W37" s="890"/>
    </row>
    <row r="38" spans="2:24" x14ac:dyDescent="0.25">
      <c r="B38" s="890"/>
      <c r="D38" s="890"/>
      <c r="E38" s="890"/>
      <c r="F38" s="890"/>
      <c r="H38" s="890"/>
      <c r="K38" s="890"/>
      <c r="R38" s="890"/>
      <c r="T38" s="890"/>
      <c r="W38" s="890"/>
    </row>
    <row r="39" spans="2:24" x14ac:dyDescent="0.25">
      <c r="B39" s="80"/>
      <c r="D39" s="890"/>
      <c r="E39" s="80"/>
      <c r="F39" s="80"/>
      <c r="H39" s="890"/>
      <c r="K39" s="890"/>
      <c r="R39" s="890"/>
      <c r="T39" s="890"/>
      <c r="W39" s="890"/>
    </row>
    <row r="40" spans="2:24" ht="26.25" x14ac:dyDescent="0.25">
      <c r="B40" s="80"/>
      <c r="C40" s="80"/>
      <c r="D40" s="225"/>
      <c r="E40" s="80"/>
      <c r="F40" s="80"/>
      <c r="G40" s="80"/>
      <c r="H40" s="80"/>
      <c r="I40" s="80"/>
      <c r="J40" s="80"/>
      <c r="K40" s="890"/>
      <c r="R40" s="1011" t="s">
        <v>270</v>
      </c>
      <c r="S40" s="1012">
        <v>1</v>
      </c>
      <c r="T40" s="1011" t="s">
        <v>271</v>
      </c>
      <c r="U40" s="1013">
        <v>0</v>
      </c>
      <c r="V40" s="1014">
        <f>S40+U40</f>
        <v>1</v>
      </c>
      <c r="W40" s="890"/>
    </row>
    <row r="41" spans="2:24" x14ac:dyDescent="0.25">
      <c r="B41" s="80"/>
      <c r="C41" s="80"/>
      <c r="D41" s="80"/>
      <c r="E41" s="80"/>
      <c r="F41" s="80"/>
      <c r="G41" s="80"/>
      <c r="H41" s="80"/>
      <c r="I41" s="80"/>
      <c r="J41" s="80"/>
      <c r="K41" s="890"/>
      <c r="R41" s="890"/>
      <c r="T41" s="890"/>
      <c r="U41" s="123"/>
      <c r="W41" s="890"/>
    </row>
    <row r="42" spans="2:24" ht="18" x14ac:dyDescent="0.25">
      <c r="B42" s="1815"/>
      <c r="C42" s="1799"/>
      <c r="D42" s="1816"/>
      <c r="E42" s="1816"/>
      <c r="F42" s="1816"/>
      <c r="G42" s="1799"/>
      <c r="H42" s="1816"/>
      <c r="I42" s="1799"/>
      <c r="J42" s="1799"/>
      <c r="K42" s="890"/>
      <c r="R42" s="890"/>
      <c r="T42" s="890"/>
      <c r="W42" s="890"/>
    </row>
    <row r="43" spans="2:24" ht="26.25" x14ac:dyDescent="0.25">
      <c r="B43" s="1803"/>
      <c r="C43" s="1799"/>
      <c r="D43" s="1816"/>
      <c r="E43" s="1816"/>
      <c r="F43" s="1816"/>
      <c r="G43" s="1799"/>
      <c r="H43" s="1816"/>
      <c r="I43" s="1799"/>
      <c r="J43" s="1799"/>
      <c r="K43" s="890"/>
      <c r="Q43" s="1015" t="s">
        <v>272</v>
      </c>
      <c r="R43" s="1011" t="s">
        <v>273</v>
      </c>
      <c r="S43" s="1015" t="s">
        <v>274</v>
      </c>
      <c r="T43" s="1011" t="s">
        <v>275</v>
      </c>
      <c r="U43" s="1015" t="s">
        <v>276</v>
      </c>
      <c r="V43" s="1015" t="s">
        <v>277</v>
      </c>
      <c r="W43" s="1011" t="s">
        <v>278</v>
      </c>
    </row>
    <row r="44" spans="2:24" x14ac:dyDescent="0.25">
      <c r="B44" s="226"/>
      <c r="C44" s="227"/>
      <c r="D44" s="226"/>
      <c r="E44" s="226"/>
      <c r="F44" s="226"/>
      <c r="G44" s="226"/>
      <c r="H44" s="226"/>
      <c r="I44" s="226"/>
      <c r="J44" s="226"/>
      <c r="K44" s="890"/>
      <c r="Q44" s="1023">
        <v>18841</v>
      </c>
      <c r="R44" s="1017">
        <f>E51</f>
        <v>0</v>
      </c>
      <c r="S44" s="1024">
        <v>0</v>
      </c>
      <c r="T44" s="1025">
        <v>0</v>
      </c>
      <c r="U44" s="1096">
        <f>R44*S44</f>
        <v>0</v>
      </c>
      <c r="V44" s="1021">
        <f>R44*T44</f>
        <v>0</v>
      </c>
      <c r="W44" s="1026">
        <f>Q44-U44</f>
        <v>18841</v>
      </c>
    </row>
    <row r="50" spans="1:10" x14ac:dyDescent="0.25">
      <c r="B50" s="961"/>
      <c r="C50" s="962" t="s">
        <v>233</v>
      </c>
      <c r="D50" s="961" t="s">
        <v>279</v>
      </c>
      <c r="E50" s="80"/>
      <c r="F50" s="80"/>
      <c r="G50" s="962" t="s">
        <v>280</v>
      </c>
      <c r="H50" s="961" t="s">
        <v>233</v>
      </c>
      <c r="I50" s="962" t="s">
        <v>281</v>
      </c>
      <c r="J50" s="962" t="s">
        <v>282</v>
      </c>
    </row>
    <row r="51" spans="1:10" x14ac:dyDescent="0.25">
      <c r="B51" s="1027" t="s">
        <v>283</v>
      </c>
      <c r="C51" s="1028">
        <f>10/$K$1</f>
        <v>10</v>
      </c>
      <c r="D51" s="1029">
        <f>$C$1*10</f>
        <v>10</v>
      </c>
      <c r="E51" s="135"/>
      <c r="F51" s="80"/>
      <c r="G51" s="1033" t="s">
        <v>283</v>
      </c>
      <c r="H51" s="1122">
        <f>I51/$D$5</f>
        <v>176.41385767790263</v>
      </c>
      <c r="I51" s="1028">
        <f>J51/$R$1</f>
        <v>21169.662921348314</v>
      </c>
      <c r="J51" s="1028">
        <f>$W$44</f>
        <v>18841</v>
      </c>
    </row>
    <row r="52" spans="1:10" x14ac:dyDescent="0.25">
      <c r="B52" s="958" t="s">
        <v>262</v>
      </c>
      <c r="C52" s="1099">
        <f>$I$1</f>
        <v>0</v>
      </c>
      <c r="D52" s="1100">
        <f>$E$1</f>
        <v>218</v>
      </c>
      <c r="E52" s="80"/>
      <c r="F52" s="80"/>
      <c r="G52" s="962" t="s">
        <v>262</v>
      </c>
      <c r="H52" s="1189">
        <f>I52/$D$5</f>
        <v>193.91385767790263</v>
      </c>
      <c r="I52" s="1021">
        <f>J52/$R$1</f>
        <v>23269.662921348314</v>
      </c>
      <c r="J52" s="1030">
        <f>$U$32*$T$1</f>
        <v>20710</v>
      </c>
    </row>
    <row r="53" spans="1:10" x14ac:dyDescent="0.25">
      <c r="B53" s="958" t="s">
        <v>284</v>
      </c>
      <c r="C53" s="1101">
        <f>MIN(C52, C51)</f>
        <v>0</v>
      </c>
      <c r="D53" s="1100">
        <f>(C53*$K$1)*$C$1</f>
        <v>0</v>
      </c>
      <c r="E53" s="80"/>
      <c r="F53" s="80"/>
      <c r="G53" s="962" t="s">
        <v>284</v>
      </c>
      <c r="H53" s="1035">
        <f>MIN(H52,H51)</f>
        <v>176.41385767790263</v>
      </c>
      <c r="I53" s="1021">
        <f>J53/$R$1</f>
        <v>21169.662921348314</v>
      </c>
      <c r="J53" s="1021">
        <f>MIN(J52,J51)</f>
        <v>18841</v>
      </c>
    </row>
    <row r="54" spans="1:10" x14ac:dyDescent="0.25">
      <c r="B54" s="958" t="s">
        <v>285</v>
      </c>
      <c r="C54" s="1101">
        <f>MIN(MAX(C52-C53,0),C51)</f>
        <v>0</v>
      </c>
      <c r="D54" s="1100">
        <f>(C54*$K$1)*$C$1</f>
        <v>0</v>
      </c>
      <c r="E54" s="80"/>
      <c r="F54" s="80"/>
      <c r="G54" s="962" t="s">
        <v>285</v>
      </c>
      <c r="H54" s="1035">
        <f>MIN(MAX(H52-H53),H51)</f>
        <v>17.5</v>
      </c>
      <c r="I54" s="1021">
        <f>J54/$R$1</f>
        <v>2100</v>
      </c>
      <c r="J54" s="1021">
        <f>MIN(MAX(J52-J53),J51)</f>
        <v>1869</v>
      </c>
    </row>
    <row r="55" spans="1:10" x14ac:dyDescent="0.25">
      <c r="B55" s="958" t="s">
        <v>286</v>
      </c>
      <c r="C55" s="1101">
        <f>MIN(MAX(C52-C53-C54,0),C51)</f>
        <v>0</v>
      </c>
      <c r="D55" s="1100">
        <f>(C55*$K$1)*$C$1</f>
        <v>0</v>
      </c>
      <c r="E55" s="80"/>
      <c r="F55" s="80"/>
      <c r="G55" s="962" t="s">
        <v>286</v>
      </c>
      <c r="H55" s="1035">
        <f>MIN(MAX(H52-H53-H54),H51)</f>
        <v>0</v>
      </c>
      <c r="I55" s="1021">
        <f>J55/$R$1</f>
        <v>0</v>
      </c>
      <c r="J55" s="1021">
        <f>MIN(MAX(J52-J53-J54),J51)</f>
        <v>0</v>
      </c>
    </row>
    <row r="56" spans="1:10" x14ac:dyDescent="0.25">
      <c r="B56" s="890"/>
      <c r="D56" s="890"/>
      <c r="E56" s="890"/>
      <c r="F56" s="890"/>
      <c r="H56" s="890"/>
    </row>
    <row r="57" spans="1:10" x14ac:dyDescent="0.25">
      <c r="B57" s="890"/>
      <c r="D57" s="890"/>
      <c r="E57" s="890"/>
      <c r="F57" s="890"/>
      <c r="H57" s="890"/>
    </row>
    <row r="58" spans="1:10" ht="18" x14ac:dyDescent="0.25">
      <c r="B58" s="1803"/>
      <c r="C58" s="1799"/>
      <c r="D58" s="1816"/>
      <c r="E58" s="1816"/>
      <c r="F58" s="1816"/>
      <c r="G58" s="1799"/>
      <c r="H58" s="1816"/>
      <c r="I58" s="1799"/>
      <c r="J58" s="1799"/>
    </row>
    <row r="59" spans="1:10" x14ac:dyDescent="0.25">
      <c r="B59" s="226"/>
      <c r="C59" s="227"/>
      <c r="D59" s="226"/>
      <c r="E59" s="226"/>
      <c r="F59" s="226"/>
      <c r="G59" s="226"/>
      <c r="H59" s="226"/>
      <c r="I59" s="226"/>
      <c r="J59" s="226"/>
    </row>
    <row r="60" spans="1:10" x14ac:dyDescent="0.25">
      <c r="B60" s="1175"/>
      <c r="C60" s="228"/>
      <c r="D60" s="1175"/>
      <c r="E60" s="92"/>
      <c r="F60" s="900"/>
      <c r="G60" s="92"/>
      <c r="H60" s="901"/>
      <c r="I60" s="73"/>
      <c r="J60" s="94"/>
    </row>
    <row r="61" spans="1:10" x14ac:dyDescent="0.25">
      <c r="B61" s="1175"/>
      <c r="C61" s="228"/>
      <c r="D61" s="1175"/>
      <c r="E61" s="92"/>
      <c r="F61" s="900"/>
      <c r="G61" s="92"/>
      <c r="H61" s="901"/>
      <c r="I61" s="73"/>
      <c r="J61" s="94"/>
    </row>
    <row r="62" spans="1:10" ht="18" x14ac:dyDescent="0.25">
      <c r="A62" s="867"/>
      <c r="B62" s="1804"/>
      <c r="C62" s="1817"/>
      <c r="D62" s="1818"/>
      <c r="E62" s="1818"/>
      <c r="F62" s="1818"/>
      <c r="G62" s="1817"/>
      <c r="H62" s="1818"/>
    </row>
    <row r="63" spans="1:10" x14ac:dyDescent="0.25">
      <c r="A63" s="867"/>
      <c r="B63" s="1776" t="s">
        <v>842</v>
      </c>
      <c r="C63" s="1777"/>
      <c r="D63" s="1778"/>
      <c r="E63" s="1778"/>
      <c r="F63" s="1778"/>
      <c r="G63" s="1777"/>
      <c r="H63" s="1778"/>
    </row>
    <row r="64" spans="1:10" ht="38.25" x14ac:dyDescent="0.2">
      <c r="A64" s="1350" t="s">
        <v>864</v>
      </c>
      <c r="B64" s="1104" t="s">
        <v>241</v>
      </c>
      <c r="C64" s="934" t="s">
        <v>242</v>
      </c>
      <c r="D64" s="923" t="s">
        <v>895</v>
      </c>
      <c r="E64" s="936" t="s">
        <v>234</v>
      </c>
      <c r="F64" s="936" t="s">
        <v>243</v>
      </c>
      <c r="G64" s="1104" t="s">
        <v>244</v>
      </c>
      <c r="H64" s="936" t="s">
        <v>245</v>
      </c>
    </row>
    <row r="65" spans="1:8" x14ac:dyDescent="0.2">
      <c r="A65" s="1572" t="s">
        <v>892</v>
      </c>
      <c r="B65" s="1130" t="str">
        <f t="shared" ref="B65:D69" si="14">B5</f>
        <v>Top Side - توب سايد مفروم</v>
      </c>
      <c r="C65" s="1252" t="str">
        <f t="shared" si="14"/>
        <v>gm</v>
      </c>
      <c r="D65" s="1426">
        <f t="shared" si="14"/>
        <v>120</v>
      </c>
      <c r="E65" s="940">
        <f>$D$52</f>
        <v>218</v>
      </c>
      <c r="F65" s="948">
        <f>F5</f>
        <v>1</v>
      </c>
      <c r="G65" s="944">
        <f>D65*E65</f>
        <v>26160</v>
      </c>
      <c r="H65" s="943">
        <f>G65*F65</f>
        <v>26160</v>
      </c>
    </row>
    <row r="66" spans="1:8" ht="28.5" x14ac:dyDescent="0.2">
      <c r="A66" s="1573" t="s">
        <v>888</v>
      </c>
      <c r="B66" s="1130" t="str">
        <f t="shared" si="14"/>
        <v>Iceberg Lettuce - خس مدور أمريكى</v>
      </c>
      <c r="C66" s="1252" t="str">
        <f t="shared" si="14"/>
        <v>gm</v>
      </c>
      <c r="D66" s="1426">
        <f t="shared" si="14"/>
        <v>10</v>
      </c>
      <c r="E66" s="940">
        <f t="shared" ref="E66:E69" si="15">$D$52</f>
        <v>218</v>
      </c>
      <c r="F66" s="948">
        <f t="shared" ref="F66:F69" si="16">F6</f>
        <v>1</v>
      </c>
      <c r="G66" s="944">
        <f t="shared" ref="G66:G69" si="17">D66*E66</f>
        <v>2180</v>
      </c>
      <c r="H66" s="943">
        <f t="shared" ref="H66:H69" si="18">G66*F66</f>
        <v>2180</v>
      </c>
    </row>
    <row r="67" spans="1:8" ht="28.5" x14ac:dyDescent="0.2">
      <c r="A67" s="1573"/>
      <c r="B67" s="1130" t="str">
        <f t="shared" si="14"/>
        <v>Whole Wheat Burger Buns 70gm - خبز برجر بني</v>
      </c>
      <c r="C67" s="1252" t="str">
        <f t="shared" si="14"/>
        <v>Piece</v>
      </c>
      <c r="D67" s="1426">
        <f t="shared" si="14"/>
        <v>1</v>
      </c>
      <c r="E67" s="940">
        <f t="shared" si="15"/>
        <v>218</v>
      </c>
      <c r="F67" s="948">
        <f t="shared" si="16"/>
        <v>1</v>
      </c>
      <c r="G67" s="944">
        <f t="shared" si="17"/>
        <v>218</v>
      </c>
      <c r="H67" s="943">
        <f t="shared" si="18"/>
        <v>218</v>
      </c>
    </row>
    <row r="68" spans="1:8" x14ac:dyDescent="0.2">
      <c r="A68" s="1573" t="s">
        <v>882</v>
      </c>
      <c r="B68" s="1130" t="str">
        <f t="shared" si="14"/>
        <v>Sliced tomato - طماطم شرائح</v>
      </c>
      <c r="C68" s="1252" t="str">
        <f t="shared" si="14"/>
        <v>gm</v>
      </c>
      <c r="D68" s="1426">
        <f t="shared" si="14"/>
        <v>25</v>
      </c>
      <c r="E68" s="940">
        <f t="shared" si="15"/>
        <v>218</v>
      </c>
      <c r="F68" s="948">
        <f t="shared" si="16"/>
        <v>1</v>
      </c>
      <c r="G68" s="944">
        <f t="shared" si="17"/>
        <v>5450</v>
      </c>
      <c r="H68" s="943">
        <f t="shared" si="18"/>
        <v>5450</v>
      </c>
    </row>
    <row r="69" spans="1:8" x14ac:dyDescent="0.2">
      <c r="A69" s="1573"/>
      <c r="B69" s="1130" t="str">
        <f t="shared" si="14"/>
        <v>Sliced cheese - جبنة شرائح</v>
      </c>
      <c r="C69" s="1252" t="str">
        <f t="shared" si="14"/>
        <v>Piece</v>
      </c>
      <c r="D69" s="1426">
        <f t="shared" si="14"/>
        <v>1</v>
      </c>
      <c r="E69" s="940">
        <f t="shared" si="15"/>
        <v>218</v>
      </c>
      <c r="F69" s="948">
        <f t="shared" si="16"/>
        <v>1</v>
      </c>
      <c r="G69" s="944">
        <f t="shared" si="17"/>
        <v>218</v>
      </c>
      <c r="H69" s="943">
        <f t="shared" si="18"/>
        <v>218</v>
      </c>
    </row>
    <row r="70" spans="1:8" ht="18" x14ac:dyDescent="0.25">
      <c r="B70" s="1041" t="s">
        <v>287</v>
      </c>
      <c r="C70" s="1042" t="s">
        <v>273</v>
      </c>
      <c r="D70" s="1041" t="s">
        <v>537</v>
      </c>
      <c r="E70" s="1254" t="s">
        <v>288</v>
      </c>
      <c r="F70" s="1054"/>
      <c r="G70" s="1255" t="s">
        <v>264</v>
      </c>
      <c r="H70" s="1256" t="s">
        <v>661</v>
      </c>
    </row>
    <row r="71" spans="1:8" ht="20.25" x14ac:dyDescent="0.3">
      <c r="B71" s="1047">
        <f>$J$53</f>
        <v>18841</v>
      </c>
      <c r="C71" s="1283">
        <f>E71+G71</f>
        <v>0</v>
      </c>
      <c r="D71" s="1047">
        <f>$AF$1</f>
        <v>218</v>
      </c>
      <c r="E71" s="1047">
        <f>$C$53*$S$44</f>
        <v>0</v>
      </c>
      <c r="F71" s="1050"/>
      <c r="G71" s="1048">
        <f>$D$53*$T$44</f>
        <v>0</v>
      </c>
      <c r="H71" s="1047">
        <f>B71+E71</f>
        <v>18841</v>
      </c>
    </row>
    <row r="73" spans="1:8" ht="15.75" customHeight="1" x14ac:dyDescent="0.25">
      <c r="B73" s="1191" t="s">
        <v>1015</v>
      </c>
      <c r="C73" s="1783" t="s">
        <v>842</v>
      </c>
      <c r="D73" s="1783"/>
      <c r="E73" s="1783"/>
      <c r="F73" s="1783"/>
      <c r="G73" s="930"/>
      <c r="H73" s="930"/>
    </row>
    <row r="74" spans="1:8" x14ac:dyDescent="0.25">
      <c r="B74" s="926" t="s">
        <v>250</v>
      </c>
      <c r="C74" s="926">
        <v>10000</v>
      </c>
      <c r="D74" s="927" t="s">
        <v>474</v>
      </c>
      <c r="E74" s="928">
        <f>$S$32*$T$1</f>
        <v>20710</v>
      </c>
      <c r="F74" s="926" t="s">
        <v>239</v>
      </c>
      <c r="G74" s="929">
        <f>(($S$32*$T$1)/$R$1)/C74</f>
        <v>2.3269662921348315</v>
      </c>
      <c r="H74" s="1207"/>
    </row>
    <row r="75" spans="1:8" ht="38.25" x14ac:dyDescent="0.25">
      <c r="B75" s="926" t="s">
        <v>241</v>
      </c>
      <c r="C75" s="926" t="s">
        <v>242</v>
      </c>
      <c r="D75" s="926" t="s">
        <v>250</v>
      </c>
      <c r="E75" s="926" t="s">
        <v>234</v>
      </c>
      <c r="F75" s="926" t="s">
        <v>243</v>
      </c>
      <c r="G75" s="926" t="s">
        <v>244</v>
      </c>
      <c r="H75" s="926" t="s">
        <v>245</v>
      </c>
    </row>
    <row r="76" spans="1:8" ht="28.5" x14ac:dyDescent="0.25">
      <c r="B76" s="1130" t="s">
        <v>477</v>
      </c>
      <c r="C76" s="951" t="s">
        <v>14</v>
      </c>
      <c r="D76" s="1248">
        <v>150</v>
      </c>
      <c r="E76" s="1250">
        <f>$G$74</f>
        <v>2.3269662921348315</v>
      </c>
      <c r="F76" s="948">
        <v>1</v>
      </c>
      <c r="G76" s="944">
        <f t="shared" ref="G76:G84" si="19">D76*E76</f>
        <v>349.04494382022472</v>
      </c>
      <c r="H76" s="943">
        <f t="shared" ref="H76:H84" si="20">G76*F76</f>
        <v>349.04494382022472</v>
      </c>
    </row>
    <row r="77" spans="1:8" x14ac:dyDescent="0.25">
      <c r="B77" s="1130" t="s">
        <v>146</v>
      </c>
      <c r="C77" s="951" t="s">
        <v>14</v>
      </c>
      <c r="D77" s="1248">
        <v>110</v>
      </c>
      <c r="E77" s="1250">
        <f t="shared" ref="E77:E84" si="21">$G$74</f>
        <v>2.3269662921348315</v>
      </c>
      <c r="F77" s="948">
        <v>1</v>
      </c>
      <c r="G77" s="944">
        <f t="shared" si="19"/>
        <v>255.96629213483146</v>
      </c>
      <c r="H77" s="943">
        <f t="shared" si="20"/>
        <v>255.96629213483146</v>
      </c>
    </row>
    <row r="78" spans="1:8" x14ac:dyDescent="0.25">
      <c r="B78" s="1130" t="s">
        <v>149</v>
      </c>
      <c r="C78" s="951" t="s">
        <v>14</v>
      </c>
      <c r="D78" s="1248">
        <v>110</v>
      </c>
      <c r="E78" s="1250">
        <f t="shared" si="21"/>
        <v>2.3269662921348315</v>
      </c>
      <c r="F78" s="948">
        <v>1</v>
      </c>
      <c r="G78" s="944">
        <f t="shared" si="19"/>
        <v>255.96629213483146</v>
      </c>
      <c r="H78" s="943">
        <f t="shared" si="20"/>
        <v>255.96629213483146</v>
      </c>
    </row>
    <row r="79" spans="1:8" ht="28.5" x14ac:dyDescent="0.25">
      <c r="B79" s="1130" t="s">
        <v>811</v>
      </c>
      <c r="C79" s="951" t="s">
        <v>14</v>
      </c>
      <c r="D79" s="1248">
        <v>100</v>
      </c>
      <c r="E79" s="1250">
        <f t="shared" si="21"/>
        <v>2.3269662921348315</v>
      </c>
      <c r="F79" s="948">
        <v>1</v>
      </c>
      <c r="G79" s="944">
        <f t="shared" si="19"/>
        <v>232.69662921348316</v>
      </c>
      <c r="H79" s="943">
        <f t="shared" si="20"/>
        <v>232.69662921348316</v>
      </c>
    </row>
    <row r="80" spans="1:8" x14ac:dyDescent="0.25">
      <c r="B80" s="1130" t="s">
        <v>829</v>
      </c>
      <c r="C80" s="951" t="s">
        <v>14</v>
      </c>
      <c r="D80" s="1248">
        <v>200</v>
      </c>
      <c r="E80" s="1250">
        <f t="shared" si="21"/>
        <v>2.3269662921348315</v>
      </c>
      <c r="F80" s="948">
        <v>1</v>
      </c>
      <c r="G80" s="944">
        <f t="shared" si="19"/>
        <v>465.39325842696633</v>
      </c>
      <c r="H80" s="943">
        <f t="shared" si="20"/>
        <v>465.39325842696633</v>
      </c>
    </row>
    <row r="81" spans="2:8" ht="28.5" x14ac:dyDescent="0.25">
      <c r="B81" s="1130" t="s">
        <v>188</v>
      </c>
      <c r="C81" s="951" t="s">
        <v>14</v>
      </c>
      <c r="D81" s="1248">
        <v>600</v>
      </c>
      <c r="E81" s="1250">
        <f t="shared" si="21"/>
        <v>2.3269662921348315</v>
      </c>
      <c r="F81" s="948">
        <v>1</v>
      </c>
      <c r="G81" s="944">
        <f t="shared" si="19"/>
        <v>1396.1797752808989</v>
      </c>
      <c r="H81" s="943">
        <f t="shared" si="20"/>
        <v>1396.1797752808989</v>
      </c>
    </row>
    <row r="82" spans="2:8" x14ac:dyDescent="0.25">
      <c r="B82" s="1130" t="s">
        <v>229</v>
      </c>
      <c r="C82" s="951" t="s">
        <v>230</v>
      </c>
      <c r="D82" s="1248">
        <v>12</v>
      </c>
      <c r="E82" s="1250">
        <f t="shared" si="21"/>
        <v>2.3269662921348315</v>
      </c>
      <c r="F82" s="948">
        <v>1</v>
      </c>
      <c r="G82" s="944">
        <f t="shared" si="19"/>
        <v>27.923595505617978</v>
      </c>
      <c r="H82" s="943">
        <f t="shared" si="20"/>
        <v>27.923595505617978</v>
      </c>
    </row>
    <row r="83" spans="2:8" ht="28.5" x14ac:dyDescent="0.25">
      <c r="B83" s="1130" t="s">
        <v>99</v>
      </c>
      <c r="C83" s="951" t="s">
        <v>14</v>
      </c>
      <c r="D83" s="1248">
        <v>35</v>
      </c>
      <c r="E83" s="1250">
        <f t="shared" si="21"/>
        <v>2.3269662921348315</v>
      </c>
      <c r="F83" s="948">
        <v>1</v>
      </c>
      <c r="G83" s="944">
        <f t="shared" si="19"/>
        <v>81.443820224719104</v>
      </c>
      <c r="H83" s="943">
        <f t="shared" si="20"/>
        <v>81.443820224719104</v>
      </c>
    </row>
    <row r="84" spans="2:8" x14ac:dyDescent="0.25">
      <c r="B84" s="1130" t="s">
        <v>93</v>
      </c>
      <c r="C84" s="951" t="s">
        <v>14</v>
      </c>
      <c r="D84" s="1248">
        <v>30</v>
      </c>
      <c r="E84" s="1250">
        <f t="shared" si="21"/>
        <v>2.3269662921348315</v>
      </c>
      <c r="F84" s="948">
        <v>1</v>
      </c>
      <c r="G84" s="944">
        <f t="shared" si="19"/>
        <v>69.80898876404494</v>
      </c>
      <c r="H84" s="943">
        <f t="shared" si="20"/>
        <v>69.80898876404494</v>
      </c>
    </row>
  </sheetData>
  <mergeCells count="10">
    <mergeCell ref="B2:H3"/>
    <mergeCell ref="R25:U25"/>
    <mergeCell ref="R26:U26"/>
    <mergeCell ref="B42:J42"/>
    <mergeCell ref="C73:F73"/>
    <mergeCell ref="C11:F11"/>
    <mergeCell ref="B43:J43"/>
    <mergeCell ref="B58:J58"/>
    <mergeCell ref="B62:H62"/>
    <mergeCell ref="B63:H63"/>
  </mergeCells>
  <printOptions horizontalCentered="1"/>
  <pageMargins left="0.4" right="0.4" top="1" bottom="0.5" header="0.3" footer="0.511811023622047"/>
  <pageSetup paperSize="9" scale="69" orientation="landscape" r:id="rId1"/>
  <headerFooter>
    <oddHeader>&amp;C&amp;B&amp;16Smoky Beef Burger</oddHeader>
  </headerFooter>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rgb="FFBF9000"/>
    <pageSetUpPr fitToPage="1"/>
  </sheetPr>
  <dimension ref="A1:AT78"/>
  <sheetViews>
    <sheetView topLeftCell="A46" zoomScale="55" zoomScaleNormal="55" workbookViewId="0">
      <selection activeCell="A39" sqref="A39"/>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3.87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625" style="14" customWidth="1"/>
    <col min="25" max="25" width="8.625" style="14" customWidth="1"/>
    <col min="26" max="27" width="12.625" style="14" customWidth="1"/>
    <col min="28" max="28" width="18.625" style="14" customWidth="1"/>
    <col min="29" max="29" width="12.625" style="14" customWidth="1"/>
    <col min="30" max="30" width="18.625" style="14" customWidth="1"/>
    <col min="31" max="32" width="12.625" style="14" customWidth="1"/>
    <col min="33" max="34" width="3.25" style="14" customWidth="1"/>
    <col min="35" max="35" width="12.6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12.5" style="14"/>
  </cols>
  <sheetData>
    <row r="1" spans="1:46" ht="25.5" x14ac:dyDescent="0.25">
      <c r="B1" s="913" t="s">
        <v>231</v>
      </c>
      <c r="C1" s="914">
        <v>1000</v>
      </c>
      <c r="D1" s="915" t="s">
        <v>232</v>
      </c>
      <c r="E1" s="941">
        <f>T32</f>
        <v>2841.3</v>
      </c>
      <c r="F1" s="913" t="s">
        <v>233</v>
      </c>
      <c r="G1" s="941">
        <f>E1/C1</f>
        <v>2.8413000000000004</v>
      </c>
      <c r="H1" s="913" t="s">
        <v>234</v>
      </c>
      <c r="I1" s="941">
        <f>G1/K1</f>
        <v>2.8413000000000004</v>
      </c>
      <c r="J1" s="913" t="s">
        <v>235</v>
      </c>
      <c r="K1" s="1208">
        <v>1</v>
      </c>
      <c r="L1" s="80"/>
      <c r="M1" s="70"/>
      <c r="N1" s="922"/>
      <c r="O1" s="923" t="s">
        <v>236</v>
      </c>
      <c r="P1" s="914" t="s">
        <v>237</v>
      </c>
      <c r="Q1" s="924" t="s">
        <v>238</v>
      </c>
      <c r="R1" s="914">
        <v>0.59</v>
      </c>
      <c r="S1" s="924" t="s">
        <v>332</v>
      </c>
      <c r="T1" s="1186">
        <v>100</v>
      </c>
      <c r="U1" s="80"/>
      <c r="V1" s="80"/>
      <c r="W1" s="890"/>
      <c r="Y1" s="923" t="s">
        <v>444</v>
      </c>
      <c r="Z1" s="925">
        <v>118</v>
      </c>
      <c r="AA1" s="923" t="s">
        <v>544</v>
      </c>
      <c r="AB1" s="925">
        <v>5</v>
      </c>
      <c r="AC1" s="923" t="s">
        <v>537</v>
      </c>
      <c r="AD1" s="925">
        <v>118</v>
      </c>
      <c r="AE1" s="923" t="s">
        <v>529</v>
      </c>
      <c r="AF1" s="925">
        <f>Z1+AB1</f>
        <v>123</v>
      </c>
      <c r="AJ1" s="926" t="s">
        <v>250</v>
      </c>
      <c r="AK1" s="926">
        <v>10000</v>
      </c>
      <c r="AL1" s="927" t="s">
        <v>474</v>
      </c>
      <c r="AM1" s="928">
        <f>$S$32</f>
        <v>9458.7000000000007</v>
      </c>
      <c r="AN1" s="926" t="s">
        <v>239</v>
      </c>
      <c r="AO1" s="1349">
        <f>($S$32/$R$1)/$AK$1</f>
        <v>1.603169491525424</v>
      </c>
      <c r="AP1" s="76"/>
      <c r="AS1" s="890"/>
    </row>
    <row r="2" spans="1:46" ht="15.75" x14ac:dyDescent="0.25">
      <c r="A2" s="863"/>
      <c r="B2" s="1784" t="s">
        <v>81</v>
      </c>
      <c r="C2" s="1797"/>
      <c r="D2" s="1798"/>
      <c r="E2" s="1798"/>
      <c r="F2" s="1798"/>
      <c r="G2" s="1797"/>
      <c r="H2" s="1798"/>
      <c r="I2" s="1797"/>
      <c r="J2" s="1797"/>
      <c r="K2" s="1798"/>
      <c r="L2" s="187"/>
      <c r="M2" s="80"/>
      <c r="N2" s="80"/>
      <c r="O2" s="80"/>
      <c r="P2" s="80"/>
      <c r="Q2" s="80"/>
      <c r="R2" s="80"/>
      <c r="T2" s="890"/>
      <c r="W2" s="890"/>
      <c r="AC2" s="79"/>
      <c r="AD2" s="79"/>
      <c r="AE2" s="1795"/>
      <c r="AF2" s="1799"/>
      <c r="AG2" s="1799"/>
      <c r="AJ2" s="930"/>
      <c r="AK2" s="1783" t="s">
        <v>388</v>
      </c>
      <c r="AL2" s="1783"/>
      <c r="AM2" s="1783"/>
      <c r="AN2" s="1783"/>
      <c r="AO2" s="930"/>
      <c r="AP2" s="81"/>
      <c r="AS2" s="890"/>
    </row>
    <row r="3" spans="1:46" ht="15.75" x14ac:dyDescent="0.25">
      <c r="A3" s="863"/>
      <c r="B3" s="1785"/>
      <c r="C3" s="1796"/>
      <c r="D3" s="1785"/>
      <c r="E3" s="1785"/>
      <c r="F3" s="1785"/>
      <c r="G3" s="1796"/>
      <c r="H3" s="1785"/>
      <c r="I3" s="1796"/>
      <c r="J3" s="1796"/>
      <c r="K3" s="1785"/>
      <c r="L3" s="187"/>
      <c r="M3" s="80"/>
      <c r="N3" s="80"/>
      <c r="O3" s="80"/>
      <c r="P3" s="80"/>
      <c r="Q3" s="80"/>
      <c r="R3" s="80"/>
      <c r="T3" s="890"/>
      <c r="W3" s="890"/>
      <c r="AC3" s="79"/>
      <c r="AD3" s="79"/>
      <c r="AE3" s="1799"/>
      <c r="AF3" s="1799"/>
      <c r="AG3" s="1799"/>
      <c r="AJ3" s="1354"/>
      <c r="AK3" s="81"/>
      <c r="AL3" s="82"/>
      <c r="AM3" s="82"/>
      <c r="AN3" s="82"/>
      <c r="AO3" s="81"/>
      <c r="AP3" s="81"/>
      <c r="AS3" s="890"/>
    </row>
    <row r="4" spans="1:46" ht="38.25"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235"/>
      <c r="N4" s="235"/>
      <c r="O4" s="80"/>
      <c r="P4" s="80"/>
      <c r="Q4" s="80"/>
      <c r="R4" s="80"/>
      <c r="T4" s="890"/>
      <c r="W4" s="890"/>
      <c r="AC4" s="169"/>
      <c r="AD4" s="171"/>
      <c r="AE4" s="169"/>
      <c r="AF4" s="169"/>
      <c r="AG4" s="169"/>
      <c r="AI4" s="952"/>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
      <c r="A5" s="937" t="s">
        <v>873</v>
      </c>
      <c r="B5" s="1118" t="s">
        <v>220</v>
      </c>
      <c r="C5" s="947" t="s">
        <v>14</v>
      </c>
      <c r="D5" s="1426">
        <f>I51/10</f>
        <v>5649.8305084745762</v>
      </c>
      <c r="E5" s="941">
        <f>H52</f>
        <v>2.8375532489350217</v>
      </c>
      <c r="F5" s="948">
        <v>1</v>
      </c>
      <c r="G5" s="940">
        <f t="shared" ref="G5:G12" si="0">D5*E5</f>
        <v>16031.694915254238</v>
      </c>
      <c r="H5" s="943">
        <f t="shared" ref="H5:H12" si="1">G5*F5</f>
        <v>16031.694915254238</v>
      </c>
      <c r="I5" s="914">
        <f>VLOOKUP(B5,All_Ingredients!$A$1:$F$161,6,FALSE())</f>
        <v>0.86</v>
      </c>
      <c r="J5" s="940">
        <f>VLOOKUP(B5,All_Ingredients!$A$1:$J$161,10,FALSE())</f>
        <v>17.100000000000001</v>
      </c>
      <c r="K5" s="945">
        <f t="shared" ref="K5" si="2">(H5/I5)/1000</f>
        <v>18.641505715411906</v>
      </c>
      <c r="L5" s="945">
        <f t="shared" ref="L5" si="3">K5*J5</f>
        <v>318.76974773354362</v>
      </c>
      <c r="M5" s="87"/>
      <c r="N5" s="87"/>
      <c r="O5" s="80"/>
      <c r="P5" s="80"/>
      <c r="Q5" s="80"/>
      <c r="R5" s="80"/>
      <c r="T5" s="890"/>
      <c r="W5" s="890"/>
      <c r="AC5" s="73"/>
      <c r="AD5" s="89"/>
      <c r="AE5" s="172"/>
      <c r="AF5" s="90"/>
      <c r="AG5" s="91"/>
      <c r="AI5" s="952"/>
      <c r="AJ5" s="1355" t="s">
        <v>220</v>
      </c>
      <c r="AK5" s="951" t="s">
        <v>227</v>
      </c>
      <c r="AL5" s="1356">
        <v>10</v>
      </c>
      <c r="AM5" s="1357">
        <f t="shared" ref="AM5:AM13" si="4">$AO$1</f>
        <v>1.603169491525424</v>
      </c>
      <c r="AN5" s="1358">
        <v>1</v>
      </c>
      <c r="AO5" s="1356">
        <f t="shared" ref="AO5:AO13" si="5">AL5*AM5</f>
        <v>16.031694915254239</v>
      </c>
      <c r="AP5" s="1359">
        <f t="shared" ref="AP5:AP13" si="6">AO5*AN5</f>
        <v>16.031694915254239</v>
      </c>
      <c r="AQ5" s="952"/>
      <c r="AR5" s="953"/>
      <c r="AS5" s="954"/>
      <c r="AT5" s="955"/>
    </row>
    <row r="6" spans="1:46" x14ac:dyDescent="0.25">
      <c r="A6" s="949"/>
      <c r="B6" s="960" t="s">
        <v>12</v>
      </c>
      <c r="C6" s="947" t="s">
        <v>14</v>
      </c>
      <c r="D6" s="951">
        <v>190</v>
      </c>
      <c r="E6" s="940">
        <f t="shared" ref="E6:E16" si="7">$I$1</f>
        <v>2.8413000000000004</v>
      </c>
      <c r="F6" s="948">
        <v>1</v>
      </c>
      <c r="G6" s="940">
        <f t="shared" si="0"/>
        <v>539.84700000000009</v>
      </c>
      <c r="H6" s="943">
        <f t="shared" si="1"/>
        <v>539.84700000000009</v>
      </c>
      <c r="I6" s="914">
        <f>VLOOKUP(B6,All_Ingredients!$A$1:$F$161,6,FALSE())</f>
        <v>0.9</v>
      </c>
      <c r="J6" s="940">
        <f>VLOOKUP(B6,All_Ingredients!$A$1:$J$161,10,FALSE())</f>
        <v>3</v>
      </c>
      <c r="K6" s="945">
        <f t="shared" ref="K6:K12" si="8">(H6/I6)/1000</f>
        <v>0.59983000000000009</v>
      </c>
      <c r="L6" s="945">
        <f t="shared" ref="L6:L12" si="9">K6*J6</f>
        <v>1.7994900000000003</v>
      </c>
      <c r="M6" s="87"/>
      <c r="N6" s="87"/>
      <c r="R6" s="890"/>
      <c r="T6" s="890"/>
      <c r="W6" s="890"/>
      <c r="AI6" s="952" t="s">
        <v>55</v>
      </c>
      <c r="AJ6" s="1355" t="s">
        <v>54</v>
      </c>
      <c r="AK6" s="1201" t="s">
        <v>14</v>
      </c>
      <c r="AL6" s="940">
        <v>100</v>
      </c>
      <c r="AM6" s="1357">
        <f t="shared" si="4"/>
        <v>1.603169491525424</v>
      </c>
      <c r="AN6" s="1358">
        <v>1</v>
      </c>
      <c r="AO6" s="1356">
        <f t="shared" si="5"/>
        <v>160.31694915254241</v>
      </c>
      <c r="AP6" s="1359">
        <f t="shared" si="6"/>
        <v>160.31694915254241</v>
      </c>
      <c r="AQ6" s="955">
        <f>VLOOKUP(AJ6,Marination_Ordering!$A:$J,6,FALSE)</f>
        <v>0.87</v>
      </c>
      <c r="AR6" s="955">
        <f>VLOOKUP(AJ6,Marination_Ordering!$A:$J,10,FALSE)</f>
        <v>7</v>
      </c>
      <c r="AS6" s="954">
        <f>AP6/AQ6</f>
        <v>184.27235534774988</v>
      </c>
      <c r="AT6" s="955">
        <f>AR6*(AS6/1000)</f>
        <v>1.2899064874342492</v>
      </c>
    </row>
    <row r="7" spans="1:46" x14ac:dyDescent="0.25">
      <c r="A7" s="949"/>
      <c r="B7" s="960" t="s">
        <v>28</v>
      </c>
      <c r="C7" s="947" t="s">
        <v>14</v>
      </c>
      <c r="D7" s="940">
        <v>190</v>
      </c>
      <c r="E7" s="940">
        <f t="shared" si="7"/>
        <v>2.8413000000000004</v>
      </c>
      <c r="F7" s="948">
        <v>1</v>
      </c>
      <c r="G7" s="940">
        <f t="shared" si="0"/>
        <v>539.84700000000009</v>
      </c>
      <c r="H7" s="943">
        <f t="shared" si="1"/>
        <v>539.84700000000009</v>
      </c>
      <c r="I7" s="914">
        <f>VLOOKUP(B7,All_Ingredients!$A$1:$F$161,6,FALSE())</f>
        <v>0.73</v>
      </c>
      <c r="J7" s="940">
        <f>VLOOKUP(B7,All_Ingredients!$A$1:$J$161,10,FALSE())</f>
        <v>8.5</v>
      </c>
      <c r="K7" s="945">
        <f t="shared" si="8"/>
        <v>0.73951643835616454</v>
      </c>
      <c r="L7" s="945">
        <f t="shared" si="9"/>
        <v>6.2858897260273983</v>
      </c>
      <c r="M7" s="87"/>
      <c r="N7" s="87"/>
      <c r="R7" s="890"/>
      <c r="T7" s="890"/>
      <c r="W7" s="890"/>
      <c r="AI7" s="952" t="s">
        <v>13</v>
      </c>
      <c r="AJ7" s="1355" t="s">
        <v>706</v>
      </c>
      <c r="AK7" s="1201" t="s">
        <v>14</v>
      </c>
      <c r="AL7" s="940">
        <v>100</v>
      </c>
      <c r="AM7" s="1357">
        <f t="shared" si="4"/>
        <v>1.603169491525424</v>
      </c>
      <c r="AN7" s="1358">
        <v>1</v>
      </c>
      <c r="AO7" s="1356">
        <f t="shared" si="5"/>
        <v>160.31694915254241</v>
      </c>
      <c r="AP7" s="1359">
        <f t="shared" si="6"/>
        <v>160.31694915254241</v>
      </c>
      <c r="AQ7" s="955">
        <f>VLOOKUP(AJ7,Marination_Ordering!$A:$J,6,FALSE)</f>
        <v>1</v>
      </c>
      <c r="AR7" s="955">
        <f>VLOOKUP(AJ7,Marination_Ordering!$A:$J,10,FALSE)</f>
        <v>10.5</v>
      </c>
      <c r="AS7" s="954">
        <f t="shared" ref="AS7:AS9" si="10">AP7/AQ7</f>
        <v>160.31694915254241</v>
      </c>
      <c r="AT7" s="955">
        <f t="shared" ref="AT7:AT9" si="11">AR7*(AS7/1000)</f>
        <v>1.6833279661016953</v>
      </c>
    </row>
    <row r="8" spans="1:46" x14ac:dyDescent="0.25">
      <c r="A8" s="949"/>
      <c r="B8" s="960" t="s">
        <v>30</v>
      </c>
      <c r="C8" s="947" t="s">
        <v>14</v>
      </c>
      <c r="D8" s="940">
        <v>190</v>
      </c>
      <c r="E8" s="940">
        <f t="shared" si="7"/>
        <v>2.8413000000000004</v>
      </c>
      <c r="F8" s="948">
        <v>1</v>
      </c>
      <c r="G8" s="940">
        <f t="shared" si="0"/>
        <v>539.84700000000009</v>
      </c>
      <c r="H8" s="943">
        <f t="shared" si="1"/>
        <v>539.84700000000009</v>
      </c>
      <c r="I8" s="914">
        <f>VLOOKUP(B8,All_Ingredients!$A$1:$F$161,6,FALSE())</f>
        <v>0.71</v>
      </c>
      <c r="J8" s="940">
        <f>VLOOKUP(B8,All_Ingredients!$A$1:$J$161,10,FALSE())</f>
        <v>8.5</v>
      </c>
      <c r="K8" s="945">
        <f t="shared" si="8"/>
        <v>0.76034788732394387</v>
      </c>
      <c r="L8" s="945">
        <f t="shared" si="9"/>
        <v>6.4629570422535227</v>
      </c>
      <c r="M8" s="87"/>
      <c r="N8" s="87"/>
      <c r="R8" s="890"/>
      <c r="T8" s="890"/>
      <c r="W8" s="890"/>
      <c r="AI8" s="952" t="s">
        <v>204</v>
      </c>
      <c r="AJ8" s="1355" t="s">
        <v>212</v>
      </c>
      <c r="AK8" s="1201" t="s">
        <v>160</v>
      </c>
      <c r="AL8" s="944">
        <v>350</v>
      </c>
      <c r="AM8" s="1357">
        <f t="shared" si="4"/>
        <v>1.603169491525424</v>
      </c>
      <c r="AN8" s="1358">
        <v>1</v>
      </c>
      <c r="AO8" s="1356">
        <f t="shared" si="5"/>
        <v>561.10932203389837</v>
      </c>
      <c r="AP8" s="1359">
        <f t="shared" si="6"/>
        <v>561.10932203389837</v>
      </c>
      <c r="AQ8" s="955">
        <f>VLOOKUP(AJ8,Marination_Ordering!$A:$J,6,FALSE)</f>
        <v>1</v>
      </c>
      <c r="AR8" s="955">
        <f>VLOOKUP(AJ8,Marination_Ordering!$A:$J,10,FALSE)</f>
        <v>5</v>
      </c>
      <c r="AS8" s="954">
        <f t="shared" si="10"/>
        <v>561.10932203389837</v>
      </c>
      <c r="AT8" s="955">
        <f t="shared" si="11"/>
        <v>2.8055466101694919</v>
      </c>
    </row>
    <row r="9" spans="1:46" ht="28.5" x14ac:dyDescent="0.25">
      <c r="A9" s="949"/>
      <c r="B9" s="1130" t="s">
        <v>32</v>
      </c>
      <c r="C9" s="947" t="s">
        <v>14</v>
      </c>
      <c r="D9" s="940">
        <v>190</v>
      </c>
      <c r="E9" s="940">
        <f t="shared" si="7"/>
        <v>2.8413000000000004</v>
      </c>
      <c r="F9" s="948">
        <v>1</v>
      </c>
      <c r="G9" s="940">
        <f t="shared" si="0"/>
        <v>539.84700000000009</v>
      </c>
      <c r="H9" s="943">
        <f t="shared" si="1"/>
        <v>539.84700000000009</v>
      </c>
      <c r="I9" s="914">
        <f>VLOOKUP(B9,All_Ingredients!$A$1:$F$161,6,FALSE())</f>
        <v>0.69</v>
      </c>
      <c r="J9" s="940">
        <f>VLOOKUP(B9,All_Ingredients!$A$1:$J$161,10,FALSE())</f>
        <v>4</v>
      </c>
      <c r="K9" s="945">
        <f t="shared" si="8"/>
        <v>0.78238695652173929</v>
      </c>
      <c r="L9" s="945">
        <f t="shared" si="9"/>
        <v>3.1295478260869571</v>
      </c>
      <c r="M9" s="87"/>
      <c r="N9" s="87"/>
      <c r="R9" s="890"/>
      <c r="T9" s="890"/>
      <c r="W9" s="890"/>
      <c r="AI9" s="952" t="s">
        <v>204</v>
      </c>
      <c r="AJ9" s="1355" t="s">
        <v>208</v>
      </c>
      <c r="AK9" s="951" t="s">
        <v>160</v>
      </c>
      <c r="AL9" s="940">
        <v>70</v>
      </c>
      <c r="AM9" s="1357">
        <f t="shared" si="4"/>
        <v>1.603169491525424</v>
      </c>
      <c r="AN9" s="1358">
        <v>1</v>
      </c>
      <c r="AO9" s="1356">
        <f t="shared" si="5"/>
        <v>112.22186440677967</v>
      </c>
      <c r="AP9" s="1359">
        <f t="shared" si="6"/>
        <v>112.22186440677967</v>
      </c>
      <c r="AQ9" s="955">
        <f>VLOOKUP(AJ9,Marination_Ordering!$A:$J,6,FALSE)</f>
        <v>1</v>
      </c>
      <c r="AR9" s="955">
        <f>VLOOKUP(AJ9,Marination_Ordering!$A:$J,10,FALSE)</f>
        <v>2.1621621621621623</v>
      </c>
      <c r="AS9" s="954">
        <f t="shared" si="10"/>
        <v>112.22186440677967</v>
      </c>
      <c r="AT9" s="955">
        <f t="shared" si="11"/>
        <v>0.24264186898763174</v>
      </c>
    </row>
    <row r="10" spans="1:46" x14ac:dyDescent="0.25">
      <c r="A10" s="949"/>
      <c r="B10" s="960" t="s">
        <v>198</v>
      </c>
      <c r="C10" s="1157" t="s">
        <v>160</v>
      </c>
      <c r="D10" s="940">
        <v>360</v>
      </c>
      <c r="E10" s="940">
        <f t="shared" si="7"/>
        <v>2.8413000000000004</v>
      </c>
      <c r="F10" s="948">
        <v>1</v>
      </c>
      <c r="G10" s="940">
        <f t="shared" si="0"/>
        <v>1022.8680000000002</v>
      </c>
      <c r="H10" s="943">
        <f t="shared" si="1"/>
        <v>1022.8680000000002</v>
      </c>
      <c r="I10" s="914">
        <f>VLOOKUP(B10,All_Ingredients!$A$1:$F$161,6,FALSE())</f>
        <v>1</v>
      </c>
      <c r="J10" s="940">
        <f>VLOOKUP(B10,All_Ingredients!$A$1:$J$161,10,FALSE())</f>
        <v>3.25</v>
      </c>
      <c r="K10" s="945">
        <f t="shared" si="8"/>
        <v>1.0228680000000001</v>
      </c>
      <c r="L10" s="945">
        <f t="shared" si="9"/>
        <v>3.3243210000000003</v>
      </c>
      <c r="M10" s="87"/>
      <c r="N10" s="87"/>
      <c r="R10" s="890"/>
      <c r="T10" s="890"/>
      <c r="W10" s="890"/>
      <c r="AI10" s="952" t="s">
        <v>94</v>
      </c>
      <c r="AJ10" s="1355" t="s">
        <v>93</v>
      </c>
      <c r="AK10" s="1201" t="s">
        <v>14</v>
      </c>
      <c r="AL10" s="940">
        <v>2</v>
      </c>
      <c r="AM10" s="1357">
        <f t="shared" si="4"/>
        <v>1.603169491525424</v>
      </c>
      <c r="AN10" s="1358">
        <v>1</v>
      </c>
      <c r="AO10" s="1356">
        <f t="shared" si="5"/>
        <v>3.206338983050848</v>
      </c>
      <c r="AP10" s="1359">
        <f t="shared" si="6"/>
        <v>3.206338983050848</v>
      </c>
      <c r="AQ10" s="955">
        <f>VLOOKUP(AJ10,Marination_Ordering!$A:$J,6,FALSE)</f>
        <v>1</v>
      </c>
      <c r="AR10" s="955">
        <f>VLOOKUP(AJ10,Marination_Ordering!$A:$J,10,FALSE)</f>
        <v>0.74</v>
      </c>
      <c r="AS10" s="954">
        <f t="shared" ref="AS10:AS13" si="12">AP10/AQ10</f>
        <v>3.206338983050848</v>
      </c>
      <c r="AT10" s="955">
        <f t="shared" ref="AT10:AT13" si="13">AR10*(AS10/1000)</f>
        <v>2.3726908474576277E-3</v>
      </c>
    </row>
    <row r="11" spans="1:46" ht="29.25" x14ac:dyDescent="0.25">
      <c r="A11" s="949"/>
      <c r="B11" s="960" t="s">
        <v>192</v>
      </c>
      <c r="C11" s="947" t="s">
        <v>160</v>
      </c>
      <c r="D11" s="940">
        <v>95</v>
      </c>
      <c r="E11" s="940">
        <f t="shared" si="7"/>
        <v>2.8413000000000004</v>
      </c>
      <c r="F11" s="948">
        <v>1</v>
      </c>
      <c r="G11" s="940">
        <f t="shared" si="0"/>
        <v>269.92350000000005</v>
      </c>
      <c r="H11" s="943">
        <f t="shared" si="1"/>
        <v>269.92350000000005</v>
      </c>
      <c r="I11" s="914">
        <f>VLOOKUP(B11,All_Ingredients!$A$1:$F$161,6,FALSE())</f>
        <v>1</v>
      </c>
      <c r="J11" s="940">
        <f>VLOOKUP(B11,All_Ingredients!$A$1:$J$161,10,FALSE())</f>
        <v>58.685446009389672</v>
      </c>
      <c r="K11" s="945">
        <f t="shared" si="8"/>
        <v>0.26992350000000004</v>
      </c>
      <c r="L11" s="945">
        <f t="shared" si="9"/>
        <v>15.840580985915496</v>
      </c>
      <c r="M11" s="87"/>
      <c r="N11" s="87"/>
      <c r="R11" s="890"/>
      <c r="T11" s="890"/>
      <c r="W11" s="890"/>
      <c r="AI11" s="952" t="s">
        <v>94</v>
      </c>
      <c r="AJ11" s="1355" t="s">
        <v>99</v>
      </c>
      <c r="AK11" s="1201" t="s">
        <v>14</v>
      </c>
      <c r="AL11" s="940">
        <v>3</v>
      </c>
      <c r="AM11" s="1357">
        <f t="shared" si="4"/>
        <v>1.603169491525424</v>
      </c>
      <c r="AN11" s="1358">
        <v>1</v>
      </c>
      <c r="AO11" s="1356">
        <f t="shared" si="5"/>
        <v>4.8095084745762717</v>
      </c>
      <c r="AP11" s="1359">
        <f t="shared" si="6"/>
        <v>4.8095084745762717</v>
      </c>
      <c r="AQ11" s="955">
        <f>VLOOKUP(AJ11,Marination_Ordering!$A:$J,6,FALSE)</f>
        <v>1</v>
      </c>
      <c r="AR11" s="955">
        <f>VLOOKUP(AJ11,Marination_Ordering!$A:$J,10,FALSE)</f>
        <v>31</v>
      </c>
      <c r="AS11" s="954">
        <f t="shared" si="12"/>
        <v>4.8095084745762717</v>
      </c>
      <c r="AT11" s="955">
        <f t="shared" si="13"/>
        <v>0.14909476271186442</v>
      </c>
    </row>
    <row r="12" spans="1:46" ht="29.25" x14ac:dyDescent="0.25">
      <c r="A12" s="949"/>
      <c r="B12" s="960" t="s">
        <v>60</v>
      </c>
      <c r="C12" s="947" t="s">
        <v>14</v>
      </c>
      <c r="D12" s="940">
        <v>25</v>
      </c>
      <c r="E12" s="940">
        <f t="shared" si="7"/>
        <v>2.8413000000000004</v>
      </c>
      <c r="F12" s="948">
        <v>1</v>
      </c>
      <c r="G12" s="940">
        <f t="shared" si="0"/>
        <v>71.032500000000013</v>
      </c>
      <c r="H12" s="943">
        <f t="shared" si="1"/>
        <v>71.032500000000013</v>
      </c>
      <c r="I12" s="914">
        <f>VLOOKUP(B12,All_Ingredients!$A$1:$F$161,6,FALSE())</f>
        <v>0.94</v>
      </c>
      <c r="J12" s="940">
        <f>VLOOKUP(B12,All_Ingredients!$A$1:$J$161,10,FALSE())</f>
        <v>3.6363636363636367</v>
      </c>
      <c r="K12" s="945">
        <f t="shared" si="8"/>
        <v>7.5566489361702141E-2</v>
      </c>
      <c r="L12" s="945">
        <f t="shared" si="9"/>
        <v>0.27478723404255329</v>
      </c>
      <c r="M12" s="87"/>
      <c r="N12" s="87"/>
      <c r="R12" s="890"/>
      <c r="T12" s="890"/>
      <c r="W12" s="890"/>
      <c r="AI12" s="952" t="s">
        <v>94</v>
      </c>
      <c r="AJ12" s="1355" t="s">
        <v>110</v>
      </c>
      <c r="AK12" s="1201" t="s">
        <v>14</v>
      </c>
      <c r="AL12" s="914">
        <v>15</v>
      </c>
      <c r="AM12" s="1357">
        <f t="shared" si="4"/>
        <v>1.603169491525424</v>
      </c>
      <c r="AN12" s="1358">
        <v>1</v>
      </c>
      <c r="AO12" s="1356">
        <f t="shared" si="5"/>
        <v>24.04754237288136</v>
      </c>
      <c r="AP12" s="1359">
        <f t="shared" si="6"/>
        <v>24.04754237288136</v>
      </c>
      <c r="AQ12" s="955">
        <f>VLOOKUP(AJ12,Marination_Ordering!$A:$J,6,FALSE)</f>
        <v>1</v>
      </c>
      <c r="AR12" s="955">
        <f>VLOOKUP(AJ12,Marination_Ordering!$A:$J,10,FALSE)</f>
        <v>64.243759177679877</v>
      </c>
      <c r="AS12" s="954">
        <f t="shared" si="12"/>
        <v>24.04754237288136</v>
      </c>
      <c r="AT12" s="955">
        <f t="shared" si="13"/>
        <v>1.5449045210184424</v>
      </c>
    </row>
    <row r="13" spans="1:46" ht="28.5" x14ac:dyDescent="0.25">
      <c r="A13" s="949"/>
      <c r="B13" s="1068" t="s">
        <v>800</v>
      </c>
      <c r="C13" s="947" t="s">
        <v>230</v>
      </c>
      <c r="D13" s="940">
        <v>1</v>
      </c>
      <c r="E13" s="940">
        <f>$Z$1+$AB$1</f>
        <v>123</v>
      </c>
      <c r="F13" s="948">
        <v>1</v>
      </c>
      <c r="G13" s="944">
        <f>D13*($Z$1+$AB$1)</f>
        <v>123</v>
      </c>
      <c r="H13" s="943">
        <f>G13*F13</f>
        <v>123</v>
      </c>
      <c r="I13" s="914">
        <f>VLOOKUP(B13,All_Ingredients!$A$1:$F$161,6,FALSE())</f>
        <v>1</v>
      </c>
      <c r="J13" s="940">
        <f>VLOOKUP(B13,All_Ingredients!$A$1:$J$161,10,FALSE())</f>
        <v>0.5</v>
      </c>
      <c r="K13" s="954">
        <f>H13*I13</f>
        <v>123</v>
      </c>
      <c r="L13" s="945">
        <f>K13*J13</f>
        <v>61.5</v>
      </c>
      <c r="R13" s="890"/>
      <c r="T13" s="890"/>
      <c r="W13" s="890"/>
      <c r="AI13" s="952" t="s">
        <v>94</v>
      </c>
      <c r="AJ13" s="1355" t="s">
        <v>105</v>
      </c>
      <c r="AK13" s="1201" t="s">
        <v>14</v>
      </c>
      <c r="AL13" s="940">
        <v>20</v>
      </c>
      <c r="AM13" s="1357">
        <f t="shared" si="4"/>
        <v>1.603169491525424</v>
      </c>
      <c r="AN13" s="1358">
        <v>1</v>
      </c>
      <c r="AO13" s="1356">
        <f t="shared" si="5"/>
        <v>32.063389830508477</v>
      </c>
      <c r="AP13" s="1359">
        <f t="shared" si="6"/>
        <v>32.063389830508477</v>
      </c>
      <c r="AQ13" s="955">
        <f>VLOOKUP(AJ13,Marination_Ordering!$A:$J,6,FALSE)</f>
        <v>1</v>
      </c>
      <c r="AR13" s="955">
        <f>VLOOKUP(AJ13,Marination_Ordering!$A:$J,10,FALSE)</f>
        <v>15</v>
      </c>
      <c r="AS13" s="954">
        <f t="shared" si="12"/>
        <v>32.063389830508477</v>
      </c>
      <c r="AT13" s="955">
        <f t="shared" si="13"/>
        <v>0.48095084745762717</v>
      </c>
    </row>
    <row r="14" spans="1:46" x14ac:dyDescent="0.25">
      <c r="A14" s="949"/>
      <c r="B14" s="1068" t="s">
        <v>706</v>
      </c>
      <c r="C14" s="947" t="s">
        <v>14</v>
      </c>
      <c r="D14" s="940">
        <v>20</v>
      </c>
      <c r="E14" s="940">
        <f t="shared" si="7"/>
        <v>2.8413000000000004</v>
      </c>
      <c r="F14" s="948">
        <v>1</v>
      </c>
      <c r="G14" s="940">
        <f t="shared" ref="G14" si="14">D14*E14</f>
        <v>56.826000000000008</v>
      </c>
      <c r="H14" s="943">
        <f t="shared" ref="H14" si="15">G14*F14</f>
        <v>56.826000000000008</v>
      </c>
      <c r="I14" s="914">
        <f>VLOOKUP(B14,All_Ingredients!$A$1:$F$161,6,FALSE())</f>
        <v>1</v>
      </c>
      <c r="J14" s="940">
        <f>VLOOKUP(B14,All_Ingredients!$A$1:$J$161,10,FALSE())</f>
        <v>10.5</v>
      </c>
      <c r="K14" s="954">
        <f t="shared" ref="K14:K16" si="16">H14*I14</f>
        <v>56.826000000000008</v>
      </c>
      <c r="L14" s="945">
        <f t="shared" ref="L14:L16" si="17">K14*J14</f>
        <v>596.67300000000012</v>
      </c>
      <c r="R14" s="890"/>
      <c r="T14" s="890"/>
      <c r="W14" s="890"/>
      <c r="AJ14" s="890"/>
      <c r="AK14" s="890"/>
      <c r="AL14" s="890"/>
      <c r="AM14" s="890"/>
      <c r="AN14" s="890"/>
      <c r="AP14" s="890"/>
      <c r="AS14" s="890"/>
    </row>
    <row r="15" spans="1:46" x14ac:dyDescent="0.25">
      <c r="A15" s="949"/>
      <c r="B15" s="1068" t="s">
        <v>152</v>
      </c>
      <c r="C15" s="947" t="s">
        <v>14</v>
      </c>
      <c r="D15" s="940">
        <v>50</v>
      </c>
      <c r="E15" s="940">
        <f t="shared" si="7"/>
        <v>2.8413000000000004</v>
      </c>
      <c r="F15" s="948">
        <v>1</v>
      </c>
      <c r="G15" s="940">
        <f t="shared" ref="G15:G16" si="18">D15*E15</f>
        <v>142.06500000000003</v>
      </c>
      <c r="H15" s="943">
        <f t="shared" ref="H15:H16" si="19">G15*F15</f>
        <v>142.06500000000003</v>
      </c>
      <c r="I15" s="914">
        <f>VLOOKUP(B15,All_Ingredients!$A$1:$F$161,6,FALSE())</f>
        <v>1</v>
      </c>
      <c r="J15" s="940">
        <f>VLOOKUP(B15,All_Ingredients!$A$1:$J$161,10,FALSE())</f>
        <v>30</v>
      </c>
      <c r="K15" s="954">
        <f t="shared" si="16"/>
        <v>142.06500000000003</v>
      </c>
      <c r="L15" s="945">
        <f t="shared" si="17"/>
        <v>4261.9500000000007</v>
      </c>
      <c r="R15" s="890"/>
      <c r="T15" s="890"/>
      <c r="W15" s="890"/>
      <c r="AJ15" s="890"/>
      <c r="AK15" s="890"/>
      <c r="AL15" s="890"/>
      <c r="AM15" s="890"/>
      <c r="AN15" s="890"/>
      <c r="AP15" s="890"/>
      <c r="AS15" s="890"/>
    </row>
    <row r="16" spans="1:46" x14ac:dyDescent="0.25">
      <c r="A16" s="949"/>
      <c r="B16" s="1068" t="s">
        <v>93</v>
      </c>
      <c r="C16" s="947" t="s">
        <v>14</v>
      </c>
      <c r="D16" s="940">
        <v>5</v>
      </c>
      <c r="E16" s="940">
        <f t="shared" si="7"/>
        <v>2.8413000000000004</v>
      </c>
      <c r="F16" s="948">
        <v>1</v>
      </c>
      <c r="G16" s="940">
        <f t="shared" si="18"/>
        <v>14.206500000000002</v>
      </c>
      <c r="H16" s="943">
        <f t="shared" si="19"/>
        <v>14.206500000000002</v>
      </c>
      <c r="I16" s="914">
        <f>VLOOKUP(B16,All_Ingredients!$A$1:$F$161,6,FALSE())</f>
        <v>1</v>
      </c>
      <c r="J16" s="940">
        <f>VLOOKUP(B16,All_Ingredients!$A$1:$J$161,10,FALSE())</f>
        <v>0.74</v>
      </c>
      <c r="K16" s="954">
        <f t="shared" si="16"/>
        <v>14.206500000000002</v>
      </c>
      <c r="L16" s="945">
        <f t="shared" si="17"/>
        <v>10.512810000000002</v>
      </c>
      <c r="R16" s="890"/>
      <c r="T16" s="890"/>
      <c r="W16" s="890"/>
      <c r="AJ16" s="890"/>
      <c r="AK16" s="890"/>
      <c r="AL16" s="890"/>
      <c r="AM16" s="890"/>
      <c r="AN16" s="890"/>
      <c r="AP16" s="890"/>
      <c r="AS16" s="890"/>
    </row>
    <row r="25" spans="18:32" x14ac:dyDescent="0.25">
      <c r="R25" s="1792" t="s">
        <v>388</v>
      </c>
      <c r="S25" s="1787"/>
      <c r="T25" s="1788"/>
      <c r="U25" s="1787"/>
      <c r="V25" s="956"/>
      <c r="W25" s="1043"/>
      <c r="X25" s="952"/>
      <c r="Z25" s="982" t="s">
        <v>758</v>
      </c>
      <c r="AA25" s="989">
        <v>1</v>
      </c>
      <c r="AB25" s="982" t="s">
        <v>249</v>
      </c>
      <c r="AC25" s="985">
        <f>AF30*AA25</f>
        <v>3.4600493276633983</v>
      </c>
    </row>
    <row r="26" spans="18:32" x14ac:dyDescent="0.25">
      <c r="R26" s="1792" t="s">
        <v>296</v>
      </c>
      <c r="S26" s="1797"/>
      <c r="T26" s="1798"/>
      <c r="U26" s="1797"/>
      <c r="V26" s="956"/>
      <c r="W26" s="1043"/>
      <c r="X26" s="952"/>
    </row>
    <row r="27" spans="18:32" x14ac:dyDescent="0.25">
      <c r="R27" s="961" t="s">
        <v>254</v>
      </c>
      <c r="S27" s="962" t="s">
        <v>354</v>
      </c>
      <c r="T27" s="961" t="s">
        <v>256</v>
      </c>
      <c r="U27" s="962" t="s">
        <v>257</v>
      </c>
      <c r="V27" s="962" t="s">
        <v>746</v>
      </c>
      <c r="W27" s="961" t="s">
        <v>759</v>
      </c>
      <c r="X27" s="962" t="s">
        <v>754</v>
      </c>
      <c r="Z27" s="982" t="s">
        <v>258</v>
      </c>
      <c r="AA27" s="982" t="s">
        <v>746</v>
      </c>
      <c r="AB27" s="982" t="s">
        <v>755</v>
      </c>
      <c r="AC27" s="982" t="s">
        <v>260</v>
      </c>
      <c r="AD27" s="982" t="s">
        <v>757</v>
      </c>
      <c r="AE27" s="982" t="s">
        <v>754</v>
      </c>
      <c r="AF27" s="982" t="s">
        <v>262</v>
      </c>
    </row>
    <row r="28" spans="18:32" x14ac:dyDescent="0.25">
      <c r="R28" s="961" t="s">
        <v>263</v>
      </c>
      <c r="S28" s="975">
        <f>U28*S40</f>
        <v>9074.2000000000007</v>
      </c>
      <c r="T28" s="1132">
        <f>U28*U40</f>
        <v>2725.8</v>
      </c>
      <c r="U28" s="1391">
        <f>$Z$1*$T$1</f>
        <v>11800</v>
      </c>
      <c r="V28" s="966">
        <f>SUM(AP5:AP13)</f>
        <v>1074.123559322034</v>
      </c>
      <c r="W28" s="967">
        <f>SUM(K16:K18)</f>
        <v>14.206500000000002</v>
      </c>
      <c r="X28" s="966">
        <f>Z1+AB1</f>
        <v>123</v>
      </c>
      <c r="Z28" s="1086"/>
      <c r="AA28" s="1205"/>
      <c r="AB28" s="985">
        <f>T1*$S$40</f>
        <v>76.900000000000006</v>
      </c>
      <c r="AC28" s="985">
        <f>T1*$U$40</f>
        <v>23.1</v>
      </c>
      <c r="AD28" s="1205"/>
      <c r="AE28" s="1205"/>
      <c r="AF28" s="1088">
        <f>SUM(AB28:AD28)</f>
        <v>100</v>
      </c>
    </row>
    <row r="29" spans="18:32" x14ac:dyDescent="0.25">
      <c r="R29" s="961" t="s">
        <v>264</v>
      </c>
      <c r="S29" s="974"/>
      <c r="T29" s="1132"/>
      <c r="U29" s="966">
        <f>T29</f>
        <v>0</v>
      </c>
      <c r="V29" s="966"/>
      <c r="W29" s="967"/>
      <c r="X29" s="966"/>
      <c r="Z29" s="1086"/>
      <c r="AA29" s="1205"/>
      <c r="AB29" s="1089">
        <f>AB28/$AF$28</f>
        <v>0.76900000000000002</v>
      </c>
      <c r="AC29" s="1089">
        <f>AC28/$AF$28</f>
        <v>0.23100000000000001</v>
      </c>
      <c r="AD29" s="1205"/>
      <c r="AE29" s="1205"/>
      <c r="AF29" s="1089">
        <f>AF28/$AF$28</f>
        <v>1</v>
      </c>
    </row>
    <row r="30" spans="18:32" x14ac:dyDescent="0.25">
      <c r="R30" s="961" t="s">
        <v>265</v>
      </c>
      <c r="S30" s="1460">
        <f>U30*S40</f>
        <v>384.5</v>
      </c>
      <c r="T30" s="1132">
        <f>U30*U40</f>
        <v>115.5</v>
      </c>
      <c r="U30" s="1391">
        <f>$AB$1*$T$1</f>
        <v>500</v>
      </c>
      <c r="V30" s="972"/>
      <c r="W30" s="973"/>
      <c r="X30" s="972"/>
      <c r="Z30" s="982" t="s">
        <v>756</v>
      </c>
      <c r="AA30" s="955">
        <f>V35/$AF$1</f>
        <v>6.6656469550637878E-2</v>
      </c>
      <c r="AB30" s="1090">
        <f>S35/AF1</f>
        <v>2.5916239653133628</v>
      </c>
      <c r="AC30" s="1206">
        <f>T35/AF1</f>
        <v>0.30176889279939778</v>
      </c>
      <c r="AD30" s="1021">
        <f>W35/AF1</f>
        <v>0</v>
      </c>
      <c r="AE30" s="955">
        <f>X35/$AF$1</f>
        <v>0.5</v>
      </c>
      <c r="AF30" s="1140">
        <f>AA30+AB30+AC30+AD30+AE30</f>
        <v>3.4600493276633983</v>
      </c>
    </row>
    <row r="31" spans="18:32" x14ac:dyDescent="0.25">
      <c r="R31" s="961" t="s">
        <v>267</v>
      </c>
      <c r="S31" s="959"/>
      <c r="T31" s="967"/>
      <c r="U31" s="966"/>
      <c r="V31" s="966"/>
      <c r="W31" s="967"/>
      <c r="X31" s="966"/>
    </row>
    <row r="32" spans="18:32" x14ac:dyDescent="0.25">
      <c r="R32" s="961" t="s">
        <v>257</v>
      </c>
      <c r="S32" s="966">
        <f>SUM(S28:S30)</f>
        <v>9458.7000000000007</v>
      </c>
      <c r="T32" s="967">
        <f>SUM(T28:T30)</f>
        <v>2841.3</v>
      </c>
      <c r="U32" s="966">
        <f>SUM(U28:U30)</f>
        <v>12300</v>
      </c>
      <c r="V32" s="966"/>
      <c r="W32" s="967"/>
      <c r="X32" s="966"/>
    </row>
    <row r="33" spans="17:24" ht="30" x14ac:dyDescent="0.25">
      <c r="R33" s="976" t="s">
        <v>268</v>
      </c>
      <c r="S33" s="959"/>
      <c r="T33" s="960"/>
      <c r="U33" s="959"/>
      <c r="V33" s="959"/>
      <c r="W33" s="960"/>
      <c r="X33" s="959"/>
    </row>
    <row r="34" spans="17:24" x14ac:dyDescent="0.25">
      <c r="R34" s="961" t="s">
        <v>269</v>
      </c>
      <c r="S34" s="959"/>
      <c r="T34" s="967"/>
      <c r="U34" s="959"/>
      <c r="V34" s="959"/>
      <c r="W34" s="960"/>
      <c r="X34" s="959"/>
    </row>
    <row r="35" spans="17:24" x14ac:dyDescent="0.25">
      <c r="R35" s="977" t="s">
        <v>249</v>
      </c>
      <c r="S35" s="978">
        <f>$L$5</f>
        <v>318.76974773354362</v>
      </c>
      <c r="T35" s="979">
        <f>SUM(L6:L12)</f>
        <v>37.11757381432593</v>
      </c>
      <c r="U35" s="1136">
        <f>S35+T35+V35+W35+X35</f>
        <v>425.586067302598</v>
      </c>
      <c r="V35" s="978">
        <f>SUM(AT6:AT13)</f>
        <v>8.1987457547284599</v>
      </c>
      <c r="W35" s="979"/>
      <c r="X35" s="978">
        <f>L13</f>
        <v>61.5</v>
      </c>
    </row>
    <row r="36" spans="17:24" x14ac:dyDescent="0.25">
      <c r="R36" s="890"/>
      <c r="T36" s="890"/>
      <c r="W36" s="890"/>
    </row>
    <row r="37" spans="17:24" x14ac:dyDescent="0.25">
      <c r="R37" s="890"/>
      <c r="T37" s="890"/>
      <c r="W37" s="890"/>
    </row>
    <row r="38" spans="17:24" x14ac:dyDescent="0.25">
      <c r="R38" s="890"/>
      <c r="T38" s="890"/>
      <c r="W38" s="890"/>
    </row>
    <row r="39" spans="17:24" x14ac:dyDescent="0.25">
      <c r="R39" s="890"/>
      <c r="T39" s="890"/>
      <c r="W39" s="890"/>
    </row>
    <row r="40" spans="17:24" ht="26.25" x14ac:dyDescent="0.25">
      <c r="R40" s="1011" t="s">
        <v>270</v>
      </c>
      <c r="S40" s="1093">
        <v>0.76900000000000002</v>
      </c>
      <c r="T40" s="1011" t="s">
        <v>271</v>
      </c>
      <c r="U40" s="1093">
        <v>0.23100000000000001</v>
      </c>
      <c r="V40" s="1014">
        <f>S40+U40</f>
        <v>1</v>
      </c>
      <c r="W40" s="890"/>
    </row>
    <row r="41" spans="17:24" x14ac:dyDescent="0.25">
      <c r="R41" s="890"/>
      <c r="T41" s="890"/>
      <c r="U41" s="123"/>
      <c r="W41" s="890"/>
    </row>
    <row r="42" spans="17:24" x14ac:dyDescent="0.25">
      <c r="R42" s="890"/>
      <c r="T42" s="890"/>
      <c r="W42" s="890"/>
    </row>
    <row r="43" spans="17:24" ht="26.25" x14ac:dyDescent="0.25">
      <c r="Q43" s="1015" t="s">
        <v>272</v>
      </c>
      <c r="R43" s="1011" t="s">
        <v>273</v>
      </c>
      <c r="S43" s="1015" t="s">
        <v>274</v>
      </c>
      <c r="T43" s="1011" t="s">
        <v>275</v>
      </c>
      <c r="U43" s="1015" t="s">
        <v>276</v>
      </c>
      <c r="V43" s="1015" t="s">
        <v>277</v>
      </c>
      <c r="W43" s="1011" t="s">
        <v>278</v>
      </c>
    </row>
    <row r="44" spans="17:24" x14ac:dyDescent="0.25">
      <c r="Q44" s="1023">
        <v>43334</v>
      </c>
      <c r="R44" s="1017">
        <f>D51</f>
        <v>10000</v>
      </c>
      <c r="S44" s="1024">
        <v>1</v>
      </c>
      <c r="T44" s="1574">
        <v>0</v>
      </c>
      <c r="U44" s="1096">
        <f>R44*S44</f>
        <v>10000</v>
      </c>
      <c r="V44" s="1021">
        <f>R44*T44</f>
        <v>0</v>
      </c>
      <c r="W44" s="1026">
        <f>Q44-U44</f>
        <v>33334</v>
      </c>
    </row>
    <row r="50" spans="1:10" x14ac:dyDescent="0.25">
      <c r="B50" s="961"/>
      <c r="C50" s="962" t="s">
        <v>233</v>
      </c>
      <c r="D50" s="961" t="s">
        <v>279</v>
      </c>
      <c r="E50" s="80"/>
      <c r="F50" s="80"/>
      <c r="G50" s="962" t="s">
        <v>280</v>
      </c>
      <c r="H50" s="961" t="s">
        <v>233</v>
      </c>
      <c r="I50" s="962" t="s">
        <v>281</v>
      </c>
      <c r="J50" s="962" t="s">
        <v>282</v>
      </c>
    </row>
    <row r="51" spans="1:10" x14ac:dyDescent="0.25">
      <c r="B51" s="1027" t="s">
        <v>283</v>
      </c>
      <c r="C51" s="1028">
        <f>10/$K$1</f>
        <v>10</v>
      </c>
      <c r="D51" s="1029">
        <f>$C$1*10</f>
        <v>10000</v>
      </c>
      <c r="E51" s="135"/>
      <c r="F51" s="80"/>
      <c r="G51" s="1033" t="s">
        <v>283</v>
      </c>
      <c r="H51" s="1575">
        <f>I51/$D$5</f>
        <v>10</v>
      </c>
      <c r="I51" s="1028">
        <f>J51/$R$1</f>
        <v>56498.305084745763</v>
      </c>
      <c r="J51" s="1028">
        <f>$W$44</f>
        <v>33334</v>
      </c>
    </row>
    <row r="52" spans="1:10" x14ac:dyDescent="0.25">
      <c r="B52" s="958" t="s">
        <v>262</v>
      </c>
      <c r="C52" s="1099">
        <f>$I$1</f>
        <v>2.8413000000000004</v>
      </c>
      <c r="D52" s="1100">
        <f>$E$1</f>
        <v>2841.3</v>
      </c>
      <c r="E52" s="80"/>
      <c r="F52" s="80"/>
      <c r="G52" s="962" t="s">
        <v>262</v>
      </c>
      <c r="H52" s="1052">
        <f>I52/$D$5</f>
        <v>2.8375532489350217</v>
      </c>
      <c r="I52" s="1021">
        <f>J52/$R$1</f>
        <v>16031.69491525424</v>
      </c>
      <c r="J52" s="1030">
        <f>$S$32</f>
        <v>9458.7000000000007</v>
      </c>
    </row>
    <row r="53" spans="1:10" x14ac:dyDescent="0.25">
      <c r="B53" s="958" t="s">
        <v>284</v>
      </c>
      <c r="C53" s="1101">
        <f>MIN(C52, C51)</f>
        <v>2.8413000000000004</v>
      </c>
      <c r="D53" s="1100">
        <f>(C53*$K$1)*$C$1</f>
        <v>2841.3</v>
      </c>
      <c r="E53" s="80"/>
      <c r="F53" s="80"/>
      <c r="G53" s="962" t="s">
        <v>284</v>
      </c>
      <c r="H53" s="1035">
        <f>MIN(H52,H51)</f>
        <v>2.8375532489350217</v>
      </c>
      <c r="I53" s="1021">
        <f>J53/$R$1</f>
        <v>16031.69491525424</v>
      </c>
      <c r="J53" s="1021">
        <f>MIN(J52,J51)</f>
        <v>9458.7000000000007</v>
      </c>
    </row>
    <row r="54" spans="1:10" x14ac:dyDescent="0.25">
      <c r="B54" s="958" t="s">
        <v>285</v>
      </c>
      <c r="C54" s="1101">
        <f>MIN(MAX(C52-C53,0),C51)</f>
        <v>0</v>
      </c>
      <c r="D54" s="1100">
        <f>(C54*$K$1)*$C$1</f>
        <v>0</v>
      </c>
      <c r="E54" s="80"/>
      <c r="F54" s="80"/>
      <c r="G54" s="962" t="s">
        <v>285</v>
      </c>
      <c r="H54" s="1035">
        <f>MIN(MAX(H52-H53),H51)</f>
        <v>0</v>
      </c>
      <c r="I54" s="1021">
        <f>J54/$R$1</f>
        <v>0</v>
      </c>
      <c r="J54" s="1021">
        <f>MIN(MAX(J52-J53),J51)</f>
        <v>0</v>
      </c>
    </row>
    <row r="55" spans="1:10" x14ac:dyDescent="0.25">
      <c r="B55" s="958" t="s">
        <v>286</v>
      </c>
      <c r="C55" s="1101">
        <f>MIN(MAX(C52-C53-C54,0),C51)</f>
        <v>0</v>
      </c>
      <c r="D55" s="1100">
        <f>(C55*$K$1)*$C$1</f>
        <v>0</v>
      </c>
      <c r="E55" s="80"/>
      <c r="F55" s="80"/>
      <c r="G55" s="962" t="s">
        <v>286</v>
      </c>
      <c r="H55" s="1035">
        <f>MIN(MAX(H52-H53-H54),H51)</f>
        <v>0</v>
      </c>
      <c r="I55" s="1021">
        <f>J55/$R$1</f>
        <v>0</v>
      </c>
      <c r="J55" s="1021">
        <f>MIN(MAX(J52-J53-J54),J51)</f>
        <v>0</v>
      </c>
    </row>
    <row r="56" spans="1:10" x14ac:dyDescent="0.25">
      <c r="B56" s="890"/>
      <c r="D56" s="890"/>
      <c r="E56" s="890"/>
      <c r="F56" s="890"/>
      <c r="H56" s="890"/>
    </row>
    <row r="57" spans="1:10" x14ac:dyDescent="0.25">
      <c r="B57" s="890"/>
      <c r="D57" s="890"/>
      <c r="E57" s="890"/>
      <c r="F57" s="890"/>
      <c r="H57" s="890"/>
    </row>
    <row r="58" spans="1:10" x14ac:dyDescent="0.25">
      <c r="B58" s="890"/>
      <c r="D58" s="890"/>
      <c r="E58" s="890"/>
      <c r="F58" s="890"/>
      <c r="H58" s="890"/>
    </row>
    <row r="59" spans="1:10" x14ac:dyDescent="0.25">
      <c r="B59" s="890"/>
      <c r="D59" s="890"/>
      <c r="E59" s="890"/>
      <c r="F59" s="890"/>
      <c r="H59" s="890"/>
    </row>
    <row r="60" spans="1:10" x14ac:dyDescent="0.25">
      <c r="B60" s="890"/>
      <c r="D60" s="890"/>
      <c r="E60" s="890"/>
      <c r="F60" s="890"/>
      <c r="H60" s="890"/>
    </row>
    <row r="61" spans="1:10" x14ac:dyDescent="0.25">
      <c r="B61" s="890"/>
      <c r="D61" s="890"/>
      <c r="E61" s="890"/>
      <c r="F61" s="890"/>
      <c r="H61" s="890"/>
    </row>
    <row r="62" spans="1:10" x14ac:dyDescent="0.25">
      <c r="A62" s="867"/>
      <c r="B62" s="1776" t="str">
        <f>" ساندوتش تشيكن فاهيتا  1 / " &amp; COUNTIF($C$53:$C$55, "&gt;0")</f>
        <v xml:space="preserve"> ساندوتش تشيكن فاهيتا  1 / 1</v>
      </c>
      <c r="C62" s="1777"/>
      <c r="D62" s="1778"/>
      <c r="E62" s="1778"/>
      <c r="F62" s="1778"/>
      <c r="G62" s="1777"/>
      <c r="H62" s="1778"/>
    </row>
    <row r="63" spans="1:10" x14ac:dyDescent="0.25">
      <c r="A63" s="867"/>
      <c r="B63" s="1776" t="str">
        <f>"Chicken Fajita 1 / " &amp; COUNTIF($C$53:$C$55, "&gt;0")</f>
        <v>Chicken Fajita 1 / 1</v>
      </c>
      <c r="C63" s="1777"/>
      <c r="D63" s="1778"/>
      <c r="E63" s="1778"/>
      <c r="F63" s="1778"/>
      <c r="G63" s="1777"/>
      <c r="H63" s="1778"/>
    </row>
    <row r="64" spans="1:10" ht="38.25" x14ac:dyDescent="0.2">
      <c r="A64" s="1350" t="s">
        <v>864</v>
      </c>
      <c r="B64" s="1104" t="s">
        <v>241</v>
      </c>
      <c r="C64" s="934" t="s">
        <v>242</v>
      </c>
      <c r="D64" s="1104" t="s">
        <v>231</v>
      </c>
      <c r="E64" s="936" t="s">
        <v>234</v>
      </c>
      <c r="F64" s="936" t="s">
        <v>243</v>
      </c>
      <c r="G64" s="1104" t="s">
        <v>244</v>
      </c>
      <c r="H64" s="936" t="s">
        <v>245</v>
      </c>
    </row>
    <row r="65" spans="1:8" x14ac:dyDescent="0.2">
      <c r="A65" s="937" t="s">
        <v>873</v>
      </c>
      <c r="B65" s="1130" t="str">
        <f t="shared" ref="B65:D70" si="20">B5</f>
        <v>Chicken - دجاج</v>
      </c>
      <c r="C65" s="1252" t="str">
        <f t="shared" si="20"/>
        <v>gm</v>
      </c>
      <c r="D65" s="1426">
        <f t="shared" si="20"/>
        <v>5649.8305084745762</v>
      </c>
      <c r="E65" s="1167">
        <f>H53</f>
        <v>2.8375532489350217</v>
      </c>
      <c r="F65" s="948">
        <f t="shared" ref="F65:F76" si="21">F5</f>
        <v>1</v>
      </c>
      <c r="G65" s="940">
        <f t="shared" ref="G65:G70" si="22">D65*E65</f>
        <v>16031.694915254238</v>
      </c>
      <c r="H65" s="943">
        <f t="shared" ref="H65:H70" si="23">G65*F65</f>
        <v>16031.694915254238</v>
      </c>
    </row>
    <row r="66" spans="1:8" x14ac:dyDescent="0.25">
      <c r="B66" s="1130" t="str">
        <f t="shared" si="20"/>
        <v>Onion - بصل</v>
      </c>
      <c r="C66" s="1252" t="str">
        <f t="shared" si="20"/>
        <v>gm</v>
      </c>
      <c r="D66" s="1130">
        <f t="shared" si="20"/>
        <v>190</v>
      </c>
      <c r="E66" s="1167">
        <f t="shared" ref="E66:E76" si="24">$C$53</f>
        <v>2.8413000000000004</v>
      </c>
      <c r="F66" s="948">
        <f t="shared" si="21"/>
        <v>1</v>
      </c>
      <c r="G66" s="940">
        <f t="shared" si="22"/>
        <v>539.84700000000009</v>
      </c>
      <c r="H66" s="943">
        <f t="shared" si="23"/>
        <v>539.84700000000009</v>
      </c>
    </row>
    <row r="67" spans="1:8" x14ac:dyDescent="0.25">
      <c r="B67" s="1130" t="str">
        <f t="shared" si="20"/>
        <v xml:space="preserve">Red Bell Pepper - فلفل أحمر </v>
      </c>
      <c r="C67" s="1252" t="str">
        <f t="shared" si="20"/>
        <v>gm</v>
      </c>
      <c r="D67" s="1130">
        <f t="shared" si="20"/>
        <v>190</v>
      </c>
      <c r="E67" s="1167">
        <f t="shared" si="24"/>
        <v>2.8413000000000004</v>
      </c>
      <c r="F67" s="948">
        <f t="shared" si="21"/>
        <v>1</v>
      </c>
      <c r="G67" s="940">
        <f t="shared" si="22"/>
        <v>539.84700000000009</v>
      </c>
      <c r="H67" s="943">
        <f t="shared" si="23"/>
        <v>539.84700000000009</v>
      </c>
    </row>
    <row r="68" spans="1:8" x14ac:dyDescent="0.25">
      <c r="B68" s="1130" t="str">
        <f t="shared" si="20"/>
        <v xml:space="preserve">Yellow Bell Pepper - فلفل أصفر </v>
      </c>
      <c r="C68" s="1252" t="str">
        <f t="shared" si="20"/>
        <v>gm</v>
      </c>
      <c r="D68" s="1130">
        <f t="shared" si="20"/>
        <v>190</v>
      </c>
      <c r="E68" s="1167">
        <f t="shared" si="24"/>
        <v>2.8413000000000004</v>
      </c>
      <c r="F68" s="948">
        <f t="shared" si="21"/>
        <v>1</v>
      </c>
      <c r="G68" s="940">
        <f t="shared" si="22"/>
        <v>539.84700000000009</v>
      </c>
      <c r="H68" s="943">
        <f t="shared" si="23"/>
        <v>539.84700000000009</v>
      </c>
    </row>
    <row r="69" spans="1:8" ht="28.5" x14ac:dyDescent="0.25">
      <c r="B69" s="1130" t="str">
        <f t="shared" si="20"/>
        <v>Green Bell Pepper - فلفل أخضر رومى</v>
      </c>
      <c r="C69" s="1252" t="str">
        <f t="shared" si="20"/>
        <v>gm</v>
      </c>
      <c r="D69" s="1130">
        <f t="shared" si="20"/>
        <v>190</v>
      </c>
      <c r="E69" s="1167">
        <f t="shared" si="24"/>
        <v>2.8413000000000004</v>
      </c>
      <c r="F69" s="948">
        <f t="shared" si="21"/>
        <v>1</v>
      </c>
      <c r="G69" s="940">
        <f t="shared" si="22"/>
        <v>539.84700000000009</v>
      </c>
      <c r="H69" s="943">
        <f t="shared" si="23"/>
        <v>539.84700000000009</v>
      </c>
    </row>
    <row r="70" spans="1:8" x14ac:dyDescent="0.25">
      <c r="B70" s="1130" t="str">
        <f t="shared" si="20"/>
        <v>Tomato Ketchup - كاتشب طماطم</v>
      </c>
      <c r="C70" s="1252" t="str">
        <f t="shared" si="20"/>
        <v>ml</v>
      </c>
      <c r="D70" s="1130">
        <f t="shared" si="20"/>
        <v>360</v>
      </c>
      <c r="E70" s="1167">
        <f t="shared" si="24"/>
        <v>2.8413000000000004</v>
      </c>
      <c r="F70" s="948">
        <f t="shared" si="21"/>
        <v>1</v>
      </c>
      <c r="G70" s="940">
        <f t="shared" si="22"/>
        <v>1022.8680000000002</v>
      </c>
      <c r="H70" s="943">
        <f t="shared" si="23"/>
        <v>1022.8680000000002</v>
      </c>
    </row>
    <row r="71" spans="1:8" ht="28.5" x14ac:dyDescent="0.25">
      <c r="B71" s="1130" t="str">
        <f t="shared" ref="B71:D71" si="25">B11</f>
        <v>Sriracha Sauce - صوص سريراتشا</v>
      </c>
      <c r="C71" s="1252" t="str">
        <f t="shared" si="25"/>
        <v>ml</v>
      </c>
      <c r="D71" s="1130">
        <f t="shared" si="25"/>
        <v>95</v>
      </c>
      <c r="E71" s="1167">
        <f t="shared" si="24"/>
        <v>2.8413000000000004</v>
      </c>
      <c r="F71" s="948">
        <f t="shared" si="21"/>
        <v>1</v>
      </c>
      <c r="G71" s="940">
        <f t="shared" ref="G71:G76" si="26">D71*E71</f>
        <v>269.92350000000005</v>
      </c>
      <c r="H71" s="943">
        <f t="shared" ref="H71:H76" si="27">G71*F71</f>
        <v>269.92350000000005</v>
      </c>
    </row>
    <row r="72" spans="1:8" ht="28.5" x14ac:dyDescent="0.25">
      <c r="B72" s="1130" t="str">
        <f t="shared" ref="B72:D72" si="28">B12</f>
        <v>Coriander Leaves - كزبرة خضراء</v>
      </c>
      <c r="C72" s="1252" t="str">
        <f t="shared" si="28"/>
        <v>gm</v>
      </c>
      <c r="D72" s="1130">
        <f t="shared" si="28"/>
        <v>25</v>
      </c>
      <c r="E72" s="1167">
        <f t="shared" si="24"/>
        <v>2.8413000000000004</v>
      </c>
      <c r="F72" s="948">
        <f t="shared" si="21"/>
        <v>1</v>
      </c>
      <c r="G72" s="940">
        <f t="shared" si="26"/>
        <v>71.032500000000013</v>
      </c>
      <c r="H72" s="943">
        <f t="shared" si="27"/>
        <v>71.032500000000013</v>
      </c>
    </row>
    <row r="73" spans="1:8" ht="28.5" x14ac:dyDescent="0.25">
      <c r="B73" s="1130" t="str">
        <f t="shared" ref="B73:D73" si="29">B13</f>
        <v>Whole Wheat Oat Sub Roll - صامولي اسمر شوفان 16 سم</v>
      </c>
      <c r="C73" s="1252" t="str">
        <f t="shared" si="29"/>
        <v>Piece</v>
      </c>
      <c r="D73" s="1130">
        <f t="shared" si="29"/>
        <v>1</v>
      </c>
      <c r="E73" s="1167">
        <f>E13</f>
        <v>123</v>
      </c>
      <c r="F73" s="948">
        <f t="shared" si="21"/>
        <v>1</v>
      </c>
      <c r="G73" s="940">
        <f t="shared" si="26"/>
        <v>123</v>
      </c>
      <c r="H73" s="943">
        <f t="shared" si="27"/>
        <v>123</v>
      </c>
    </row>
    <row r="74" spans="1:8" x14ac:dyDescent="0.25">
      <c r="B74" s="1130" t="str">
        <f t="shared" ref="B74:D74" si="30">B14</f>
        <v>Garlic - ثوم مقشر</v>
      </c>
      <c r="C74" s="1252" t="str">
        <f t="shared" si="30"/>
        <v>gm</v>
      </c>
      <c r="D74" s="1130">
        <f t="shared" si="30"/>
        <v>20</v>
      </c>
      <c r="E74" s="1167">
        <f t="shared" si="24"/>
        <v>2.8413000000000004</v>
      </c>
      <c r="F74" s="948">
        <f t="shared" si="21"/>
        <v>1</v>
      </c>
      <c r="G74" s="940">
        <f t="shared" si="26"/>
        <v>56.826000000000008</v>
      </c>
      <c r="H74" s="943">
        <f t="shared" si="27"/>
        <v>56.826000000000008</v>
      </c>
    </row>
    <row r="75" spans="1:8" x14ac:dyDescent="0.25">
      <c r="B75" s="1130" t="str">
        <f t="shared" ref="B75:D75" si="31">B15</f>
        <v>Butter - زبدة</v>
      </c>
      <c r="C75" s="1252" t="str">
        <f t="shared" si="31"/>
        <v>gm</v>
      </c>
      <c r="D75" s="1130">
        <f t="shared" si="31"/>
        <v>50</v>
      </c>
      <c r="E75" s="1167">
        <f t="shared" si="24"/>
        <v>2.8413000000000004</v>
      </c>
      <c r="F75" s="948">
        <f t="shared" si="21"/>
        <v>1</v>
      </c>
      <c r="G75" s="940">
        <f t="shared" si="26"/>
        <v>142.06500000000003</v>
      </c>
      <c r="H75" s="943">
        <f t="shared" si="27"/>
        <v>142.06500000000003</v>
      </c>
    </row>
    <row r="76" spans="1:8" x14ac:dyDescent="0.25">
      <c r="B76" s="1130" t="str">
        <f t="shared" ref="B76:D76" si="32">B16</f>
        <v>Salt - ملح</v>
      </c>
      <c r="C76" s="1252" t="str">
        <f t="shared" si="32"/>
        <v>gm</v>
      </c>
      <c r="D76" s="1130">
        <f t="shared" si="32"/>
        <v>5</v>
      </c>
      <c r="E76" s="1167">
        <f t="shared" si="24"/>
        <v>2.8413000000000004</v>
      </c>
      <c r="F76" s="948">
        <f t="shared" si="21"/>
        <v>1</v>
      </c>
      <c r="G76" s="940">
        <f t="shared" si="26"/>
        <v>14.206500000000002</v>
      </c>
      <c r="H76" s="943">
        <f t="shared" si="27"/>
        <v>14.206500000000002</v>
      </c>
    </row>
    <row r="77" spans="1:8" ht="18" x14ac:dyDescent="0.25">
      <c r="A77" s="861"/>
      <c r="B77" s="1041" t="s">
        <v>287</v>
      </c>
      <c r="C77" s="1042" t="s">
        <v>273</v>
      </c>
      <c r="D77" s="1041" t="s">
        <v>537</v>
      </c>
      <c r="E77" s="1044" t="s">
        <v>288</v>
      </c>
      <c r="F77" s="1043"/>
      <c r="G77" s="1045" t="s">
        <v>264</v>
      </c>
      <c r="H77" s="1046" t="s">
        <v>661</v>
      </c>
    </row>
    <row r="78" spans="1:8" ht="20.25" x14ac:dyDescent="0.3">
      <c r="A78" s="861"/>
      <c r="B78" s="1047">
        <f>$J$53</f>
        <v>9458.7000000000007</v>
      </c>
      <c r="C78" s="1283">
        <f>E78+G78</f>
        <v>2841.3</v>
      </c>
      <c r="D78" s="1047">
        <f>$AF$1</f>
        <v>123</v>
      </c>
      <c r="E78" s="1284">
        <f>$D$53*$S$44</f>
        <v>2841.3</v>
      </c>
      <c r="F78" s="1208"/>
      <c r="G78" s="1386">
        <f>$D$53*$T$44</f>
        <v>0</v>
      </c>
      <c r="H78" s="1285">
        <f>B78+E78</f>
        <v>12300</v>
      </c>
    </row>
  </sheetData>
  <mergeCells count="7">
    <mergeCell ref="AK2:AN2"/>
    <mergeCell ref="B63:H63"/>
    <mergeCell ref="AE2:AG3"/>
    <mergeCell ref="R26:U26"/>
    <mergeCell ref="B62:H62"/>
    <mergeCell ref="R25:U25"/>
    <mergeCell ref="B2:K3"/>
  </mergeCells>
  <printOptions horizontalCentered="1"/>
  <pageMargins left="0.4" right="0.4" top="1" bottom="0.5" header="0.3" footer="0.511811023622047"/>
  <pageSetup paperSize="9" scale="69" orientation="landscape" r:id="rId1"/>
  <headerFooter>
    <oddHeader>&amp;C&amp;B&amp;16Chicken Fajita</oddHeader>
  </headerFooter>
  <ignoredErrors>
    <ignoredError sqref="E74" formula="1"/>
  </ignoredErrors>
  <legacy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rgb="FFFFFF00"/>
    <pageSetUpPr fitToPage="1"/>
  </sheetPr>
  <dimension ref="A1:AG144"/>
  <sheetViews>
    <sheetView topLeftCell="A47" zoomScale="85" zoomScaleNormal="85" workbookViewId="0">
      <selection activeCell="B63" sqref="B63:H63"/>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7" width="4.75" style="14" customWidth="1"/>
    <col min="18" max="18" width="25.875" style="14" customWidth="1"/>
    <col min="19" max="19" width="18.625" style="14" customWidth="1"/>
    <col min="20" max="20" width="12.625" style="14" customWidth="1"/>
    <col min="21" max="24" width="3.875" style="14" customWidth="1"/>
    <col min="25" max="30" width="8.625" style="14" customWidth="1"/>
    <col min="31" max="16384" width="12.5" style="14"/>
  </cols>
  <sheetData>
    <row r="1" spans="1:33" x14ac:dyDescent="0.25">
      <c r="B1" s="913" t="s">
        <v>231</v>
      </c>
      <c r="C1" s="914">
        <v>1000</v>
      </c>
      <c r="D1" s="915" t="s">
        <v>232</v>
      </c>
      <c r="E1" s="941">
        <f>S30</f>
        <v>20430</v>
      </c>
      <c r="F1" s="913" t="s">
        <v>233</v>
      </c>
      <c r="G1" s="1126">
        <f>E1/C1</f>
        <v>20.43</v>
      </c>
      <c r="H1" s="913" t="s">
        <v>234</v>
      </c>
      <c r="I1" s="941">
        <f>G1/K1</f>
        <v>20.227722772277229</v>
      </c>
      <c r="J1" s="913" t="s">
        <v>235</v>
      </c>
      <c r="K1" s="1208">
        <v>1.01</v>
      </c>
      <c r="L1" s="80"/>
      <c r="M1" s="80"/>
      <c r="N1" s="80"/>
      <c r="O1" s="80"/>
      <c r="P1" s="80"/>
      <c r="Q1" s="80"/>
      <c r="R1" s="80"/>
      <c r="S1" s="80"/>
      <c r="T1" s="80"/>
      <c r="U1" s="80"/>
      <c r="V1" s="80"/>
      <c r="Y1" s="923" t="s">
        <v>444</v>
      </c>
      <c r="Z1" s="925">
        <v>20430</v>
      </c>
      <c r="AA1" s="923" t="s">
        <v>544</v>
      </c>
      <c r="AB1" s="925">
        <v>0</v>
      </c>
      <c r="AC1" s="923" t="s">
        <v>537</v>
      </c>
      <c r="AD1" s="925">
        <v>148</v>
      </c>
    </row>
    <row r="2" spans="1:33" ht="15.75" x14ac:dyDescent="0.25">
      <c r="A2" s="863"/>
      <c r="B2" s="1576" t="s">
        <v>342</v>
      </c>
      <c r="C2" s="1576"/>
      <c r="D2" s="1576"/>
      <c r="E2" s="1576"/>
      <c r="F2" s="1576"/>
      <c r="G2" s="1576"/>
      <c r="H2" s="1576"/>
      <c r="I2" s="1208"/>
      <c r="J2" s="1208"/>
      <c r="K2" s="1208"/>
      <c r="L2" s="80"/>
      <c r="M2" s="80"/>
      <c r="N2" s="80"/>
      <c r="O2" s="80"/>
      <c r="P2" s="80"/>
      <c r="Q2" s="80"/>
      <c r="R2" s="80"/>
      <c r="S2" s="80"/>
      <c r="T2" s="80"/>
      <c r="U2" s="80"/>
      <c r="AE2" s="1821"/>
      <c r="AF2" s="1799"/>
      <c r="AG2" s="1799"/>
    </row>
    <row r="3" spans="1:33" ht="15.75" x14ac:dyDescent="0.25">
      <c r="A3" s="863"/>
      <c r="B3" s="265"/>
      <c r="C3" s="265"/>
      <c r="D3" s="265"/>
      <c r="E3" s="265"/>
      <c r="F3" s="265"/>
      <c r="G3" s="265"/>
      <c r="H3" s="265"/>
      <c r="I3" s="80"/>
      <c r="J3" s="80"/>
      <c r="K3" s="80"/>
      <c r="L3" s="80"/>
      <c r="M3" s="80"/>
      <c r="N3" s="80"/>
      <c r="O3" s="80"/>
      <c r="P3" s="80"/>
      <c r="Q3" s="80"/>
      <c r="R3" s="80"/>
      <c r="S3" s="80"/>
      <c r="T3" s="80"/>
      <c r="U3" s="80"/>
      <c r="AE3" s="1799"/>
      <c r="AF3" s="1799"/>
      <c r="AG3" s="1799"/>
    </row>
    <row r="4" spans="1:33" ht="25.5"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Q4" s="80"/>
      <c r="R4" s="80"/>
      <c r="S4" s="80"/>
      <c r="T4" s="80"/>
      <c r="U4" s="80"/>
    </row>
    <row r="5" spans="1:33" x14ac:dyDescent="0.2">
      <c r="A5" s="876"/>
      <c r="B5" s="1288"/>
      <c r="C5" s="1289"/>
      <c r="D5" s="1290"/>
      <c r="E5" s="1291"/>
      <c r="F5" s="1290"/>
      <c r="G5" s="1290"/>
      <c r="H5" s="1334"/>
      <c r="I5" s="1195"/>
      <c r="J5" s="1452"/>
      <c r="K5" s="1200"/>
      <c r="L5" s="1200"/>
      <c r="R5" s="890"/>
    </row>
    <row r="6" spans="1:33" x14ac:dyDescent="0.25">
      <c r="B6" s="1130" t="s">
        <v>21</v>
      </c>
      <c r="C6" s="947" t="s">
        <v>14</v>
      </c>
      <c r="D6" s="940">
        <v>1175</v>
      </c>
      <c r="E6" s="940">
        <f t="shared" ref="E6:E12" si="0">$I$1</f>
        <v>20.227722772277229</v>
      </c>
      <c r="F6" s="948">
        <v>1</v>
      </c>
      <c r="G6" s="940">
        <f t="shared" ref="G6:G12" si="1">D6*E6</f>
        <v>23767.574257425746</v>
      </c>
      <c r="H6" s="943">
        <f t="shared" ref="H6:H12" si="2">G6*F6</f>
        <v>23767.574257425746</v>
      </c>
      <c r="I6" s="914">
        <f>VLOOKUP(B6,All_Ingredients!$A$1:$F$161,6,FALSE())</f>
        <v>0.9</v>
      </c>
      <c r="J6" s="944">
        <f>VLOOKUP(B6,All_Ingredients!$A$1:$J$161,10,FALSE())</f>
        <v>2.2999999999999998</v>
      </c>
      <c r="K6" s="945">
        <f t="shared" ref="K6" si="3">(H6/I6)/1000</f>
        <v>26.408415841584159</v>
      </c>
      <c r="L6" s="945">
        <f t="shared" ref="L6" si="4">K6*J6</f>
        <v>60.739356435643558</v>
      </c>
      <c r="R6" s="890"/>
    </row>
    <row r="7" spans="1:33" x14ac:dyDescent="0.25">
      <c r="B7" s="1130" t="s">
        <v>54</v>
      </c>
      <c r="C7" s="947" t="s">
        <v>14</v>
      </c>
      <c r="D7" s="940">
        <v>10</v>
      </c>
      <c r="E7" s="940">
        <f t="shared" si="0"/>
        <v>20.227722772277229</v>
      </c>
      <c r="F7" s="948">
        <v>1</v>
      </c>
      <c r="G7" s="940">
        <f t="shared" si="1"/>
        <v>202.2772277227723</v>
      </c>
      <c r="H7" s="943">
        <f t="shared" si="2"/>
        <v>202.2772277227723</v>
      </c>
      <c r="I7" s="914">
        <f>VLOOKUP(B7,All_Ingredients!$A$1:$F$161,6,FALSE())</f>
        <v>0.87</v>
      </c>
      <c r="J7" s="944">
        <f>VLOOKUP(B7,All_Ingredients!$A$1:$J$161,10,FALSE())</f>
        <v>7</v>
      </c>
      <c r="K7" s="945">
        <f t="shared" ref="K7:K12" si="5">(H7/I7)/1000</f>
        <v>0.2325025606008877</v>
      </c>
      <c r="L7" s="945">
        <f t="shared" ref="L7:L12" si="6">K7*J7</f>
        <v>1.6275179242062139</v>
      </c>
      <c r="R7" s="890"/>
    </row>
    <row r="8" spans="1:33" ht="28.5" x14ac:dyDescent="0.25">
      <c r="B8" s="1130" t="s">
        <v>60</v>
      </c>
      <c r="C8" s="947" t="s">
        <v>14</v>
      </c>
      <c r="D8" s="940">
        <v>5</v>
      </c>
      <c r="E8" s="940">
        <f t="shared" si="0"/>
        <v>20.227722772277229</v>
      </c>
      <c r="F8" s="948">
        <v>1</v>
      </c>
      <c r="G8" s="940">
        <f t="shared" si="1"/>
        <v>101.13861386138615</v>
      </c>
      <c r="H8" s="943">
        <f t="shared" si="2"/>
        <v>101.13861386138615</v>
      </c>
      <c r="I8" s="914">
        <f>VLOOKUP(B8,All_Ingredients!$A$1:$F$161,6,FALSE())</f>
        <v>0.94</v>
      </c>
      <c r="J8" s="944">
        <f>VLOOKUP(B8,All_Ingredients!$A$1:$J$161,10,FALSE())</f>
        <v>3.6363636363636367</v>
      </c>
      <c r="K8" s="945">
        <f t="shared" si="5"/>
        <v>0.10759427006530442</v>
      </c>
      <c r="L8" s="945">
        <f t="shared" si="6"/>
        <v>0.39125189114656156</v>
      </c>
      <c r="R8" s="890"/>
    </row>
    <row r="9" spans="1:33" x14ac:dyDescent="0.25">
      <c r="B9" s="1130" t="s">
        <v>152</v>
      </c>
      <c r="C9" s="947" t="s">
        <v>14</v>
      </c>
      <c r="D9" s="940">
        <v>10</v>
      </c>
      <c r="E9" s="940">
        <f t="shared" si="0"/>
        <v>20.227722772277229</v>
      </c>
      <c r="F9" s="948">
        <v>1</v>
      </c>
      <c r="G9" s="940">
        <f t="shared" si="1"/>
        <v>202.2772277227723</v>
      </c>
      <c r="H9" s="943">
        <f t="shared" si="2"/>
        <v>202.2772277227723</v>
      </c>
      <c r="I9" s="914">
        <f>VLOOKUP(B9,All_Ingredients!$A$1:$F$161,6,FALSE())</f>
        <v>1</v>
      </c>
      <c r="J9" s="944">
        <f>VLOOKUP(B9,All_Ingredients!$A$1:$J$161,10,FALSE())</f>
        <v>30</v>
      </c>
      <c r="K9" s="945">
        <f t="shared" si="5"/>
        <v>0.20227722772277229</v>
      </c>
      <c r="L9" s="945">
        <f t="shared" si="6"/>
        <v>6.0683168316831688</v>
      </c>
      <c r="R9" s="890"/>
    </row>
    <row r="10" spans="1:33" x14ac:dyDescent="0.25">
      <c r="B10" s="1130" t="s">
        <v>101</v>
      </c>
      <c r="C10" s="947" t="s">
        <v>14</v>
      </c>
      <c r="D10" s="940">
        <v>2</v>
      </c>
      <c r="E10" s="940">
        <f t="shared" si="0"/>
        <v>20.227722772277229</v>
      </c>
      <c r="F10" s="948">
        <v>0.75</v>
      </c>
      <c r="G10" s="940">
        <f t="shared" si="1"/>
        <v>40.455445544554458</v>
      </c>
      <c r="H10" s="943">
        <f t="shared" si="2"/>
        <v>30.341584158415841</v>
      </c>
      <c r="I10" s="914">
        <f>VLOOKUP(B10,All_Ingredients!$A$1:$F$161,6,FALSE())</f>
        <v>1</v>
      </c>
      <c r="J10" s="944">
        <f>VLOOKUP(B10,All_Ingredients!$A$1:$J$161,10,FALSE())</f>
        <v>47</v>
      </c>
      <c r="K10" s="945">
        <f t="shared" si="5"/>
        <v>3.0341584158415841E-2</v>
      </c>
      <c r="L10" s="945">
        <f t="shared" si="6"/>
        <v>1.4260544554455445</v>
      </c>
      <c r="R10" s="890"/>
    </row>
    <row r="11" spans="1:33" x14ac:dyDescent="0.25">
      <c r="B11" s="1130" t="s">
        <v>93</v>
      </c>
      <c r="C11" s="947" t="s">
        <v>14</v>
      </c>
      <c r="D11" s="940">
        <v>5</v>
      </c>
      <c r="E11" s="940">
        <f t="shared" si="0"/>
        <v>20.227722772277229</v>
      </c>
      <c r="F11" s="948">
        <v>0.75</v>
      </c>
      <c r="G11" s="940">
        <f t="shared" si="1"/>
        <v>101.13861386138615</v>
      </c>
      <c r="H11" s="943">
        <f t="shared" si="2"/>
        <v>75.853960396039611</v>
      </c>
      <c r="I11" s="914">
        <f>VLOOKUP(B11,All_Ingredients!$A$1:$F$161,6,FALSE())</f>
        <v>1</v>
      </c>
      <c r="J11" s="944">
        <f>VLOOKUP(B11,All_Ingredients!$A$1:$J$161,10,FALSE())</f>
        <v>0.74</v>
      </c>
      <c r="K11" s="945">
        <f t="shared" si="5"/>
        <v>7.5853960396039616E-2</v>
      </c>
      <c r="L11" s="945">
        <f t="shared" si="6"/>
        <v>5.6131930693069314E-2</v>
      </c>
      <c r="R11" s="890"/>
    </row>
    <row r="12" spans="1:33" x14ac:dyDescent="0.25">
      <c r="B12" s="1130" t="s">
        <v>105</v>
      </c>
      <c r="C12" s="947" t="s">
        <v>14</v>
      </c>
      <c r="D12" s="940">
        <v>1</v>
      </c>
      <c r="E12" s="940">
        <f t="shared" si="0"/>
        <v>20.227722772277229</v>
      </c>
      <c r="F12" s="948">
        <v>0.75</v>
      </c>
      <c r="G12" s="940">
        <f t="shared" si="1"/>
        <v>20.227722772277229</v>
      </c>
      <c r="H12" s="943">
        <f t="shared" si="2"/>
        <v>15.170792079207921</v>
      </c>
      <c r="I12" s="914">
        <f>VLOOKUP(B12,All_Ingredients!$A$1:$F$161,6,FALSE())</f>
        <v>1</v>
      </c>
      <c r="J12" s="944">
        <f>VLOOKUP(B12,All_Ingredients!$A$1:$J$161,10,FALSE())</f>
        <v>15</v>
      </c>
      <c r="K12" s="945">
        <f t="shared" si="5"/>
        <v>1.517079207920792E-2</v>
      </c>
      <c r="L12" s="945">
        <f t="shared" si="6"/>
        <v>0.22756188118811882</v>
      </c>
      <c r="R12" s="890"/>
    </row>
    <row r="25" spans="18:29" x14ac:dyDescent="0.25">
      <c r="R25" s="1792" t="s">
        <v>344</v>
      </c>
      <c r="S25" s="1787"/>
      <c r="T25" s="1787"/>
      <c r="Z25" s="982" t="s">
        <v>14</v>
      </c>
      <c r="AA25" s="989">
        <v>1</v>
      </c>
      <c r="AB25" s="982" t="s">
        <v>249</v>
      </c>
      <c r="AC25" s="985">
        <f>(S34/S30)*AA25</f>
        <v>3.452579116495655E-3</v>
      </c>
    </row>
    <row r="26" spans="18:29" x14ac:dyDescent="0.25">
      <c r="R26" s="1074" t="s">
        <v>337</v>
      </c>
      <c r="S26" s="1345"/>
      <c r="T26" s="1345"/>
    </row>
    <row r="27" spans="18:29" x14ac:dyDescent="0.25">
      <c r="R27" s="961" t="s">
        <v>254</v>
      </c>
      <c r="S27" s="962" t="s">
        <v>338</v>
      </c>
      <c r="T27" s="962" t="s">
        <v>257</v>
      </c>
    </row>
    <row r="28" spans="18:29" x14ac:dyDescent="0.25">
      <c r="R28" s="961" t="s">
        <v>263</v>
      </c>
      <c r="S28" s="1170">
        <f>T28</f>
        <v>20430</v>
      </c>
      <c r="T28" s="1391">
        <f>$Z$1</f>
        <v>20430</v>
      </c>
    </row>
    <row r="29" spans="18:29" x14ac:dyDescent="0.25">
      <c r="R29" s="961" t="s">
        <v>265</v>
      </c>
      <c r="S29" s="1391">
        <f>$AB$1</f>
        <v>0</v>
      </c>
      <c r="T29" s="959"/>
    </row>
    <row r="30" spans="18:29" x14ac:dyDescent="0.25">
      <c r="R30" s="961" t="s">
        <v>257</v>
      </c>
      <c r="S30" s="966">
        <f>SUM(S28:S29)</f>
        <v>20430</v>
      </c>
      <c r="T30" s="966">
        <f>S30</f>
        <v>20430</v>
      </c>
    </row>
    <row r="34" spans="18:20" ht="15.75" thickBot="1" x14ac:dyDescent="0.3">
      <c r="R34" s="909" t="s">
        <v>249</v>
      </c>
      <c r="S34" s="548">
        <f>SUM(L6:L12)</f>
        <v>70.536191350006234</v>
      </c>
      <c r="T34" s="594">
        <f>S34</f>
        <v>70.536191350006234</v>
      </c>
    </row>
    <row r="50" spans="1:8" x14ac:dyDescent="0.25">
      <c r="B50" s="958"/>
      <c r="C50" s="1076" t="s">
        <v>233</v>
      </c>
      <c r="D50" s="958" t="s">
        <v>279</v>
      </c>
      <c r="E50" s="890"/>
      <c r="F50" s="890"/>
      <c r="H50" s="890"/>
    </row>
    <row r="51" spans="1:8" x14ac:dyDescent="0.25">
      <c r="B51" s="1027" t="s">
        <v>283</v>
      </c>
      <c r="C51" s="1028">
        <f>10/$K$1</f>
        <v>9.9009900990099009</v>
      </c>
      <c r="D51" s="1029">
        <f>$C$1*10</f>
        <v>10000</v>
      </c>
      <c r="E51" s="890"/>
      <c r="F51" s="890"/>
      <c r="H51" s="890"/>
    </row>
    <row r="52" spans="1:8" x14ac:dyDescent="0.25">
      <c r="B52" s="958" t="s">
        <v>257</v>
      </c>
      <c r="C52" s="1099">
        <f>G1</f>
        <v>20.43</v>
      </c>
      <c r="D52" s="1100">
        <f>E1</f>
        <v>20430</v>
      </c>
      <c r="E52" s="890"/>
      <c r="F52" s="890"/>
      <c r="H52" s="890"/>
    </row>
    <row r="53" spans="1:8" x14ac:dyDescent="0.25">
      <c r="B53" s="958" t="s">
        <v>284</v>
      </c>
      <c r="C53" s="1101">
        <f>MIN($C$52, $C$51)</f>
        <v>9.9009900990099009</v>
      </c>
      <c r="D53" s="1100">
        <f t="shared" ref="D53:D59" si="7">(C53*$K$1)*$C$1</f>
        <v>10000</v>
      </c>
      <c r="E53" s="890"/>
      <c r="F53" s="890"/>
      <c r="H53" s="890"/>
    </row>
    <row r="54" spans="1:8" x14ac:dyDescent="0.25">
      <c r="B54" s="958" t="s">
        <v>285</v>
      </c>
      <c r="C54" s="1101">
        <f>MIN($C$52-C53, $C$51)</f>
        <v>9.9009900990099009</v>
      </c>
      <c r="D54" s="1100">
        <f t="shared" si="7"/>
        <v>10000</v>
      </c>
      <c r="E54" s="890"/>
      <c r="F54" s="890"/>
      <c r="H54" s="890"/>
    </row>
    <row r="55" spans="1:8" x14ac:dyDescent="0.25">
      <c r="B55" s="958" t="s">
        <v>286</v>
      </c>
      <c r="C55" s="1101">
        <f>MIN($C$52-C53-C54, $C$51)</f>
        <v>0.62801980198019791</v>
      </c>
      <c r="D55" s="1100">
        <f t="shared" si="7"/>
        <v>634.29999999999984</v>
      </c>
      <c r="E55" s="890"/>
      <c r="F55" s="890"/>
      <c r="H55" s="890"/>
    </row>
    <row r="56" spans="1:8" x14ac:dyDescent="0.25">
      <c r="B56" s="958" t="s">
        <v>293</v>
      </c>
      <c r="C56" s="1101">
        <f>MIN($C$52-C53-C54-C55, $C$51)</f>
        <v>0</v>
      </c>
      <c r="D56" s="1100">
        <f t="shared" si="7"/>
        <v>0</v>
      </c>
      <c r="E56" s="890"/>
      <c r="F56" s="890"/>
      <c r="H56" s="890"/>
    </row>
    <row r="57" spans="1:8" x14ac:dyDescent="0.25">
      <c r="B57" s="958" t="s">
        <v>343</v>
      </c>
      <c r="C57" s="1101">
        <f>MIN($C$52-C53-C54-C55-C56, $C$51)</f>
        <v>0</v>
      </c>
      <c r="D57" s="1100">
        <f t="shared" si="7"/>
        <v>0</v>
      </c>
      <c r="E57" s="890"/>
      <c r="F57" s="890"/>
      <c r="H57" s="890"/>
    </row>
    <row r="58" spans="1:8" x14ac:dyDescent="0.25">
      <c r="B58" s="958" t="s">
        <v>442</v>
      </c>
      <c r="C58" s="1101">
        <f>MIN($C$52-C53-C54-C55-C56-C57, $C$51)</f>
        <v>0</v>
      </c>
      <c r="D58" s="1100">
        <f t="shared" si="7"/>
        <v>0</v>
      </c>
      <c r="E58" s="890"/>
      <c r="F58" s="890"/>
      <c r="H58" s="890"/>
    </row>
    <row r="59" spans="1:8" x14ac:dyDescent="0.25">
      <c r="B59" s="958" t="s">
        <v>443</v>
      </c>
      <c r="C59" s="1101">
        <f>MIN($C$52-C53-C54-C55-C56-C57-C58, $C$51)</f>
        <v>0</v>
      </c>
      <c r="D59" s="1100">
        <f t="shared" si="7"/>
        <v>0</v>
      </c>
      <c r="E59" s="890"/>
      <c r="F59" s="890"/>
      <c r="H59" s="890"/>
    </row>
    <row r="60" spans="1:8" x14ac:dyDescent="0.25">
      <c r="B60" s="890"/>
      <c r="D60" s="890"/>
      <c r="E60" s="890"/>
      <c r="F60" s="890"/>
      <c r="H60" s="890"/>
    </row>
    <row r="61" spans="1:8" x14ac:dyDescent="0.25">
      <c r="B61" s="890"/>
      <c r="D61" s="890"/>
      <c r="E61" s="890"/>
      <c r="F61" s="890"/>
      <c r="H61" s="890"/>
    </row>
    <row r="62" spans="1:8" x14ac:dyDescent="0.25">
      <c r="A62" s="867"/>
      <c r="B62" s="1776" t="s">
        <v>577</v>
      </c>
      <c r="C62" s="1777"/>
      <c r="D62" s="1778"/>
      <c r="E62" s="1778"/>
      <c r="F62" s="1778"/>
      <c r="G62" s="1777"/>
      <c r="H62" s="1778"/>
    </row>
    <row r="63" spans="1:8" x14ac:dyDescent="0.25">
      <c r="A63" s="867"/>
      <c r="B63" s="1776" t="s">
        <v>342</v>
      </c>
      <c r="C63" s="1777"/>
      <c r="D63" s="1778"/>
      <c r="E63" s="1778"/>
      <c r="F63" s="1778"/>
      <c r="G63" s="1777"/>
      <c r="H63" s="1778"/>
    </row>
    <row r="64" spans="1:8" ht="38.25" x14ac:dyDescent="0.2">
      <c r="A64" s="872"/>
      <c r="B64" s="1104" t="s">
        <v>241</v>
      </c>
      <c r="C64" s="934" t="s">
        <v>242</v>
      </c>
      <c r="D64" s="1104" t="s">
        <v>231</v>
      </c>
      <c r="E64" s="936" t="s">
        <v>234</v>
      </c>
      <c r="F64" s="936" t="s">
        <v>243</v>
      </c>
      <c r="G64" s="1104" t="s">
        <v>244</v>
      </c>
      <c r="H64" s="936" t="s">
        <v>245</v>
      </c>
    </row>
    <row r="65" spans="1:8" x14ac:dyDescent="0.25">
      <c r="B65" s="1130" t="str">
        <f t="shared" ref="B65:D71" si="8">B6</f>
        <v>Potato - بطاطس</v>
      </c>
      <c r="C65" s="947" t="str">
        <f t="shared" si="8"/>
        <v>gm</v>
      </c>
      <c r="D65" s="914">
        <f t="shared" si="8"/>
        <v>1175</v>
      </c>
      <c r="E65" s="940">
        <f>$C$52</f>
        <v>20.43</v>
      </c>
      <c r="F65" s="948">
        <f t="shared" ref="F65:F71" si="9">F6</f>
        <v>1</v>
      </c>
      <c r="G65" s="940">
        <f t="shared" ref="G65:G71" si="10">D65*E65</f>
        <v>24005.25</v>
      </c>
      <c r="H65" s="943">
        <f t="shared" ref="H65:H71" si="11">G65*F65</f>
        <v>24005.25</v>
      </c>
    </row>
    <row r="66" spans="1:8" x14ac:dyDescent="0.25">
      <c r="B66" s="1130" t="str">
        <f t="shared" si="8"/>
        <v>Ginger - زنجبيل</v>
      </c>
      <c r="C66" s="947" t="str">
        <f t="shared" si="8"/>
        <v>gm</v>
      </c>
      <c r="D66" s="914">
        <f t="shared" si="8"/>
        <v>10</v>
      </c>
      <c r="E66" s="940">
        <f t="shared" ref="E66:E71" si="12">$C$52</f>
        <v>20.43</v>
      </c>
      <c r="F66" s="948">
        <f t="shared" si="9"/>
        <v>1</v>
      </c>
      <c r="G66" s="940">
        <f t="shared" si="10"/>
        <v>204.3</v>
      </c>
      <c r="H66" s="943">
        <f t="shared" si="11"/>
        <v>204.3</v>
      </c>
    </row>
    <row r="67" spans="1:8" ht="28.5" x14ac:dyDescent="0.25">
      <c r="B67" s="1130" t="str">
        <f t="shared" si="8"/>
        <v>Coriander Leaves - كزبرة خضراء</v>
      </c>
      <c r="C67" s="947" t="str">
        <f t="shared" si="8"/>
        <v>gm</v>
      </c>
      <c r="D67" s="914">
        <f t="shared" si="8"/>
        <v>5</v>
      </c>
      <c r="E67" s="940">
        <f t="shared" si="12"/>
        <v>20.43</v>
      </c>
      <c r="F67" s="948">
        <f t="shared" si="9"/>
        <v>1</v>
      </c>
      <c r="G67" s="940">
        <f t="shared" si="10"/>
        <v>102.15</v>
      </c>
      <c r="H67" s="943">
        <f t="shared" si="11"/>
        <v>102.15</v>
      </c>
    </row>
    <row r="68" spans="1:8" x14ac:dyDescent="0.25">
      <c r="B68" s="1130" t="str">
        <f t="shared" si="8"/>
        <v>Butter - زبدة</v>
      </c>
      <c r="C68" s="947" t="str">
        <f t="shared" si="8"/>
        <v>gm</v>
      </c>
      <c r="D68" s="914">
        <f t="shared" si="8"/>
        <v>10</v>
      </c>
      <c r="E68" s="940">
        <f t="shared" si="12"/>
        <v>20.43</v>
      </c>
      <c r="F68" s="948">
        <f t="shared" si="9"/>
        <v>1</v>
      </c>
      <c r="G68" s="940">
        <f t="shared" si="10"/>
        <v>204.3</v>
      </c>
      <c r="H68" s="943">
        <f t="shared" si="11"/>
        <v>204.3</v>
      </c>
    </row>
    <row r="69" spans="1:8" x14ac:dyDescent="0.25">
      <c r="B69" s="1130" t="str">
        <f t="shared" si="8"/>
        <v>White Pepper - فلفل أبيض</v>
      </c>
      <c r="C69" s="947" t="str">
        <f t="shared" si="8"/>
        <v>gm</v>
      </c>
      <c r="D69" s="914">
        <f t="shared" si="8"/>
        <v>2</v>
      </c>
      <c r="E69" s="940">
        <f t="shared" si="12"/>
        <v>20.43</v>
      </c>
      <c r="F69" s="948">
        <f t="shared" si="9"/>
        <v>0.75</v>
      </c>
      <c r="G69" s="940">
        <f t="shared" si="10"/>
        <v>40.86</v>
      </c>
      <c r="H69" s="943">
        <f t="shared" si="11"/>
        <v>30.645</v>
      </c>
    </row>
    <row r="70" spans="1:8" x14ac:dyDescent="0.25">
      <c r="B70" s="1130" t="str">
        <f t="shared" si="8"/>
        <v>Salt - ملح</v>
      </c>
      <c r="C70" s="947" t="str">
        <f t="shared" si="8"/>
        <v>gm</v>
      </c>
      <c r="D70" s="914">
        <f t="shared" si="8"/>
        <v>5</v>
      </c>
      <c r="E70" s="940">
        <f t="shared" si="12"/>
        <v>20.43</v>
      </c>
      <c r="F70" s="948">
        <f t="shared" si="9"/>
        <v>0.75</v>
      </c>
      <c r="G70" s="940">
        <f t="shared" si="10"/>
        <v>102.15</v>
      </c>
      <c r="H70" s="943">
        <f t="shared" si="11"/>
        <v>76.612500000000011</v>
      </c>
    </row>
    <row r="71" spans="1:8" x14ac:dyDescent="0.25">
      <c r="B71" s="1130" t="str">
        <f t="shared" si="8"/>
        <v>Cumin Powder - كمون مطحون</v>
      </c>
      <c r="C71" s="947" t="str">
        <f t="shared" si="8"/>
        <v>gm</v>
      </c>
      <c r="D71" s="914">
        <f t="shared" si="8"/>
        <v>1</v>
      </c>
      <c r="E71" s="940">
        <f t="shared" si="12"/>
        <v>20.43</v>
      </c>
      <c r="F71" s="948">
        <f t="shared" si="9"/>
        <v>0.75</v>
      </c>
      <c r="G71" s="940">
        <f t="shared" si="10"/>
        <v>20.43</v>
      </c>
      <c r="H71" s="943">
        <f t="shared" si="11"/>
        <v>15.3225</v>
      </c>
    </row>
    <row r="72" spans="1:8" ht="15.75" x14ac:dyDescent="0.25">
      <c r="B72" s="1041" t="s">
        <v>688</v>
      </c>
      <c r="C72" s="952"/>
      <c r="D72" s="1043"/>
      <c r="E72" s="1208"/>
      <c r="F72" s="1208"/>
      <c r="G72" s="952"/>
      <c r="H72" s="1043"/>
    </row>
    <row r="73" spans="1:8" ht="20.25" x14ac:dyDescent="0.3">
      <c r="B73" s="1047">
        <f>D52</f>
        <v>20430</v>
      </c>
      <c r="C73" s="1346"/>
      <c r="D73" s="1347"/>
      <c r="E73" s="1208"/>
      <c r="F73" s="1348"/>
      <c r="G73" s="952"/>
      <c r="H73" s="1043"/>
    </row>
    <row r="74" spans="1:8" ht="12.75" customHeight="1" x14ac:dyDescent="0.25">
      <c r="B74" s="80"/>
      <c r="E74" s="80"/>
      <c r="F74" s="80"/>
    </row>
    <row r="75" spans="1:8" ht="12.75" customHeight="1" x14ac:dyDescent="0.25">
      <c r="A75" s="887"/>
      <c r="B75" s="431"/>
      <c r="C75" s="431"/>
      <c r="D75" s="431"/>
      <c r="E75" s="431"/>
      <c r="F75" s="431"/>
      <c r="G75" s="431"/>
      <c r="H75" s="431"/>
    </row>
    <row r="76" spans="1:8" ht="18" customHeight="1" x14ac:dyDescent="0.25">
      <c r="A76" s="887"/>
      <c r="B76" s="1819"/>
      <c r="C76" s="1820"/>
      <c r="D76" s="1820"/>
      <c r="E76" s="1820"/>
      <c r="F76" s="1820"/>
      <c r="G76" s="1820"/>
      <c r="H76" s="1820"/>
    </row>
    <row r="77" spans="1:8" ht="18" customHeight="1" x14ac:dyDescent="0.25">
      <c r="A77" s="887"/>
      <c r="B77" s="1819"/>
      <c r="C77" s="1820"/>
      <c r="D77" s="1820"/>
      <c r="E77" s="1820"/>
      <c r="F77" s="1820"/>
      <c r="G77" s="1820"/>
      <c r="H77" s="1820"/>
    </row>
    <row r="90" spans="2:8" ht="18" customHeight="1" x14ac:dyDescent="0.25">
      <c r="B90" s="1819"/>
      <c r="C90" s="1820"/>
      <c r="D90" s="1820"/>
      <c r="E90" s="1820"/>
      <c r="F90" s="1820"/>
      <c r="G90" s="1820"/>
      <c r="H90" s="1820"/>
    </row>
    <row r="91" spans="2:8" ht="18" customHeight="1" x14ac:dyDescent="0.25">
      <c r="B91" s="1819"/>
      <c r="C91" s="1820"/>
      <c r="D91" s="1820"/>
      <c r="E91" s="1820"/>
      <c r="F91" s="1820"/>
      <c r="G91" s="1820"/>
      <c r="H91" s="1820"/>
    </row>
    <row r="104" spans="2:8" ht="18" customHeight="1" x14ac:dyDescent="0.25">
      <c r="B104" s="1819"/>
      <c r="C104" s="1820"/>
      <c r="D104" s="1820"/>
      <c r="E104" s="1820"/>
      <c r="F104" s="1820"/>
      <c r="G104" s="1820"/>
      <c r="H104" s="1820"/>
    </row>
    <row r="105" spans="2:8" ht="18" customHeight="1" x14ac:dyDescent="0.25">
      <c r="B105" s="1819"/>
      <c r="C105" s="1820"/>
      <c r="D105" s="1820"/>
      <c r="E105" s="1820"/>
      <c r="F105" s="1820"/>
      <c r="G105" s="1820"/>
      <c r="H105" s="1820"/>
    </row>
    <row r="117" spans="2:8" ht="18" customHeight="1" x14ac:dyDescent="0.25">
      <c r="B117" s="1819"/>
      <c r="C117" s="1820"/>
      <c r="D117" s="1820"/>
      <c r="E117" s="1820"/>
      <c r="F117" s="1820"/>
      <c r="G117" s="1820"/>
      <c r="H117" s="1820"/>
    </row>
    <row r="118" spans="2:8" ht="18" customHeight="1" x14ac:dyDescent="0.25">
      <c r="B118" s="1819"/>
      <c r="C118" s="1820"/>
      <c r="D118" s="1820"/>
      <c r="E118" s="1820"/>
      <c r="F118" s="1820"/>
      <c r="G118" s="1820"/>
      <c r="H118" s="1820"/>
    </row>
    <row r="130" spans="2:8" ht="18" x14ac:dyDescent="0.25">
      <c r="B130" s="1819"/>
      <c r="C130" s="1820"/>
      <c r="D130" s="1820"/>
      <c r="E130" s="1820"/>
      <c r="F130" s="1820"/>
      <c r="G130" s="1820"/>
      <c r="H130" s="1820"/>
    </row>
    <row r="131" spans="2:8" ht="18" x14ac:dyDescent="0.25">
      <c r="B131" s="1819"/>
      <c r="C131" s="1820"/>
      <c r="D131" s="1820"/>
      <c r="E131" s="1820"/>
      <c r="F131" s="1820"/>
      <c r="G131" s="1820"/>
      <c r="H131" s="1820"/>
    </row>
    <row r="132" spans="2:8" x14ac:dyDescent="0.25">
      <c r="B132" s="613"/>
      <c r="C132" s="614"/>
      <c r="D132" s="613"/>
      <c r="E132" s="615"/>
      <c r="F132" s="615"/>
      <c r="G132" s="613"/>
      <c r="H132" s="615"/>
    </row>
    <row r="133" spans="2:8" x14ac:dyDescent="0.25">
      <c r="B133" s="616"/>
      <c r="C133" s="616"/>
      <c r="D133" s="616"/>
      <c r="E133" s="617"/>
      <c r="F133" s="618"/>
      <c r="G133" s="619"/>
      <c r="H133" s="620"/>
    </row>
    <row r="134" spans="2:8" x14ac:dyDescent="0.25">
      <c r="B134" s="616"/>
      <c r="C134" s="616"/>
      <c r="D134" s="616"/>
      <c r="E134" s="617"/>
      <c r="F134" s="618"/>
      <c r="G134" s="619"/>
      <c r="H134" s="620"/>
    </row>
    <row r="135" spans="2:8" x14ac:dyDescent="0.25">
      <c r="B135" s="616"/>
      <c r="C135" s="616"/>
      <c r="D135" s="616"/>
      <c r="E135" s="617"/>
      <c r="F135" s="618"/>
      <c r="G135" s="619"/>
      <c r="H135" s="620"/>
    </row>
    <row r="136" spans="2:8" x14ac:dyDescent="0.25">
      <c r="B136" s="616"/>
      <c r="C136" s="616"/>
      <c r="D136" s="616"/>
      <c r="E136" s="617"/>
      <c r="F136" s="618"/>
      <c r="G136" s="619"/>
      <c r="H136" s="620"/>
    </row>
    <row r="137" spans="2:8" x14ac:dyDescent="0.25">
      <c r="B137" s="616"/>
      <c r="C137" s="616"/>
      <c r="D137" s="616"/>
      <c r="E137" s="617"/>
      <c r="F137" s="618"/>
      <c r="G137" s="619"/>
      <c r="H137" s="620"/>
    </row>
    <row r="138" spans="2:8" x14ac:dyDescent="0.25">
      <c r="B138" s="616"/>
      <c r="C138" s="616"/>
      <c r="D138" s="616"/>
      <c r="E138" s="617"/>
      <c r="F138" s="618"/>
      <c r="G138" s="619"/>
      <c r="H138" s="620"/>
    </row>
    <row r="139" spans="2:8" x14ac:dyDescent="0.25">
      <c r="B139" s="616"/>
      <c r="C139" s="616"/>
      <c r="D139" s="616"/>
      <c r="E139" s="617"/>
      <c r="F139" s="618"/>
      <c r="G139" s="619"/>
      <c r="H139" s="620"/>
    </row>
    <row r="140" spans="2:8" ht="15.75" x14ac:dyDescent="0.25">
      <c r="B140" s="452"/>
      <c r="C140" s="437"/>
      <c r="D140" s="437"/>
      <c r="E140" s="437"/>
      <c r="F140" s="437"/>
      <c r="G140" s="437"/>
      <c r="H140" s="437"/>
    </row>
    <row r="141" spans="2:8" ht="20.25" x14ac:dyDescent="0.3">
      <c r="B141" s="453"/>
      <c r="C141" s="437"/>
      <c r="D141" s="437"/>
      <c r="E141" s="437"/>
      <c r="F141" s="437"/>
      <c r="G141" s="437"/>
      <c r="H141" s="437"/>
    </row>
    <row r="142" spans="2:8" x14ac:dyDescent="0.25">
      <c r="B142" s="437"/>
      <c r="C142" s="437"/>
      <c r="D142" s="437"/>
      <c r="E142" s="437"/>
      <c r="F142" s="437"/>
      <c r="G142" s="437"/>
      <c r="H142" s="437"/>
    </row>
    <row r="143" spans="2:8" ht="18" x14ac:dyDescent="0.25">
      <c r="B143" s="1819"/>
      <c r="C143" s="1820"/>
      <c r="D143" s="1820"/>
      <c r="E143" s="1820"/>
      <c r="F143" s="1820"/>
      <c r="G143" s="1820"/>
      <c r="H143" s="1820"/>
    </row>
    <row r="144" spans="2:8" ht="18" x14ac:dyDescent="0.25">
      <c r="B144" s="1819"/>
      <c r="C144" s="1820"/>
      <c r="D144" s="1820"/>
      <c r="E144" s="1820"/>
      <c r="F144" s="1820"/>
      <c r="G144" s="1820"/>
      <c r="H144" s="1820"/>
    </row>
  </sheetData>
  <mergeCells count="16">
    <mergeCell ref="B130:H130"/>
    <mergeCell ref="B131:H131"/>
    <mergeCell ref="B143:H143"/>
    <mergeCell ref="B144:H144"/>
    <mergeCell ref="AE2:AG3"/>
    <mergeCell ref="B118:H118"/>
    <mergeCell ref="B90:H90"/>
    <mergeCell ref="B105:H105"/>
    <mergeCell ref="B77:H77"/>
    <mergeCell ref="B91:H91"/>
    <mergeCell ref="B62:H62"/>
    <mergeCell ref="B117:H117"/>
    <mergeCell ref="B104:H104"/>
    <mergeCell ref="R25:T25"/>
    <mergeCell ref="B76:H76"/>
    <mergeCell ref="B63:H63"/>
  </mergeCells>
  <phoneticPr fontId="62" type="noConversion"/>
  <printOptions horizontalCentered="1"/>
  <pageMargins left="0.4" right="0.4" top="1" bottom="0.5" header="0.3" footer="0.511811023622047"/>
  <pageSetup paperSize="9" scale="68" fitToHeight="0" orientation="landscape" r:id="rId1"/>
  <headerFooter>
    <oddHeader>&amp;C&amp;B&amp;16Mached Potato(3)&amp;R&amp;B Day 3</oddHeader>
    <oddFooter>&amp;CPage &amp;P of &amp;N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FFFF00"/>
    <pageSetUpPr fitToPage="1"/>
  </sheetPr>
  <dimension ref="A1:AG114"/>
  <sheetViews>
    <sheetView topLeftCell="A17" zoomScale="55" zoomScaleNormal="55" workbookViewId="0">
      <selection activeCell="B63" sqref="B63:H63"/>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5" width="4.375" style="14" customWidth="1"/>
    <col min="16" max="16" width="4" style="14" customWidth="1"/>
    <col min="17" max="17" width="4.375" style="14" customWidth="1"/>
    <col min="18" max="18" width="25.875" style="14" customWidth="1"/>
    <col min="19" max="19" width="18.625" style="14" customWidth="1"/>
    <col min="20" max="20" width="12.625" style="14" customWidth="1"/>
    <col min="21" max="24" width="12.5" style="14"/>
    <col min="25" max="30" width="8.625" style="14" customWidth="1"/>
    <col min="31" max="16384" width="12.5" style="14"/>
  </cols>
  <sheetData>
    <row r="1" spans="1:33" x14ac:dyDescent="0.25">
      <c r="B1" s="913" t="s">
        <v>231</v>
      </c>
      <c r="C1" s="914">
        <v>1000</v>
      </c>
      <c r="D1" s="915" t="s">
        <v>232</v>
      </c>
      <c r="E1" s="941">
        <f>S30</f>
        <v>24570</v>
      </c>
      <c r="F1" s="913" t="s">
        <v>233</v>
      </c>
      <c r="G1" s="941">
        <f>E1/C1</f>
        <v>24.57</v>
      </c>
      <c r="H1" s="913" t="s">
        <v>234</v>
      </c>
      <c r="I1" s="941">
        <f>G1/K1</f>
        <v>24.57</v>
      </c>
      <c r="J1" s="913" t="s">
        <v>235</v>
      </c>
      <c r="K1" s="1208">
        <v>1</v>
      </c>
      <c r="L1" s="80"/>
      <c r="M1" s="80"/>
      <c r="N1" s="80"/>
      <c r="O1" s="80"/>
      <c r="P1" s="80"/>
      <c r="Q1" s="80"/>
      <c r="R1" s="80"/>
      <c r="S1" s="80"/>
      <c r="T1" s="80"/>
      <c r="U1" s="80"/>
      <c r="V1" s="80"/>
      <c r="Y1" s="923" t="s">
        <v>444</v>
      </c>
      <c r="Z1" s="925">
        <v>24570</v>
      </c>
      <c r="AA1" s="923" t="s">
        <v>544</v>
      </c>
      <c r="AB1" s="925">
        <v>0</v>
      </c>
      <c r="AC1" s="923" t="s">
        <v>537</v>
      </c>
      <c r="AD1" s="925">
        <v>173</v>
      </c>
    </row>
    <row r="2" spans="1:33" x14ac:dyDescent="0.25">
      <c r="A2" s="863"/>
      <c r="B2" s="1784" t="s">
        <v>86</v>
      </c>
      <c r="C2" s="1787"/>
      <c r="D2" s="1788"/>
      <c r="E2" s="1788"/>
      <c r="F2" s="1788"/>
      <c r="G2" s="1787"/>
      <c r="H2" s="1788"/>
      <c r="I2" s="1208"/>
      <c r="J2" s="1208"/>
      <c r="K2" s="1208"/>
      <c r="L2" s="80"/>
      <c r="M2" s="80"/>
      <c r="N2" s="80"/>
      <c r="O2" s="80"/>
      <c r="P2" s="80"/>
      <c r="Q2" s="80"/>
      <c r="R2" s="80"/>
      <c r="S2" s="80"/>
      <c r="T2" s="80"/>
      <c r="U2" s="80"/>
      <c r="AE2" s="1821"/>
      <c r="AF2" s="1799"/>
      <c r="AG2" s="1799"/>
    </row>
    <row r="3" spans="1:33" x14ac:dyDescent="0.25">
      <c r="A3" s="863"/>
      <c r="B3" s="1785"/>
      <c r="C3" s="1796"/>
      <c r="D3" s="1785"/>
      <c r="E3" s="1785"/>
      <c r="F3" s="1785"/>
      <c r="G3" s="1796"/>
      <c r="H3" s="1785"/>
      <c r="I3" s="80"/>
      <c r="J3" s="80"/>
      <c r="K3" s="80"/>
      <c r="L3" s="80"/>
      <c r="M3" s="80"/>
      <c r="N3" s="80"/>
      <c r="O3" s="80"/>
      <c r="P3" s="80"/>
      <c r="Q3" s="80"/>
      <c r="R3" s="80"/>
      <c r="S3" s="80"/>
      <c r="T3" s="80"/>
      <c r="U3" s="80"/>
      <c r="AE3" s="1799"/>
      <c r="AF3" s="1799"/>
      <c r="AG3" s="1799"/>
    </row>
    <row r="4" spans="1:33" ht="25.5"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Q4" s="80"/>
      <c r="R4" s="80"/>
      <c r="S4" s="80"/>
      <c r="T4" s="80"/>
      <c r="U4" s="80"/>
    </row>
    <row r="5" spans="1:33" x14ac:dyDescent="0.2">
      <c r="A5" s="876"/>
      <c r="B5" s="1288"/>
      <c r="C5" s="1289"/>
      <c r="D5" s="1290"/>
      <c r="E5" s="1291"/>
      <c r="F5" s="1290"/>
      <c r="G5" s="1290"/>
      <c r="H5" s="1334"/>
      <c r="I5" s="1195"/>
      <c r="J5" s="1452"/>
      <c r="K5" s="1200"/>
      <c r="L5" s="1200"/>
      <c r="R5" s="890"/>
    </row>
    <row r="6" spans="1:33" x14ac:dyDescent="0.25">
      <c r="B6" s="1130" t="s">
        <v>21</v>
      </c>
      <c r="C6" s="947" t="s">
        <v>14</v>
      </c>
      <c r="D6" s="940">
        <v>1400</v>
      </c>
      <c r="E6" s="940">
        <f t="shared" ref="E6:E11" si="0">$I$1</f>
        <v>24.57</v>
      </c>
      <c r="F6" s="948">
        <v>1</v>
      </c>
      <c r="G6" s="940">
        <f t="shared" ref="G6:G11" si="1">D6*E6</f>
        <v>34398</v>
      </c>
      <c r="H6" s="943">
        <f t="shared" ref="H6:H11" si="2">G6*F6</f>
        <v>34398</v>
      </c>
      <c r="I6" s="914">
        <f>VLOOKUP(B6,All_Ingredients!$A$1:$F$161,6,FALSE())</f>
        <v>0.9</v>
      </c>
      <c r="J6" s="944">
        <f>VLOOKUP(B6,All_Ingredients!$A$1:$J$161,10,FALSE())</f>
        <v>2.2999999999999998</v>
      </c>
      <c r="K6" s="945">
        <f t="shared" ref="K6" si="3">(H6/I6)/1000</f>
        <v>38.22</v>
      </c>
      <c r="L6" s="945">
        <f t="shared" ref="L6" si="4">K6*J6</f>
        <v>87.905999999999992</v>
      </c>
      <c r="R6" s="890"/>
    </row>
    <row r="7" spans="1:33" x14ac:dyDescent="0.25">
      <c r="B7" s="1130" t="s">
        <v>110</v>
      </c>
      <c r="C7" s="947" t="s">
        <v>14</v>
      </c>
      <c r="D7" s="940">
        <v>2</v>
      </c>
      <c r="E7" s="940">
        <f t="shared" si="0"/>
        <v>24.57</v>
      </c>
      <c r="F7" s="948">
        <v>1</v>
      </c>
      <c r="G7" s="940">
        <f t="shared" si="1"/>
        <v>49.14</v>
      </c>
      <c r="H7" s="943">
        <f t="shared" si="2"/>
        <v>49.14</v>
      </c>
      <c r="I7" s="914">
        <f>VLOOKUP(B7,All_Ingredients!$A$1:$F$161,6,FALSE())</f>
        <v>1</v>
      </c>
      <c r="J7" s="944">
        <f>VLOOKUP(B7,All_Ingredients!$A$1:$J$161,10,FALSE())</f>
        <v>64.243759177679877</v>
      </c>
      <c r="K7" s="945">
        <f t="shared" ref="K7:K11" si="5">(H7/I7)/1000</f>
        <v>4.9140000000000003E-2</v>
      </c>
      <c r="L7" s="945">
        <f t="shared" ref="L7:L11" si="6">K7*J7</f>
        <v>3.1569383259911894</v>
      </c>
      <c r="R7" s="890"/>
    </row>
    <row r="8" spans="1:33" x14ac:dyDescent="0.25">
      <c r="B8" s="1130" t="s">
        <v>82</v>
      </c>
      <c r="C8" s="947" t="s">
        <v>14</v>
      </c>
      <c r="D8" s="940">
        <v>1</v>
      </c>
      <c r="E8" s="940">
        <f t="shared" si="0"/>
        <v>24.57</v>
      </c>
      <c r="F8" s="948">
        <v>1</v>
      </c>
      <c r="G8" s="940">
        <f t="shared" si="1"/>
        <v>24.57</v>
      </c>
      <c r="H8" s="943">
        <f t="shared" si="2"/>
        <v>24.57</v>
      </c>
      <c r="I8" s="914">
        <f>VLOOKUP(B8,All_Ingredients!$A$1:$F$161,6,FALSE())</f>
        <v>1</v>
      </c>
      <c r="J8" s="944">
        <f>VLOOKUP(B8,All_Ingredients!$A$1:$J$161,10,FALSE())</f>
        <v>147.88732394366198</v>
      </c>
      <c r="K8" s="945">
        <f t="shared" si="5"/>
        <v>2.4570000000000002E-2</v>
      </c>
      <c r="L8" s="945">
        <f t="shared" si="6"/>
        <v>3.6335915492957751</v>
      </c>
      <c r="R8" s="890"/>
    </row>
    <row r="9" spans="1:33" x14ac:dyDescent="0.25">
      <c r="B9" s="1130" t="s">
        <v>93</v>
      </c>
      <c r="C9" s="947" t="s">
        <v>14</v>
      </c>
      <c r="D9" s="940">
        <v>2</v>
      </c>
      <c r="E9" s="940">
        <f t="shared" si="0"/>
        <v>24.57</v>
      </c>
      <c r="F9" s="948">
        <v>1</v>
      </c>
      <c r="G9" s="940">
        <f t="shared" si="1"/>
        <v>49.14</v>
      </c>
      <c r="H9" s="943">
        <f t="shared" si="2"/>
        <v>49.14</v>
      </c>
      <c r="I9" s="914">
        <f>VLOOKUP(B9,All_Ingredients!$A$1:$F$161,6,FALSE())</f>
        <v>1</v>
      </c>
      <c r="J9" s="944">
        <f>VLOOKUP(B9,All_Ingredients!$A$1:$J$161,10,FALSE())</f>
        <v>0.74</v>
      </c>
      <c r="K9" s="945">
        <f t="shared" si="5"/>
        <v>4.9140000000000003E-2</v>
      </c>
      <c r="L9" s="945">
        <f t="shared" si="6"/>
        <v>3.6363600000000003E-2</v>
      </c>
      <c r="R9" s="890"/>
    </row>
    <row r="10" spans="1:33" ht="28.5" x14ac:dyDescent="0.25">
      <c r="B10" s="1130" t="s">
        <v>99</v>
      </c>
      <c r="C10" s="947" t="s">
        <v>14</v>
      </c>
      <c r="D10" s="944">
        <v>0.5</v>
      </c>
      <c r="E10" s="940">
        <f t="shared" si="0"/>
        <v>24.57</v>
      </c>
      <c r="F10" s="948">
        <v>1</v>
      </c>
      <c r="G10" s="940">
        <f t="shared" si="1"/>
        <v>12.285</v>
      </c>
      <c r="H10" s="943">
        <f t="shared" si="2"/>
        <v>12.285</v>
      </c>
      <c r="I10" s="914">
        <f>VLOOKUP(B10,All_Ingredients!$A$1:$F$161,6,FALSE())</f>
        <v>1</v>
      </c>
      <c r="J10" s="944">
        <f>VLOOKUP(B10,All_Ingredients!$A$1:$J$161,10,FALSE())</f>
        <v>31</v>
      </c>
      <c r="K10" s="945">
        <f t="shared" si="5"/>
        <v>1.2285000000000001E-2</v>
      </c>
      <c r="L10" s="945">
        <f t="shared" si="6"/>
        <v>0.38083500000000003</v>
      </c>
      <c r="R10" s="890"/>
    </row>
    <row r="11" spans="1:33" x14ac:dyDescent="0.25">
      <c r="B11" s="1130" t="s">
        <v>212</v>
      </c>
      <c r="C11" s="947" t="s">
        <v>160</v>
      </c>
      <c r="D11" s="940">
        <v>10</v>
      </c>
      <c r="E11" s="940">
        <f t="shared" si="0"/>
        <v>24.57</v>
      </c>
      <c r="F11" s="948">
        <v>0.75</v>
      </c>
      <c r="G11" s="940">
        <f t="shared" si="1"/>
        <v>245.7</v>
      </c>
      <c r="H11" s="943">
        <f t="shared" si="2"/>
        <v>184.27499999999998</v>
      </c>
      <c r="I11" s="914">
        <f>VLOOKUP(B11,All_Ingredients!$A$1:$F$161,6,FALSE())</f>
        <v>1</v>
      </c>
      <c r="J11" s="944">
        <f>VLOOKUP(B11,All_Ingredients!$A$1:$J$161,10,FALSE())</f>
        <v>5</v>
      </c>
      <c r="K11" s="945">
        <f t="shared" si="5"/>
        <v>0.18427499999999997</v>
      </c>
      <c r="L11" s="945">
        <f t="shared" si="6"/>
        <v>0.92137499999999983</v>
      </c>
      <c r="R11" s="890"/>
    </row>
    <row r="25" spans="18:29" x14ac:dyDescent="0.25">
      <c r="R25" s="1792" t="s">
        <v>336</v>
      </c>
      <c r="S25" s="1787"/>
      <c r="T25" s="1787"/>
      <c r="Z25" s="982" t="s">
        <v>14</v>
      </c>
      <c r="AA25" s="989">
        <v>1</v>
      </c>
      <c r="AB25" s="982" t="s">
        <v>249</v>
      </c>
      <c r="AC25" s="985">
        <f>(S34/S30)*AA25</f>
        <v>3.9086326200767994E-3</v>
      </c>
    </row>
    <row r="26" spans="18:29" x14ac:dyDescent="0.25">
      <c r="R26" s="1074" t="s">
        <v>337</v>
      </c>
      <c r="S26" s="1345"/>
      <c r="T26" s="1345"/>
    </row>
    <row r="27" spans="18:29" x14ac:dyDescent="0.25">
      <c r="R27" s="961" t="s">
        <v>254</v>
      </c>
      <c r="S27" s="962" t="s">
        <v>338</v>
      </c>
      <c r="T27" s="962" t="s">
        <v>257</v>
      </c>
    </row>
    <row r="28" spans="18:29" x14ac:dyDescent="0.25">
      <c r="R28" s="961" t="s">
        <v>263</v>
      </c>
      <c r="S28" s="1391">
        <f>$Z$1</f>
        <v>24570</v>
      </c>
      <c r="T28" s="975">
        <f>S28</f>
        <v>24570</v>
      </c>
    </row>
    <row r="29" spans="18:29" x14ac:dyDescent="0.25">
      <c r="R29" s="961" t="s">
        <v>265</v>
      </c>
      <c r="S29" s="1391">
        <f>$AB$1</f>
        <v>0</v>
      </c>
      <c r="T29" s="974">
        <f>S29</f>
        <v>0</v>
      </c>
    </row>
    <row r="30" spans="18:29" x14ac:dyDescent="0.25">
      <c r="R30" s="961" t="s">
        <v>257</v>
      </c>
      <c r="S30" s="966">
        <f>SUM(S28:S29)</f>
        <v>24570</v>
      </c>
      <c r="T30" s="966">
        <f>S30</f>
        <v>24570</v>
      </c>
    </row>
    <row r="34" spans="18:20" ht="15.75" thickBot="1" x14ac:dyDescent="0.3">
      <c r="R34" s="909" t="s">
        <v>249</v>
      </c>
      <c r="S34" s="548">
        <f>SUM(L6:L11)</f>
        <v>96.035103475286959</v>
      </c>
      <c r="T34" s="594">
        <f>S34</f>
        <v>96.035103475286959</v>
      </c>
    </row>
    <row r="50" spans="1:8" x14ac:dyDescent="0.25">
      <c r="B50" s="958"/>
      <c r="C50" s="1076" t="s">
        <v>233</v>
      </c>
      <c r="D50" s="958" t="s">
        <v>279</v>
      </c>
      <c r="E50" s="80"/>
      <c r="F50" s="80"/>
      <c r="H50" s="890"/>
    </row>
    <row r="51" spans="1:8" x14ac:dyDescent="0.25">
      <c r="B51" s="1027" t="s">
        <v>283</v>
      </c>
      <c r="C51" s="1028">
        <f>10/$K$1</f>
        <v>10</v>
      </c>
      <c r="D51" s="1029">
        <f>$C$1*10</f>
        <v>10000</v>
      </c>
      <c r="E51" s="80"/>
      <c r="F51" s="80"/>
      <c r="H51" s="890"/>
    </row>
    <row r="52" spans="1:8" x14ac:dyDescent="0.25">
      <c r="B52" s="958" t="s">
        <v>257</v>
      </c>
      <c r="C52" s="1243">
        <f>G1</f>
        <v>24.57</v>
      </c>
      <c r="D52" s="1100">
        <f>E1</f>
        <v>24570</v>
      </c>
      <c r="E52" s="80"/>
      <c r="F52" s="80"/>
      <c r="H52" s="890"/>
    </row>
    <row r="53" spans="1:8" x14ac:dyDescent="0.25">
      <c r="B53" s="958" t="s">
        <v>284</v>
      </c>
      <c r="C53" s="1101">
        <f>MIN($C$52, $C$51)</f>
        <v>10</v>
      </c>
      <c r="D53" s="1100">
        <f>(C53*$K$1)*$C$1</f>
        <v>10000</v>
      </c>
      <c r="E53" s="80"/>
      <c r="F53" s="80"/>
      <c r="H53" s="890"/>
    </row>
    <row r="54" spans="1:8" x14ac:dyDescent="0.25">
      <c r="B54" s="958" t="s">
        <v>285</v>
      </c>
      <c r="C54" s="1101">
        <f>MIN(MAX($C$52-C53,0),$C$51)</f>
        <v>10</v>
      </c>
      <c r="D54" s="1100">
        <f>(C54*$K$1)*$C$1</f>
        <v>10000</v>
      </c>
      <c r="E54" s="80"/>
      <c r="F54" s="80"/>
      <c r="H54" s="890"/>
    </row>
    <row r="55" spans="1:8" x14ac:dyDescent="0.25">
      <c r="B55" s="958" t="s">
        <v>286</v>
      </c>
      <c r="C55" s="1101">
        <f>MIN(MAX($C$52-C53-C54,0),$C$51)</f>
        <v>4.57</v>
      </c>
      <c r="D55" s="1100">
        <f>(C55*$K$1)*$C$1</f>
        <v>4570</v>
      </c>
      <c r="E55" s="80"/>
      <c r="F55" s="80"/>
      <c r="H55" s="890"/>
    </row>
    <row r="56" spans="1:8" x14ac:dyDescent="0.25">
      <c r="B56" s="958" t="s">
        <v>293</v>
      </c>
      <c r="C56" s="1101">
        <f>MIN(MAX($C$52-C53-C54-C55,0),$C$51)</f>
        <v>0</v>
      </c>
      <c r="D56" s="1100">
        <f>(C56*$K$1)*$C$1</f>
        <v>0</v>
      </c>
      <c r="E56" s="80"/>
      <c r="F56" s="80"/>
      <c r="H56" s="890"/>
    </row>
    <row r="57" spans="1:8" x14ac:dyDescent="0.25">
      <c r="B57" s="958" t="s">
        <v>343</v>
      </c>
      <c r="C57" s="1101">
        <f>MIN(MAX($C$52-C53-C54-C55-C56,0),$C$51)</f>
        <v>0</v>
      </c>
      <c r="D57" s="1100">
        <f>(C57*$K$1)*$C$1</f>
        <v>0</v>
      </c>
      <c r="E57" s="80"/>
      <c r="F57" s="80"/>
      <c r="H57" s="890"/>
    </row>
    <row r="58" spans="1:8" x14ac:dyDescent="0.25">
      <c r="B58" s="1176"/>
      <c r="C58" s="216"/>
      <c r="D58" s="1182"/>
      <c r="E58" s="80"/>
      <c r="F58" s="80"/>
      <c r="H58" s="890"/>
    </row>
    <row r="59" spans="1:8" x14ac:dyDescent="0.25">
      <c r="B59" s="1176"/>
      <c r="C59" s="216"/>
      <c r="D59" s="1182"/>
      <c r="E59" s="80"/>
      <c r="F59" s="80"/>
      <c r="H59" s="890"/>
    </row>
    <row r="60" spans="1:8" x14ac:dyDescent="0.25">
      <c r="B60" s="1176"/>
      <c r="C60" s="216"/>
      <c r="D60" s="1182"/>
      <c r="E60" s="80"/>
      <c r="F60" s="80"/>
      <c r="H60" s="890"/>
    </row>
    <row r="61" spans="1:8" x14ac:dyDescent="0.25">
      <c r="B61" s="1176"/>
      <c r="C61" s="216"/>
      <c r="D61" s="1182"/>
      <c r="E61" s="80"/>
      <c r="F61" s="80"/>
      <c r="H61" s="890"/>
    </row>
    <row r="62" spans="1:8" x14ac:dyDescent="0.25">
      <c r="B62" s="80"/>
      <c r="D62" s="890"/>
      <c r="E62" s="80"/>
      <c r="F62" s="80"/>
      <c r="H62" s="890"/>
    </row>
    <row r="63" spans="1:8" x14ac:dyDescent="0.25">
      <c r="A63" s="867"/>
      <c r="B63" s="1776" t="s">
        <v>573</v>
      </c>
      <c r="C63" s="1777"/>
      <c r="D63" s="1778"/>
      <c r="E63" s="1778"/>
      <c r="F63" s="1778"/>
      <c r="G63" s="1777"/>
      <c r="H63" s="1778"/>
    </row>
    <row r="64" spans="1:8" x14ac:dyDescent="0.25">
      <c r="A64" s="867"/>
      <c r="B64" s="1776" t="s">
        <v>764</v>
      </c>
      <c r="C64" s="1777"/>
      <c r="D64" s="1778"/>
      <c r="E64" s="1778"/>
      <c r="F64" s="1778"/>
      <c r="G64" s="1777"/>
      <c r="H64" s="1778"/>
    </row>
    <row r="65" spans="1:8" ht="38.25" x14ac:dyDescent="0.2">
      <c r="A65" s="872"/>
      <c r="B65" s="1104" t="s">
        <v>241</v>
      </c>
      <c r="C65" s="934" t="s">
        <v>242</v>
      </c>
      <c r="D65" s="1104" t="s">
        <v>231</v>
      </c>
      <c r="E65" s="936" t="s">
        <v>234</v>
      </c>
      <c r="F65" s="936" t="s">
        <v>243</v>
      </c>
      <c r="G65" s="1104" t="s">
        <v>244</v>
      </c>
      <c r="H65" s="936" t="s">
        <v>245</v>
      </c>
    </row>
    <row r="66" spans="1:8" x14ac:dyDescent="0.25">
      <c r="B66" s="1130" t="str">
        <f t="shared" ref="B66:D71" si="7">B6</f>
        <v>Potato - بطاطس</v>
      </c>
      <c r="C66" s="947" t="str">
        <f t="shared" si="7"/>
        <v>gm</v>
      </c>
      <c r="D66" s="914">
        <f t="shared" si="7"/>
        <v>1400</v>
      </c>
      <c r="E66" s="940">
        <f>$C$52</f>
        <v>24.57</v>
      </c>
      <c r="F66" s="948">
        <f t="shared" ref="F66:F71" si="8">F6</f>
        <v>1</v>
      </c>
      <c r="G66" s="940">
        <f t="shared" ref="G66:G71" si="9">D66*E66</f>
        <v>34398</v>
      </c>
      <c r="H66" s="943">
        <f t="shared" ref="H66:H71" si="10">G66*F66</f>
        <v>34398</v>
      </c>
    </row>
    <row r="67" spans="1:8" x14ac:dyDescent="0.25">
      <c r="B67" s="1130" t="str">
        <f t="shared" si="7"/>
        <v>Paprika Powder - بابريكا مطحون</v>
      </c>
      <c r="C67" s="947" t="str">
        <f t="shared" si="7"/>
        <v>gm</v>
      </c>
      <c r="D67" s="914">
        <f t="shared" si="7"/>
        <v>2</v>
      </c>
      <c r="E67" s="940">
        <f t="shared" ref="E67:E71" si="11">$C$52</f>
        <v>24.57</v>
      </c>
      <c r="F67" s="948">
        <f t="shared" si="8"/>
        <v>1</v>
      </c>
      <c r="G67" s="940">
        <f t="shared" si="9"/>
        <v>49.14</v>
      </c>
      <c r="H67" s="943">
        <f t="shared" si="10"/>
        <v>49.14</v>
      </c>
    </row>
    <row r="68" spans="1:8" x14ac:dyDescent="0.25">
      <c r="B68" s="1130" t="str">
        <f t="shared" si="7"/>
        <v>Dry Oregano - أوريجانو مجفف</v>
      </c>
      <c r="C68" s="947" t="str">
        <f t="shared" si="7"/>
        <v>gm</v>
      </c>
      <c r="D68" s="914">
        <f t="shared" si="7"/>
        <v>1</v>
      </c>
      <c r="E68" s="940">
        <f t="shared" si="11"/>
        <v>24.57</v>
      </c>
      <c r="F68" s="948">
        <f t="shared" si="8"/>
        <v>1</v>
      </c>
      <c r="G68" s="940">
        <f t="shared" si="9"/>
        <v>24.57</v>
      </c>
      <c r="H68" s="943">
        <f t="shared" si="10"/>
        <v>24.57</v>
      </c>
    </row>
    <row r="69" spans="1:8" x14ac:dyDescent="0.25">
      <c r="B69" s="1130" t="str">
        <f t="shared" si="7"/>
        <v>Salt - ملح</v>
      </c>
      <c r="C69" s="947" t="str">
        <f t="shared" si="7"/>
        <v>gm</v>
      </c>
      <c r="D69" s="914">
        <f t="shared" si="7"/>
        <v>2</v>
      </c>
      <c r="E69" s="940">
        <f t="shared" si="11"/>
        <v>24.57</v>
      </c>
      <c r="F69" s="948">
        <f t="shared" si="8"/>
        <v>1</v>
      </c>
      <c r="G69" s="940">
        <f t="shared" si="9"/>
        <v>49.14</v>
      </c>
      <c r="H69" s="943">
        <f t="shared" si="10"/>
        <v>49.14</v>
      </c>
    </row>
    <row r="70" spans="1:8" ht="28.5" x14ac:dyDescent="0.25">
      <c r="B70" s="1130" t="str">
        <f t="shared" si="7"/>
        <v>Black Pepper Powder - فلفل أسود مطحون</v>
      </c>
      <c r="C70" s="947" t="str">
        <f t="shared" si="7"/>
        <v>gm</v>
      </c>
      <c r="D70" s="914">
        <f t="shared" si="7"/>
        <v>0.5</v>
      </c>
      <c r="E70" s="940">
        <f t="shared" si="11"/>
        <v>24.57</v>
      </c>
      <c r="F70" s="948">
        <f t="shared" si="8"/>
        <v>1</v>
      </c>
      <c r="G70" s="940">
        <f t="shared" si="9"/>
        <v>12.285</v>
      </c>
      <c r="H70" s="943">
        <f t="shared" si="10"/>
        <v>12.285</v>
      </c>
    </row>
    <row r="71" spans="1:8" x14ac:dyDescent="0.25">
      <c r="B71" s="1130" t="str">
        <f t="shared" si="7"/>
        <v>Lemon Juice - عصير ليمون</v>
      </c>
      <c r="C71" s="947" t="str">
        <f t="shared" si="7"/>
        <v>ml</v>
      </c>
      <c r="D71" s="914">
        <f t="shared" si="7"/>
        <v>10</v>
      </c>
      <c r="E71" s="940">
        <f t="shared" si="11"/>
        <v>24.57</v>
      </c>
      <c r="F71" s="948">
        <f t="shared" si="8"/>
        <v>0.75</v>
      </c>
      <c r="G71" s="940">
        <f t="shared" si="9"/>
        <v>245.7</v>
      </c>
      <c r="H71" s="943">
        <f t="shared" si="10"/>
        <v>184.27499999999998</v>
      </c>
    </row>
    <row r="72" spans="1:8" ht="15.75" x14ac:dyDescent="0.25">
      <c r="B72" s="1041" t="s">
        <v>688</v>
      </c>
      <c r="C72" s="1208"/>
      <c r="D72" s="1208"/>
      <c r="E72" s="1208"/>
      <c r="F72" s="1208"/>
      <c r="G72" s="1208"/>
      <c r="H72" s="1208"/>
    </row>
    <row r="73" spans="1:8" ht="20.25" x14ac:dyDescent="0.3">
      <c r="B73" s="1047">
        <f>D52</f>
        <v>24570</v>
      </c>
      <c r="C73" s="1346"/>
      <c r="D73" s="1347"/>
      <c r="E73" s="1208"/>
      <c r="F73" s="1348"/>
      <c r="G73" s="952"/>
      <c r="H73" s="1043"/>
    </row>
    <row r="74" spans="1:8" ht="18" customHeight="1" x14ac:dyDescent="0.25">
      <c r="A74" s="887"/>
      <c r="B74" s="431"/>
      <c r="C74" s="431"/>
      <c r="D74" s="431"/>
      <c r="E74" s="431"/>
      <c r="F74" s="431"/>
      <c r="G74" s="431"/>
      <c r="H74" s="431"/>
    </row>
    <row r="75" spans="1:8" ht="18" customHeight="1" x14ac:dyDescent="0.25">
      <c r="A75" s="887"/>
      <c r="B75" s="1819"/>
      <c r="C75" s="1820"/>
      <c r="D75" s="1820"/>
      <c r="E75" s="1820"/>
      <c r="F75" s="1820"/>
      <c r="G75" s="1820"/>
      <c r="H75" s="1820"/>
    </row>
    <row r="76" spans="1:8" ht="25.5" customHeight="1" x14ac:dyDescent="0.25">
      <c r="A76" s="887"/>
      <c r="B76" s="1819"/>
      <c r="C76" s="1820"/>
      <c r="D76" s="1820"/>
      <c r="E76" s="1820"/>
      <c r="F76" s="1820"/>
      <c r="G76" s="1820"/>
      <c r="H76" s="1820"/>
    </row>
    <row r="88" spans="2:8" ht="18" customHeight="1" x14ac:dyDescent="0.25">
      <c r="B88" s="1819"/>
      <c r="C88" s="1820"/>
      <c r="D88" s="1820"/>
      <c r="E88" s="1820"/>
      <c r="F88" s="1820"/>
      <c r="G88" s="1820"/>
      <c r="H88" s="1820"/>
    </row>
    <row r="89" spans="2:8" ht="25.5" customHeight="1" x14ac:dyDescent="0.25">
      <c r="B89" s="1819"/>
      <c r="C89" s="1820"/>
      <c r="D89" s="1820"/>
      <c r="E89" s="1820"/>
      <c r="F89" s="1820"/>
      <c r="G89" s="1820"/>
      <c r="H89" s="1820"/>
    </row>
    <row r="101" spans="2:8" ht="18" customHeight="1" x14ac:dyDescent="0.25">
      <c r="B101" s="1819"/>
      <c r="C101" s="1820"/>
      <c r="D101" s="1820"/>
      <c r="E101" s="1820"/>
      <c r="F101" s="1820"/>
      <c r="G101" s="1820"/>
      <c r="H101" s="1820"/>
    </row>
    <row r="102" spans="2:8" ht="25.5" customHeight="1" x14ac:dyDescent="0.25">
      <c r="B102" s="1819"/>
      <c r="C102" s="1820"/>
      <c r="D102" s="1820"/>
      <c r="E102" s="1820"/>
      <c r="F102" s="1820"/>
      <c r="G102" s="1820"/>
      <c r="H102" s="1820"/>
    </row>
    <row r="113" spans="2:8" ht="18" customHeight="1" x14ac:dyDescent="0.25">
      <c r="B113" s="1819"/>
      <c r="C113" s="1820"/>
      <c r="D113" s="1820"/>
      <c r="E113" s="1820"/>
      <c r="F113" s="1820"/>
      <c r="G113" s="1820"/>
      <c r="H113" s="1820"/>
    </row>
    <row r="114" spans="2:8" ht="25.5" customHeight="1" x14ac:dyDescent="0.25">
      <c r="B114" s="1819"/>
      <c r="C114" s="1820"/>
      <c r="D114" s="1820"/>
      <c r="E114" s="1820"/>
      <c r="F114" s="1820"/>
      <c r="G114" s="1820"/>
      <c r="H114" s="1820"/>
    </row>
  </sheetData>
  <mergeCells count="13">
    <mergeCell ref="B114:H114"/>
    <mergeCell ref="B88:H88"/>
    <mergeCell ref="B63:H63"/>
    <mergeCell ref="B101:H101"/>
    <mergeCell ref="B2:H3"/>
    <mergeCell ref="B113:H113"/>
    <mergeCell ref="B64:H64"/>
    <mergeCell ref="B102:H102"/>
    <mergeCell ref="AE2:AG3"/>
    <mergeCell ref="B75:H75"/>
    <mergeCell ref="B89:H89"/>
    <mergeCell ref="B76:H76"/>
    <mergeCell ref="R25:T25"/>
  </mergeCells>
  <printOptions horizontalCentered="1"/>
  <pageMargins left="0.4" right="0.4" top="1" bottom="0.5" header="0.3" footer="0.511811023622047"/>
  <pageSetup paperSize="9" scale="68" fitToHeight="0" orientation="landscape" r:id="rId1"/>
  <headerFooter>
    <oddHeader>&amp;C&amp;B&amp;16Potato Wedges&amp;R&amp;B Day 3</oddHeader>
    <oddFooter>&amp;CPage &amp;P of &amp;N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rgb="FFFFFF00"/>
    <pageSetUpPr fitToPage="1"/>
  </sheetPr>
  <dimension ref="A1:AG96"/>
  <sheetViews>
    <sheetView topLeftCell="A31" zoomScale="70" zoomScaleNormal="70" workbookViewId="0">
      <selection activeCell="B63" sqref="B63:H63"/>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3" width="12.625" style="14" customWidth="1"/>
    <col min="14" max="17" width="5.25" style="14" customWidth="1"/>
    <col min="18" max="18" width="25.875" style="14" customWidth="1"/>
    <col min="19" max="19" width="18.625" style="14" customWidth="1"/>
    <col min="20" max="20" width="12.625" style="14" customWidth="1"/>
    <col min="21" max="24" width="3.25" style="14" customWidth="1"/>
    <col min="25" max="30" width="8.625" style="14" customWidth="1"/>
    <col min="31" max="16384" width="12.5" style="14"/>
  </cols>
  <sheetData>
    <row r="1" spans="1:33" x14ac:dyDescent="0.25">
      <c r="B1" s="913" t="s">
        <v>231</v>
      </c>
      <c r="C1" s="914">
        <v>1000</v>
      </c>
      <c r="D1" s="915" t="s">
        <v>232</v>
      </c>
      <c r="E1" s="941">
        <f>S30</f>
        <v>9160</v>
      </c>
      <c r="F1" s="913" t="s">
        <v>233</v>
      </c>
      <c r="G1" s="941">
        <f>E1/C1</f>
        <v>9.16</v>
      </c>
      <c r="H1" s="913" t="s">
        <v>234</v>
      </c>
      <c r="I1" s="941">
        <f>G1/K1</f>
        <v>9.16</v>
      </c>
      <c r="J1" s="913" t="s">
        <v>235</v>
      </c>
      <c r="K1" s="1208">
        <v>1</v>
      </c>
      <c r="L1" s="80"/>
      <c r="M1" s="80" t="s">
        <v>389</v>
      </c>
      <c r="N1" s="80"/>
      <c r="O1" s="80"/>
      <c r="P1" s="80"/>
      <c r="Q1" s="80"/>
      <c r="R1" s="80"/>
      <c r="S1" s="80"/>
      <c r="T1" s="80"/>
      <c r="U1" s="80"/>
      <c r="V1" s="80"/>
      <c r="Y1" s="923" t="s">
        <v>444</v>
      </c>
      <c r="Z1" s="925">
        <v>9160</v>
      </c>
      <c r="AA1" s="923" t="s">
        <v>544</v>
      </c>
      <c r="AB1" s="925">
        <v>0</v>
      </c>
      <c r="AC1" s="923" t="s">
        <v>537</v>
      </c>
      <c r="AD1" s="925">
        <v>71</v>
      </c>
    </row>
    <row r="2" spans="1:33" x14ac:dyDescent="0.25">
      <c r="A2" s="863"/>
      <c r="B2" s="1784" t="s">
        <v>390</v>
      </c>
      <c r="C2" s="1787"/>
      <c r="D2" s="1788"/>
      <c r="E2" s="1788"/>
      <c r="F2" s="1788"/>
      <c r="G2" s="1787"/>
      <c r="H2" s="1788"/>
      <c r="I2" s="1208"/>
      <c r="J2" s="1208"/>
      <c r="K2" s="1208"/>
      <c r="L2" s="80"/>
      <c r="M2" s="80"/>
      <c r="N2" s="80"/>
      <c r="O2" s="80"/>
      <c r="P2" s="80"/>
      <c r="Q2" s="80"/>
      <c r="R2" s="80"/>
      <c r="S2" s="80"/>
      <c r="T2" s="80"/>
      <c r="U2" s="80"/>
      <c r="AE2" s="1821"/>
      <c r="AF2" s="1799"/>
      <c r="AG2" s="1799"/>
    </row>
    <row r="3" spans="1:33" x14ac:dyDescent="0.25">
      <c r="A3" s="863"/>
      <c r="B3" s="1785"/>
      <c r="C3" s="1796"/>
      <c r="D3" s="1785"/>
      <c r="E3" s="1785"/>
      <c r="F3" s="1785"/>
      <c r="G3" s="1796"/>
      <c r="H3" s="1785"/>
      <c r="I3" s="80"/>
      <c r="J3" s="80"/>
      <c r="K3" s="80"/>
      <c r="L3" s="80"/>
      <c r="M3" s="80"/>
      <c r="N3" s="80"/>
      <c r="O3" s="80"/>
      <c r="P3" s="80"/>
      <c r="Q3" s="80"/>
      <c r="R3" s="80"/>
      <c r="S3" s="80"/>
      <c r="T3" s="80"/>
      <c r="U3" s="80"/>
      <c r="AE3" s="1799"/>
      <c r="AF3" s="1799"/>
      <c r="AG3" s="1799"/>
    </row>
    <row r="4" spans="1:33" ht="25.5"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Q4" s="80"/>
      <c r="R4" s="80"/>
      <c r="S4" s="80"/>
      <c r="T4" s="80"/>
      <c r="U4" s="80"/>
    </row>
    <row r="5" spans="1:33" x14ac:dyDescent="0.2">
      <c r="A5" s="876"/>
      <c r="B5" s="1288"/>
      <c r="C5" s="1289"/>
      <c r="D5" s="1290"/>
      <c r="E5" s="1291"/>
      <c r="F5" s="1290"/>
      <c r="G5" s="1290"/>
      <c r="H5" s="1334"/>
      <c r="I5" s="1195"/>
      <c r="J5" s="1452"/>
      <c r="K5" s="1200"/>
      <c r="L5" s="1200"/>
      <c r="R5" s="890"/>
    </row>
    <row r="6" spans="1:33" x14ac:dyDescent="0.25">
      <c r="B6" s="1130" t="s">
        <v>19</v>
      </c>
      <c r="C6" s="947" t="s">
        <v>14</v>
      </c>
      <c r="D6" s="1335">
        <v>450</v>
      </c>
      <c r="E6" s="940">
        <f t="shared" ref="E6:E14" si="0">$I$1</f>
        <v>9.16</v>
      </c>
      <c r="F6" s="948">
        <v>1</v>
      </c>
      <c r="G6" s="940">
        <f t="shared" ref="G6:G14" si="1">D6*E6</f>
        <v>4122</v>
      </c>
      <c r="H6" s="943">
        <f t="shared" ref="H6:H14" si="2">G6*F6</f>
        <v>4122</v>
      </c>
      <c r="I6" s="914">
        <f>VLOOKUP(B6,All_Ingredients!$A$1:$F$161,6,FALSE())</f>
        <v>0.8</v>
      </c>
      <c r="J6" s="944">
        <f>VLOOKUP(B6,All_Ingredients!$A$1:$J$161,10,FALSE())</f>
        <v>2.6</v>
      </c>
      <c r="K6" s="945">
        <f t="shared" ref="K6:K14" si="3">(H6/I6)/1000</f>
        <v>5.1524999999999999</v>
      </c>
      <c r="L6" s="945">
        <f t="shared" ref="L6:L14" si="4">K6*J6</f>
        <v>13.3965</v>
      </c>
      <c r="R6" s="890"/>
    </row>
    <row r="7" spans="1:33" x14ac:dyDescent="0.25">
      <c r="B7" s="1130" t="s">
        <v>47</v>
      </c>
      <c r="C7" s="947" t="s">
        <v>14</v>
      </c>
      <c r="D7" s="1335">
        <v>450</v>
      </c>
      <c r="E7" s="940">
        <f t="shared" si="0"/>
        <v>9.16</v>
      </c>
      <c r="F7" s="948">
        <v>1</v>
      </c>
      <c r="G7" s="940">
        <f t="shared" si="1"/>
        <v>4122</v>
      </c>
      <c r="H7" s="943">
        <f t="shared" si="2"/>
        <v>4122</v>
      </c>
      <c r="I7" s="914">
        <f>VLOOKUP(B7,All_Ingredients!$A$1:$F$161,6,FALSE())</f>
        <v>0.78</v>
      </c>
      <c r="J7" s="944">
        <f>VLOOKUP(B7,All_Ingredients!$A$1:$J$161,10,FALSE())</f>
        <v>3.7</v>
      </c>
      <c r="K7" s="945">
        <f t="shared" si="3"/>
        <v>5.2846153846153845</v>
      </c>
      <c r="L7" s="945">
        <f t="shared" si="4"/>
        <v>19.553076923076922</v>
      </c>
      <c r="R7" s="890"/>
    </row>
    <row r="8" spans="1:33" x14ac:dyDescent="0.25">
      <c r="B8" s="1130" t="s">
        <v>28</v>
      </c>
      <c r="C8" s="947" t="s">
        <v>14</v>
      </c>
      <c r="D8" s="1335">
        <v>80</v>
      </c>
      <c r="E8" s="940">
        <f t="shared" si="0"/>
        <v>9.16</v>
      </c>
      <c r="F8" s="948">
        <v>1</v>
      </c>
      <c r="G8" s="940">
        <f t="shared" si="1"/>
        <v>732.8</v>
      </c>
      <c r="H8" s="943">
        <f t="shared" si="2"/>
        <v>732.8</v>
      </c>
      <c r="I8" s="914">
        <f>VLOOKUP(B8,All_Ingredients!$A$1:$F$161,6,FALSE())</f>
        <v>0.73</v>
      </c>
      <c r="J8" s="944">
        <f>VLOOKUP(B8,All_Ingredients!$A$1:$J$161,10,FALSE())</f>
        <v>8.5</v>
      </c>
      <c r="K8" s="945">
        <f t="shared" si="3"/>
        <v>1.0038356164383562</v>
      </c>
      <c r="L8" s="945">
        <f t="shared" si="4"/>
        <v>8.5326027397260269</v>
      </c>
      <c r="R8" s="890"/>
    </row>
    <row r="9" spans="1:33" x14ac:dyDescent="0.25">
      <c r="B9" s="1130" t="s">
        <v>30</v>
      </c>
      <c r="C9" s="947" t="s">
        <v>14</v>
      </c>
      <c r="D9" s="1335">
        <v>80</v>
      </c>
      <c r="E9" s="940">
        <f t="shared" si="0"/>
        <v>9.16</v>
      </c>
      <c r="F9" s="948">
        <v>1</v>
      </c>
      <c r="G9" s="940">
        <f t="shared" si="1"/>
        <v>732.8</v>
      </c>
      <c r="H9" s="943">
        <f t="shared" si="2"/>
        <v>732.8</v>
      </c>
      <c r="I9" s="914">
        <f>VLOOKUP(B9,All_Ingredients!$A$1:$F$161,6,FALSE())</f>
        <v>0.71</v>
      </c>
      <c r="J9" s="944">
        <f>VLOOKUP(B9,All_Ingredients!$A$1:$J$161,10,FALSE())</f>
        <v>8.5</v>
      </c>
      <c r="K9" s="945">
        <f t="shared" si="3"/>
        <v>1.0321126760563379</v>
      </c>
      <c r="L9" s="945">
        <f t="shared" si="4"/>
        <v>8.7729577464788733</v>
      </c>
      <c r="R9" s="890"/>
    </row>
    <row r="10" spans="1:33" ht="28.5" x14ac:dyDescent="0.25">
      <c r="B10" s="1130" t="s">
        <v>32</v>
      </c>
      <c r="C10" s="947" t="s">
        <v>14</v>
      </c>
      <c r="D10" s="1335">
        <v>80</v>
      </c>
      <c r="E10" s="940">
        <f t="shared" si="0"/>
        <v>9.16</v>
      </c>
      <c r="F10" s="948">
        <v>1</v>
      </c>
      <c r="G10" s="940">
        <f t="shared" si="1"/>
        <v>732.8</v>
      </c>
      <c r="H10" s="943">
        <f t="shared" si="2"/>
        <v>732.8</v>
      </c>
      <c r="I10" s="914">
        <f>VLOOKUP(B10,All_Ingredients!$A$1:$F$161,6,FALSE())</f>
        <v>0.69</v>
      </c>
      <c r="J10" s="944">
        <f>VLOOKUP(B10,All_Ingredients!$A$1:$J$161,10,FALSE())</f>
        <v>4</v>
      </c>
      <c r="K10" s="945">
        <f t="shared" si="3"/>
        <v>1.0620289855072464</v>
      </c>
      <c r="L10" s="945">
        <f t="shared" si="4"/>
        <v>4.2481159420289858</v>
      </c>
      <c r="R10" s="890"/>
    </row>
    <row r="11" spans="1:33" x14ac:dyDescent="0.25">
      <c r="B11" s="1130" t="s">
        <v>50</v>
      </c>
      <c r="C11" s="947" t="s">
        <v>14</v>
      </c>
      <c r="D11" s="1335">
        <v>80</v>
      </c>
      <c r="E11" s="940">
        <f t="shared" si="0"/>
        <v>9.16</v>
      </c>
      <c r="F11" s="948">
        <v>1</v>
      </c>
      <c r="G11" s="940">
        <f t="shared" si="1"/>
        <v>732.8</v>
      </c>
      <c r="H11" s="943">
        <f t="shared" si="2"/>
        <v>732.8</v>
      </c>
      <c r="I11" s="914">
        <f>VLOOKUP(B11,All_Ingredients!$A$1:$F$161,6,FALSE())</f>
        <v>0.75</v>
      </c>
      <c r="J11" s="944">
        <f>VLOOKUP(B11,All_Ingredients!$A$1:$J$161,10,FALSE())</f>
        <v>20</v>
      </c>
      <c r="K11" s="945">
        <f t="shared" si="3"/>
        <v>0.97706666666666664</v>
      </c>
      <c r="L11" s="945">
        <f t="shared" si="4"/>
        <v>19.541333333333334</v>
      </c>
      <c r="R11" s="890"/>
    </row>
    <row r="12" spans="1:33" x14ac:dyDescent="0.25">
      <c r="B12" s="1130" t="s">
        <v>516</v>
      </c>
      <c r="C12" s="947" t="s">
        <v>14</v>
      </c>
      <c r="D12" s="1335">
        <v>80</v>
      </c>
      <c r="E12" s="940">
        <f t="shared" si="0"/>
        <v>9.16</v>
      </c>
      <c r="F12" s="948">
        <v>1</v>
      </c>
      <c r="G12" s="940">
        <f t="shared" si="1"/>
        <v>732.8</v>
      </c>
      <c r="H12" s="943">
        <f t="shared" si="2"/>
        <v>732.8</v>
      </c>
      <c r="I12" s="914">
        <f>VLOOKUP(B12,All_Ingredients!$A$1:$F$161,6,FALSE())</f>
        <v>1</v>
      </c>
      <c r="J12" s="944">
        <f>VLOOKUP(B12,All_Ingredients!$A$1:$J$161,10,FALSE())</f>
        <v>10.196078431372548</v>
      </c>
      <c r="K12" s="945">
        <f t="shared" si="3"/>
        <v>0.73280000000000001</v>
      </c>
      <c r="L12" s="945">
        <f t="shared" si="4"/>
        <v>7.4716862745098034</v>
      </c>
      <c r="R12" s="890"/>
    </row>
    <row r="13" spans="1:33" x14ac:dyDescent="0.25">
      <c r="B13" s="1130" t="s">
        <v>93</v>
      </c>
      <c r="C13" s="947" t="s">
        <v>14</v>
      </c>
      <c r="D13" s="940">
        <v>4</v>
      </c>
      <c r="E13" s="940">
        <f t="shared" si="0"/>
        <v>9.16</v>
      </c>
      <c r="F13" s="948">
        <v>0.75</v>
      </c>
      <c r="G13" s="940">
        <f t="shared" si="1"/>
        <v>36.64</v>
      </c>
      <c r="H13" s="943">
        <f t="shared" si="2"/>
        <v>27.48</v>
      </c>
      <c r="I13" s="914">
        <f>VLOOKUP(B13,All_Ingredients!$A$1:$F$161,6,FALSE())</f>
        <v>1</v>
      </c>
      <c r="J13" s="944">
        <f>VLOOKUP(B13,All_Ingredients!$A$1:$J$161,10,FALSE())</f>
        <v>0.74</v>
      </c>
      <c r="K13" s="945">
        <f t="shared" si="3"/>
        <v>2.7480000000000001E-2</v>
      </c>
      <c r="L13" s="945">
        <f t="shared" si="4"/>
        <v>2.0335200000000001E-2</v>
      </c>
      <c r="R13" s="890"/>
    </row>
    <row r="14" spans="1:33" ht="28.5" x14ac:dyDescent="0.25">
      <c r="B14" s="1130" t="s">
        <v>99</v>
      </c>
      <c r="C14" s="947" t="s">
        <v>14</v>
      </c>
      <c r="D14" s="1040">
        <v>0.5</v>
      </c>
      <c r="E14" s="940">
        <f t="shared" si="0"/>
        <v>9.16</v>
      </c>
      <c r="F14" s="948">
        <v>1</v>
      </c>
      <c r="G14" s="940">
        <f t="shared" si="1"/>
        <v>4.58</v>
      </c>
      <c r="H14" s="943">
        <f t="shared" si="2"/>
        <v>4.58</v>
      </c>
      <c r="I14" s="914">
        <f>VLOOKUP(B14,All_Ingredients!$A$1:$F$161,6,FALSE())</f>
        <v>1</v>
      </c>
      <c r="J14" s="944">
        <f>VLOOKUP(B14,All_Ingredients!$A$1:$J$161,10,FALSE())</f>
        <v>31</v>
      </c>
      <c r="K14" s="945">
        <f t="shared" si="3"/>
        <v>4.5799999999999999E-3</v>
      </c>
      <c r="L14" s="945">
        <f t="shared" si="4"/>
        <v>0.14198</v>
      </c>
      <c r="R14" s="890"/>
    </row>
    <row r="25" spans="18:29" x14ac:dyDescent="0.25">
      <c r="R25" s="1792" t="s">
        <v>391</v>
      </c>
      <c r="S25" s="1787"/>
      <c r="T25" s="1787"/>
      <c r="Z25" s="982" t="s">
        <v>14</v>
      </c>
      <c r="AA25" s="989">
        <v>1</v>
      </c>
      <c r="AB25" s="982" t="s">
        <v>249</v>
      </c>
      <c r="AC25" s="985">
        <f>(S33/S30)*AA25</f>
        <v>8.9168764365888595E-3</v>
      </c>
    </row>
    <row r="26" spans="18:29" x14ac:dyDescent="0.25">
      <c r="R26" s="1792" t="s">
        <v>337</v>
      </c>
      <c r="S26" s="1787"/>
      <c r="T26" s="1787"/>
    </row>
    <row r="27" spans="18:29" x14ac:dyDescent="0.25">
      <c r="R27" s="961" t="s">
        <v>254</v>
      </c>
      <c r="S27" s="962" t="s">
        <v>338</v>
      </c>
      <c r="T27" s="962" t="s">
        <v>257</v>
      </c>
    </row>
    <row r="28" spans="18:29" x14ac:dyDescent="0.25">
      <c r="R28" s="961" t="s">
        <v>263</v>
      </c>
      <c r="S28" s="1170">
        <f>T28</f>
        <v>9160</v>
      </c>
      <c r="T28" s="1391">
        <f>$Z$1</f>
        <v>9160</v>
      </c>
    </row>
    <row r="29" spans="18:29" x14ac:dyDescent="0.25">
      <c r="R29" s="961" t="s">
        <v>265</v>
      </c>
      <c r="S29" s="1391">
        <f>$AB$1</f>
        <v>0</v>
      </c>
      <c r="T29" s="974">
        <f>S29</f>
        <v>0</v>
      </c>
    </row>
    <row r="30" spans="18:29" x14ac:dyDescent="0.25">
      <c r="R30" s="961" t="s">
        <v>257</v>
      </c>
      <c r="S30" s="966">
        <f>SUM(S28:S29)</f>
        <v>9160</v>
      </c>
      <c r="T30" s="966">
        <f>S30</f>
        <v>9160</v>
      </c>
    </row>
    <row r="33" spans="18:20" ht="15.75" thickBot="1" x14ac:dyDescent="0.3">
      <c r="R33" s="909" t="s">
        <v>249</v>
      </c>
      <c r="S33" s="548">
        <f>SUM(L6:L14)</f>
        <v>81.678588159153961</v>
      </c>
      <c r="T33" s="594">
        <f>S33</f>
        <v>81.678588159153961</v>
      </c>
    </row>
    <row r="50" spans="1:8" x14ac:dyDescent="0.25">
      <c r="B50" s="958"/>
      <c r="C50" s="1076" t="s">
        <v>233</v>
      </c>
      <c r="D50" s="958" t="s">
        <v>279</v>
      </c>
      <c r="E50" s="80"/>
      <c r="F50" s="80"/>
      <c r="H50" s="890"/>
    </row>
    <row r="51" spans="1:8" x14ac:dyDescent="0.25">
      <c r="B51" s="1027" t="s">
        <v>283</v>
      </c>
      <c r="C51" s="1028">
        <f>10/$K$1</f>
        <v>10</v>
      </c>
      <c r="D51" s="1029">
        <f>$C$1*10</f>
        <v>10000</v>
      </c>
      <c r="E51" s="80"/>
      <c r="F51" s="80"/>
      <c r="H51" s="890"/>
    </row>
    <row r="52" spans="1:8" x14ac:dyDescent="0.25">
      <c r="B52" s="958" t="s">
        <v>257</v>
      </c>
      <c r="C52" s="1243">
        <f>G1</f>
        <v>9.16</v>
      </c>
      <c r="D52" s="1100">
        <f>E1</f>
        <v>9160</v>
      </c>
      <c r="E52" s="80"/>
      <c r="F52" s="80"/>
      <c r="H52" s="890"/>
    </row>
    <row r="53" spans="1:8" x14ac:dyDescent="0.25">
      <c r="B53" s="958" t="s">
        <v>284</v>
      </c>
      <c r="C53" s="1101">
        <f>MIN($C$52, $C$51)</f>
        <v>9.16</v>
      </c>
      <c r="D53" s="1100">
        <f>(C53*$K$1)*$C$1</f>
        <v>9160</v>
      </c>
      <c r="E53" s="80"/>
      <c r="F53" s="80"/>
      <c r="H53" s="890"/>
    </row>
    <row r="54" spans="1:8" x14ac:dyDescent="0.25">
      <c r="B54" s="958" t="s">
        <v>285</v>
      </c>
      <c r="C54" s="1101">
        <f>MIN(MAX($C$52-C53,0),$C$51)</f>
        <v>0</v>
      </c>
      <c r="D54" s="1100">
        <f>(C54*$K$1)*$C$1</f>
        <v>0</v>
      </c>
      <c r="E54" s="80"/>
      <c r="F54" s="80"/>
      <c r="H54" s="890"/>
    </row>
    <row r="55" spans="1:8" x14ac:dyDescent="0.25">
      <c r="B55" s="958" t="s">
        <v>286</v>
      </c>
      <c r="C55" s="1101">
        <f>MIN(MAX($C$52-C53-C54,0),$C$51)</f>
        <v>0</v>
      </c>
      <c r="D55" s="1100">
        <f>(C55*$K$1)*$C$1</f>
        <v>0</v>
      </c>
      <c r="E55" s="80"/>
      <c r="F55" s="80"/>
      <c r="H55" s="890"/>
    </row>
    <row r="56" spans="1:8" x14ac:dyDescent="0.25">
      <c r="B56" s="1176"/>
      <c r="C56" s="216"/>
      <c r="D56" s="1182"/>
      <c r="E56" s="80"/>
      <c r="F56" s="80"/>
      <c r="H56" s="890"/>
    </row>
    <row r="57" spans="1:8" x14ac:dyDescent="0.25">
      <c r="B57" s="1176"/>
      <c r="C57" s="216"/>
      <c r="D57" s="1182"/>
      <c r="E57" s="80"/>
      <c r="F57" s="80"/>
      <c r="H57" s="890"/>
    </row>
    <row r="58" spans="1:8" x14ac:dyDescent="0.25">
      <c r="B58" s="1176"/>
      <c r="C58" s="216"/>
      <c r="D58" s="1182"/>
      <c r="E58" s="80"/>
      <c r="F58" s="80"/>
      <c r="H58" s="890"/>
    </row>
    <row r="59" spans="1:8" x14ac:dyDescent="0.25">
      <c r="B59" s="1176"/>
      <c r="C59" s="216"/>
      <c r="D59" s="1182"/>
      <c r="E59" s="80"/>
      <c r="F59" s="80"/>
      <c r="H59" s="890"/>
    </row>
    <row r="60" spans="1:8" x14ac:dyDescent="0.25">
      <c r="B60" s="1176"/>
      <c r="C60" s="216"/>
      <c r="D60" s="1182"/>
      <c r="E60" s="80"/>
      <c r="F60" s="80"/>
      <c r="H60" s="890"/>
    </row>
    <row r="61" spans="1:8" x14ac:dyDescent="0.25">
      <c r="B61" s="890"/>
      <c r="D61" s="890"/>
      <c r="E61" s="80"/>
      <c r="F61" s="80"/>
      <c r="H61" s="890"/>
    </row>
    <row r="62" spans="1:8" x14ac:dyDescent="0.25">
      <c r="A62" s="867"/>
      <c r="B62" s="1776" t="s">
        <v>765</v>
      </c>
      <c r="C62" s="1777"/>
      <c r="D62" s="1778"/>
      <c r="E62" s="1778"/>
      <c r="F62" s="1778"/>
      <c r="G62" s="1777"/>
      <c r="H62" s="1778"/>
    </row>
    <row r="63" spans="1:8" x14ac:dyDescent="0.25">
      <c r="A63" s="867"/>
      <c r="B63" s="1776" t="s">
        <v>390</v>
      </c>
      <c r="C63" s="1777"/>
      <c r="D63" s="1778"/>
      <c r="E63" s="1778"/>
      <c r="F63" s="1778"/>
      <c r="G63" s="1777"/>
      <c r="H63" s="1778"/>
    </row>
    <row r="64" spans="1:8" ht="38.25" x14ac:dyDescent="0.2">
      <c r="A64" s="872"/>
      <c r="B64" s="1104" t="s">
        <v>241</v>
      </c>
      <c r="C64" s="934" t="s">
        <v>242</v>
      </c>
      <c r="D64" s="1104" t="s">
        <v>231</v>
      </c>
      <c r="E64" s="936" t="s">
        <v>234</v>
      </c>
      <c r="F64" s="936" t="s">
        <v>243</v>
      </c>
      <c r="G64" s="1104" t="s">
        <v>244</v>
      </c>
      <c r="H64" s="936" t="s">
        <v>245</v>
      </c>
    </row>
    <row r="65" spans="1:8" x14ac:dyDescent="0.25">
      <c r="B65" s="1130" t="str">
        <f t="shared" ref="B65:D73" si="5">B6</f>
        <v>Carrot - جزر</v>
      </c>
      <c r="C65" s="947" t="str">
        <f t="shared" si="5"/>
        <v>gm</v>
      </c>
      <c r="D65" s="940">
        <f t="shared" si="5"/>
        <v>450</v>
      </c>
      <c r="E65" s="940">
        <f>$C$52</f>
        <v>9.16</v>
      </c>
      <c r="F65" s="948">
        <f t="shared" ref="F65:F73" si="6">F6</f>
        <v>1</v>
      </c>
      <c r="G65" s="940">
        <f t="shared" ref="G65:G73" si="7">D65*E65</f>
        <v>4122</v>
      </c>
      <c r="H65" s="943">
        <f t="shared" ref="H65:H73" si="8">G65*F65</f>
        <v>4122</v>
      </c>
    </row>
    <row r="66" spans="1:8" x14ac:dyDescent="0.25">
      <c r="B66" s="1130" t="str">
        <f t="shared" si="5"/>
        <v>Zucchini - كوسة</v>
      </c>
      <c r="C66" s="947" t="str">
        <f t="shared" si="5"/>
        <v>gm</v>
      </c>
      <c r="D66" s="940">
        <f t="shared" si="5"/>
        <v>450</v>
      </c>
      <c r="E66" s="940">
        <f t="shared" ref="E66:E73" si="9">$C$52</f>
        <v>9.16</v>
      </c>
      <c r="F66" s="948">
        <f t="shared" si="6"/>
        <v>1</v>
      </c>
      <c r="G66" s="940">
        <f t="shared" si="7"/>
        <v>4122</v>
      </c>
      <c r="H66" s="943">
        <f t="shared" si="8"/>
        <v>4122</v>
      </c>
    </row>
    <row r="67" spans="1:8" x14ac:dyDescent="0.25">
      <c r="B67" s="1130" t="str">
        <f t="shared" si="5"/>
        <v xml:space="preserve">Red Bell Pepper - فلفل أحمر </v>
      </c>
      <c r="C67" s="947" t="str">
        <f t="shared" si="5"/>
        <v>gm</v>
      </c>
      <c r="D67" s="940">
        <f t="shared" si="5"/>
        <v>80</v>
      </c>
      <c r="E67" s="940">
        <f t="shared" si="9"/>
        <v>9.16</v>
      </c>
      <c r="F67" s="948">
        <f t="shared" si="6"/>
        <v>1</v>
      </c>
      <c r="G67" s="940">
        <f t="shared" si="7"/>
        <v>732.8</v>
      </c>
      <c r="H67" s="943">
        <f t="shared" si="8"/>
        <v>732.8</v>
      </c>
    </row>
    <row r="68" spans="1:8" x14ac:dyDescent="0.25">
      <c r="B68" s="1130" t="str">
        <f t="shared" si="5"/>
        <v xml:space="preserve">Yellow Bell Pepper - فلفل أصفر </v>
      </c>
      <c r="C68" s="947" t="str">
        <f t="shared" si="5"/>
        <v>gm</v>
      </c>
      <c r="D68" s="940">
        <f t="shared" si="5"/>
        <v>80</v>
      </c>
      <c r="E68" s="940">
        <f t="shared" si="9"/>
        <v>9.16</v>
      </c>
      <c r="F68" s="948">
        <f t="shared" si="6"/>
        <v>1</v>
      </c>
      <c r="G68" s="940">
        <f t="shared" si="7"/>
        <v>732.8</v>
      </c>
      <c r="H68" s="943">
        <f t="shared" si="8"/>
        <v>732.8</v>
      </c>
    </row>
    <row r="69" spans="1:8" ht="28.5" x14ac:dyDescent="0.25">
      <c r="B69" s="1130" t="str">
        <f t="shared" si="5"/>
        <v>Green Bell Pepper - فلفل أخضر رومى</v>
      </c>
      <c r="C69" s="947" t="str">
        <f t="shared" si="5"/>
        <v>gm</v>
      </c>
      <c r="D69" s="940">
        <f t="shared" si="5"/>
        <v>80</v>
      </c>
      <c r="E69" s="940">
        <f t="shared" si="9"/>
        <v>9.16</v>
      </c>
      <c r="F69" s="948">
        <f t="shared" si="6"/>
        <v>1</v>
      </c>
      <c r="G69" s="940">
        <f t="shared" si="7"/>
        <v>732.8</v>
      </c>
      <c r="H69" s="943">
        <f t="shared" si="8"/>
        <v>732.8</v>
      </c>
    </row>
    <row r="70" spans="1:8" x14ac:dyDescent="0.25">
      <c r="B70" s="1130" t="str">
        <f t="shared" si="5"/>
        <v>Chinese Cabbage - ملفوف صيني</v>
      </c>
      <c r="C70" s="947" t="str">
        <f t="shared" si="5"/>
        <v>gm</v>
      </c>
      <c r="D70" s="940">
        <f t="shared" si="5"/>
        <v>80</v>
      </c>
      <c r="E70" s="940">
        <f t="shared" si="9"/>
        <v>9.16</v>
      </c>
      <c r="F70" s="948">
        <f t="shared" si="6"/>
        <v>1</v>
      </c>
      <c r="G70" s="940">
        <f t="shared" si="7"/>
        <v>732.8</v>
      </c>
      <c r="H70" s="943">
        <f t="shared" si="8"/>
        <v>732.8</v>
      </c>
    </row>
    <row r="71" spans="1:8" x14ac:dyDescent="0.25">
      <c r="B71" s="1130" t="str">
        <f t="shared" si="5"/>
        <v>Sweet Corn - ذرة حلوة</v>
      </c>
      <c r="C71" s="947" t="str">
        <f t="shared" si="5"/>
        <v>gm</v>
      </c>
      <c r="D71" s="940">
        <f t="shared" si="5"/>
        <v>80</v>
      </c>
      <c r="E71" s="940">
        <f t="shared" si="9"/>
        <v>9.16</v>
      </c>
      <c r="F71" s="948">
        <f t="shared" si="6"/>
        <v>1</v>
      </c>
      <c r="G71" s="940">
        <f t="shared" si="7"/>
        <v>732.8</v>
      </c>
      <c r="H71" s="943">
        <f t="shared" si="8"/>
        <v>732.8</v>
      </c>
    </row>
    <row r="72" spans="1:8" x14ac:dyDescent="0.25">
      <c r="B72" s="1130" t="str">
        <f t="shared" si="5"/>
        <v>Salt - ملح</v>
      </c>
      <c r="C72" s="947" t="str">
        <f t="shared" si="5"/>
        <v>gm</v>
      </c>
      <c r="D72" s="940">
        <f t="shared" si="5"/>
        <v>4</v>
      </c>
      <c r="E72" s="940">
        <f t="shared" si="9"/>
        <v>9.16</v>
      </c>
      <c r="F72" s="948">
        <f t="shared" si="6"/>
        <v>0.75</v>
      </c>
      <c r="G72" s="940">
        <f t="shared" si="7"/>
        <v>36.64</v>
      </c>
      <c r="H72" s="943">
        <f t="shared" si="8"/>
        <v>27.48</v>
      </c>
    </row>
    <row r="73" spans="1:8" ht="28.5" x14ac:dyDescent="0.25">
      <c r="B73" s="1130" t="str">
        <f t="shared" si="5"/>
        <v>Black Pepper Powder - فلفل أسود مطحون</v>
      </c>
      <c r="C73" s="947" t="str">
        <f t="shared" si="5"/>
        <v>gm</v>
      </c>
      <c r="D73" s="1040">
        <f t="shared" si="5"/>
        <v>0.5</v>
      </c>
      <c r="E73" s="940">
        <f t="shared" si="9"/>
        <v>9.16</v>
      </c>
      <c r="F73" s="948">
        <f t="shared" si="6"/>
        <v>1</v>
      </c>
      <c r="G73" s="940">
        <f t="shared" si="7"/>
        <v>4.58</v>
      </c>
      <c r="H73" s="943">
        <f t="shared" si="8"/>
        <v>4.58</v>
      </c>
    </row>
    <row r="74" spans="1:8" ht="15.75" x14ac:dyDescent="0.25">
      <c r="B74" s="1041" t="s">
        <v>686</v>
      </c>
      <c r="C74" s="952"/>
      <c r="D74" s="1043"/>
      <c r="E74" s="1208"/>
      <c r="F74" s="1208"/>
      <c r="G74" s="952"/>
      <c r="H74" s="1043"/>
    </row>
    <row r="75" spans="1:8" ht="20.25" x14ac:dyDescent="0.3">
      <c r="B75" s="1047">
        <f>D52</f>
        <v>9160</v>
      </c>
      <c r="C75" s="1346"/>
      <c r="D75" s="1347"/>
      <c r="E75" s="1208"/>
      <c r="F75" s="1348"/>
      <c r="G75" s="952"/>
      <c r="H75" s="1043"/>
    </row>
    <row r="76" spans="1:8" ht="14.25" customHeight="1" x14ac:dyDescent="0.25">
      <c r="B76" s="80"/>
      <c r="E76" s="80"/>
      <c r="F76" s="80"/>
    </row>
    <row r="77" spans="1:8" ht="12.75" customHeight="1" x14ac:dyDescent="0.25">
      <c r="B77" s="80"/>
      <c r="C77" s="80"/>
      <c r="D77" s="225"/>
      <c r="E77" s="80"/>
      <c r="F77" s="80"/>
      <c r="G77" s="80"/>
      <c r="H77" s="80"/>
    </row>
    <row r="78" spans="1:8" ht="12.75" customHeight="1" x14ac:dyDescent="0.25"/>
    <row r="79" spans="1:8" ht="18" x14ac:dyDescent="0.25">
      <c r="A79" s="887"/>
      <c r="B79" s="1819"/>
      <c r="C79" s="1820"/>
      <c r="D79" s="1820"/>
      <c r="E79" s="1820"/>
      <c r="F79" s="1820"/>
      <c r="G79" s="1820"/>
      <c r="H79" s="1820"/>
    </row>
    <row r="80" spans="1:8" ht="18" customHeight="1" x14ac:dyDescent="0.25">
      <c r="A80" s="887"/>
      <c r="B80" s="1819"/>
      <c r="C80" s="1820"/>
      <c r="D80" s="1820"/>
      <c r="E80" s="1820"/>
      <c r="F80" s="1820"/>
      <c r="G80" s="1820"/>
      <c r="H80" s="1820"/>
    </row>
    <row r="95" spans="2:8" ht="18" x14ac:dyDescent="0.25">
      <c r="B95" s="1819"/>
      <c r="C95" s="1820"/>
      <c r="D95" s="1820"/>
      <c r="E95" s="1820"/>
      <c r="F95" s="1820"/>
      <c r="G95" s="1820"/>
      <c r="H95" s="1820"/>
    </row>
    <row r="96" spans="2:8" ht="18" customHeight="1" x14ac:dyDescent="0.25">
      <c r="B96" s="1819"/>
      <c r="C96" s="1820"/>
      <c r="D96" s="1820"/>
      <c r="E96" s="1820"/>
      <c r="F96" s="1820"/>
      <c r="G96" s="1820"/>
      <c r="H96" s="1820"/>
    </row>
  </sheetData>
  <mergeCells count="10">
    <mergeCell ref="AE2:AG3"/>
    <mergeCell ref="B95:H95"/>
    <mergeCell ref="B96:H96"/>
    <mergeCell ref="B79:H79"/>
    <mergeCell ref="R26:T26"/>
    <mergeCell ref="B63:H63"/>
    <mergeCell ref="B2:H3"/>
    <mergeCell ref="R25:T25"/>
    <mergeCell ref="B80:H80"/>
    <mergeCell ref="B62:H62"/>
  </mergeCells>
  <printOptions horizontalCentered="1"/>
  <pageMargins left="0.4" right="0.4" top="1" bottom="0.5" header="0.3" footer="0.511811023622047"/>
  <pageSetup paperSize="9" scale="66" fitToHeight="0" orientation="landscape" r:id="rId1"/>
  <headerFooter>
    <oddHeader>&amp;C&amp;B&amp;16Oven Vegetables (3)&amp;R&amp;B Day 3</oddHeader>
    <oddFooter>&amp;CPage &amp;P of &amp;N</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rgb="FF7C7C7C"/>
    <pageSetUpPr fitToPage="1"/>
  </sheetPr>
  <dimension ref="A1:AT92"/>
  <sheetViews>
    <sheetView topLeftCell="S1" zoomScale="55" zoomScaleNormal="55" workbookViewId="0">
      <selection activeCell="H28" sqref="H28:AB29"/>
    </sheetView>
  </sheetViews>
  <sheetFormatPr defaultColWidth="12.5" defaultRowHeight="15" x14ac:dyDescent="0.25"/>
  <cols>
    <col min="1" max="1" width="18.625" style="1" customWidth="1"/>
    <col min="2" max="2" width="25.875" customWidth="1"/>
    <col min="3" max="3" width="18.625" customWidth="1"/>
    <col min="4" max="6" width="25.875" customWidth="1"/>
    <col min="7" max="7" width="18.625" customWidth="1"/>
    <col min="8" max="8" width="25.875" customWidth="1"/>
    <col min="9" max="10" width="18.625" customWidth="1"/>
    <col min="11" max="11" width="25.875" customWidth="1"/>
    <col min="12" max="12" width="12.625" customWidth="1"/>
    <col min="13" max="14" width="4.375" customWidth="1"/>
    <col min="15" max="15" width="18.625" customWidth="1"/>
    <col min="16" max="16" width="12.625" customWidth="1"/>
    <col min="17" max="17" width="18.625" customWidth="1"/>
    <col min="18" max="20" width="25.875" customWidth="1"/>
    <col min="21" max="22" width="12.625" customWidth="1"/>
    <col min="23" max="23" width="18.625" customWidth="1"/>
    <col min="25" max="25" width="8.625" customWidth="1"/>
    <col min="26" max="31" width="12.625" customWidth="1"/>
    <col min="32" max="35" width="5.5" customWidth="1"/>
    <col min="36" max="40" width="25.875" customWidth="1"/>
    <col min="41" max="41" width="18.625" customWidth="1"/>
    <col min="42" max="42" width="25.875" customWidth="1"/>
    <col min="43" max="44" width="18.625" customWidth="1"/>
    <col min="45" max="45" width="25.875" customWidth="1"/>
    <col min="46" max="46" width="8.625" customWidth="1"/>
  </cols>
  <sheetData>
    <row r="1" spans="1:46" ht="25.5" x14ac:dyDescent="0.25">
      <c r="B1" s="913" t="s">
        <v>231</v>
      </c>
      <c r="C1" s="914">
        <v>1000</v>
      </c>
      <c r="D1" s="915" t="s">
        <v>232</v>
      </c>
      <c r="E1" s="941">
        <f>T32</f>
        <v>3815.5039999999999</v>
      </c>
      <c r="F1" s="913" t="s">
        <v>233</v>
      </c>
      <c r="G1" s="1040">
        <f>E1/C1</f>
        <v>3.8155039999999998</v>
      </c>
      <c r="H1" s="913" t="s">
        <v>234</v>
      </c>
      <c r="I1" s="1040">
        <f>(G1/K1)</f>
        <v>3.8155039999999998</v>
      </c>
      <c r="J1" s="919" t="s">
        <v>235</v>
      </c>
      <c r="K1" s="1040">
        <v>1</v>
      </c>
      <c r="L1" s="80"/>
      <c r="M1" s="70"/>
      <c r="N1" s="922"/>
      <c r="O1" s="923" t="s">
        <v>236</v>
      </c>
      <c r="P1" s="914" t="s">
        <v>237</v>
      </c>
      <c r="Q1" s="924" t="s">
        <v>238</v>
      </c>
      <c r="R1" s="914">
        <v>0.59</v>
      </c>
      <c r="S1" s="830"/>
      <c r="T1" s="830"/>
      <c r="Y1" s="923" t="s">
        <v>444</v>
      </c>
      <c r="Z1" s="925">
        <v>28260</v>
      </c>
      <c r="AA1" s="923" t="s">
        <v>544</v>
      </c>
      <c r="AB1" s="925">
        <v>1000</v>
      </c>
      <c r="AC1" s="923" t="s">
        <v>537</v>
      </c>
      <c r="AD1" s="925">
        <v>199</v>
      </c>
      <c r="AE1" s="168"/>
      <c r="AF1" s="170"/>
      <c r="AG1" s="73"/>
      <c r="AJ1" s="926" t="s">
        <v>250</v>
      </c>
      <c r="AK1" s="926">
        <v>10000</v>
      </c>
      <c r="AL1" s="927" t="s">
        <v>474</v>
      </c>
      <c r="AM1" s="928">
        <f>$S$32</f>
        <v>25444.495999999999</v>
      </c>
      <c r="AN1" s="926" t="s">
        <v>239</v>
      </c>
      <c r="AO1" s="1349">
        <f>($S$32/$R$1)/$AK$1</f>
        <v>4.3126264406779669</v>
      </c>
      <c r="AP1" s="76"/>
      <c r="AS1" s="830"/>
    </row>
    <row r="2" spans="1:46" ht="15.75" x14ac:dyDescent="0.25">
      <c r="A2" s="860"/>
      <c r="B2" s="1833" t="s">
        <v>392</v>
      </c>
      <c r="C2" s="1787"/>
      <c r="D2" s="1788"/>
      <c r="E2" s="1788"/>
      <c r="F2" s="1788"/>
      <c r="G2" s="1787"/>
      <c r="H2" s="1788"/>
      <c r="I2" s="1787"/>
      <c r="J2" s="1787"/>
      <c r="K2" s="1784"/>
      <c r="L2" s="187"/>
      <c r="M2" s="80"/>
      <c r="N2" s="80"/>
      <c r="O2" s="80"/>
      <c r="P2" s="80"/>
      <c r="Q2" s="80"/>
      <c r="R2" s="80"/>
      <c r="S2" s="830"/>
      <c r="T2" s="830"/>
      <c r="AC2" s="79"/>
      <c r="AD2" s="79"/>
      <c r="AE2" s="1795"/>
      <c r="AF2" s="1796"/>
      <c r="AG2" s="1796"/>
      <c r="AJ2" s="930"/>
      <c r="AK2" s="1783" t="s">
        <v>394</v>
      </c>
      <c r="AL2" s="1783"/>
      <c r="AM2" s="1783"/>
      <c r="AN2" s="931"/>
      <c r="AO2" s="930"/>
      <c r="AP2" s="81"/>
      <c r="AS2" s="830"/>
    </row>
    <row r="3" spans="1:46" ht="15.75" x14ac:dyDescent="0.25">
      <c r="A3" s="860"/>
      <c r="B3" s="1785"/>
      <c r="C3" s="1796"/>
      <c r="D3" s="1785"/>
      <c r="E3" s="1785"/>
      <c r="F3" s="1785"/>
      <c r="G3" s="1796"/>
      <c r="H3" s="1785"/>
      <c r="I3" s="1796"/>
      <c r="J3" s="1796"/>
      <c r="K3" s="1785"/>
      <c r="L3" s="187"/>
      <c r="M3" s="80"/>
      <c r="N3" s="80"/>
      <c r="O3" s="80"/>
      <c r="P3" s="80"/>
      <c r="Q3" s="80"/>
      <c r="R3" s="80"/>
      <c r="S3" s="830"/>
      <c r="T3" s="830"/>
      <c r="AC3" s="79"/>
      <c r="AD3" s="79"/>
      <c r="AE3" s="1796"/>
      <c r="AF3" s="1796"/>
      <c r="AG3" s="1796"/>
      <c r="AJ3" s="1354"/>
      <c r="AK3" s="81"/>
      <c r="AL3" s="82"/>
      <c r="AM3" s="82"/>
      <c r="AN3" s="82"/>
      <c r="AO3" s="81"/>
      <c r="AP3" s="81"/>
      <c r="AS3" s="830"/>
    </row>
    <row r="4" spans="1:46" ht="38.25" x14ac:dyDescent="0.2">
      <c r="A4" s="1350" t="s">
        <v>864</v>
      </c>
      <c r="B4" s="923" t="s">
        <v>241</v>
      </c>
      <c r="C4" s="934" t="s">
        <v>242</v>
      </c>
      <c r="D4" s="923" t="s">
        <v>231</v>
      </c>
      <c r="E4" s="935" t="s">
        <v>234</v>
      </c>
      <c r="F4" s="935" t="s">
        <v>243</v>
      </c>
      <c r="G4" s="923" t="s">
        <v>244</v>
      </c>
      <c r="H4" s="936" t="s">
        <v>334</v>
      </c>
      <c r="I4" s="923" t="s">
        <v>246</v>
      </c>
      <c r="J4" s="923" t="s">
        <v>247</v>
      </c>
      <c r="K4" s="923" t="s">
        <v>248</v>
      </c>
      <c r="L4" s="923" t="s">
        <v>249</v>
      </c>
      <c r="M4" s="80"/>
      <c r="N4" s="80"/>
      <c r="O4" s="80"/>
      <c r="P4" s="80"/>
      <c r="R4" s="830"/>
      <c r="S4" s="830"/>
      <c r="T4" s="830"/>
      <c r="AA4" s="169"/>
      <c r="AB4" s="171"/>
      <c r="AC4" s="169"/>
      <c r="AD4" s="169"/>
      <c r="AE4" s="169"/>
      <c r="AJ4" s="926" t="s">
        <v>241</v>
      </c>
      <c r="AK4" s="926" t="s">
        <v>242</v>
      </c>
      <c r="AL4" s="926" t="s">
        <v>250</v>
      </c>
      <c r="AM4" s="926" t="s">
        <v>234</v>
      </c>
      <c r="AN4" s="926" t="s">
        <v>243</v>
      </c>
      <c r="AO4" s="926" t="s">
        <v>244</v>
      </c>
      <c r="AP4" s="926" t="s">
        <v>245</v>
      </c>
      <c r="AQ4" s="923" t="s">
        <v>246</v>
      </c>
      <c r="AR4" s="923" t="s">
        <v>247</v>
      </c>
      <c r="AS4" s="923" t="s">
        <v>248</v>
      </c>
      <c r="AT4" s="923" t="s">
        <v>249</v>
      </c>
    </row>
    <row r="5" spans="1:46" ht="30" x14ac:dyDescent="0.2">
      <c r="A5" s="937" t="s">
        <v>893</v>
      </c>
      <c r="B5" s="1118" t="s">
        <v>220</v>
      </c>
      <c r="C5" s="939" t="s">
        <v>14</v>
      </c>
      <c r="D5" s="944">
        <f>I51/10</f>
        <v>11303.389830508475</v>
      </c>
      <c r="E5" s="941">
        <f>H52</f>
        <v>3.8153390313390316</v>
      </c>
      <c r="F5" s="948">
        <v>1</v>
      </c>
      <c r="G5" s="940">
        <f t="shared" ref="G5:G14" si="0">D5*E5</f>
        <v>43126.264406779665</v>
      </c>
      <c r="H5" s="943">
        <f t="shared" ref="H5:H14" si="1">G5*F5</f>
        <v>43126.264406779665</v>
      </c>
      <c r="I5" s="914">
        <f>VLOOKUP(B5,All_Ingredients!$A$1:$F$161,6,FALSE())</f>
        <v>0.86</v>
      </c>
      <c r="J5" s="944">
        <f>VLOOKUP(B5,All_Ingredients!$A$1:$J$161,10,FALSE())</f>
        <v>17.100000000000001</v>
      </c>
      <c r="K5" s="945">
        <f t="shared" ref="K5" si="2">(H5/I5)/1000</f>
        <v>50.146819077650775</v>
      </c>
      <c r="L5" s="945">
        <f t="shared" ref="L5" si="3">K5*J5</f>
        <v>857.51060622782836</v>
      </c>
      <c r="M5" s="80"/>
      <c r="N5" s="80"/>
      <c r="O5" s="80"/>
      <c r="P5" s="80"/>
      <c r="R5" s="830"/>
      <c r="S5" s="830"/>
      <c r="T5" s="830"/>
      <c r="AA5" s="73"/>
      <c r="AB5" s="89"/>
      <c r="AC5" s="172"/>
      <c r="AD5" s="90"/>
      <c r="AE5" s="91"/>
      <c r="AJ5" s="1355" t="s">
        <v>220</v>
      </c>
      <c r="AK5" s="951" t="s">
        <v>227</v>
      </c>
      <c r="AL5" s="1356">
        <v>10</v>
      </c>
      <c r="AM5" s="1357">
        <f>$AO$1</f>
        <v>4.3126264406779669</v>
      </c>
      <c r="AN5" s="1358">
        <v>1</v>
      </c>
      <c r="AO5" s="1356">
        <f t="shared" ref="AO5:AO12" si="4">AL5*AM5</f>
        <v>43.126264406779669</v>
      </c>
      <c r="AP5" s="1359">
        <f t="shared" ref="AP5:AP12" si="5">AO5*AN5</f>
        <v>43.126264406779669</v>
      </c>
      <c r="AQ5" s="952"/>
      <c r="AR5" s="953"/>
      <c r="AS5" s="954"/>
      <c r="AT5" s="955"/>
    </row>
    <row r="6" spans="1:46" x14ac:dyDescent="0.25">
      <c r="A6" s="1117"/>
      <c r="B6" s="1208" t="s">
        <v>152</v>
      </c>
      <c r="C6" s="939" t="s">
        <v>14</v>
      </c>
      <c r="D6" s="914">
        <v>40</v>
      </c>
      <c r="E6" s="944">
        <f t="shared" ref="E6:E14" si="6">$I$1</f>
        <v>3.8155039999999998</v>
      </c>
      <c r="F6" s="948">
        <v>1</v>
      </c>
      <c r="G6" s="940">
        <f t="shared" si="0"/>
        <v>152.62016</v>
      </c>
      <c r="H6" s="943">
        <f t="shared" si="1"/>
        <v>152.62016</v>
      </c>
      <c r="I6" s="914">
        <f>VLOOKUP(B6,All_Ingredients!$A$1:$F$161,6,FALSE())</f>
        <v>1</v>
      </c>
      <c r="J6" s="944">
        <f>VLOOKUP(B6,All_Ingredients!$A$1:$J$161,10,FALSE())</f>
        <v>30</v>
      </c>
      <c r="K6" s="945">
        <f t="shared" ref="K6:K14" si="7">(H6/I6)/1000</f>
        <v>0.15262016</v>
      </c>
      <c r="L6" s="945">
        <f t="shared" ref="L6:L14" si="8">K6*J6</f>
        <v>4.5786047999999999</v>
      </c>
      <c r="R6" s="830"/>
      <c r="S6" s="830"/>
      <c r="T6" s="830"/>
      <c r="AJ6" s="1355" t="s">
        <v>54</v>
      </c>
      <c r="AK6" s="1201" t="s">
        <v>14</v>
      </c>
      <c r="AL6" s="940">
        <v>100</v>
      </c>
      <c r="AM6" s="1357">
        <f t="shared" ref="AM6:AM12" si="9">$AO$1</f>
        <v>4.3126264406779669</v>
      </c>
      <c r="AN6" s="1358">
        <v>1</v>
      </c>
      <c r="AO6" s="1356">
        <f t="shared" si="4"/>
        <v>431.26264406779671</v>
      </c>
      <c r="AP6" s="1359">
        <f t="shared" si="5"/>
        <v>431.26264406779671</v>
      </c>
      <c r="AQ6" s="955">
        <f>VLOOKUP(AJ6,Marination_Ordering!$A:$J,6,FALSE)</f>
        <v>0.87</v>
      </c>
      <c r="AR6" s="955">
        <f>VLOOKUP(AJ6,Marination_Ordering!$A:$J,10,FALSE)</f>
        <v>7</v>
      </c>
      <c r="AS6" s="954">
        <f>AP6/AQ6</f>
        <v>495.70418858367441</v>
      </c>
      <c r="AT6" s="955">
        <f>AR6*(AS6/1000)</f>
        <v>3.4699293200857211</v>
      </c>
    </row>
    <row r="7" spans="1:46" x14ac:dyDescent="0.25">
      <c r="A7" s="1117" t="s">
        <v>868</v>
      </c>
      <c r="B7" s="1208" t="s">
        <v>706</v>
      </c>
      <c r="C7" s="939" t="s">
        <v>14</v>
      </c>
      <c r="D7" s="914">
        <v>40</v>
      </c>
      <c r="E7" s="944">
        <f t="shared" si="6"/>
        <v>3.8155039999999998</v>
      </c>
      <c r="F7" s="948">
        <v>1</v>
      </c>
      <c r="G7" s="940">
        <f t="shared" si="0"/>
        <v>152.62016</v>
      </c>
      <c r="H7" s="943">
        <f t="shared" si="1"/>
        <v>152.62016</v>
      </c>
      <c r="I7" s="914">
        <f>VLOOKUP(B7,All_Ingredients!$A$1:$F$161,6,FALSE())</f>
        <v>1</v>
      </c>
      <c r="J7" s="944">
        <f>VLOOKUP(B7,All_Ingredients!$A$1:$J$161,10,FALSE())</f>
        <v>10.5</v>
      </c>
      <c r="K7" s="945">
        <f t="shared" si="7"/>
        <v>0.15262016</v>
      </c>
      <c r="L7" s="945">
        <f t="shared" si="8"/>
        <v>1.6025116800000001</v>
      </c>
      <c r="R7" s="830"/>
      <c r="S7" s="830"/>
      <c r="T7" s="830"/>
      <c r="AJ7" s="1355" t="s">
        <v>706</v>
      </c>
      <c r="AK7" s="1201" t="s">
        <v>14</v>
      </c>
      <c r="AL7" s="940">
        <v>150</v>
      </c>
      <c r="AM7" s="1357">
        <f t="shared" si="9"/>
        <v>4.3126264406779669</v>
      </c>
      <c r="AN7" s="1358">
        <v>1</v>
      </c>
      <c r="AO7" s="1356">
        <f t="shared" si="4"/>
        <v>646.89396610169501</v>
      </c>
      <c r="AP7" s="1359">
        <f t="shared" si="5"/>
        <v>646.89396610169501</v>
      </c>
      <c r="AQ7" s="955">
        <f>VLOOKUP(AJ7,Marination_Ordering!$A:$J,6,FALSE)</f>
        <v>1</v>
      </c>
      <c r="AR7" s="955">
        <f>VLOOKUP(AJ7,Marination_Ordering!$A:$J,10,FALSE)</f>
        <v>10.5</v>
      </c>
      <c r="AS7" s="954">
        <f t="shared" ref="AS7:AS8" si="10">AP7/AQ7</f>
        <v>646.89396610169501</v>
      </c>
      <c r="AT7" s="955">
        <f t="shared" ref="AT7:AT8" si="11">AR7*(AS7/1000)</f>
        <v>6.7923866440677978</v>
      </c>
    </row>
    <row r="8" spans="1:46" x14ac:dyDescent="0.25">
      <c r="A8" s="1117"/>
      <c r="B8" s="1208" t="s">
        <v>198</v>
      </c>
      <c r="C8" s="1157" t="s">
        <v>160</v>
      </c>
      <c r="D8" s="914">
        <v>300</v>
      </c>
      <c r="E8" s="944">
        <f t="shared" si="6"/>
        <v>3.8155039999999998</v>
      </c>
      <c r="F8" s="948">
        <v>1</v>
      </c>
      <c r="G8" s="940">
        <f t="shared" si="0"/>
        <v>1144.6512</v>
      </c>
      <c r="H8" s="943">
        <f t="shared" si="1"/>
        <v>1144.6512</v>
      </c>
      <c r="I8" s="914">
        <f>VLOOKUP(B8,All_Ingredients!$A$1:$F$161,6,FALSE())</f>
        <v>1</v>
      </c>
      <c r="J8" s="944">
        <f>VLOOKUP(B8,All_Ingredients!$A$1:$J$161,10,FALSE())</f>
        <v>3.25</v>
      </c>
      <c r="K8" s="945">
        <f t="shared" si="7"/>
        <v>1.1446512</v>
      </c>
      <c r="L8" s="945">
        <f t="shared" si="8"/>
        <v>3.7201163999999998</v>
      </c>
      <c r="R8" s="830"/>
      <c r="S8" s="830"/>
      <c r="T8" s="830"/>
      <c r="AJ8" s="1355" t="s">
        <v>212</v>
      </c>
      <c r="AK8" s="1201" t="s">
        <v>160</v>
      </c>
      <c r="AL8" s="940">
        <v>150</v>
      </c>
      <c r="AM8" s="1357">
        <f t="shared" si="9"/>
        <v>4.3126264406779669</v>
      </c>
      <c r="AN8" s="1358">
        <v>1</v>
      </c>
      <c r="AO8" s="1356">
        <f t="shared" si="4"/>
        <v>646.89396610169501</v>
      </c>
      <c r="AP8" s="1359">
        <f t="shared" si="5"/>
        <v>646.89396610169501</v>
      </c>
      <c r="AQ8" s="955">
        <f>VLOOKUP(AJ8,Marination_Ordering!$A:$J,6,FALSE)</f>
        <v>1</v>
      </c>
      <c r="AR8" s="955">
        <f>VLOOKUP(AJ8,Marination_Ordering!$A:$J,10,FALSE)</f>
        <v>5</v>
      </c>
      <c r="AS8" s="954">
        <f t="shared" si="10"/>
        <v>646.89396610169501</v>
      </c>
      <c r="AT8" s="955">
        <f t="shared" si="11"/>
        <v>3.2344698305084751</v>
      </c>
    </row>
    <row r="9" spans="1:46" x14ac:dyDescent="0.25">
      <c r="A9" s="1117"/>
      <c r="B9" s="1208" t="s">
        <v>202</v>
      </c>
      <c r="C9" s="939" t="s">
        <v>14</v>
      </c>
      <c r="D9" s="914">
        <v>90</v>
      </c>
      <c r="E9" s="944">
        <f t="shared" si="6"/>
        <v>3.8155039999999998</v>
      </c>
      <c r="F9" s="948">
        <v>1</v>
      </c>
      <c r="G9" s="940">
        <f t="shared" si="0"/>
        <v>343.39535999999998</v>
      </c>
      <c r="H9" s="943">
        <f t="shared" si="1"/>
        <v>343.39535999999998</v>
      </c>
      <c r="I9" s="914">
        <f>VLOOKUP(B9,All_Ingredients!$A$1:$F$161,6,FALSE())</f>
        <v>1</v>
      </c>
      <c r="J9" s="944">
        <f>VLOOKUP(B9,All_Ingredients!$A$1:$J$161,10,FALSE())</f>
        <v>11.243386243386244</v>
      </c>
      <c r="K9" s="945">
        <f t="shared" si="7"/>
        <v>0.34339535999999998</v>
      </c>
      <c r="L9" s="945">
        <f t="shared" si="8"/>
        <v>3.8609266666666664</v>
      </c>
      <c r="R9" s="830"/>
      <c r="S9" s="830"/>
      <c r="T9" s="830"/>
      <c r="AJ9" s="1355" t="s">
        <v>208</v>
      </c>
      <c r="AK9" s="951" t="s">
        <v>160</v>
      </c>
      <c r="AL9" s="940">
        <v>100</v>
      </c>
      <c r="AM9" s="1357">
        <f t="shared" si="9"/>
        <v>4.3126264406779669</v>
      </c>
      <c r="AN9" s="1358">
        <v>1</v>
      </c>
      <c r="AO9" s="1356">
        <f t="shared" si="4"/>
        <v>431.26264406779671</v>
      </c>
      <c r="AP9" s="1359">
        <f t="shared" si="5"/>
        <v>431.26264406779671</v>
      </c>
      <c r="AQ9" s="955">
        <f>VLOOKUP(AJ9,Marination_Ordering!$A:$J,6,FALSE)</f>
        <v>1</v>
      </c>
      <c r="AR9" s="955">
        <f>VLOOKUP(AJ9,Marination_Ordering!$A:$J,10,FALSE)</f>
        <v>2.1621621621621623</v>
      </c>
      <c r="AS9" s="954">
        <f t="shared" ref="AS9:AS12" si="12">AP9/AQ9</f>
        <v>431.26264406779671</v>
      </c>
      <c r="AT9" s="955">
        <f t="shared" ref="AT9:AT12" si="13">AR9*(AS9/1000)</f>
        <v>0.9324597709573984</v>
      </c>
    </row>
    <row r="10" spans="1:46" x14ac:dyDescent="0.25">
      <c r="A10" s="1117"/>
      <c r="B10" s="1208" t="s">
        <v>678</v>
      </c>
      <c r="C10" s="939" t="s">
        <v>14</v>
      </c>
      <c r="D10" s="914">
        <v>90</v>
      </c>
      <c r="E10" s="944">
        <f t="shared" si="6"/>
        <v>3.8155039999999998</v>
      </c>
      <c r="F10" s="948">
        <v>1</v>
      </c>
      <c r="G10" s="940">
        <f t="shared" si="0"/>
        <v>343.39535999999998</v>
      </c>
      <c r="H10" s="943">
        <f t="shared" si="1"/>
        <v>343.39535999999998</v>
      </c>
      <c r="I10" s="914">
        <f>VLOOKUP(B10,All_Ingredients!$A$1:$F$161,6,FALSE())</f>
        <v>1</v>
      </c>
      <c r="J10" s="944">
        <f>VLOOKUP(B10,All_Ingredients!$A$1:$J$161,10,FALSE())</f>
        <v>8.1520833333333336</v>
      </c>
      <c r="K10" s="945">
        <f t="shared" si="7"/>
        <v>0.34339535999999998</v>
      </c>
      <c r="L10" s="945">
        <f t="shared" si="8"/>
        <v>2.7993875909999999</v>
      </c>
      <c r="R10" s="830"/>
      <c r="S10" s="830"/>
      <c r="T10" s="830"/>
      <c r="AJ10" s="1355" t="s">
        <v>93</v>
      </c>
      <c r="AK10" s="1201" t="s">
        <v>14</v>
      </c>
      <c r="AL10" s="940">
        <v>5</v>
      </c>
      <c r="AM10" s="1357">
        <f t="shared" si="9"/>
        <v>4.3126264406779669</v>
      </c>
      <c r="AN10" s="1358">
        <v>1</v>
      </c>
      <c r="AO10" s="1356">
        <f t="shared" si="4"/>
        <v>21.563132203389834</v>
      </c>
      <c r="AP10" s="1359">
        <f t="shared" si="5"/>
        <v>21.563132203389834</v>
      </c>
      <c r="AQ10" s="955">
        <f>VLOOKUP(AJ10,Marination_Ordering!$A:$J,6,FALSE)</f>
        <v>1</v>
      </c>
      <c r="AR10" s="955">
        <f>VLOOKUP(AJ10,Marination_Ordering!$A:$J,10,FALSE)</f>
        <v>0.74</v>
      </c>
      <c r="AS10" s="954">
        <f t="shared" si="12"/>
        <v>21.563132203389834</v>
      </c>
      <c r="AT10" s="955">
        <f t="shared" si="13"/>
        <v>1.5956717830508477E-2</v>
      </c>
    </row>
    <row r="11" spans="1:46" ht="28.5" x14ac:dyDescent="0.25">
      <c r="A11" s="1117"/>
      <c r="B11" s="1208" t="s">
        <v>192</v>
      </c>
      <c r="C11" s="939" t="s">
        <v>160</v>
      </c>
      <c r="D11" s="914">
        <v>40</v>
      </c>
      <c r="E11" s="944">
        <f t="shared" si="6"/>
        <v>3.8155039999999998</v>
      </c>
      <c r="F11" s="948">
        <v>1</v>
      </c>
      <c r="G11" s="940">
        <f t="shared" si="0"/>
        <v>152.62016</v>
      </c>
      <c r="H11" s="943">
        <f t="shared" si="1"/>
        <v>152.62016</v>
      </c>
      <c r="I11" s="914">
        <f>VLOOKUP(B11,All_Ingredients!$A$1:$F$161,6,FALSE())</f>
        <v>1</v>
      </c>
      <c r="J11" s="944">
        <f>VLOOKUP(B11,All_Ingredients!$A$1:$J$161,10,FALSE())</f>
        <v>58.685446009389672</v>
      </c>
      <c r="K11" s="945">
        <f t="shared" si="7"/>
        <v>0.15262016</v>
      </c>
      <c r="L11" s="945">
        <f t="shared" si="8"/>
        <v>8.9565821596244142</v>
      </c>
      <c r="R11" s="830"/>
      <c r="S11" s="830"/>
      <c r="T11" s="830"/>
      <c r="AJ11" s="1355" t="s">
        <v>99</v>
      </c>
      <c r="AK11" s="1201" t="s">
        <v>14</v>
      </c>
      <c r="AL11" s="940">
        <v>5</v>
      </c>
      <c r="AM11" s="1357">
        <f t="shared" si="9"/>
        <v>4.3126264406779669</v>
      </c>
      <c r="AN11" s="1358">
        <v>1</v>
      </c>
      <c r="AO11" s="1356">
        <f t="shared" si="4"/>
        <v>21.563132203389834</v>
      </c>
      <c r="AP11" s="1359">
        <f t="shared" si="5"/>
        <v>21.563132203389834</v>
      </c>
      <c r="AQ11" s="955">
        <f>VLOOKUP(AJ11,Marination_Ordering!$A:$J,6,FALSE)</f>
        <v>1</v>
      </c>
      <c r="AR11" s="955">
        <f>VLOOKUP(AJ11,Marination_Ordering!$A:$J,10,FALSE)</f>
        <v>31</v>
      </c>
      <c r="AS11" s="954">
        <f t="shared" si="12"/>
        <v>21.563132203389834</v>
      </c>
      <c r="AT11" s="955">
        <f t="shared" si="13"/>
        <v>0.66845709830508493</v>
      </c>
    </row>
    <row r="12" spans="1:46" ht="28.5" x14ac:dyDescent="0.25">
      <c r="A12" s="1117"/>
      <c r="B12" s="1208" t="s">
        <v>82</v>
      </c>
      <c r="C12" s="939" t="s">
        <v>14</v>
      </c>
      <c r="D12" s="914">
        <v>1</v>
      </c>
      <c r="E12" s="944">
        <f t="shared" si="6"/>
        <v>3.8155039999999998</v>
      </c>
      <c r="F12" s="948">
        <v>1</v>
      </c>
      <c r="G12" s="940">
        <f t="shared" si="0"/>
        <v>3.8155039999999998</v>
      </c>
      <c r="H12" s="943">
        <f t="shared" si="1"/>
        <v>3.8155039999999998</v>
      </c>
      <c r="I12" s="914">
        <f>VLOOKUP(B12,All_Ingredients!$A$1:$F$161,6,FALSE())</f>
        <v>1</v>
      </c>
      <c r="J12" s="944">
        <f>VLOOKUP(B12,All_Ingredients!$A$1:$J$161,10,FALSE())</f>
        <v>147.88732394366198</v>
      </c>
      <c r="K12" s="945">
        <f t="shared" si="7"/>
        <v>3.8155039999999999E-3</v>
      </c>
      <c r="L12" s="945">
        <f t="shared" si="8"/>
        <v>0.56426467605633801</v>
      </c>
      <c r="R12" s="830"/>
      <c r="S12" s="830"/>
      <c r="T12" s="830"/>
      <c r="AJ12" s="1355" t="s">
        <v>799</v>
      </c>
      <c r="AK12" s="1201" t="s">
        <v>14</v>
      </c>
      <c r="AL12" s="914">
        <v>5</v>
      </c>
      <c r="AM12" s="1357">
        <f t="shared" si="9"/>
        <v>4.3126264406779669</v>
      </c>
      <c r="AN12" s="1358">
        <v>1</v>
      </c>
      <c r="AO12" s="1356">
        <f t="shared" si="4"/>
        <v>21.563132203389834</v>
      </c>
      <c r="AP12" s="1359">
        <f t="shared" si="5"/>
        <v>21.563132203389834</v>
      </c>
      <c r="AQ12" s="955">
        <f>VLOOKUP(AJ12,Marination_Ordering!$A:$J,6,FALSE)</f>
        <v>1</v>
      </c>
      <c r="AR12" s="955">
        <f>VLOOKUP(AJ12,Marination_Ordering!$A:$J,10,FALSE)</f>
        <v>22.5</v>
      </c>
      <c r="AS12" s="954">
        <f t="shared" si="12"/>
        <v>21.563132203389834</v>
      </c>
      <c r="AT12" s="955">
        <f t="shared" si="13"/>
        <v>0.48517047457627127</v>
      </c>
    </row>
    <row r="13" spans="1:46" x14ac:dyDescent="0.25">
      <c r="A13" s="1117"/>
      <c r="B13" s="1208" t="s">
        <v>187</v>
      </c>
      <c r="C13" s="939" t="s">
        <v>14</v>
      </c>
      <c r="D13" s="914">
        <v>20</v>
      </c>
      <c r="E13" s="944">
        <f t="shared" si="6"/>
        <v>3.8155039999999998</v>
      </c>
      <c r="F13" s="948">
        <v>1</v>
      </c>
      <c r="G13" s="940">
        <f t="shared" si="0"/>
        <v>76.310079999999999</v>
      </c>
      <c r="H13" s="943">
        <f t="shared" si="1"/>
        <v>76.310079999999999</v>
      </c>
      <c r="I13" s="914">
        <f>VLOOKUP(B13,All_Ingredients!$A$1:$F$161,6,FALSE())</f>
        <v>0.9</v>
      </c>
      <c r="J13" s="944">
        <f>VLOOKUP(B13,All_Ingredients!$A$1:$J$161,10,FALSE())</f>
        <v>2.3199999999999998</v>
      </c>
      <c r="K13" s="945">
        <f t="shared" si="7"/>
        <v>8.4788977777777774E-2</v>
      </c>
      <c r="L13" s="945">
        <f t="shared" si="8"/>
        <v>0.19671042844444442</v>
      </c>
      <c r="R13" s="830"/>
      <c r="S13" s="830"/>
      <c r="T13" s="830"/>
      <c r="AJ13" s="830"/>
      <c r="AK13" s="830"/>
      <c r="AL13" s="830"/>
      <c r="AM13" s="830"/>
      <c r="AN13" s="830"/>
      <c r="AP13" s="830"/>
      <c r="AS13" s="830"/>
    </row>
    <row r="14" spans="1:46" x14ac:dyDescent="0.25">
      <c r="A14" s="1117"/>
      <c r="B14" s="1208" t="s">
        <v>166</v>
      </c>
      <c r="C14" s="939" t="s">
        <v>160</v>
      </c>
      <c r="D14" s="914">
        <v>400</v>
      </c>
      <c r="E14" s="944">
        <f t="shared" si="6"/>
        <v>3.8155039999999998</v>
      </c>
      <c r="F14" s="948">
        <v>1</v>
      </c>
      <c r="G14" s="940">
        <f t="shared" si="0"/>
        <v>1526.2015999999999</v>
      </c>
      <c r="H14" s="943">
        <f t="shared" si="1"/>
        <v>1526.2015999999999</v>
      </c>
      <c r="I14" s="914">
        <f>VLOOKUP(B14,All_Ingredients!$A$1:$F$161,6,FALSE())</f>
        <v>1</v>
      </c>
      <c r="J14" s="944">
        <f>VLOOKUP(B14,All_Ingredients!$A$1:$J$161,10,FALSE())</f>
        <v>12.666666666666666</v>
      </c>
      <c r="K14" s="945">
        <f t="shared" si="7"/>
        <v>1.5262015999999998</v>
      </c>
      <c r="L14" s="945">
        <f t="shared" si="8"/>
        <v>19.33188693333333</v>
      </c>
      <c r="R14" s="830"/>
      <c r="S14" s="830"/>
      <c r="T14" s="830"/>
      <c r="AJ14" s="830"/>
      <c r="AK14" s="830"/>
      <c r="AL14" s="830"/>
      <c r="AM14" s="830"/>
      <c r="AN14" s="830"/>
      <c r="AP14" s="830"/>
      <c r="AS14" s="830"/>
    </row>
    <row r="18" spans="18:31" ht="26.25" x14ac:dyDescent="0.25">
      <c r="R18" s="830"/>
      <c r="S18" s="1110" t="s">
        <v>393</v>
      </c>
      <c r="T18" s="830"/>
    </row>
    <row r="19" spans="18:31" ht="26.25" x14ac:dyDescent="0.25">
      <c r="R19" s="1141"/>
      <c r="S19" s="211" t="s">
        <v>308</v>
      </c>
      <c r="T19" s="830"/>
    </row>
    <row r="20" spans="18:31" x14ac:dyDescent="0.25">
      <c r="R20" s="830"/>
      <c r="S20" s="830"/>
      <c r="T20" s="830"/>
    </row>
    <row r="21" spans="18:31" x14ac:dyDescent="0.25">
      <c r="R21" s="830"/>
      <c r="S21" s="830"/>
      <c r="T21" s="830"/>
    </row>
    <row r="22" spans="18:31" x14ac:dyDescent="0.25">
      <c r="R22" s="830"/>
      <c r="S22" s="830"/>
      <c r="T22" s="830"/>
    </row>
    <row r="23" spans="18:31" x14ac:dyDescent="0.25">
      <c r="R23" s="830"/>
      <c r="S23" s="830"/>
      <c r="T23" s="830"/>
    </row>
    <row r="24" spans="18:31" x14ac:dyDescent="0.25">
      <c r="R24" s="830"/>
      <c r="S24" s="830"/>
      <c r="T24" s="830"/>
      <c r="Z24" s="630"/>
    </row>
    <row r="25" spans="18:31" x14ac:dyDescent="0.25">
      <c r="R25" s="1779" t="s">
        <v>394</v>
      </c>
      <c r="S25" s="1788"/>
      <c r="T25" s="1788"/>
      <c r="U25" s="1787"/>
      <c r="V25" s="956"/>
      <c r="W25" s="959"/>
      <c r="Z25" s="982" t="s">
        <v>252</v>
      </c>
      <c r="AA25" s="989">
        <v>1</v>
      </c>
      <c r="AB25" s="982" t="s">
        <v>249</v>
      </c>
      <c r="AC25" s="985">
        <f>(AA25*AE30)+(AA30*(AB28/R1))</f>
        <v>3.1431469994349613E-2</v>
      </c>
      <c r="AD25" s="14"/>
    </row>
    <row r="26" spans="18:31" x14ac:dyDescent="0.25">
      <c r="R26" s="1859" t="s">
        <v>356</v>
      </c>
      <c r="S26" s="1788"/>
      <c r="T26" s="1788"/>
      <c r="U26" s="1787"/>
      <c r="V26" s="956"/>
      <c r="W26" s="959"/>
      <c r="Z26" s="14"/>
      <c r="AA26" s="14"/>
      <c r="AB26" s="14"/>
      <c r="AC26" s="14"/>
      <c r="AD26" s="14"/>
    </row>
    <row r="27" spans="18:31" x14ac:dyDescent="0.25">
      <c r="R27" s="961" t="s">
        <v>254</v>
      </c>
      <c r="S27" s="961" t="s">
        <v>395</v>
      </c>
      <c r="T27" s="961" t="s">
        <v>256</v>
      </c>
      <c r="U27" s="962" t="s">
        <v>257</v>
      </c>
      <c r="V27" s="962" t="s">
        <v>746</v>
      </c>
      <c r="W27" s="962" t="s">
        <v>753</v>
      </c>
      <c r="Z27" s="982" t="s">
        <v>258</v>
      </c>
      <c r="AA27" s="984" t="s">
        <v>311</v>
      </c>
      <c r="AB27" s="982" t="s">
        <v>259</v>
      </c>
      <c r="AC27" s="982" t="s">
        <v>260</v>
      </c>
      <c r="AD27" s="984" t="s">
        <v>753</v>
      </c>
      <c r="AE27" s="982" t="s">
        <v>262</v>
      </c>
    </row>
    <row r="28" spans="18:31" x14ac:dyDescent="0.25">
      <c r="R28" s="961" t="s">
        <v>263</v>
      </c>
      <c r="S28" s="1132">
        <f>U28*S40</f>
        <v>24574.896000000001</v>
      </c>
      <c r="T28" s="1132">
        <f>U28*U40</f>
        <v>3685.1039999999998</v>
      </c>
      <c r="U28" s="1391">
        <f>$Z$1</f>
        <v>28260</v>
      </c>
      <c r="V28" s="966">
        <f>SUM(AP5:AP12)</f>
        <v>2264.1288813559318</v>
      </c>
      <c r="W28" s="966">
        <f>H37</f>
        <v>13.930000000000001</v>
      </c>
      <c r="Z28" s="1086"/>
      <c r="AA28" s="987"/>
      <c r="AB28" s="985">
        <f>AA25*$S$40</f>
        <v>0.86960000000000004</v>
      </c>
      <c r="AC28" s="985">
        <f>AA25*$U$40</f>
        <v>0.13039999999999999</v>
      </c>
      <c r="AD28" s="987"/>
      <c r="AE28" s="1088">
        <f>SUM(AB28:AD28)</f>
        <v>1</v>
      </c>
    </row>
    <row r="29" spans="18:31" x14ac:dyDescent="0.25">
      <c r="R29" s="961" t="s">
        <v>264</v>
      </c>
      <c r="S29" s="1579"/>
      <c r="T29" s="1580"/>
      <c r="U29" s="966">
        <f>T29</f>
        <v>0</v>
      </c>
      <c r="V29" s="966"/>
      <c r="W29" s="966"/>
      <c r="Z29" s="1086"/>
      <c r="AA29" s="991"/>
      <c r="AB29" s="1089">
        <f>AB28/$AE$28</f>
        <v>0.86960000000000004</v>
      </c>
      <c r="AC29" s="1089">
        <f>AC28/$AE$28</f>
        <v>0.13039999999999999</v>
      </c>
      <c r="AD29" s="991"/>
      <c r="AE29" s="1089">
        <f>AE28/$AE$28</f>
        <v>1</v>
      </c>
    </row>
    <row r="30" spans="18:31" x14ac:dyDescent="0.25">
      <c r="R30" s="961" t="s">
        <v>265</v>
      </c>
      <c r="S30" s="1579">
        <f>U30*S40</f>
        <v>869.6</v>
      </c>
      <c r="T30" s="1579">
        <f>U30*U40</f>
        <v>130.39999999999998</v>
      </c>
      <c r="U30" s="1393">
        <f>$AB$1</f>
        <v>1000</v>
      </c>
      <c r="V30" s="972"/>
      <c r="W30" s="972"/>
      <c r="Z30" s="982" t="s">
        <v>266</v>
      </c>
      <c r="AA30" s="994">
        <f>V35/(S32/R1)</f>
        <v>3.6170139173656422E-4</v>
      </c>
      <c r="AB30" s="1090">
        <f>S35/(S32)</f>
        <v>3.3701221915648415E-2</v>
      </c>
      <c r="AC30" s="1091">
        <f>T35/T32</f>
        <v>1.1954119648446232E-2</v>
      </c>
      <c r="AD30" s="995">
        <f>W35/U32</f>
        <v>3.2959146117040858E-5</v>
      </c>
      <c r="AE30" s="1092">
        <f>SUMPRODUCT(AB30:AC30,AB29:AC29)+AD30</f>
        <v>3.0898358926122294E-2</v>
      </c>
    </row>
    <row r="31" spans="18:31" x14ac:dyDescent="0.25">
      <c r="R31" s="961" t="s">
        <v>267</v>
      </c>
      <c r="S31" s="960"/>
      <c r="T31" s="967"/>
      <c r="U31" s="966"/>
      <c r="V31" s="966"/>
      <c r="W31" s="966"/>
    </row>
    <row r="32" spans="18:31" x14ac:dyDescent="0.25">
      <c r="R32" s="961" t="s">
        <v>257</v>
      </c>
      <c r="S32" s="967">
        <f>SUM(S28:S30)</f>
        <v>25444.495999999999</v>
      </c>
      <c r="T32" s="967">
        <f>SUM(T28:T30)</f>
        <v>3815.5039999999999</v>
      </c>
      <c r="U32" s="966">
        <f>SUM(U28:U30)</f>
        <v>29260</v>
      </c>
      <c r="V32" s="966"/>
      <c r="W32" s="966">
        <f>SUM(W28:W30)</f>
        <v>13.930000000000001</v>
      </c>
    </row>
    <row r="33" spans="2:23" ht="30" x14ac:dyDescent="0.25">
      <c r="B33" s="80"/>
      <c r="D33" s="830"/>
      <c r="E33" s="80"/>
      <c r="F33" s="80"/>
      <c r="H33" s="830"/>
      <c r="K33" s="830"/>
      <c r="R33" s="976" t="s">
        <v>268</v>
      </c>
      <c r="S33" s="960"/>
      <c r="T33" s="960"/>
      <c r="U33" s="959"/>
      <c r="V33" s="959"/>
      <c r="W33" s="959"/>
    </row>
    <row r="34" spans="2:23" x14ac:dyDescent="0.25">
      <c r="B34" s="830"/>
      <c r="D34" s="830"/>
      <c r="E34" s="830"/>
      <c r="F34" s="830"/>
      <c r="H34" s="830"/>
      <c r="K34" s="830"/>
      <c r="R34" s="961" t="s">
        <v>269</v>
      </c>
      <c r="S34" s="960"/>
      <c r="T34" s="967"/>
      <c r="U34" s="959"/>
      <c r="V34" s="959"/>
      <c r="W34" s="959"/>
    </row>
    <row r="35" spans="2:23" ht="15.75" x14ac:dyDescent="0.25">
      <c r="B35" s="1781" t="s">
        <v>646</v>
      </c>
      <c r="C35" s="1782"/>
      <c r="D35" s="1781"/>
      <c r="E35" s="1781"/>
      <c r="F35" s="1781"/>
      <c r="G35" s="1001"/>
      <c r="H35" s="1434"/>
      <c r="I35" s="1010"/>
      <c r="J35" s="1010"/>
      <c r="K35" s="1009"/>
      <c r="L35" s="1010"/>
      <c r="R35" s="977" t="s">
        <v>249</v>
      </c>
      <c r="S35" s="979">
        <f>$L$5</f>
        <v>857.51060622782836</v>
      </c>
      <c r="T35" s="979">
        <f>SUM(L6:L14)</f>
        <v>45.610991335125192</v>
      </c>
      <c r="U35" s="978">
        <f>S35+T35+V35+W35</f>
        <v>919.68481203466933</v>
      </c>
      <c r="V35" s="978">
        <f>SUM(AT6:AT12)</f>
        <v>15.598829856331259</v>
      </c>
      <c r="W35" s="978">
        <f>L37</f>
        <v>0.96438461538461551</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30"/>
      <c r="S36" s="830"/>
      <c r="T36" s="830"/>
    </row>
    <row r="37" spans="2:23" x14ac:dyDescent="0.25">
      <c r="B37" s="1005" t="s">
        <v>666</v>
      </c>
      <c r="C37" s="1006" t="s">
        <v>14</v>
      </c>
      <c r="D37" s="1007">
        <v>7.0000000000000007E-2</v>
      </c>
      <c r="E37" s="1005">
        <f>$AD$1</f>
        <v>199</v>
      </c>
      <c r="F37" s="1005">
        <f>D37*E37</f>
        <v>13.930000000000001</v>
      </c>
      <c r="G37" s="437"/>
      <c r="H37" s="1005">
        <f>F37</f>
        <v>13.930000000000001</v>
      </c>
      <c r="I37" s="1005">
        <f>VLOOKUP(B37,All_Ingredients!$A$1:$F$161,6,FALSE())</f>
        <v>0.65</v>
      </c>
      <c r="J37" s="1005">
        <f>VLOOKUP(B37,All_Ingredients!$A$1:$J$161,10,FALSE())</f>
        <v>45</v>
      </c>
      <c r="K37" s="1005">
        <f>(H37/I37)/1000</f>
        <v>2.1430769230769232E-2</v>
      </c>
      <c r="L37" s="1005">
        <f>K37*J37</f>
        <v>0.96438461538461551</v>
      </c>
      <c r="R37" s="830"/>
      <c r="S37" s="830"/>
      <c r="T37" s="830"/>
    </row>
    <row r="38" spans="2:23" x14ac:dyDescent="0.25">
      <c r="B38" s="830"/>
      <c r="D38" s="830"/>
      <c r="E38" s="830"/>
      <c r="F38" s="830"/>
      <c r="H38" s="830"/>
      <c r="K38" s="830"/>
      <c r="R38" s="830"/>
      <c r="S38" s="1578"/>
      <c r="T38" s="830"/>
    </row>
    <row r="39" spans="2:23" x14ac:dyDescent="0.25">
      <c r="B39" s="830"/>
      <c r="D39" s="830"/>
      <c r="E39" s="830"/>
      <c r="F39" s="830"/>
      <c r="H39" s="830"/>
      <c r="K39" s="830"/>
      <c r="R39" s="830"/>
      <c r="S39" s="830"/>
      <c r="T39" s="830"/>
    </row>
    <row r="40" spans="2:23" ht="26.25" x14ac:dyDescent="0.25">
      <c r="B40" s="830"/>
      <c r="D40" s="830"/>
      <c r="E40" s="830"/>
      <c r="F40" s="830"/>
      <c r="H40" s="830"/>
      <c r="K40" s="830"/>
      <c r="Q40" s="14"/>
      <c r="R40" s="1011" t="s">
        <v>270</v>
      </c>
      <c r="S40" s="1581">
        <v>0.86960000000000004</v>
      </c>
      <c r="T40" s="1011" t="s">
        <v>271</v>
      </c>
      <c r="U40" s="1093">
        <v>0.13039999999999999</v>
      </c>
      <c r="V40" s="1014">
        <f>S40+U40</f>
        <v>1</v>
      </c>
      <c r="W40" s="14"/>
    </row>
    <row r="41" spans="2:23" x14ac:dyDescent="0.25">
      <c r="B41" s="830"/>
      <c r="D41" s="830"/>
      <c r="E41" s="830"/>
      <c r="F41" s="830"/>
      <c r="H41" s="830"/>
      <c r="K41" s="830"/>
      <c r="Q41" s="14"/>
      <c r="R41" s="890"/>
      <c r="S41" s="890"/>
      <c r="T41" s="890"/>
      <c r="U41" s="123"/>
      <c r="V41" s="14"/>
      <c r="W41" s="14"/>
    </row>
    <row r="42" spans="2:23" x14ac:dyDescent="0.25">
      <c r="B42" s="830"/>
      <c r="D42" s="830"/>
      <c r="E42" s="830"/>
      <c r="F42" s="830"/>
      <c r="H42" s="830"/>
      <c r="K42" s="830"/>
      <c r="Q42" s="14"/>
      <c r="R42" s="890"/>
      <c r="S42" s="890"/>
      <c r="T42" s="890"/>
      <c r="U42" s="14"/>
      <c r="V42" s="14"/>
      <c r="W42" s="14"/>
    </row>
    <row r="43" spans="2:23" x14ac:dyDescent="0.25">
      <c r="B43" s="830"/>
      <c r="D43" s="830"/>
      <c r="E43" s="830"/>
      <c r="F43" s="830"/>
      <c r="H43" s="830"/>
      <c r="K43" s="830"/>
      <c r="Q43" s="1015" t="s">
        <v>272</v>
      </c>
      <c r="R43" s="1011" t="s">
        <v>273</v>
      </c>
      <c r="S43" s="1011" t="s">
        <v>274</v>
      </c>
      <c r="T43" s="1011" t="s">
        <v>275</v>
      </c>
      <c r="U43" s="1015" t="s">
        <v>276</v>
      </c>
      <c r="V43" s="1015" t="s">
        <v>277</v>
      </c>
      <c r="W43" s="1015" t="s">
        <v>933</v>
      </c>
    </row>
    <row r="44" spans="2:23" x14ac:dyDescent="0.25">
      <c r="B44" s="830"/>
      <c r="D44" s="830"/>
      <c r="E44" s="830"/>
      <c r="F44" s="830"/>
      <c r="H44" s="830"/>
      <c r="K44" s="830"/>
      <c r="Q44" s="1023">
        <v>76690</v>
      </c>
      <c r="R44" s="1017">
        <f>D51</f>
        <v>10000</v>
      </c>
      <c r="S44" s="1582">
        <v>1</v>
      </c>
      <c r="T44" s="1574">
        <v>0</v>
      </c>
      <c r="U44" s="1096">
        <f>R44*S44</f>
        <v>10000</v>
      </c>
      <c r="V44" s="1021">
        <f>R44*T44</f>
        <v>0</v>
      </c>
      <c r="W44" s="1021">
        <f>Q44-U44</f>
        <v>66690</v>
      </c>
    </row>
    <row r="50" spans="1:11" x14ac:dyDescent="0.25">
      <c r="B50" s="961"/>
      <c r="C50" s="962" t="s">
        <v>233</v>
      </c>
      <c r="D50" s="961" t="s">
        <v>279</v>
      </c>
      <c r="E50" s="80"/>
      <c r="F50" s="80"/>
      <c r="G50" s="962" t="s">
        <v>280</v>
      </c>
      <c r="H50" s="961" t="s">
        <v>233</v>
      </c>
      <c r="I50" s="962" t="s">
        <v>281</v>
      </c>
      <c r="J50" s="962" t="s">
        <v>282</v>
      </c>
      <c r="K50" s="830"/>
    </row>
    <row r="51" spans="1:11" x14ac:dyDescent="0.25">
      <c r="B51" s="1027" t="s">
        <v>283</v>
      </c>
      <c r="C51" s="1028">
        <f>10/$K$1</f>
        <v>10</v>
      </c>
      <c r="D51" s="1029">
        <f>$C$1*10</f>
        <v>10000</v>
      </c>
      <c r="E51" s="135"/>
      <c r="F51" s="80"/>
      <c r="G51" s="1033" t="s">
        <v>283</v>
      </c>
      <c r="H51" s="1122">
        <f>I51/$D$5</f>
        <v>10</v>
      </c>
      <c r="I51" s="1028">
        <f>J51/$R$1</f>
        <v>113033.89830508475</v>
      </c>
      <c r="J51" s="1028">
        <f>$W$44</f>
        <v>66690</v>
      </c>
      <c r="K51" s="830"/>
    </row>
    <row r="52" spans="1:11" x14ac:dyDescent="0.25">
      <c r="B52" s="958" t="s">
        <v>262</v>
      </c>
      <c r="C52" s="1099">
        <f>$I$1</f>
        <v>3.8155039999999998</v>
      </c>
      <c r="D52" s="1100">
        <f>$E$1</f>
        <v>3815.5039999999999</v>
      </c>
      <c r="E52" s="80"/>
      <c r="F52" s="80"/>
      <c r="G52" s="962" t="s">
        <v>262</v>
      </c>
      <c r="H52" s="1052">
        <f>I52/$D$5</f>
        <v>3.8153390313390316</v>
      </c>
      <c r="I52" s="1021">
        <f>J52/$R$1</f>
        <v>43126.264406779665</v>
      </c>
      <c r="J52" s="1030">
        <f>$S$32</f>
        <v>25444.495999999999</v>
      </c>
      <c r="K52" s="830"/>
    </row>
    <row r="53" spans="1:11" x14ac:dyDescent="0.25">
      <c r="B53" s="958" t="s">
        <v>284</v>
      </c>
      <c r="C53" s="1101">
        <f>MIN(C52, C51)</f>
        <v>3.8155039999999998</v>
      </c>
      <c r="D53" s="1100">
        <f>(C53*$K$1)*$C$1</f>
        <v>3815.5039999999999</v>
      </c>
      <c r="E53" s="80"/>
      <c r="F53" s="80"/>
      <c r="G53" s="962" t="s">
        <v>284</v>
      </c>
      <c r="H53" s="1035">
        <f>MIN(H52,H51)</f>
        <v>3.8153390313390316</v>
      </c>
      <c r="I53" s="1021">
        <f>J53/$R$1</f>
        <v>43126.264406779665</v>
      </c>
      <c r="J53" s="1021">
        <f>MIN(J52,J51)</f>
        <v>25444.495999999999</v>
      </c>
      <c r="K53" s="83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3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30"/>
    </row>
    <row r="56" spans="1:11" x14ac:dyDescent="0.25">
      <c r="B56" s="830"/>
      <c r="D56" s="830"/>
      <c r="E56" s="830"/>
      <c r="F56" s="830"/>
      <c r="H56" s="830"/>
      <c r="K56" s="830"/>
    </row>
    <row r="57" spans="1:11" x14ac:dyDescent="0.25">
      <c r="B57" s="830"/>
      <c r="D57" s="830"/>
      <c r="E57" s="830"/>
      <c r="F57" s="830"/>
      <c r="H57" s="830"/>
      <c r="K57" s="830"/>
    </row>
    <row r="58" spans="1:11" x14ac:dyDescent="0.25">
      <c r="B58" s="830"/>
      <c r="D58" s="830"/>
      <c r="E58" s="830"/>
      <c r="F58" s="830"/>
      <c r="H58" s="830"/>
      <c r="K58" s="830"/>
    </row>
    <row r="59" spans="1:11" x14ac:dyDescent="0.25">
      <c r="B59" s="830"/>
      <c r="D59" s="830"/>
      <c r="E59" s="830"/>
      <c r="F59" s="830"/>
      <c r="H59" s="830"/>
      <c r="K59" s="830"/>
    </row>
    <row r="60" spans="1:11" x14ac:dyDescent="0.25">
      <c r="B60" s="830"/>
      <c r="D60" s="830"/>
      <c r="E60" s="830"/>
      <c r="F60" s="830"/>
      <c r="H60" s="830"/>
      <c r="K60" s="830"/>
    </row>
    <row r="61" spans="1:11" x14ac:dyDescent="0.25">
      <c r="B61" s="830"/>
      <c r="D61" s="830"/>
      <c r="E61" s="830"/>
      <c r="F61" s="830"/>
      <c r="H61" s="830"/>
      <c r="K61" s="830"/>
    </row>
    <row r="62" spans="1:11" x14ac:dyDescent="0.25">
      <c r="A62" s="1124"/>
      <c r="B62" s="1776" t="str">
        <f>"ستيك دجاج ميكس  1 / " &amp; COUNTIF($C$53:$C$55, "&gt;0")</f>
        <v>ستيك دجاج ميكس  1 / 1</v>
      </c>
      <c r="C62" s="1777"/>
      <c r="D62" s="1778"/>
      <c r="E62" s="1778"/>
      <c r="F62" s="1778"/>
      <c r="G62" s="1777"/>
      <c r="H62" s="1778"/>
      <c r="K62" s="830"/>
    </row>
    <row r="63" spans="1:11" x14ac:dyDescent="0.25">
      <c r="A63" s="1124"/>
      <c r="B63" s="1776" t="str">
        <f>"Chicken Steak Mix 1 / " &amp; COUNTIF($C$53:$C$55, "&gt;0")</f>
        <v>Chicken Steak Mix 1 / 1</v>
      </c>
      <c r="C63" s="1777"/>
      <c r="D63" s="1778"/>
      <c r="E63" s="1778"/>
      <c r="F63" s="1778"/>
      <c r="G63" s="1777"/>
      <c r="H63" s="1778"/>
      <c r="K63" s="830"/>
    </row>
    <row r="64" spans="1:11" ht="38.25" x14ac:dyDescent="0.2">
      <c r="A64" s="1350" t="s">
        <v>864</v>
      </c>
      <c r="B64" s="1104" t="s">
        <v>241</v>
      </c>
      <c r="C64" s="934" t="s">
        <v>242</v>
      </c>
      <c r="D64" s="1104" t="s">
        <v>231</v>
      </c>
      <c r="E64" s="936" t="s">
        <v>234</v>
      </c>
      <c r="F64" s="936" t="s">
        <v>243</v>
      </c>
      <c r="G64" s="1104" t="s">
        <v>244</v>
      </c>
      <c r="H64" s="936" t="s">
        <v>245</v>
      </c>
      <c r="K64" s="830"/>
    </row>
    <row r="65" spans="1:11" ht="30" x14ac:dyDescent="0.2">
      <c r="A65" s="937" t="s">
        <v>893</v>
      </c>
      <c r="B65" s="960" t="str">
        <f t="shared" ref="B65:D74" si="14">B5</f>
        <v>Chicken - دجاج</v>
      </c>
      <c r="C65" s="959" t="str">
        <f t="shared" si="14"/>
        <v>gm</v>
      </c>
      <c r="D65" s="1521">
        <f t="shared" si="14"/>
        <v>11303.389830508475</v>
      </c>
      <c r="E65" s="1126">
        <f>H53</f>
        <v>3.8153390313390316</v>
      </c>
      <c r="F65" s="948">
        <f t="shared" ref="F65:F74" si="15">F5</f>
        <v>1</v>
      </c>
      <c r="G65" s="940">
        <f t="shared" ref="G65:G74" si="16">D65*E65</f>
        <v>43126.264406779665</v>
      </c>
      <c r="H65" s="943">
        <f t="shared" ref="H65:H74" si="17">G65*F65</f>
        <v>43126.264406779665</v>
      </c>
      <c r="K65" s="830"/>
    </row>
    <row r="66" spans="1:11" x14ac:dyDescent="0.25">
      <c r="A66" s="1117"/>
      <c r="B66" s="960" t="str">
        <f t="shared" si="14"/>
        <v>Butter - زبدة</v>
      </c>
      <c r="C66" s="959" t="str">
        <f t="shared" si="14"/>
        <v>gm</v>
      </c>
      <c r="D66" s="960">
        <f t="shared" si="14"/>
        <v>40</v>
      </c>
      <c r="E66" s="1126">
        <f>$C$53</f>
        <v>3.8155039999999998</v>
      </c>
      <c r="F66" s="948">
        <f t="shared" si="15"/>
        <v>1</v>
      </c>
      <c r="G66" s="940">
        <f t="shared" si="16"/>
        <v>152.62016</v>
      </c>
      <c r="H66" s="943">
        <f t="shared" si="17"/>
        <v>152.62016</v>
      </c>
      <c r="K66" s="830"/>
    </row>
    <row r="67" spans="1:11" x14ac:dyDescent="0.25">
      <c r="A67" s="1117" t="s">
        <v>868</v>
      </c>
      <c r="B67" s="960" t="str">
        <f t="shared" si="14"/>
        <v>Garlic - ثوم مقشر</v>
      </c>
      <c r="C67" s="959" t="str">
        <f t="shared" si="14"/>
        <v>gm</v>
      </c>
      <c r="D67" s="960">
        <f t="shared" si="14"/>
        <v>40</v>
      </c>
      <c r="E67" s="1126">
        <f t="shared" ref="E67:E74" si="18">$C$53</f>
        <v>3.8155039999999998</v>
      </c>
      <c r="F67" s="948">
        <f t="shared" si="15"/>
        <v>1</v>
      </c>
      <c r="G67" s="940">
        <f t="shared" si="16"/>
        <v>152.62016</v>
      </c>
      <c r="H67" s="943">
        <f t="shared" si="17"/>
        <v>152.62016</v>
      </c>
      <c r="K67" s="830"/>
    </row>
    <row r="68" spans="1:11" x14ac:dyDescent="0.25">
      <c r="A68" s="1117"/>
      <c r="B68" s="960" t="str">
        <f t="shared" si="14"/>
        <v>Tomato Ketchup - كاتشب طماطم</v>
      </c>
      <c r="C68" s="959" t="str">
        <f t="shared" si="14"/>
        <v>ml</v>
      </c>
      <c r="D68" s="960">
        <f t="shared" si="14"/>
        <v>300</v>
      </c>
      <c r="E68" s="1126">
        <f>$C$53</f>
        <v>3.8155039999999998</v>
      </c>
      <c r="F68" s="948">
        <f t="shared" si="15"/>
        <v>1</v>
      </c>
      <c r="G68" s="940">
        <f t="shared" si="16"/>
        <v>1144.6512</v>
      </c>
      <c r="H68" s="943">
        <f t="shared" si="17"/>
        <v>1144.6512</v>
      </c>
      <c r="K68" s="830"/>
    </row>
    <row r="69" spans="1:11" x14ac:dyDescent="0.25">
      <c r="A69" s="1117"/>
      <c r="B69" s="960" t="str">
        <f t="shared" si="14"/>
        <v>Mustard - خردل</v>
      </c>
      <c r="C69" s="959" t="str">
        <f t="shared" si="14"/>
        <v>gm</v>
      </c>
      <c r="D69" s="960">
        <f t="shared" si="14"/>
        <v>90</v>
      </c>
      <c r="E69" s="1126">
        <f t="shared" si="18"/>
        <v>3.8155039999999998</v>
      </c>
      <c r="F69" s="948">
        <f t="shared" si="15"/>
        <v>1</v>
      </c>
      <c r="G69" s="940">
        <f t="shared" si="16"/>
        <v>343.39535999999998</v>
      </c>
      <c r="H69" s="943">
        <f t="shared" si="17"/>
        <v>343.39535999999998</v>
      </c>
      <c r="K69" s="830"/>
    </row>
    <row r="70" spans="1:11" x14ac:dyDescent="0.25">
      <c r="A70" s="1117"/>
      <c r="B70" s="960" t="str">
        <f t="shared" si="14"/>
        <v>Tomato Paste - صلصة طماطم</v>
      </c>
      <c r="C70" s="959" t="str">
        <f t="shared" si="14"/>
        <v>gm</v>
      </c>
      <c r="D70" s="960">
        <f t="shared" si="14"/>
        <v>90</v>
      </c>
      <c r="E70" s="1126">
        <f t="shared" si="18"/>
        <v>3.8155039999999998</v>
      </c>
      <c r="F70" s="948">
        <f t="shared" si="15"/>
        <v>1</v>
      </c>
      <c r="G70" s="940">
        <f t="shared" si="16"/>
        <v>343.39535999999998</v>
      </c>
      <c r="H70" s="943">
        <f t="shared" si="17"/>
        <v>343.39535999999998</v>
      </c>
      <c r="K70" s="830"/>
    </row>
    <row r="71" spans="1:11" ht="29.25" x14ac:dyDescent="0.25">
      <c r="A71" s="1117"/>
      <c r="B71" s="960" t="str">
        <f t="shared" si="14"/>
        <v>Sriracha Sauce - صوص سريراتشا</v>
      </c>
      <c r="C71" s="959" t="str">
        <f t="shared" si="14"/>
        <v>ml</v>
      </c>
      <c r="D71" s="960">
        <f t="shared" si="14"/>
        <v>40</v>
      </c>
      <c r="E71" s="1126">
        <f t="shared" si="18"/>
        <v>3.8155039999999998</v>
      </c>
      <c r="F71" s="948">
        <f t="shared" si="15"/>
        <v>1</v>
      </c>
      <c r="G71" s="940">
        <f t="shared" si="16"/>
        <v>152.62016</v>
      </c>
      <c r="H71" s="943">
        <f t="shared" si="17"/>
        <v>152.62016</v>
      </c>
      <c r="K71" s="830"/>
    </row>
    <row r="72" spans="1:11" x14ac:dyDescent="0.25">
      <c r="A72" s="1117"/>
      <c r="B72" s="960" t="str">
        <f t="shared" si="14"/>
        <v>Dry Oregano - أوريجانو مجفف</v>
      </c>
      <c r="C72" s="959" t="str">
        <f t="shared" si="14"/>
        <v>gm</v>
      </c>
      <c r="D72" s="960">
        <f t="shared" si="14"/>
        <v>1</v>
      </c>
      <c r="E72" s="1126">
        <f t="shared" si="18"/>
        <v>3.8155039999999998</v>
      </c>
      <c r="F72" s="948">
        <f t="shared" si="15"/>
        <v>1</v>
      </c>
      <c r="G72" s="940">
        <f t="shared" si="16"/>
        <v>3.8155039999999998</v>
      </c>
      <c r="H72" s="943">
        <f t="shared" si="17"/>
        <v>3.8155039999999998</v>
      </c>
      <c r="K72" s="830"/>
    </row>
    <row r="73" spans="1:11" x14ac:dyDescent="0.25">
      <c r="A73" s="1117"/>
      <c r="B73" s="960" t="str">
        <f t="shared" si="14"/>
        <v>Corn Starch - نشا ذرة</v>
      </c>
      <c r="C73" s="959" t="str">
        <f t="shared" si="14"/>
        <v>gm</v>
      </c>
      <c r="D73" s="960">
        <f t="shared" si="14"/>
        <v>20</v>
      </c>
      <c r="E73" s="1126">
        <f t="shared" si="18"/>
        <v>3.8155039999999998</v>
      </c>
      <c r="F73" s="948">
        <f t="shared" si="15"/>
        <v>1</v>
      </c>
      <c r="G73" s="940">
        <f t="shared" si="16"/>
        <v>76.310079999999999</v>
      </c>
      <c r="H73" s="943">
        <f t="shared" si="17"/>
        <v>76.310079999999999</v>
      </c>
      <c r="K73" s="830"/>
    </row>
    <row r="74" spans="1:11" x14ac:dyDescent="0.25">
      <c r="A74" s="1117"/>
      <c r="B74" s="960" t="str">
        <f t="shared" si="14"/>
        <v>Cooking Cream - كريمة طبخ</v>
      </c>
      <c r="C74" s="959" t="str">
        <f t="shared" si="14"/>
        <v>ml</v>
      </c>
      <c r="D74" s="960">
        <f t="shared" si="14"/>
        <v>400</v>
      </c>
      <c r="E74" s="1126">
        <f t="shared" si="18"/>
        <v>3.8155039999999998</v>
      </c>
      <c r="F74" s="948">
        <f t="shared" si="15"/>
        <v>1</v>
      </c>
      <c r="G74" s="940">
        <f t="shared" si="16"/>
        <v>1526.2015999999999</v>
      </c>
      <c r="H74" s="943">
        <f t="shared" si="17"/>
        <v>1526.2015999999999</v>
      </c>
      <c r="K74" s="830"/>
    </row>
    <row r="75" spans="1:11" ht="18" x14ac:dyDescent="0.25">
      <c r="A75" s="1070"/>
      <c r="B75" s="1041" t="s">
        <v>287</v>
      </c>
      <c r="C75" s="1042" t="s">
        <v>273</v>
      </c>
      <c r="D75" s="1043"/>
      <c r="E75" s="1044" t="s">
        <v>288</v>
      </c>
      <c r="F75" s="1043"/>
      <c r="G75" s="1045" t="s">
        <v>264</v>
      </c>
      <c r="H75" s="1046" t="s">
        <v>661</v>
      </c>
      <c r="K75" s="830"/>
    </row>
    <row r="76" spans="1:11" ht="20.25" x14ac:dyDescent="0.3">
      <c r="A76" s="1070"/>
      <c r="B76" s="1047">
        <f>$J$53</f>
        <v>25444.495999999999</v>
      </c>
      <c r="C76" s="1048">
        <f>E76+G76</f>
        <v>3815.5039999999999</v>
      </c>
      <c r="D76" s="1049"/>
      <c r="E76" s="1047">
        <f>$D$53*$S$44</f>
        <v>3815.5039999999999</v>
      </c>
      <c r="F76" s="1050"/>
      <c r="G76" s="1048">
        <f>$D$53*$T$44</f>
        <v>0</v>
      </c>
      <c r="H76" s="1047">
        <f>B76+E76</f>
        <v>29260</v>
      </c>
      <c r="K76" s="830"/>
    </row>
    <row r="77" spans="1:11" x14ac:dyDescent="0.25">
      <c r="B77" s="830"/>
      <c r="C77" s="460"/>
      <c r="D77" s="897"/>
      <c r="E77" s="897"/>
      <c r="F77" s="897"/>
      <c r="G77" s="460"/>
      <c r="H77" s="897"/>
      <c r="K77" s="830"/>
    </row>
    <row r="78" spans="1:11" x14ac:dyDescent="0.25">
      <c r="A78" s="1407"/>
      <c r="B78" s="1776" t="str">
        <f>"ستيك دجاج ميكس 2 / " &amp; COUNTIF($C$53:$C$55, "&gt;0")</f>
        <v>ستيك دجاج ميكس 2 / 1</v>
      </c>
      <c r="C78" s="1787"/>
      <c r="D78" s="1788"/>
      <c r="E78" s="1788"/>
      <c r="F78" s="1788"/>
      <c r="G78" s="1787"/>
      <c r="H78" s="1788"/>
      <c r="K78" s="830"/>
    </row>
    <row r="79" spans="1:11" x14ac:dyDescent="0.25">
      <c r="A79" s="1407"/>
      <c r="B79" s="1776" t="str">
        <f>"Chicken Steak 2 / " &amp; COUNTIF($C$53:$C$55, "&gt;0")</f>
        <v>Chicken Steak 2 / 1</v>
      </c>
      <c r="C79" s="1787"/>
      <c r="D79" s="1788"/>
      <c r="E79" s="1788"/>
      <c r="F79" s="1788"/>
      <c r="G79" s="1787"/>
      <c r="H79" s="1788"/>
      <c r="K79" s="830"/>
    </row>
    <row r="80" spans="1:11" ht="38.25" x14ac:dyDescent="0.2">
      <c r="A80" s="1350" t="s">
        <v>864</v>
      </c>
      <c r="B80" s="1104" t="s">
        <v>241</v>
      </c>
      <c r="C80" s="934" t="s">
        <v>242</v>
      </c>
      <c r="D80" s="1104" t="s">
        <v>231</v>
      </c>
      <c r="E80" s="936" t="s">
        <v>234</v>
      </c>
      <c r="F80" s="936" t="s">
        <v>243</v>
      </c>
      <c r="G80" s="1104" t="s">
        <v>244</v>
      </c>
      <c r="H80" s="936" t="s">
        <v>245</v>
      </c>
      <c r="K80" s="830"/>
    </row>
    <row r="81" spans="1:11" ht="30" x14ac:dyDescent="0.2">
      <c r="A81" s="937" t="s">
        <v>893</v>
      </c>
      <c r="B81" s="960" t="str">
        <f t="shared" ref="B81:D90" si="19">B5</f>
        <v>Chicken - دجاج</v>
      </c>
      <c r="C81" s="959" t="str">
        <f t="shared" si="19"/>
        <v>gm</v>
      </c>
      <c r="D81" s="973">
        <f t="shared" si="19"/>
        <v>11303.389830508475</v>
      </c>
      <c r="E81" s="1040">
        <f>H54</f>
        <v>0</v>
      </c>
      <c r="F81" s="948">
        <f t="shared" ref="F81:F90" si="20">F5</f>
        <v>1</v>
      </c>
      <c r="G81" s="940">
        <f t="shared" ref="G81:G90" si="21">D81*E81</f>
        <v>0</v>
      </c>
      <c r="H81" s="943">
        <f t="shared" ref="H81:H90" si="22">G81*F81</f>
        <v>0</v>
      </c>
      <c r="K81" s="830"/>
    </row>
    <row r="82" spans="1:11" x14ac:dyDescent="0.25">
      <c r="A82" s="1117"/>
      <c r="B82" s="960" t="str">
        <f t="shared" si="19"/>
        <v>Butter - زبدة</v>
      </c>
      <c r="C82" s="959" t="str">
        <f t="shared" si="19"/>
        <v>gm</v>
      </c>
      <c r="D82" s="960">
        <f t="shared" si="19"/>
        <v>40</v>
      </c>
      <c r="E82" s="1040">
        <f t="shared" ref="E82:E90" si="23">$C$54</f>
        <v>0</v>
      </c>
      <c r="F82" s="948">
        <f t="shared" si="20"/>
        <v>1</v>
      </c>
      <c r="G82" s="940">
        <f t="shared" si="21"/>
        <v>0</v>
      </c>
      <c r="H82" s="943">
        <f t="shared" si="22"/>
        <v>0</v>
      </c>
      <c r="K82" s="830"/>
    </row>
    <row r="83" spans="1:11" x14ac:dyDescent="0.25">
      <c r="A83" s="1117" t="s">
        <v>868</v>
      </c>
      <c r="B83" s="960" t="str">
        <f t="shared" si="19"/>
        <v>Garlic - ثوم مقشر</v>
      </c>
      <c r="C83" s="959" t="str">
        <f t="shared" si="19"/>
        <v>gm</v>
      </c>
      <c r="D83" s="960">
        <f t="shared" si="19"/>
        <v>40</v>
      </c>
      <c r="E83" s="1040">
        <f t="shared" si="23"/>
        <v>0</v>
      </c>
      <c r="F83" s="948">
        <f t="shared" si="20"/>
        <v>1</v>
      </c>
      <c r="G83" s="940">
        <f t="shared" si="21"/>
        <v>0</v>
      </c>
      <c r="H83" s="943">
        <f t="shared" si="22"/>
        <v>0</v>
      </c>
      <c r="K83" s="830"/>
    </row>
    <row r="84" spans="1:11" x14ac:dyDescent="0.25">
      <c r="A84" s="1117"/>
      <c r="B84" s="960" t="str">
        <f t="shared" si="19"/>
        <v>Tomato Ketchup - كاتشب طماطم</v>
      </c>
      <c r="C84" s="959" t="str">
        <f t="shared" si="19"/>
        <v>ml</v>
      </c>
      <c r="D84" s="960">
        <f t="shared" si="19"/>
        <v>300</v>
      </c>
      <c r="E84" s="1040">
        <f t="shared" si="23"/>
        <v>0</v>
      </c>
      <c r="F84" s="948">
        <f t="shared" si="20"/>
        <v>1</v>
      </c>
      <c r="G84" s="940">
        <f t="shared" si="21"/>
        <v>0</v>
      </c>
      <c r="H84" s="943">
        <f t="shared" si="22"/>
        <v>0</v>
      </c>
      <c r="K84" s="830"/>
    </row>
    <row r="85" spans="1:11" x14ac:dyDescent="0.25">
      <c r="A85" s="1117"/>
      <c r="B85" s="960" t="str">
        <f t="shared" si="19"/>
        <v>Mustard - خردل</v>
      </c>
      <c r="C85" s="959" t="str">
        <f t="shared" si="19"/>
        <v>gm</v>
      </c>
      <c r="D85" s="960">
        <f t="shared" si="19"/>
        <v>90</v>
      </c>
      <c r="E85" s="1040">
        <f t="shared" si="23"/>
        <v>0</v>
      </c>
      <c r="F85" s="948">
        <f t="shared" si="20"/>
        <v>1</v>
      </c>
      <c r="G85" s="940">
        <f t="shared" si="21"/>
        <v>0</v>
      </c>
      <c r="H85" s="943">
        <f t="shared" si="22"/>
        <v>0</v>
      </c>
      <c r="K85" s="830"/>
    </row>
    <row r="86" spans="1:11" x14ac:dyDescent="0.25">
      <c r="A86" s="1117"/>
      <c r="B86" s="960" t="str">
        <f t="shared" si="19"/>
        <v>Tomato Paste - صلصة طماطم</v>
      </c>
      <c r="C86" s="959" t="str">
        <f t="shared" si="19"/>
        <v>gm</v>
      </c>
      <c r="D86" s="960">
        <f t="shared" si="19"/>
        <v>90</v>
      </c>
      <c r="E86" s="1040">
        <f t="shared" si="23"/>
        <v>0</v>
      </c>
      <c r="F86" s="948">
        <f t="shared" si="20"/>
        <v>1</v>
      </c>
      <c r="G86" s="940">
        <f t="shared" si="21"/>
        <v>0</v>
      </c>
      <c r="H86" s="943">
        <f t="shared" si="22"/>
        <v>0</v>
      </c>
      <c r="K86" s="830"/>
    </row>
    <row r="87" spans="1:11" ht="29.25" x14ac:dyDescent="0.25">
      <c r="A87" s="1117"/>
      <c r="B87" s="960" t="str">
        <f t="shared" si="19"/>
        <v>Sriracha Sauce - صوص سريراتشا</v>
      </c>
      <c r="C87" s="959" t="str">
        <f t="shared" si="19"/>
        <v>ml</v>
      </c>
      <c r="D87" s="960">
        <f t="shared" si="19"/>
        <v>40</v>
      </c>
      <c r="E87" s="1040">
        <f t="shared" si="23"/>
        <v>0</v>
      </c>
      <c r="F87" s="948">
        <f t="shared" si="20"/>
        <v>1</v>
      </c>
      <c r="G87" s="940">
        <f t="shared" si="21"/>
        <v>0</v>
      </c>
      <c r="H87" s="943">
        <f t="shared" si="22"/>
        <v>0</v>
      </c>
      <c r="K87" s="830"/>
    </row>
    <row r="88" spans="1:11" x14ac:dyDescent="0.25">
      <c r="A88" s="1117"/>
      <c r="B88" s="960" t="str">
        <f t="shared" si="19"/>
        <v>Dry Oregano - أوريجانو مجفف</v>
      </c>
      <c r="C88" s="959" t="str">
        <f t="shared" si="19"/>
        <v>gm</v>
      </c>
      <c r="D88" s="960">
        <f t="shared" si="19"/>
        <v>1</v>
      </c>
      <c r="E88" s="1040">
        <f t="shared" si="23"/>
        <v>0</v>
      </c>
      <c r="F88" s="948">
        <f t="shared" si="20"/>
        <v>1</v>
      </c>
      <c r="G88" s="940">
        <f t="shared" si="21"/>
        <v>0</v>
      </c>
      <c r="H88" s="943">
        <f t="shared" si="22"/>
        <v>0</v>
      </c>
      <c r="K88" s="830"/>
    </row>
    <row r="89" spans="1:11" x14ac:dyDescent="0.25">
      <c r="A89" s="1117"/>
      <c r="B89" s="960" t="str">
        <f t="shared" si="19"/>
        <v>Corn Starch - نشا ذرة</v>
      </c>
      <c r="C89" s="959" t="str">
        <f t="shared" si="19"/>
        <v>gm</v>
      </c>
      <c r="D89" s="960">
        <f t="shared" si="19"/>
        <v>20</v>
      </c>
      <c r="E89" s="1040">
        <f t="shared" si="23"/>
        <v>0</v>
      </c>
      <c r="F89" s="948">
        <f t="shared" si="20"/>
        <v>1</v>
      </c>
      <c r="G89" s="940">
        <f t="shared" si="21"/>
        <v>0</v>
      </c>
      <c r="H89" s="943">
        <f t="shared" si="22"/>
        <v>0</v>
      </c>
      <c r="K89" s="830"/>
    </row>
    <row r="90" spans="1:11" x14ac:dyDescent="0.25">
      <c r="A90" s="1117"/>
      <c r="B90" s="960" t="str">
        <f t="shared" si="19"/>
        <v>Cooking Cream - كريمة طبخ</v>
      </c>
      <c r="C90" s="959" t="str">
        <f t="shared" si="19"/>
        <v>ml</v>
      </c>
      <c r="D90" s="960">
        <f t="shared" si="19"/>
        <v>400</v>
      </c>
      <c r="E90" s="1040">
        <f t="shared" si="23"/>
        <v>0</v>
      </c>
      <c r="F90" s="948">
        <f t="shared" si="20"/>
        <v>1</v>
      </c>
      <c r="G90" s="940">
        <f t="shared" si="21"/>
        <v>0</v>
      </c>
      <c r="H90" s="943">
        <f t="shared" si="22"/>
        <v>0</v>
      </c>
      <c r="K90" s="830"/>
    </row>
    <row r="91" spans="1:11" ht="18" x14ac:dyDescent="0.25">
      <c r="A91" s="1070"/>
      <c r="B91" s="1041" t="s">
        <v>287</v>
      </c>
      <c r="C91" s="1042" t="s">
        <v>273</v>
      </c>
      <c r="D91" s="1043"/>
      <c r="E91" s="1044" t="s">
        <v>288</v>
      </c>
      <c r="F91" s="1043"/>
      <c r="G91" s="1045" t="s">
        <v>264</v>
      </c>
      <c r="H91" s="1046" t="s">
        <v>661</v>
      </c>
      <c r="I91" s="142"/>
      <c r="K91" s="830"/>
    </row>
    <row r="92" spans="1:11" ht="20.25" x14ac:dyDescent="0.3">
      <c r="A92" s="1070"/>
      <c r="B92" s="1047">
        <f>$J$54</f>
        <v>0</v>
      </c>
      <c r="C92" s="1048">
        <f>E92+G92</f>
        <v>0</v>
      </c>
      <c r="D92" s="1049"/>
      <c r="E92" s="1047">
        <f>$D$54*$S$44</f>
        <v>0</v>
      </c>
      <c r="F92" s="1050"/>
      <c r="G92" s="1048">
        <f>$D$54*$T$44</f>
        <v>0</v>
      </c>
      <c r="H92" s="1047">
        <f>B92+E92</f>
        <v>0</v>
      </c>
      <c r="K92" s="830"/>
    </row>
  </sheetData>
  <mergeCells count="11">
    <mergeCell ref="AK2:AM2"/>
    <mergeCell ref="B2:J3"/>
    <mergeCell ref="AE2:AG3"/>
    <mergeCell ref="B79:H79"/>
    <mergeCell ref="R26:U26"/>
    <mergeCell ref="R25:U25"/>
    <mergeCell ref="B62:H62"/>
    <mergeCell ref="B78:H78"/>
    <mergeCell ref="K2:K3"/>
    <mergeCell ref="B63:H63"/>
    <mergeCell ref="B35:F35"/>
  </mergeCells>
  <printOptions horizontalCentered="1"/>
  <pageMargins left="0.4" right="0.4" top="1" bottom="0.5" header="0.3" footer="0.511811023622047"/>
  <pageSetup paperSize="9" scale="42" orientation="landscape"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rgb="FF7C7C7C"/>
    <pageSetUpPr fitToPage="1"/>
  </sheetPr>
  <dimension ref="A1:AG103"/>
  <sheetViews>
    <sheetView zoomScaleNormal="100" workbookViewId="0">
      <selection activeCell="A5" sqref="A5"/>
    </sheetView>
  </sheetViews>
  <sheetFormatPr defaultColWidth="12.5" defaultRowHeight="15" x14ac:dyDescent="0.25"/>
  <cols>
    <col min="1" max="1" width="18.625" style="1" customWidth="1"/>
    <col min="2" max="2" width="25.875" customWidth="1"/>
    <col min="3" max="3" width="18.625" customWidth="1"/>
    <col min="4" max="6" width="25.875" customWidth="1"/>
    <col min="7" max="7" width="18.625" customWidth="1"/>
    <col min="8" max="8" width="25.875" customWidth="1"/>
    <col min="9" max="10" width="18.625" customWidth="1"/>
    <col min="11" max="11" width="25.875" customWidth="1"/>
    <col min="12" max="12" width="12.625" customWidth="1"/>
    <col min="13" max="14" width="5.75" customWidth="1"/>
    <col min="15" max="15" width="18.625" customWidth="1"/>
    <col min="16" max="16" width="12.625" customWidth="1"/>
    <col min="17" max="17" width="18.625" customWidth="1"/>
    <col min="18" max="19" width="25.875" customWidth="1"/>
    <col min="20" max="20" width="12.625" customWidth="1"/>
    <col min="25" max="30" width="8.625" customWidth="1"/>
  </cols>
  <sheetData>
    <row r="1" spans="1:33" ht="25.5" x14ac:dyDescent="0.25">
      <c r="B1" s="913" t="s">
        <v>231</v>
      </c>
      <c r="C1" s="914">
        <v>1000</v>
      </c>
      <c r="D1" s="915" t="s">
        <v>232</v>
      </c>
      <c r="E1" s="941">
        <f>S31</f>
        <v>9920</v>
      </c>
      <c r="F1" s="913" t="s">
        <v>233</v>
      </c>
      <c r="G1" s="1040">
        <f>E1/C1</f>
        <v>9.92</v>
      </c>
      <c r="H1" s="913" t="s">
        <v>234</v>
      </c>
      <c r="I1" s="1040">
        <f>(G1/K1)</f>
        <v>9.92</v>
      </c>
      <c r="J1" s="919" t="s">
        <v>235</v>
      </c>
      <c r="K1" s="1040">
        <v>1</v>
      </c>
      <c r="L1" s="80"/>
      <c r="M1" s="70"/>
      <c r="N1" s="922"/>
      <c r="O1" s="923" t="s">
        <v>236</v>
      </c>
      <c r="P1" s="914" t="s">
        <v>237</v>
      </c>
      <c r="Q1" s="924" t="s">
        <v>238</v>
      </c>
      <c r="R1" s="914">
        <v>0.59</v>
      </c>
      <c r="S1" s="830"/>
      <c r="Y1" s="923" t="s">
        <v>444</v>
      </c>
      <c r="Z1" s="925">
        <v>28260</v>
      </c>
      <c r="AA1" s="923" t="s">
        <v>544</v>
      </c>
      <c r="AB1" s="925">
        <v>500</v>
      </c>
      <c r="AC1" s="923" t="s">
        <v>537</v>
      </c>
      <c r="AD1" s="925">
        <v>199</v>
      </c>
    </row>
    <row r="2" spans="1:33" x14ac:dyDescent="0.25">
      <c r="A2" s="860"/>
      <c r="B2" s="1833" t="s">
        <v>92</v>
      </c>
      <c r="C2" s="1787"/>
      <c r="D2" s="1788"/>
      <c r="E2" s="1788"/>
      <c r="F2" s="1788"/>
      <c r="G2" s="1787"/>
      <c r="H2" s="1788"/>
      <c r="I2" s="1787"/>
      <c r="J2" s="1787"/>
      <c r="K2" s="1784"/>
      <c r="L2" s="187"/>
      <c r="M2" s="80"/>
      <c r="N2" s="80"/>
      <c r="O2" s="80"/>
      <c r="P2" s="80"/>
      <c r="Q2" s="80"/>
      <c r="R2" s="80"/>
      <c r="S2" s="830"/>
      <c r="AE2" s="1772"/>
      <c r="AF2" s="1796"/>
      <c r="AG2" s="1796"/>
    </row>
    <row r="3" spans="1:33" x14ac:dyDescent="0.25">
      <c r="A3" s="860"/>
      <c r="B3" s="1785"/>
      <c r="C3" s="1796"/>
      <c r="D3" s="1785"/>
      <c r="E3" s="1785"/>
      <c r="F3" s="1785"/>
      <c r="G3" s="1796"/>
      <c r="H3" s="1785"/>
      <c r="I3" s="1796"/>
      <c r="J3" s="1796"/>
      <c r="K3" s="1785"/>
      <c r="L3" s="187"/>
      <c r="M3" s="80"/>
      <c r="N3" s="80"/>
      <c r="O3" s="80"/>
      <c r="P3" s="80"/>
      <c r="Q3" s="80"/>
      <c r="R3" s="80"/>
      <c r="S3" s="830"/>
      <c r="AE3" s="1796"/>
      <c r="AF3" s="1796"/>
      <c r="AG3" s="1796"/>
    </row>
    <row r="4" spans="1:33" ht="25.5" x14ac:dyDescent="0.2">
      <c r="A4" s="1350" t="s">
        <v>864</v>
      </c>
      <c r="B4" s="923" t="s">
        <v>241</v>
      </c>
      <c r="C4" s="934" t="s">
        <v>242</v>
      </c>
      <c r="D4" s="923" t="s">
        <v>231</v>
      </c>
      <c r="E4" s="935" t="s">
        <v>234</v>
      </c>
      <c r="F4" s="935" t="s">
        <v>243</v>
      </c>
      <c r="G4" s="923" t="s">
        <v>244</v>
      </c>
      <c r="H4" s="936" t="s">
        <v>334</v>
      </c>
      <c r="I4" s="923" t="s">
        <v>246</v>
      </c>
      <c r="J4" s="923" t="s">
        <v>247</v>
      </c>
      <c r="K4" s="923" t="s">
        <v>248</v>
      </c>
      <c r="L4" s="923" t="s">
        <v>249</v>
      </c>
      <c r="M4" s="80"/>
      <c r="N4" s="80"/>
      <c r="O4" s="80"/>
      <c r="P4" s="80"/>
      <c r="R4" s="830"/>
      <c r="S4" s="830"/>
    </row>
    <row r="5" spans="1:33" x14ac:dyDescent="0.25">
      <c r="A5" s="1117"/>
      <c r="B5" s="960" t="s">
        <v>159</v>
      </c>
      <c r="C5" s="947" t="s">
        <v>160</v>
      </c>
      <c r="D5" s="914">
        <v>550</v>
      </c>
      <c r="E5" s="944">
        <f t="shared" ref="E5:E12" si="0">$I$1</f>
        <v>9.92</v>
      </c>
      <c r="F5" s="948">
        <v>1</v>
      </c>
      <c r="G5" s="940">
        <f t="shared" ref="G5:G12" si="1">D5*E5</f>
        <v>5456</v>
      </c>
      <c r="H5" s="943">
        <f t="shared" ref="H5:H12" si="2">G5*F5</f>
        <v>5456</v>
      </c>
      <c r="I5" s="914">
        <f>VLOOKUP(B5,All_Ingredients!$A$1:$F$161,6,FALSE())</f>
        <v>1</v>
      </c>
      <c r="J5" s="940">
        <f>VLOOKUP(B5,All_Ingredients!$A$1:$J$161,10,FALSE())</f>
        <v>4.2033333333333331</v>
      </c>
      <c r="K5" s="945">
        <f t="shared" ref="K5" si="3">(H5/I5)/1000</f>
        <v>5.4560000000000004</v>
      </c>
      <c r="L5" s="945">
        <f t="shared" ref="L5" si="4">K5*J5</f>
        <v>22.933386666666667</v>
      </c>
      <c r="M5" s="80"/>
      <c r="N5" s="80"/>
      <c r="O5" s="80"/>
      <c r="P5" s="80"/>
      <c r="R5" s="830"/>
      <c r="S5" s="830"/>
    </row>
    <row r="6" spans="1:33" x14ac:dyDescent="0.25">
      <c r="A6" s="1117"/>
      <c r="B6" s="960" t="s">
        <v>166</v>
      </c>
      <c r="C6" s="947" t="s">
        <v>160</v>
      </c>
      <c r="D6" s="914">
        <v>550</v>
      </c>
      <c r="E6" s="944">
        <f t="shared" si="0"/>
        <v>9.92</v>
      </c>
      <c r="F6" s="948">
        <v>1</v>
      </c>
      <c r="G6" s="940">
        <f t="shared" si="1"/>
        <v>5456</v>
      </c>
      <c r="H6" s="943">
        <f t="shared" si="2"/>
        <v>5456</v>
      </c>
      <c r="I6" s="914">
        <f>VLOOKUP(B6,All_Ingredients!$A$1:$F$161,6,FALSE())</f>
        <v>1</v>
      </c>
      <c r="J6" s="940">
        <f>VLOOKUP(B6,All_Ingredients!$A$1:$J$161,10,FALSE())</f>
        <v>12.666666666666666</v>
      </c>
      <c r="K6" s="945">
        <f t="shared" ref="K6:K12" si="5">(H6/I6)/1000</f>
        <v>5.4560000000000004</v>
      </c>
      <c r="L6" s="945">
        <f t="shared" ref="L6:L12" si="6">K6*J6</f>
        <v>69.109333333333339</v>
      </c>
      <c r="R6" s="830"/>
      <c r="S6" s="830"/>
    </row>
    <row r="7" spans="1:33" x14ac:dyDescent="0.25">
      <c r="A7" s="1117"/>
      <c r="B7" s="960" t="s">
        <v>152</v>
      </c>
      <c r="C7" s="947" t="s">
        <v>14</v>
      </c>
      <c r="D7" s="914">
        <v>30</v>
      </c>
      <c r="E7" s="944">
        <f t="shared" si="0"/>
        <v>9.92</v>
      </c>
      <c r="F7" s="948">
        <v>1</v>
      </c>
      <c r="G7" s="940">
        <f t="shared" si="1"/>
        <v>297.60000000000002</v>
      </c>
      <c r="H7" s="943">
        <f t="shared" si="2"/>
        <v>297.60000000000002</v>
      </c>
      <c r="I7" s="914">
        <f>VLOOKUP(B7,All_Ingredients!$A$1:$F$161,6,FALSE())</f>
        <v>1</v>
      </c>
      <c r="J7" s="940">
        <f>VLOOKUP(B7,All_Ingredients!$A$1:$J$161,10,FALSE())</f>
        <v>30</v>
      </c>
      <c r="K7" s="945">
        <f t="shared" si="5"/>
        <v>0.29760000000000003</v>
      </c>
      <c r="L7" s="945">
        <f t="shared" si="6"/>
        <v>8.9280000000000008</v>
      </c>
      <c r="R7" s="830"/>
      <c r="S7" s="830"/>
    </row>
    <row r="8" spans="1:33" x14ac:dyDescent="0.25">
      <c r="A8" s="1117"/>
      <c r="B8" s="960" t="s">
        <v>185</v>
      </c>
      <c r="C8" s="947" t="s">
        <v>14</v>
      </c>
      <c r="D8" s="914">
        <v>20</v>
      </c>
      <c r="E8" s="944">
        <f t="shared" si="0"/>
        <v>9.92</v>
      </c>
      <c r="F8" s="948">
        <v>1</v>
      </c>
      <c r="G8" s="940">
        <f t="shared" si="1"/>
        <v>198.4</v>
      </c>
      <c r="H8" s="943">
        <f t="shared" si="2"/>
        <v>198.4</v>
      </c>
      <c r="I8" s="914">
        <f>VLOOKUP(B8,All_Ingredients!$A$1:$F$161,6,FALSE())</f>
        <v>1</v>
      </c>
      <c r="J8" s="940">
        <f>VLOOKUP(B8,All_Ingredients!$A$1:$J$161,10,FALSE())</f>
        <v>1.7</v>
      </c>
      <c r="K8" s="945">
        <f t="shared" si="5"/>
        <v>0.19839999999999999</v>
      </c>
      <c r="L8" s="945">
        <f t="shared" si="6"/>
        <v>0.33727999999999997</v>
      </c>
      <c r="R8" s="830"/>
      <c r="S8" s="830"/>
    </row>
    <row r="9" spans="1:33" x14ac:dyDescent="0.25">
      <c r="A9" s="1117"/>
      <c r="B9" s="960" t="s">
        <v>139</v>
      </c>
      <c r="C9" s="947" t="s">
        <v>14</v>
      </c>
      <c r="D9" s="914">
        <v>18</v>
      </c>
      <c r="E9" s="944">
        <f t="shared" si="0"/>
        <v>9.92</v>
      </c>
      <c r="F9" s="948">
        <v>0.75</v>
      </c>
      <c r="G9" s="940">
        <f t="shared" si="1"/>
        <v>178.56</v>
      </c>
      <c r="H9" s="943">
        <f t="shared" si="2"/>
        <v>133.92000000000002</v>
      </c>
      <c r="I9" s="914">
        <f>VLOOKUP(B9,All_Ingredients!$A$1:$F$161,6,FALSE())</f>
        <v>1</v>
      </c>
      <c r="J9" s="940">
        <f>VLOOKUP(B9,All_Ingredients!$A$1:$J$161,10,FALSE())</f>
        <v>15.277777777777779</v>
      </c>
      <c r="K9" s="945">
        <f t="shared" si="5"/>
        <v>0.13392000000000001</v>
      </c>
      <c r="L9" s="945">
        <f t="shared" si="6"/>
        <v>2.0460000000000003</v>
      </c>
      <c r="R9" s="830"/>
      <c r="S9" s="830"/>
    </row>
    <row r="10" spans="1:33" x14ac:dyDescent="0.25">
      <c r="A10" s="1117"/>
      <c r="B10" s="960" t="s">
        <v>101</v>
      </c>
      <c r="C10" s="947" t="s">
        <v>14</v>
      </c>
      <c r="D10" s="914">
        <v>5</v>
      </c>
      <c r="E10" s="944">
        <f t="shared" si="0"/>
        <v>9.92</v>
      </c>
      <c r="F10" s="948">
        <v>0.75</v>
      </c>
      <c r="G10" s="940">
        <f t="shared" si="1"/>
        <v>49.6</v>
      </c>
      <c r="H10" s="943">
        <f t="shared" si="2"/>
        <v>37.200000000000003</v>
      </c>
      <c r="I10" s="914">
        <f>VLOOKUP(B10,All_Ingredients!$A$1:$F$161,6,FALSE())</f>
        <v>1</v>
      </c>
      <c r="J10" s="940">
        <f>VLOOKUP(B10,All_Ingredients!$A$1:$J$161,10,FALSE())</f>
        <v>47</v>
      </c>
      <c r="K10" s="945">
        <f t="shared" si="5"/>
        <v>3.7200000000000004E-2</v>
      </c>
      <c r="L10" s="945">
        <f t="shared" si="6"/>
        <v>1.7484000000000002</v>
      </c>
      <c r="R10" s="830"/>
      <c r="S10" s="830"/>
    </row>
    <row r="11" spans="1:33" x14ac:dyDescent="0.25">
      <c r="A11" s="1117"/>
      <c r="B11" s="960" t="s">
        <v>93</v>
      </c>
      <c r="C11" s="947" t="s">
        <v>14</v>
      </c>
      <c r="D11" s="914">
        <v>4</v>
      </c>
      <c r="E11" s="944">
        <f t="shared" si="0"/>
        <v>9.92</v>
      </c>
      <c r="F11" s="948">
        <v>0.75</v>
      </c>
      <c r="G11" s="940">
        <f t="shared" si="1"/>
        <v>39.68</v>
      </c>
      <c r="H11" s="943">
        <f t="shared" si="2"/>
        <v>29.759999999999998</v>
      </c>
      <c r="I11" s="914">
        <f>VLOOKUP(B11,All_Ingredients!$A$1:$F$161,6,FALSE())</f>
        <v>1</v>
      </c>
      <c r="J11" s="940">
        <f>VLOOKUP(B11,All_Ingredients!$A$1:$J$161,10,FALSE())</f>
        <v>0.74</v>
      </c>
      <c r="K11" s="945">
        <f t="shared" si="5"/>
        <v>2.9759999999999998E-2</v>
      </c>
      <c r="L11" s="945">
        <f t="shared" si="6"/>
        <v>2.2022399999999998E-2</v>
      </c>
      <c r="R11" s="830"/>
      <c r="S11" s="830"/>
    </row>
    <row r="12" spans="1:33" x14ac:dyDescent="0.25">
      <c r="A12" s="1117"/>
      <c r="B12" s="1115" t="s">
        <v>12</v>
      </c>
      <c r="C12" s="947" t="s">
        <v>14</v>
      </c>
      <c r="D12" s="914">
        <v>30</v>
      </c>
      <c r="E12" s="944">
        <f t="shared" si="0"/>
        <v>9.92</v>
      </c>
      <c r="F12" s="948">
        <v>0.95</v>
      </c>
      <c r="G12" s="940">
        <f t="shared" si="1"/>
        <v>297.60000000000002</v>
      </c>
      <c r="H12" s="943">
        <f t="shared" si="2"/>
        <v>282.72000000000003</v>
      </c>
      <c r="I12" s="914">
        <f>VLOOKUP(B12,All_Ingredients!$A$1:$F$161,6,FALSE())</f>
        <v>0.9</v>
      </c>
      <c r="J12" s="940">
        <f>VLOOKUP(B12,All_Ingredients!$A$1:$J$161,10,FALSE())</f>
        <v>3</v>
      </c>
      <c r="K12" s="945">
        <f t="shared" si="5"/>
        <v>0.31413333333333338</v>
      </c>
      <c r="L12" s="945">
        <f t="shared" si="6"/>
        <v>0.94240000000000013</v>
      </c>
      <c r="R12" s="830"/>
      <c r="S12" s="830"/>
    </row>
    <row r="19" spans="18:29" ht="26.25" x14ac:dyDescent="0.25">
      <c r="R19" s="1141"/>
      <c r="S19" s="211" t="s">
        <v>308</v>
      </c>
    </row>
    <row r="20" spans="18:29" x14ac:dyDescent="0.25">
      <c r="R20" s="830"/>
      <c r="S20" s="830"/>
    </row>
    <row r="21" spans="18:29" x14ac:dyDescent="0.25">
      <c r="R21" s="830"/>
      <c r="S21" s="830"/>
    </row>
    <row r="22" spans="18:29" x14ac:dyDescent="0.25">
      <c r="R22" s="830"/>
      <c r="S22" s="830"/>
    </row>
    <row r="23" spans="18:29" x14ac:dyDescent="0.25">
      <c r="R23" s="830"/>
      <c r="S23" s="830"/>
    </row>
    <row r="24" spans="18:29" x14ac:dyDescent="0.25">
      <c r="R24" s="830"/>
      <c r="S24" s="830"/>
      <c r="Z24" s="630"/>
    </row>
    <row r="25" spans="18:29" x14ac:dyDescent="0.25">
      <c r="R25" s="1779" t="s">
        <v>913</v>
      </c>
      <c r="S25" s="1788"/>
      <c r="T25" s="1787"/>
      <c r="Z25" s="982" t="s">
        <v>252</v>
      </c>
      <c r="AA25" s="989">
        <v>1</v>
      </c>
      <c r="AB25" s="982" t="s">
        <v>249</v>
      </c>
      <c r="AC25" s="985">
        <f>(T34/T31)*AA25</f>
        <v>1.0692220000000002E-2</v>
      </c>
    </row>
    <row r="26" spans="18:29" x14ac:dyDescent="0.25">
      <c r="R26" s="1583" t="s">
        <v>253</v>
      </c>
      <c r="S26" s="1583"/>
      <c r="T26" s="1584"/>
      <c r="AA26" s="14"/>
      <c r="AB26" s="14"/>
      <c r="AC26" s="14"/>
    </row>
    <row r="27" spans="18:29" x14ac:dyDescent="0.25">
      <c r="R27" s="961" t="s">
        <v>254</v>
      </c>
      <c r="S27" s="961" t="s">
        <v>256</v>
      </c>
      <c r="T27" s="962" t="s">
        <v>257</v>
      </c>
    </row>
    <row r="28" spans="18:29" x14ac:dyDescent="0.25">
      <c r="R28" s="961" t="s">
        <v>263</v>
      </c>
      <c r="S28" s="967"/>
      <c r="T28" s="1391">
        <f>$Z$1</f>
        <v>28260</v>
      </c>
    </row>
    <row r="29" spans="18:29" x14ac:dyDescent="0.25">
      <c r="R29" s="961" t="s">
        <v>264</v>
      </c>
      <c r="S29" s="1585">
        <f>T28*(1/3)</f>
        <v>9420</v>
      </c>
      <c r="T29" s="975">
        <f>S29</f>
        <v>9420</v>
      </c>
    </row>
    <row r="30" spans="18:29" x14ac:dyDescent="0.25">
      <c r="R30" s="961" t="s">
        <v>265</v>
      </c>
      <c r="S30" s="1586">
        <f>$AB$1</f>
        <v>500</v>
      </c>
      <c r="T30" s="974">
        <f>S30</f>
        <v>500</v>
      </c>
    </row>
    <row r="31" spans="18:29" x14ac:dyDescent="0.25">
      <c r="R31" s="961" t="s">
        <v>257</v>
      </c>
      <c r="S31" s="967">
        <f>SUM(S28:S30)</f>
        <v>9920</v>
      </c>
      <c r="T31" s="966">
        <f>S31</f>
        <v>9920</v>
      </c>
    </row>
    <row r="34" spans="18:20" ht="15.75" thickBot="1" x14ac:dyDescent="0.3">
      <c r="R34" s="909" t="s">
        <v>249</v>
      </c>
      <c r="S34" s="1061">
        <f>SUM(L5:L12)</f>
        <v>106.06682240000002</v>
      </c>
      <c r="T34" s="601">
        <f>S34</f>
        <v>106.06682240000002</v>
      </c>
    </row>
    <row r="50" spans="1:11" x14ac:dyDescent="0.25">
      <c r="B50" s="961"/>
      <c r="C50" s="962" t="s">
        <v>233</v>
      </c>
      <c r="D50" s="961" t="s">
        <v>279</v>
      </c>
      <c r="E50" s="830"/>
      <c r="F50" s="830"/>
      <c r="H50" s="830"/>
      <c r="K50" s="830"/>
    </row>
    <row r="51" spans="1:11" x14ac:dyDescent="0.25">
      <c r="B51" s="1027" t="s">
        <v>283</v>
      </c>
      <c r="C51" s="1028">
        <f>10/$K$1</f>
        <v>10</v>
      </c>
      <c r="D51" s="1029">
        <f>$C$1*10</f>
        <v>10000</v>
      </c>
      <c r="E51" s="830"/>
      <c r="F51" s="830"/>
      <c r="H51" s="830"/>
      <c r="K51" s="830"/>
    </row>
    <row r="52" spans="1:11" x14ac:dyDescent="0.25">
      <c r="B52" s="958" t="s">
        <v>262</v>
      </c>
      <c r="C52" s="1099">
        <f>$I$1</f>
        <v>9.92</v>
      </c>
      <c r="D52" s="1100">
        <f>$E$1</f>
        <v>9920</v>
      </c>
      <c r="E52" s="830"/>
      <c r="F52" s="830"/>
      <c r="H52" s="830"/>
      <c r="K52" s="830"/>
    </row>
    <row r="53" spans="1:11" x14ac:dyDescent="0.25">
      <c r="B53" s="958" t="s">
        <v>284</v>
      </c>
      <c r="C53" s="1101">
        <f>MIN(C52, C51)</f>
        <v>9.92</v>
      </c>
      <c r="D53" s="1100">
        <f>(C53*$K$1)*$C$1</f>
        <v>9920</v>
      </c>
      <c r="E53" s="830"/>
      <c r="F53" s="830"/>
      <c r="H53" s="830"/>
      <c r="K53" s="830"/>
    </row>
    <row r="54" spans="1:11" x14ac:dyDescent="0.25">
      <c r="B54" s="958" t="s">
        <v>285</v>
      </c>
      <c r="C54" s="1101">
        <f>MIN(MAX(C52-C53,0),C51)</f>
        <v>0</v>
      </c>
      <c r="D54" s="1100">
        <f>(C54*$K$1)*$C$1</f>
        <v>0</v>
      </c>
      <c r="E54" s="830"/>
      <c r="F54" s="830"/>
      <c r="H54" s="830"/>
      <c r="K54" s="830"/>
    </row>
    <row r="55" spans="1:11" x14ac:dyDescent="0.25">
      <c r="B55" s="958" t="s">
        <v>286</v>
      </c>
      <c r="C55" s="1101">
        <f>MIN(MAX(C52-C53-C54,0),C51)</f>
        <v>0</v>
      </c>
      <c r="D55" s="1100">
        <f>(C55*$K$1)*$C$1</f>
        <v>0</v>
      </c>
      <c r="E55" s="830"/>
      <c r="F55" s="830"/>
      <c r="H55" s="830"/>
      <c r="K55" s="830"/>
    </row>
    <row r="56" spans="1:11" x14ac:dyDescent="0.25">
      <c r="B56" s="830"/>
      <c r="D56" s="830"/>
      <c r="E56" s="830"/>
      <c r="F56" s="830"/>
      <c r="H56" s="830"/>
      <c r="K56" s="830"/>
    </row>
    <row r="57" spans="1:11" x14ac:dyDescent="0.25">
      <c r="B57" s="830"/>
      <c r="D57" s="830"/>
      <c r="E57" s="830"/>
      <c r="F57" s="830"/>
      <c r="H57" s="830"/>
      <c r="K57" s="830"/>
    </row>
    <row r="58" spans="1:11" x14ac:dyDescent="0.25">
      <c r="B58" s="830"/>
      <c r="D58" s="830"/>
      <c r="E58" s="830"/>
      <c r="F58" s="830"/>
      <c r="H58" s="830"/>
      <c r="K58" s="830"/>
    </row>
    <row r="59" spans="1:11" x14ac:dyDescent="0.25">
      <c r="B59" s="830"/>
      <c r="D59" s="830"/>
      <c r="E59" s="830"/>
      <c r="F59" s="830"/>
      <c r="H59" s="830"/>
      <c r="K59" s="830"/>
    </row>
    <row r="60" spans="1:11" x14ac:dyDescent="0.25">
      <c r="B60" s="830"/>
      <c r="D60" s="830"/>
      <c r="E60" s="830"/>
      <c r="F60" s="830"/>
      <c r="H60" s="830"/>
      <c r="K60" s="830"/>
    </row>
    <row r="61" spans="1:11" x14ac:dyDescent="0.25">
      <c r="B61" s="830"/>
      <c r="D61" s="830"/>
      <c r="E61" s="830"/>
      <c r="F61" s="830"/>
      <c r="H61" s="830"/>
      <c r="K61" s="830"/>
    </row>
    <row r="62" spans="1:11" x14ac:dyDescent="0.25">
      <c r="A62" s="868"/>
      <c r="B62" s="1776" t="str">
        <f>"ستيك دجاج صوص الاضافي 1 / " &amp; COUNTIF($C$53:$C$55, "&gt;0")</f>
        <v>ستيك دجاج صوص الاضافي 1 / 1</v>
      </c>
      <c r="C62" s="1777"/>
      <c r="D62" s="1778"/>
      <c r="E62" s="1778"/>
      <c r="F62" s="1778"/>
      <c r="G62" s="1777"/>
      <c r="H62" s="1778"/>
      <c r="K62" s="830"/>
    </row>
    <row r="63" spans="1:11" x14ac:dyDescent="0.25">
      <c r="A63" s="868"/>
      <c r="B63" s="1776" t="str">
        <f>"Chicken Steak Topping 1 / " &amp; COUNTIF($C$53:$C$55, "&gt;0")</f>
        <v>Chicken Steak Topping 1 / 1</v>
      </c>
      <c r="C63" s="1777"/>
      <c r="D63" s="1778"/>
      <c r="E63" s="1778"/>
      <c r="F63" s="1778"/>
      <c r="G63" s="1777"/>
      <c r="H63" s="1778"/>
      <c r="K63" s="830"/>
    </row>
    <row r="64" spans="1:11" ht="38.25" x14ac:dyDescent="0.2">
      <c r="A64" s="872"/>
      <c r="B64" s="1104" t="s">
        <v>241</v>
      </c>
      <c r="C64" s="934" t="s">
        <v>242</v>
      </c>
      <c r="D64" s="1104" t="s">
        <v>231</v>
      </c>
      <c r="E64" s="936" t="s">
        <v>234</v>
      </c>
      <c r="F64" s="936" t="s">
        <v>243</v>
      </c>
      <c r="G64" s="1104" t="s">
        <v>244</v>
      </c>
      <c r="H64" s="936" t="s">
        <v>245</v>
      </c>
      <c r="K64" s="830"/>
    </row>
    <row r="65" spans="1:11" x14ac:dyDescent="0.25">
      <c r="B65" s="960" t="str">
        <f t="shared" ref="B65:D72" si="7">B5</f>
        <v>Milk - حليب</v>
      </c>
      <c r="C65" s="959" t="str">
        <f t="shared" si="7"/>
        <v>ml</v>
      </c>
      <c r="D65" s="960">
        <f t="shared" si="7"/>
        <v>550</v>
      </c>
      <c r="E65" s="1126">
        <f>$C$53</f>
        <v>9.92</v>
      </c>
      <c r="F65" s="948">
        <f t="shared" ref="F65:F72" si="8">F5</f>
        <v>1</v>
      </c>
      <c r="G65" s="914">
        <f t="shared" ref="G65:G72" si="9">D65*E65</f>
        <v>5456</v>
      </c>
      <c r="H65" s="943">
        <f t="shared" ref="H65:H72" si="10">G65*F65</f>
        <v>5456</v>
      </c>
      <c r="K65" s="830"/>
    </row>
    <row r="66" spans="1:11" x14ac:dyDescent="0.25">
      <c r="B66" s="960" t="str">
        <f t="shared" si="7"/>
        <v>Cooking Cream - كريمة طبخ</v>
      </c>
      <c r="C66" s="959" t="str">
        <f t="shared" si="7"/>
        <v>ml</v>
      </c>
      <c r="D66" s="960">
        <f t="shared" si="7"/>
        <v>550</v>
      </c>
      <c r="E66" s="1126">
        <f t="shared" ref="E66:E72" si="11">$C$53</f>
        <v>9.92</v>
      </c>
      <c r="F66" s="948">
        <f t="shared" si="8"/>
        <v>1</v>
      </c>
      <c r="G66" s="914">
        <f t="shared" si="9"/>
        <v>5456</v>
      </c>
      <c r="H66" s="943">
        <f t="shared" si="10"/>
        <v>5456</v>
      </c>
      <c r="K66" s="830"/>
    </row>
    <row r="67" spans="1:11" x14ac:dyDescent="0.25">
      <c r="B67" s="960" t="str">
        <f t="shared" si="7"/>
        <v>Butter - زبدة</v>
      </c>
      <c r="C67" s="959" t="str">
        <f t="shared" si="7"/>
        <v>gm</v>
      </c>
      <c r="D67" s="960">
        <f t="shared" si="7"/>
        <v>30</v>
      </c>
      <c r="E67" s="1126">
        <f t="shared" si="11"/>
        <v>9.92</v>
      </c>
      <c r="F67" s="948">
        <f t="shared" si="8"/>
        <v>1</v>
      </c>
      <c r="G67" s="914">
        <f t="shared" si="9"/>
        <v>297.60000000000002</v>
      </c>
      <c r="H67" s="943">
        <f t="shared" si="10"/>
        <v>297.60000000000002</v>
      </c>
      <c r="K67" s="830"/>
    </row>
    <row r="68" spans="1:11" x14ac:dyDescent="0.25">
      <c r="B68" s="960" t="str">
        <f t="shared" si="7"/>
        <v>Flour - دقيق</v>
      </c>
      <c r="C68" s="959" t="str">
        <f t="shared" si="7"/>
        <v>gm</v>
      </c>
      <c r="D68" s="960">
        <f t="shared" si="7"/>
        <v>20</v>
      </c>
      <c r="E68" s="1126">
        <f t="shared" si="11"/>
        <v>9.92</v>
      </c>
      <c r="F68" s="948">
        <f t="shared" si="8"/>
        <v>1</v>
      </c>
      <c r="G68" s="914">
        <f t="shared" si="9"/>
        <v>198.4</v>
      </c>
      <c r="H68" s="943">
        <f t="shared" si="10"/>
        <v>198.4</v>
      </c>
      <c r="K68" s="830"/>
    </row>
    <row r="69" spans="1:11" x14ac:dyDescent="0.25">
      <c r="B69" s="960" t="str">
        <f t="shared" si="7"/>
        <v>Maggi Cubes - مكعبات ماجي</v>
      </c>
      <c r="C69" s="959" t="str">
        <f t="shared" si="7"/>
        <v>gm</v>
      </c>
      <c r="D69" s="960">
        <f t="shared" si="7"/>
        <v>18</v>
      </c>
      <c r="E69" s="1126">
        <f t="shared" si="11"/>
        <v>9.92</v>
      </c>
      <c r="F69" s="948">
        <f t="shared" si="8"/>
        <v>0.75</v>
      </c>
      <c r="G69" s="914">
        <f t="shared" si="9"/>
        <v>178.56</v>
      </c>
      <c r="H69" s="943">
        <f t="shared" si="10"/>
        <v>133.92000000000002</v>
      </c>
      <c r="K69" s="830"/>
    </row>
    <row r="70" spans="1:11" x14ac:dyDescent="0.25">
      <c r="B70" s="960" t="str">
        <f t="shared" si="7"/>
        <v>White Pepper - فلفل أبيض</v>
      </c>
      <c r="C70" s="959" t="str">
        <f t="shared" si="7"/>
        <v>gm</v>
      </c>
      <c r="D70" s="960">
        <f t="shared" si="7"/>
        <v>5</v>
      </c>
      <c r="E70" s="1126">
        <f t="shared" si="11"/>
        <v>9.92</v>
      </c>
      <c r="F70" s="948">
        <f t="shared" si="8"/>
        <v>0.75</v>
      </c>
      <c r="G70" s="914">
        <f t="shared" si="9"/>
        <v>49.6</v>
      </c>
      <c r="H70" s="943">
        <f t="shared" si="10"/>
        <v>37.200000000000003</v>
      </c>
      <c r="K70" s="830"/>
    </row>
    <row r="71" spans="1:11" x14ac:dyDescent="0.25">
      <c r="B71" s="960" t="str">
        <f t="shared" si="7"/>
        <v>Salt - ملح</v>
      </c>
      <c r="C71" s="959" t="str">
        <f t="shared" si="7"/>
        <v>gm</v>
      </c>
      <c r="D71" s="960">
        <f t="shared" si="7"/>
        <v>4</v>
      </c>
      <c r="E71" s="1126">
        <f t="shared" si="11"/>
        <v>9.92</v>
      </c>
      <c r="F71" s="948">
        <f t="shared" si="8"/>
        <v>0.75</v>
      </c>
      <c r="G71" s="914">
        <f t="shared" si="9"/>
        <v>39.68</v>
      </c>
      <c r="H71" s="943">
        <f t="shared" si="10"/>
        <v>29.759999999999998</v>
      </c>
      <c r="K71" s="830"/>
    </row>
    <row r="72" spans="1:11" x14ac:dyDescent="0.25">
      <c r="B72" s="960" t="str">
        <f t="shared" si="7"/>
        <v>Onion - بصل</v>
      </c>
      <c r="C72" s="959" t="str">
        <f t="shared" si="7"/>
        <v>gm</v>
      </c>
      <c r="D72" s="960">
        <f t="shared" si="7"/>
        <v>30</v>
      </c>
      <c r="E72" s="1126">
        <f t="shared" si="11"/>
        <v>9.92</v>
      </c>
      <c r="F72" s="948">
        <f t="shared" si="8"/>
        <v>0.95</v>
      </c>
      <c r="G72" s="914">
        <f t="shared" si="9"/>
        <v>297.60000000000002</v>
      </c>
      <c r="H72" s="943">
        <f t="shared" si="10"/>
        <v>282.72000000000003</v>
      </c>
      <c r="K72" s="830"/>
    </row>
    <row r="73" spans="1:11" ht="18" x14ac:dyDescent="0.25">
      <c r="A73" s="861"/>
      <c r="B73" s="1041" t="s">
        <v>287</v>
      </c>
      <c r="C73" s="1042" t="s">
        <v>273</v>
      </c>
      <c r="D73" s="1043"/>
      <c r="E73" s="1044" t="s">
        <v>288</v>
      </c>
      <c r="F73" s="1043"/>
      <c r="G73" s="1045" t="s">
        <v>264</v>
      </c>
      <c r="H73" s="1046" t="s">
        <v>661</v>
      </c>
      <c r="K73" s="830"/>
    </row>
    <row r="74" spans="1:11" ht="20.25" x14ac:dyDescent="0.3">
      <c r="A74" s="861"/>
      <c r="B74" s="1047">
        <f>$J$53</f>
        <v>0</v>
      </c>
      <c r="C74" s="1048">
        <f>E74+G74</f>
        <v>9920</v>
      </c>
      <c r="D74" s="1049"/>
      <c r="E74" s="1047">
        <v>0</v>
      </c>
      <c r="F74" s="1050"/>
      <c r="G74" s="1048">
        <f>D53</f>
        <v>9920</v>
      </c>
      <c r="H74" s="1047">
        <f>B74+E74</f>
        <v>0</v>
      </c>
      <c r="K74" s="830"/>
    </row>
    <row r="75" spans="1:11" x14ac:dyDescent="0.25">
      <c r="A75" s="869"/>
      <c r="B75" s="431"/>
      <c r="C75" s="454"/>
      <c r="D75" s="1497"/>
      <c r="E75" s="431"/>
      <c r="F75" s="431"/>
      <c r="G75" s="432"/>
      <c r="H75" s="1339"/>
      <c r="K75" s="830"/>
    </row>
    <row r="76" spans="1:11" ht="18" x14ac:dyDescent="0.25">
      <c r="A76" s="868"/>
      <c r="B76" s="1776" t="str">
        <f>"ستيك دجاج صوص الاضافي 2 / " &amp; COUNTIF($C$53:$C$55, "&gt;0")</f>
        <v>ستيك دجاج صوص الاضافي 2 / 1</v>
      </c>
      <c r="C76" s="1776"/>
      <c r="D76" s="1776"/>
      <c r="E76" s="1776"/>
      <c r="F76" s="1776"/>
      <c r="G76" s="1776"/>
      <c r="H76" s="1776"/>
      <c r="K76" s="830"/>
    </row>
    <row r="77" spans="1:11" ht="18" x14ac:dyDescent="0.25">
      <c r="A77" s="868"/>
      <c r="B77" s="1776" t="str">
        <f>"Chicken Steak Topping 2 / " &amp; COUNTIF($C$53:$C$55, "&gt;0")</f>
        <v>Chicken Steak Topping 2 / 1</v>
      </c>
      <c r="C77" s="1776"/>
      <c r="D77" s="1776"/>
      <c r="E77" s="1776"/>
      <c r="F77" s="1776"/>
      <c r="G77" s="1776"/>
      <c r="H77" s="1776"/>
      <c r="K77" s="830"/>
    </row>
    <row r="78" spans="1:11" ht="38.25" x14ac:dyDescent="0.2">
      <c r="A78" s="872"/>
      <c r="B78" s="1104" t="s">
        <v>241</v>
      </c>
      <c r="C78" s="934" t="s">
        <v>242</v>
      </c>
      <c r="D78" s="1104" t="s">
        <v>231</v>
      </c>
      <c r="E78" s="936" t="s">
        <v>234</v>
      </c>
      <c r="F78" s="936" t="s">
        <v>243</v>
      </c>
      <c r="G78" s="1104" t="s">
        <v>244</v>
      </c>
      <c r="H78" s="936" t="s">
        <v>245</v>
      </c>
      <c r="K78" s="830"/>
    </row>
    <row r="79" spans="1:11" x14ac:dyDescent="0.25">
      <c r="B79" s="960" t="str">
        <f t="shared" ref="B79:D86" si="12">B5</f>
        <v>Milk - حليب</v>
      </c>
      <c r="C79" s="959" t="str">
        <f t="shared" si="12"/>
        <v>ml</v>
      </c>
      <c r="D79" s="960">
        <f t="shared" si="12"/>
        <v>550</v>
      </c>
      <c r="E79" s="1040">
        <f>$C$54</f>
        <v>0</v>
      </c>
      <c r="F79" s="948">
        <f t="shared" ref="F79:F86" si="13">F5</f>
        <v>1</v>
      </c>
      <c r="G79" s="940">
        <f t="shared" ref="G79:G86" si="14">D79*E79</f>
        <v>0</v>
      </c>
      <c r="H79" s="943">
        <f t="shared" ref="H79:H86" si="15">G79*F79</f>
        <v>0</v>
      </c>
      <c r="K79" s="830"/>
    </row>
    <row r="80" spans="1:11" x14ac:dyDescent="0.25">
      <c r="B80" s="960" t="str">
        <f t="shared" si="12"/>
        <v>Cooking Cream - كريمة طبخ</v>
      </c>
      <c r="C80" s="959" t="str">
        <f t="shared" si="12"/>
        <v>ml</v>
      </c>
      <c r="D80" s="960">
        <f t="shared" si="12"/>
        <v>550</v>
      </c>
      <c r="E80" s="1040">
        <f t="shared" ref="E80:E86" si="16">$C$54</f>
        <v>0</v>
      </c>
      <c r="F80" s="948">
        <f t="shared" si="13"/>
        <v>1</v>
      </c>
      <c r="G80" s="940">
        <f t="shared" si="14"/>
        <v>0</v>
      </c>
      <c r="H80" s="943">
        <f t="shared" si="15"/>
        <v>0</v>
      </c>
      <c r="K80" s="830"/>
    </row>
    <row r="81" spans="1:11" x14ac:dyDescent="0.25">
      <c r="B81" s="960" t="str">
        <f t="shared" si="12"/>
        <v>Butter - زبدة</v>
      </c>
      <c r="C81" s="959" t="str">
        <f t="shared" si="12"/>
        <v>gm</v>
      </c>
      <c r="D81" s="960">
        <f t="shared" si="12"/>
        <v>30</v>
      </c>
      <c r="E81" s="1040">
        <f t="shared" si="16"/>
        <v>0</v>
      </c>
      <c r="F81" s="948">
        <f t="shared" si="13"/>
        <v>1</v>
      </c>
      <c r="G81" s="940">
        <f t="shared" si="14"/>
        <v>0</v>
      </c>
      <c r="H81" s="943">
        <f t="shared" si="15"/>
        <v>0</v>
      </c>
      <c r="K81" s="830"/>
    </row>
    <row r="82" spans="1:11" x14ac:dyDescent="0.25">
      <c r="B82" s="960" t="str">
        <f t="shared" si="12"/>
        <v>Flour - دقيق</v>
      </c>
      <c r="C82" s="959" t="str">
        <f t="shared" si="12"/>
        <v>gm</v>
      </c>
      <c r="D82" s="960">
        <f t="shared" si="12"/>
        <v>20</v>
      </c>
      <c r="E82" s="1040">
        <f t="shared" si="16"/>
        <v>0</v>
      </c>
      <c r="F82" s="948">
        <f t="shared" si="13"/>
        <v>1</v>
      </c>
      <c r="G82" s="940">
        <f t="shared" si="14"/>
        <v>0</v>
      </c>
      <c r="H82" s="943">
        <f t="shared" si="15"/>
        <v>0</v>
      </c>
      <c r="K82" s="830"/>
    </row>
    <row r="83" spans="1:11" x14ac:dyDescent="0.25">
      <c r="B83" s="960" t="str">
        <f t="shared" si="12"/>
        <v>Maggi Cubes - مكعبات ماجي</v>
      </c>
      <c r="C83" s="959" t="str">
        <f t="shared" si="12"/>
        <v>gm</v>
      </c>
      <c r="D83" s="960">
        <f t="shared" si="12"/>
        <v>18</v>
      </c>
      <c r="E83" s="1040">
        <f t="shared" si="16"/>
        <v>0</v>
      </c>
      <c r="F83" s="948">
        <f t="shared" si="13"/>
        <v>0.75</v>
      </c>
      <c r="G83" s="940">
        <f t="shared" si="14"/>
        <v>0</v>
      </c>
      <c r="H83" s="943">
        <f t="shared" si="15"/>
        <v>0</v>
      </c>
      <c r="K83" s="830"/>
    </row>
    <row r="84" spans="1:11" x14ac:dyDescent="0.25">
      <c r="B84" s="960" t="str">
        <f t="shared" si="12"/>
        <v>White Pepper - فلفل أبيض</v>
      </c>
      <c r="C84" s="959" t="str">
        <f t="shared" si="12"/>
        <v>gm</v>
      </c>
      <c r="D84" s="960">
        <f t="shared" si="12"/>
        <v>5</v>
      </c>
      <c r="E84" s="1040">
        <f t="shared" si="16"/>
        <v>0</v>
      </c>
      <c r="F84" s="948">
        <f t="shared" si="13"/>
        <v>0.75</v>
      </c>
      <c r="G84" s="940">
        <f t="shared" si="14"/>
        <v>0</v>
      </c>
      <c r="H84" s="943">
        <f t="shared" si="15"/>
        <v>0</v>
      </c>
      <c r="K84" s="830"/>
    </row>
    <row r="85" spans="1:11" x14ac:dyDescent="0.25">
      <c r="B85" s="960" t="str">
        <f t="shared" si="12"/>
        <v>Salt - ملح</v>
      </c>
      <c r="C85" s="959" t="str">
        <f t="shared" si="12"/>
        <v>gm</v>
      </c>
      <c r="D85" s="960">
        <f t="shared" si="12"/>
        <v>4</v>
      </c>
      <c r="E85" s="1040">
        <f t="shared" si="16"/>
        <v>0</v>
      </c>
      <c r="F85" s="948">
        <f t="shared" si="13"/>
        <v>0.75</v>
      </c>
      <c r="G85" s="940">
        <f t="shared" si="14"/>
        <v>0</v>
      </c>
      <c r="H85" s="943">
        <f t="shared" si="15"/>
        <v>0</v>
      </c>
      <c r="K85" s="830"/>
    </row>
    <row r="86" spans="1:11" x14ac:dyDescent="0.25">
      <c r="B86" s="960" t="str">
        <f t="shared" si="12"/>
        <v>Onion - بصل</v>
      </c>
      <c r="C86" s="959" t="str">
        <f t="shared" si="12"/>
        <v>gm</v>
      </c>
      <c r="D86" s="960">
        <f t="shared" si="12"/>
        <v>30</v>
      </c>
      <c r="E86" s="1040">
        <f t="shared" si="16"/>
        <v>0</v>
      </c>
      <c r="F86" s="948">
        <f t="shared" si="13"/>
        <v>0.95</v>
      </c>
      <c r="G86" s="940">
        <f t="shared" si="14"/>
        <v>0</v>
      </c>
      <c r="H86" s="943">
        <f t="shared" si="15"/>
        <v>0</v>
      </c>
      <c r="K86" s="830"/>
    </row>
    <row r="87" spans="1:11" ht="18" x14ac:dyDescent="0.25">
      <c r="A87" s="861"/>
      <c r="B87" s="1041" t="s">
        <v>287</v>
      </c>
      <c r="C87" s="1042" t="s">
        <v>273</v>
      </c>
      <c r="D87" s="1043"/>
      <c r="E87" s="1044" t="s">
        <v>288</v>
      </c>
      <c r="F87" s="1043"/>
      <c r="G87" s="1045" t="s">
        <v>264</v>
      </c>
      <c r="H87" s="1046" t="s">
        <v>661</v>
      </c>
      <c r="K87" s="830"/>
    </row>
    <row r="88" spans="1:11" ht="20.25" x14ac:dyDescent="0.3">
      <c r="A88" s="861"/>
      <c r="B88" s="1047">
        <f>$J$53</f>
        <v>0</v>
      </c>
      <c r="C88" s="1048">
        <f>E88+G88</f>
        <v>0</v>
      </c>
      <c r="D88" s="1049"/>
      <c r="E88" s="1047">
        <v>0</v>
      </c>
      <c r="F88" s="1050"/>
      <c r="G88" s="1048">
        <f>D54</f>
        <v>0</v>
      </c>
      <c r="H88" s="1047">
        <f>B88+E88</f>
        <v>0</v>
      </c>
      <c r="K88" s="830"/>
    </row>
    <row r="89" spans="1:11" x14ac:dyDescent="0.25">
      <c r="B89" s="830"/>
      <c r="D89" s="830"/>
      <c r="E89" s="830"/>
      <c r="F89" s="830"/>
      <c r="H89" s="830"/>
      <c r="K89" s="830"/>
    </row>
    <row r="90" spans="1:11" x14ac:dyDescent="0.25">
      <c r="B90" s="830"/>
      <c r="D90" s="830"/>
      <c r="E90" s="830"/>
      <c r="F90" s="830"/>
      <c r="H90" s="830"/>
      <c r="K90" s="830"/>
    </row>
    <row r="91" spans="1:11" ht="18" x14ac:dyDescent="0.25">
      <c r="A91" s="868"/>
      <c r="B91" s="1776" t="str">
        <f>"ستيك دجاج صوص الاضافي 3 / " &amp; COUNTIF($C$53:$C$55, "&gt;0")</f>
        <v>ستيك دجاج صوص الاضافي 3 / 1</v>
      </c>
      <c r="C91" s="1776"/>
      <c r="D91" s="1776"/>
      <c r="E91" s="1776"/>
      <c r="F91" s="1776"/>
      <c r="G91" s="1776"/>
      <c r="H91" s="1776"/>
      <c r="K91" s="830"/>
    </row>
    <row r="92" spans="1:11" ht="18" x14ac:dyDescent="0.25">
      <c r="A92" s="868"/>
      <c r="B92" s="1776" t="str">
        <f>"Chicken Steak Topping 3 / " &amp; COUNTIF($C$53:$C$55, "&gt;0")</f>
        <v>Chicken Steak Topping 3 / 1</v>
      </c>
      <c r="C92" s="1776"/>
      <c r="D92" s="1776"/>
      <c r="E92" s="1776"/>
      <c r="F92" s="1776"/>
      <c r="G92" s="1776"/>
      <c r="H92" s="1776"/>
      <c r="K92" s="830"/>
    </row>
    <row r="93" spans="1:11" ht="38.25" x14ac:dyDescent="0.2">
      <c r="A93" s="872"/>
      <c r="B93" s="1104" t="s">
        <v>241</v>
      </c>
      <c r="C93" s="934" t="s">
        <v>242</v>
      </c>
      <c r="D93" s="1104" t="s">
        <v>231</v>
      </c>
      <c r="E93" s="936" t="s">
        <v>234</v>
      </c>
      <c r="F93" s="936" t="s">
        <v>243</v>
      </c>
      <c r="G93" s="1104" t="s">
        <v>244</v>
      </c>
      <c r="H93" s="936" t="s">
        <v>245</v>
      </c>
      <c r="K93" s="830"/>
    </row>
    <row r="94" spans="1:11" x14ac:dyDescent="0.25">
      <c r="B94" s="960" t="str">
        <f>B5</f>
        <v>Milk - حليب</v>
      </c>
      <c r="C94" s="959" t="str">
        <f t="shared" ref="C94:D94" si="17">C5</f>
        <v>ml</v>
      </c>
      <c r="D94" s="960">
        <f t="shared" si="17"/>
        <v>550</v>
      </c>
      <c r="E94" s="1040">
        <f>$C$55</f>
        <v>0</v>
      </c>
      <c r="F94" s="948">
        <f>F5</f>
        <v>1</v>
      </c>
      <c r="G94" s="940">
        <f t="shared" ref="G94:G101" si="18">D94*E94</f>
        <v>0</v>
      </c>
      <c r="H94" s="943">
        <f t="shared" ref="H94:H101" si="19">G94*F94</f>
        <v>0</v>
      </c>
      <c r="K94" s="830"/>
    </row>
    <row r="95" spans="1:11" x14ac:dyDescent="0.25">
      <c r="B95" s="960" t="str">
        <f t="shared" ref="B95:D95" si="20">B6</f>
        <v>Cooking Cream - كريمة طبخ</v>
      </c>
      <c r="C95" s="959" t="str">
        <f t="shared" si="20"/>
        <v>ml</v>
      </c>
      <c r="D95" s="960">
        <f t="shared" si="20"/>
        <v>550</v>
      </c>
      <c r="E95" s="1040">
        <f t="shared" ref="E95:E101" si="21">$C$55</f>
        <v>0</v>
      </c>
      <c r="F95" s="948">
        <f t="shared" ref="F95:F101" si="22">F6</f>
        <v>1</v>
      </c>
      <c r="G95" s="940">
        <f t="shared" si="18"/>
        <v>0</v>
      </c>
      <c r="H95" s="943">
        <f t="shared" si="19"/>
        <v>0</v>
      </c>
      <c r="K95" s="830"/>
    </row>
    <row r="96" spans="1:11" x14ac:dyDescent="0.25">
      <c r="B96" s="960" t="str">
        <f t="shared" ref="B96:D96" si="23">B7</f>
        <v>Butter - زبدة</v>
      </c>
      <c r="C96" s="959" t="str">
        <f t="shared" si="23"/>
        <v>gm</v>
      </c>
      <c r="D96" s="960">
        <f t="shared" si="23"/>
        <v>30</v>
      </c>
      <c r="E96" s="1040">
        <f t="shared" si="21"/>
        <v>0</v>
      </c>
      <c r="F96" s="948">
        <f t="shared" si="22"/>
        <v>1</v>
      </c>
      <c r="G96" s="940">
        <f t="shared" si="18"/>
        <v>0</v>
      </c>
      <c r="H96" s="943">
        <f t="shared" si="19"/>
        <v>0</v>
      </c>
      <c r="K96" s="830"/>
    </row>
    <row r="97" spans="2:8" x14ac:dyDescent="0.25">
      <c r="B97" s="960" t="str">
        <f t="shared" ref="B97:D97" si="24">B8</f>
        <v>Flour - دقيق</v>
      </c>
      <c r="C97" s="959" t="str">
        <f t="shared" si="24"/>
        <v>gm</v>
      </c>
      <c r="D97" s="960">
        <f t="shared" si="24"/>
        <v>20</v>
      </c>
      <c r="E97" s="1040">
        <f t="shared" si="21"/>
        <v>0</v>
      </c>
      <c r="F97" s="948">
        <f t="shared" si="22"/>
        <v>1</v>
      </c>
      <c r="G97" s="940">
        <f t="shared" si="18"/>
        <v>0</v>
      </c>
      <c r="H97" s="943">
        <f t="shared" si="19"/>
        <v>0</v>
      </c>
    </row>
    <row r="98" spans="2:8" x14ac:dyDescent="0.25">
      <c r="B98" s="960" t="str">
        <f t="shared" ref="B98:D98" si="25">B9</f>
        <v>Maggi Cubes - مكعبات ماجي</v>
      </c>
      <c r="C98" s="959" t="str">
        <f t="shared" si="25"/>
        <v>gm</v>
      </c>
      <c r="D98" s="960">
        <f t="shared" si="25"/>
        <v>18</v>
      </c>
      <c r="E98" s="1040">
        <f t="shared" si="21"/>
        <v>0</v>
      </c>
      <c r="F98" s="948">
        <f t="shared" si="22"/>
        <v>0.75</v>
      </c>
      <c r="G98" s="940">
        <f t="shared" si="18"/>
        <v>0</v>
      </c>
      <c r="H98" s="943">
        <f t="shared" si="19"/>
        <v>0</v>
      </c>
    </row>
    <row r="99" spans="2:8" x14ac:dyDescent="0.25">
      <c r="B99" s="960" t="str">
        <f t="shared" ref="B99:D99" si="26">B10</f>
        <v>White Pepper - فلفل أبيض</v>
      </c>
      <c r="C99" s="959" t="str">
        <f t="shared" si="26"/>
        <v>gm</v>
      </c>
      <c r="D99" s="960">
        <f t="shared" si="26"/>
        <v>5</v>
      </c>
      <c r="E99" s="1040">
        <f t="shared" si="21"/>
        <v>0</v>
      </c>
      <c r="F99" s="948">
        <f t="shared" si="22"/>
        <v>0.75</v>
      </c>
      <c r="G99" s="940">
        <f t="shared" si="18"/>
        <v>0</v>
      </c>
      <c r="H99" s="943">
        <f t="shared" si="19"/>
        <v>0</v>
      </c>
    </row>
    <row r="100" spans="2:8" x14ac:dyDescent="0.25">
      <c r="B100" s="960" t="str">
        <f t="shared" ref="B100:D100" si="27">B11</f>
        <v>Salt - ملح</v>
      </c>
      <c r="C100" s="959" t="str">
        <f t="shared" si="27"/>
        <v>gm</v>
      </c>
      <c r="D100" s="960">
        <f t="shared" si="27"/>
        <v>4</v>
      </c>
      <c r="E100" s="1040">
        <f t="shared" si="21"/>
        <v>0</v>
      </c>
      <c r="F100" s="948">
        <f t="shared" si="22"/>
        <v>0.75</v>
      </c>
      <c r="G100" s="940">
        <f t="shared" si="18"/>
        <v>0</v>
      </c>
      <c r="H100" s="943">
        <f t="shared" si="19"/>
        <v>0</v>
      </c>
    </row>
    <row r="101" spans="2:8" x14ac:dyDescent="0.25">
      <c r="B101" s="960" t="str">
        <f t="shared" ref="B101:D101" si="28">B12</f>
        <v>Onion - بصل</v>
      </c>
      <c r="C101" s="959" t="str">
        <f t="shared" si="28"/>
        <v>gm</v>
      </c>
      <c r="D101" s="960">
        <f t="shared" si="28"/>
        <v>30</v>
      </c>
      <c r="E101" s="1040">
        <f t="shared" si="21"/>
        <v>0</v>
      </c>
      <c r="F101" s="948">
        <f t="shared" si="22"/>
        <v>0.95</v>
      </c>
      <c r="G101" s="940">
        <f t="shared" si="18"/>
        <v>0</v>
      </c>
      <c r="H101" s="943">
        <f t="shared" si="19"/>
        <v>0</v>
      </c>
    </row>
    <row r="102" spans="2:8" ht="18" x14ac:dyDescent="0.25">
      <c r="B102" s="1041" t="s">
        <v>287</v>
      </c>
      <c r="C102" s="1042" t="s">
        <v>273</v>
      </c>
      <c r="D102" s="1043"/>
      <c r="E102" s="1044" t="s">
        <v>288</v>
      </c>
      <c r="F102" s="1043"/>
      <c r="G102" s="1045" t="s">
        <v>264</v>
      </c>
      <c r="H102" s="1046" t="s">
        <v>661</v>
      </c>
    </row>
    <row r="103" spans="2:8" ht="20.25" x14ac:dyDescent="0.3">
      <c r="B103" s="1047">
        <f>$J$53</f>
        <v>0</v>
      </c>
      <c r="C103" s="1048">
        <f>E103+G103</f>
        <v>0</v>
      </c>
      <c r="D103" s="1049"/>
      <c r="E103" s="1047">
        <v>0</v>
      </c>
      <c r="F103" s="1050"/>
      <c r="G103" s="1048">
        <f>D55</f>
        <v>0</v>
      </c>
      <c r="H103" s="1047">
        <f>B103+E103</f>
        <v>0</v>
      </c>
    </row>
  </sheetData>
  <mergeCells count="10">
    <mergeCell ref="B91:H91"/>
    <mergeCell ref="B92:H92"/>
    <mergeCell ref="B2:J3"/>
    <mergeCell ref="AE2:AG3"/>
    <mergeCell ref="B77:H77"/>
    <mergeCell ref="K2:K3"/>
    <mergeCell ref="B62:H62"/>
    <mergeCell ref="R25:T25"/>
    <mergeCell ref="B76:H76"/>
    <mergeCell ref="B63:H63"/>
  </mergeCells>
  <printOptions horizontalCentered="1"/>
  <pageMargins left="0.4" right="0.4" top="1" bottom="0.5" header="0.3" footer="0.511811023622047"/>
  <pageSetup paperSize="9" scale="47" fitToHeight="0" orientation="landscape"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rgb="FF7C7C7C"/>
    <pageSetUpPr fitToPage="1"/>
  </sheetPr>
  <dimension ref="A1:AT98"/>
  <sheetViews>
    <sheetView topLeftCell="AF1" zoomScale="85" zoomScaleNormal="85" workbookViewId="0">
      <selection activeCell="AJ14" sqref="AJ14"/>
    </sheetView>
  </sheetViews>
  <sheetFormatPr defaultColWidth="12.5" defaultRowHeight="15" x14ac:dyDescent="0.25"/>
  <cols>
    <col min="1" max="1" width="18.625" style="1" customWidth="1"/>
    <col min="2" max="2" width="25.875" customWidth="1"/>
    <col min="3" max="3" width="18.625" customWidth="1"/>
    <col min="4" max="6" width="25.875" customWidth="1"/>
    <col min="7" max="7" width="18.625" customWidth="1"/>
    <col min="8" max="8" width="25.875" customWidth="1"/>
    <col min="9" max="10" width="18.625" customWidth="1"/>
    <col min="11" max="11" width="25.875" customWidth="1"/>
    <col min="12" max="12" width="12.625" customWidth="1"/>
    <col min="13" max="13" width="9.75" customWidth="1"/>
    <col min="15" max="15" width="18.625" customWidth="1"/>
    <col min="16" max="16" width="8.625" customWidth="1"/>
    <col min="17" max="17" width="18.625" customWidth="1"/>
    <col min="18" max="18" width="25.875" customWidth="1"/>
    <col min="19" max="22" width="12.625" customWidth="1"/>
    <col min="23" max="23" width="25.875" customWidth="1"/>
    <col min="24" max="24" width="12.625" customWidth="1"/>
    <col min="25" max="25" width="8.625" customWidth="1"/>
    <col min="26" max="28" width="12.625" customWidth="1"/>
    <col min="29" max="29" width="18.625" customWidth="1"/>
    <col min="30" max="32" width="12.625" customWidth="1"/>
    <col min="33" max="33" width="11.375" bestFit="1" customWidth="1"/>
    <col min="34" max="35" width="3.25" customWidth="1"/>
    <col min="36" max="40" width="25.875" customWidth="1"/>
    <col min="41" max="41" width="18.625" customWidth="1"/>
    <col min="42" max="42" width="25.875" customWidth="1"/>
    <col min="43" max="44" width="18.625" customWidth="1"/>
    <col min="45" max="45" width="25.875" customWidth="1"/>
    <col min="46" max="46" width="12.625" customWidth="1"/>
  </cols>
  <sheetData>
    <row r="1" spans="1:46" ht="25.5" x14ac:dyDescent="0.25">
      <c r="B1" s="913" t="s">
        <v>231</v>
      </c>
      <c r="C1" s="914">
        <v>1000</v>
      </c>
      <c r="D1" s="915" t="s">
        <v>232</v>
      </c>
      <c r="E1" s="941">
        <f>T32</f>
        <v>4546.6666666666661</v>
      </c>
      <c r="F1" s="913" t="s">
        <v>233</v>
      </c>
      <c r="G1" s="941">
        <f>E1/C1</f>
        <v>4.546666666666666</v>
      </c>
      <c r="H1" s="913" t="s">
        <v>234</v>
      </c>
      <c r="I1" s="1040">
        <f>(G1/K1)</f>
        <v>4.6394557823129245</v>
      </c>
      <c r="J1" s="919" t="s">
        <v>235</v>
      </c>
      <c r="K1" s="914">
        <v>0.98</v>
      </c>
      <c r="L1" s="80"/>
      <c r="M1" s="70"/>
      <c r="N1" s="922"/>
      <c r="O1" s="923" t="s">
        <v>236</v>
      </c>
      <c r="P1" s="914" t="s">
        <v>289</v>
      </c>
      <c r="Q1" s="924" t="s">
        <v>238</v>
      </c>
      <c r="R1" s="914">
        <v>0.51</v>
      </c>
      <c r="W1" s="830"/>
      <c r="Y1" s="923" t="s">
        <v>444</v>
      </c>
      <c r="Z1" s="925">
        <v>13640</v>
      </c>
      <c r="AA1" s="923" t="s">
        <v>544</v>
      </c>
      <c r="AB1" s="925">
        <v>0</v>
      </c>
      <c r="AC1" s="923" t="s">
        <v>537</v>
      </c>
      <c r="AD1" s="925">
        <v>96</v>
      </c>
      <c r="AE1" s="168"/>
      <c r="AF1" s="170"/>
      <c r="AG1" s="73"/>
      <c r="AJ1" s="926" t="s">
        <v>535</v>
      </c>
      <c r="AK1" s="926">
        <v>15000</v>
      </c>
      <c r="AL1" s="927" t="s">
        <v>474</v>
      </c>
      <c r="AM1" s="928">
        <f>$S$32</f>
        <v>12276</v>
      </c>
      <c r="AN1" s="926" t="s">
        <v>239</v>
      </c>
      <c r="AO1" s="1349">
        <f>($S$32/$R$1)/$AK$1</f>
        <v>1.6047058823529412</v>
      </c>
      <c r="AP1" s="1207"/>
      <c r="AQ1" s="959"/>
      <c r="AR1" s="959"/>
      <c r="AS1" s="960"/>
      <c r="AT1" s="959"/>
    </row>
    <row r="2" spans="1:46" ht="15.75" x14ac:dyDescent="0.25">
      <c r="A2" s="860"/>
      <c r="B2" s="921"/>
      <c r="C2" s="921"/>
      <c r="D2" s="921"/>
      <c r="E2" s="921"/>
      <c r="F2" s="1784" t="s">
        <v>396</v>
      </c>
      <c r="G2" s="921"/>
      <c r="H2" s="921"/>
      <c r="I2" s="921"/>
      <c r="J2" s="921"/>
      <c r="K2" s="921"/>
      <c r="L2" s="187"/>
      <c r="M2" s="80"/>
      <c r="N2" s="80"/>
      <c r="O2" s="80"/>
      <c r="P2" s="80"/>
      <c r="Q2" s="80"/>
      <c r="R2" s="80"/>
      <c r="W2" s="830"/>
      <c r="AC2" s="79"/>
      <c r="AD2" s="79"/>
      <c r="AE2" s="1795"/>
      <c r="AF2" s="1796"/>
      <c r="AG2" s="1796"/>
      <c r="AJ2" s="930"/>
      <c r="AK2" s="1783" t="s">
        <v>510</v>
      </c>
      <c r="AL2" s="1783"/>
      <c r="AM2" s="1783"/>
      <c r="AN2" s="931"/>
      <c r="AO2" s="930"/>
      <c r="AP2" s="930"/>
      <c r="AQ2" s="959"/>
      <c r="AR2" s="959"/>
      <c r="AS2" s="960"/>
      <c r="AT2" s="959"/>
    </row>
    <row r="3" spans="1:46" ht="15.75" x14ac:dyDescent="0.25">
      <c r="A3" s="860"/>
      <c r="B3" s="78"/>
      <c r="C3" s="78"/>
      <c r="D3" s="78"/>
      <c r="E3" s="78"/>
      <c r="F3" s="1785"/>
      <c r="G3" s="78"/>
      <c r="H3" s="78"/>
      <c r="I3" s="78"/>
      <c r="J3" s="78"/>
      <c r="K3" s="78"/>
      <c r="L3" s="187"/>
      <c r="M3" s="80"/>
      <c r="N3" s="80"/>
      <c r="O3" s="80"/>
      <c r="P3" s="80"/>
      <c r="Q3" s="80"/>
      <c r="R3" s="80"/>
      <c r="W3" s="830"/>
      <c r="AC3" s="79"/>
      <c r="AD3" s="79"/>
      <c r="AE3" s="1796"/>
      <c r="AF3" s="1796"/>
      <c r="AG3" s="1796"/>
      <c r="AJ3" s="930"/>
      <c r="AK3" s="1783" t="s">
        <v>536</v>
      </c>
      <c r="AL3" s="1783"/>
      <c r="AM3" s="931"/>
      <c r="AN3" s="931"/>
      <c r="AO3" s="930"/>
      <c r="AP3" s="930"/>
      <c r="AQ3" s="959"/>
      <c r="AR3" s="959"/>
      <c r="AS3" s="960"/>
      <c r="AT3" s="959"/>
    </row>
    <row r="4" spans="1:46" ht="38.25" x14ac:dyDescent="0.2">
      <c r="A4" s="1350" t="s">
        <v>864</v>
      </c>
      <c r="B4" s="923" t="s">
        <v>241</v>
      </c>
      <c r="C4" s="934" t="s">
        <v>242</v>
      </c>
      <c r="D4" s="923" t="s">
        <v>231</v>
      </c>
      <c r="E4" s="935" t="s">
        <v>234</v>
      </c>
      <c r="F4" s="935" t="s">
        <v>243</v>
      </c>
      <c r="G4" s="923" t="s">
        <v>244</v>
      </c>
      <c r="H4" s="936" t="s">
        <v>334</v>
      </c>
      <c r="I4" s="923" t="s">
        <v>246</v>
      </c>
      <c r="J4" s="923" t="s">
        <v>247</v>
      </c>
      <c r="K4" s="923" t="s">
        <v>248</v>
      </c>
      <c r="L4" s="923" t="s">
        <v>249</v>
      </c>
      <c r="M4" s="80"/>
      <c r="N4" s="80"/>
      <c r="O4" s="80"/>
      <c r="P4" s="80"/>
      <c r="R4" s="830"/>
      <c r="W4" s="830"/>
      <c r="AA4" s="169"/>
      <c r="AB4" s="171"/>
      <c r="AC4" s="169"/>
      <c r="AD4" s="169"/>
      <c r="AE4" s="169"/>
      <c r="AJ4" s="926" t="s">
        <v>241</v>
      </c>
      <c r="AK4" s="926" t="s">
        <v>242</v>
      </c>
      <c r="AL4" s="926" t="s">
        <v>535</v>
      </c>
      <c r="AM4" s="926" t="s">
        <v>234</v>
      </c>
      <c r="AN4" s="926" t="s">
        <v>243</v>
      </c>
      <c r="AO4" s="926" t="s">
        <v>244</v>
      </c>
      <c r="AP4" s="926" t="s">
        <v>245</v>
      </c>
      <c r="AQ4" s="923" t="s">
        <v>246</v>
      </c>
      <c r="AR4" s="923" t="s">
        <v>247</v>
      </c>
      <c r="AS4" s="923" t="s">
        <v>248</v>
      </c>
      <c r="AT4" s="923" t="s">
        <v>249</v>
      </c>
    </row>
    <row r="5" spans="1:46" ht="30" x14ac:dyDescent="0.2">
      <c r="A5" s="937" t="s">
        <v>874</v>
      </c>
      <c r="B5" s="1118" t="s">
        <v>220</v>
      </c>
      <c r="C5" s="939" t="s">
        <v>14</v>
      </c>
      <c r="D5" s="944">
        <f>I51/10</f>
        <v>6536.0784313725489</v>
      </c>
      <c r="E5" s="941">
        <f>H52</f>
        <v>3.6827263454730907</v>
      </c>
      <c r="F5" s="948">
        <v>1</v>
      </c>
      <c r="G5" s="940">
        <f t="shared" ref="G5:G17" si="0">D5*E5</f>
        <v>24070.588235294119</v>
      </c>
      <c r="H5" s="943">
        <f t="shared" ref="H5:H17" si="1">G5*F5</f>
        <v>24070.588235294119</v>
      </c>
      <c r="I5" s="914">
        <f>VLOOKUP(B5,All_Ingredients!$A$1:$F$161,6,FALSE())</f>
        <v>0.86</v>
      </c>
      <c r="J5" s="940">
        <f>VLOOKUP(B5,All_Ingredients!$A$1:$J$161,10,FALSE())</f>
        <v>17.100000000000001</v>
      </c>
      <c r="K5" s="945">
        <f t="shared" ref="K5" si="2">(H5/I5)/1000</f>
        <v>27.989056087551301</v>
      </c>
      <c r="L5" s="945">
        <f t="shared" ref="L5" si="3">K5*J5</f>
        <v>478.61285909712728</v>
      </c>
      <c r="M5" s="80"/>
      <c r="N5" s="80"/>
      <c r="O5" s="80"/>
      <c r="P5" s="80"/>
      <c r="R5" s="830"/>
      <c r="W5" s="830"/>
      <c r="AA5" s="73"/>
      <c r="AB5" s="89"/>
      <c r="AC5" s="172"/>
      <c r="AD5" s="90"/>
      <c r="AE5" s="91"/>
      <c r="AJ5" s="1355" t="s">
        <v>220</v>
      </c>
      <c r="AK5" s="951" t="s">
        <v>227</v>
      </c>
      <c r="AL5" s="1356">
        <v>15</v>
      </c>
      <c r="AM5" s="1357">
        <f>$AO$1</f>
        <v>1.6047058823529412</v>
      </c>
      <c r="AN5" s="1358">
        <v>1</v>
      </c>
      <c r="AO5" s="1356">
        <f>AL5*AM5</f>
        <v>24.070588235294117</v>
      </c>
      <c r="AP5" s="1359">
        <f>AO5*AN5</f>
        <v>24.070588235294117</v>
      </c>
      <c r="AQ5" s="952"/>
      <c r="AR5" s="953"/>
      <c r="AS5" s="954"/>
      <c r="AT5" s="955"/>
    </row>
    <row r="6" spans="1:46" x14ac:dyDescent="0.25">
      <c r="A6" s="1117" t="s">
        <v>866</v>
      </c>
      <c r="B6" s="938" t="s">
        <v>12</v>
      </c>
      <c r="C6" s="947" t="s">
        <v>14</v>
      </c>
      <c r="D6" s="914">
        <v>100</v>
      </c>
      <c r="E6" s="944">
        <f t="shared" ref="E6:E17" si="4">$I$1</f>
        <v>4.6394557823129245</v>
      </c>
      <c r="F6" s="948">
        <v>0.95</v>
      </c>
      <c r="G6" s="940">
        <f t="shared" si="0"/>
        <v>463.94557823129247</v>
      </c>
      <c r="H6" s="943">
        <f t="shared" si="1"/>
        <v>440.74829931972783</v>
      </c>
      <c r="I6" s="914">
        <f>VLOOKUP(B6,All_Ingredients!$A$1:$F$161,6,FALSE())</f>
        <v>0.9</v>
      </c>
      <c r="J6" s="940">
        <f>VLOOKUP(B6,All_Ingredients!$A$1:$J$161,10,FALSE())</f>
        <v>3</v>
      </c>
      <c r="K6" s="945">
        <f t="shared" ref="K6:K17" si="5">(H6/I6)/1000</f>
        <v>0.48972033257747533</v>
      </c>
      <c r="L6" s="945">
        <f t="shared" ref="L6:L17" si="6">K6*J6</f>
        <v>1.469160997732426</v>
      </c>
      <c r="R6" s="830"/>
      <c r="W6" s="830"/>
      <c r="AJ6" s="1355" t="s">
        <v>733</v>
      </c>
      <c r="AK6" s="951" t="s">
        <v>14</v>
      </c>
      <c r="AL6" s="1356">
        <v>3000</v>
      </c>
      <c r="AM6" s="1357">
        <f>$AO$1</f>
        <v>1.6047058823529412</v>
      </c>
      <c r="AN6" s="1358">
        <v>1</v>
      </c>
      <c r="AO6" s="1356">
        <f>AL6*AM6</f>
        <v>4814.1176470588234</v>
      </c>
      <c r="AP6" s="1359">
        <f>AO6*AN6</f>
        <v>4814.1176470588234</v>
      </c>
      <c r="AQ6" s="955">
        <f>VLOOKUP(AJ6,Marination_Ordering!$A:$J,6,FALSE)</f>
        <v>1</v>
      </c>
      <c r="AR6" s="955">
        <f>VLOOKUP(AJ6,Marination_Ordering!$A:$J,10,FALSE)</f>
        <v>22</v>
      </c>
      <c r="AS6" s="954">
        <f>AP6/AQ6</f>
        <v>4814.1176470588234</v>
      </c>
      <c r="AT6" s="955">
        <f>AR6*(AS6/1000)</f>
        <v>105.91058823529413</v>
      </c>
    </row>
    <row r="7" spans="1:46" x14ac:dyDescent="0.25">
      <c r="A7" s="1117" t="s">
        <v>868</v>
      </c>
      <c r="B7" s="938" t="s">
        <v>706</v>
      </c>
      <c r="C7" s="947" t="s">
        <v>14</v>
      </c>
      <c r="D7" s="914">
        <v>30</v>
      </c>
      <c r="E7" s="944">
        <f t="shared" si="4"/>
        <v>4.6394557823129245</v>
      </c>
      <c r="F7" s="948">
        <v>1</v>
      </c>
      <c r="G7" s="940">
        <f t="shared" si="0"/>
        <v>139.18367346938774</v>
      </c>
      <c r="H7" s="943">
        <f t="shared" si="1"/>
        <v>139.18367346938774</v>
      </c>
      <c r="I7" s="914">
        <f>VLOOKUP(B7,All_Ingredients!$A$1:$F$161,6,FALSE())</f>
        <v>1</v>
      </c>
      <c r="J7" s="940">
        <f>VLOOKUP(B7,All_Ingredients!$A$1:$J$161,10,FALSE())</f>
        <v>10.5</v>
      </c>
      <c r="K7" s="945">
        <f t="shared" si="5"/>
        <v>0.13918367346938773</v>
      </c>
      <c r="L7" s="945">
        <f t="shared" si="6"/>
        <v>1.4614285714285711</v>
      </c>
      <c r="R7" s="830"/>
      <c r="W7" s="830"/>
      <c r="AJ7" s="1355" t="s">
        <v>12</v>
      </c>
      <c r="AK7" s="951" t="s">
        <v>14</v>
      </c>
      <c r="AL7" s="1356">
        <v>1000</v>
      </c>
      <c r="AM7" s="1357">
        <f t="shared" ref="AM7:AM17" si="7">$AO$1</f>
        <v>1.6047058823529412</v>
      </c>
      <c r="AN7" s="1358">
        <v>1</v>
      </c>
      <c r="AO7" s="1356">
        <f t="shared" ref="AO7:AO17" si="8">AL7*AM7</f>
        <v>1604.7058823529412</v>
      </c>
      <c r="AP7" s="1359">
        <f t="shared" ref="AP7:AP17" si="9">AO7*AN7</f>
        <v>1604.7058823529412</v>
      </c>
      <c r="AQ7" s="955">
        <f>VLOOKUP(AJ7,Marination_Ordering!$A:$J,6,FALSE)</f>
        <v>0.9</v>
      </c>
      <c r="AR7" s="955">
        <f>VLOOKUP(AJ7,Marination_Ordering!$A:$J,10,FALSE)</f>
        <v>3</v>
      </c>
      <c r="AS7" s="954">
        <f t="shared" ref="AS7:AS8" si="10">AP7/AQ7</f>
        <v>1783.0065359477123</v>
      </c>
      <c r="AT7" s="955">
        <f t="shared" ref="AT7:AT8" si="11">AR7*(AS7/1000)</f>
        <v>5.3490196078431369</v>
      </c>
    </row>
    <row r="8" spans="1:46" x14ac:dyDescent="0.25">
      <c r="A8" s="1117" t="s">
        <v>888</v>
      </c>
      <c r="B8" s="938" t="s">
        <v>733</v>
      </c>
      <c r="C8" s="947" t="s">
        <v>14</v>
      </c>
      <c r="D8" s="914">
        <v>350</v>
      </c>
      <c r="E8" s="944">
        <f t="shared" si="4"/>
        <v>4.6394557823129245</v>
      </c>
      <c r="F8" s="948">
        <v>1</v>
      </c>
      <c r="G8" s="940">
        <f t="shared" si="0"/>
        <v>1623.8095238095236</v>
      </c>
      <c r="H8" s="943">
        <f t="shared" si="1"/>
        <v>1623.8095238095236</v>
      </c>
      <c r="I8" s="914">
        <f>VLOOKUP(B8,All_Ingredients!$A$1:$F$161,6,FALSE())</f>
        <v>1</v>
      </c>
      <c r="J8" s="940">
        <f>VLOOKUP(B8,All_Ingredients!$A$1:$J$161,10,FALSE())</f>
        <v>22</v>
      </c>
      <c r="K8" s="945">
        <f t="shared" si="5"/>
        <v>1.6238095238095236</v>
      </c>
      <c r="L8" s="945">
        <f t="shared" si="6"/>
        <v>35.723809523809521</v>
      </c>
      <c r="R8" s="830"/>
      <c r="W8" s="830"/>
      <c r="AJ8" s="1355" t="s">
        <v>706</v>
      </c>
      <c r="AK8" s="951" t="s">
        <v>14</v>
      </c>
      <c r="AL8" s="1356">
        <v>250</v>
      </c>
      <c r="AM8" s="1357">
        <f t="shared" si="7"/>
        <v>1.6047058823529412</v>
      </c>
      <c r="AN8" s="1358">
        <v>1</v>
      </c>
      <c r="AO8" s="1356">
        <f t="shared" si="8"/>
        <v>401.1764705882353</v>
      </c>
      <c r="AP8" s="1359">
        <f t="shared" si="9"/>
        <v>401.1764705882353</v>
      </c>
      <c r="AQ8" s="955">
        <f>VLOOKUP(AJ8,Marination_Ordering!$A:$J,6,FALSE)</f>
        <v>1</v>
      </c>
      <c r="AR8" s="955">
        <f>VLOOKUP(AJ8,Marination_Ordering!$A:$J,10,FALSE)</f>
        <v>10.5</v>
      </c>
      <c r="AS8" s="954">
        <f t="shared" si="10"/>
        <v>401.1764705882353</v>
      </c>
      <c r="AT8" s="955">
        <f t="shared" si="11"/>
        <v>4.2123529411764711</v>
      </c>
    </row>
    <row r="9" spans="1:46" x14ac:dyDescent="0.25">
      <c r="A9" s="1117"/>
      <c r="B9" s="938" t="s">
        <v>79</v>
      </c>
      <c r="C9" s="947" t="s">
        <v>14</v>
      </c>
      <c r="D9" s="914">
        <v>1</v>
      </c>
      <c r="E9" s="944">
        <f t="shared" si="4"/>
        <v>4.6394557823129245</v>
      </c>
      <c r="F9" s="948">
        <v>0.75</v>
      </c>
      <c r="G9" s="940">
        <f t="shared" si="0"/>
        <v>4.6394557823129245</v>
      </c>
      <c r="H9" s="943">
        <f t="shared" si="1"/>
        <v>3.4795918367346932</v>
      </c>
      <c r="I9" s="914">
        <f>VLOOKUP(B9,All_Ingredients!$A$1:$F$161,6,FALSE())</f>
        <v>1</v>
      </c>
      <c r="J9" s="940">
        <f>VLOOKUP(B9,All_Ingredients!$A$1:$J$161,10,FALSE())</f>
        <v>7</v>
      </c>
      <c r="K9" s="945">
        <f t="shared" si="5"/>
        <v>3.479591836734693E-3</v>
      </c>
      <c r="L9" s="945">
        <f t="shared" si="6"/>
        <v>2.4357142857142852E-2</v>
      </c>
      <c r="R9" s="830"/>
      <c r="W9" s="830"/>
      <c r="AJ9" s="1355" t="s">
        <v>152</v>
      </c>
      <c r="AK9" s="951" t="s">
        <v>14</v>
      </c>
      <c r="AL9" s="1356">
        <v>300</v>
      </c>
      <c r="AM9" s="1357">
        <f t="shared" si="7"/>
        <v>1.6047058823529412</v>
      </c>
      <c r="AN9" s="1358">
        <v>1</v>
      </c>
      <c r="AO9" s="1356">
        <f t="shared" si="8"/>
        <v>481.41176470588238</v>
      </c>
      <c r="AP9" s="1359">
        <f t="shared" si="9"/>
        <v>481.41176470588238</v>
      </c>
      <c r="AQ9" s="955">
        <f>VLOOKUP(AJ9,Marination_Ordering!$A:$J,6,FALSE)</f>
        <v>1</v>
      </c>
      <c r="AR9" s="955">
        <f>VLOOKUP(AJ9,Marination_Ordering!$A:$J,10,FALSE)</f>
        <v>30</v>
      </c>
      <c r="AS9" s="954">
        <f t="shared" ref="AS9:AS17" si="12">AP9/AQ9</f>
        <v>481.41176470588238</v>
      </c>
      <c r="AT9" s="955">
        <f t="shared" ref="AT9:AT17" si="13">AR9*(AS9/1000)</f>
        <v>14.442352941176472</v>
      </c>
    </row>
    <row r="10" spans="1:46" ht="25.5" x14ac:dyDescent="0.25">
      <c r="A10" s="1117"/>
      <c r="B10" s="938" t="s">
        <v>99</v>
      </c>
      <c r="C10" s="947" t="s">
        <v>14</v>
      </c>
      <c r="D10" s="914">
        <v>2</v>
      </c>
      <c r="E10" s="944">
        <f t="shared" si="4"/>
        <v>4.6394557823129245</v>
      </c>
      <c r="F10" s="948">
        <v>0.75</v>
      </c>
      <c r="G10" s="940">
        <f t="shared" si="0"/>
        <v>9.2789115646258491</v>
      </c>
      <c r="H10" s="943">
        <f t="shared" si="1"/>
        <v>6.9591836734693864</v>
      </c>
      <c r="I10" s="914">
        <f>VLOOKUP(B10,All_Ingredients!$A$1:$F$161,6,FALSE())</f>
        <v>1</v>
      </c>
      <c r="J10" s="940">
        <f>VLOOKUP(B10,All_Ingredients!$A$1:$J$161,10,FALSE())</f>
        <v>31</v>
      </c>
      <c r="K10" s="945">
        <f t="shared" si="5"/>
        <v>6.959183673469386E-3</v>
      </c>
      <c r="L10" s="945">
        <f t="shared" si="6"/>
        <v>0.21573469387755095</v>
      </c>
      <c r="R10" s="830"/>
      <c r="W10" s="830"/>
      <c r="AJ10" s="1355" t="s">
        <v>949</v>
      </c>
      <c r="AK10" s="951" t="s">
        <v>14</v>
      </c>
      <c r="AL10" s="1356">
        <v>350</v>
      </c>
      <c r="AM10" s="1357">
        <f t="shared" si="7"/>
        <v>1.6047058823529412</v>
      </c>
      <c r="AN10" s="1358">
        <v>1</v>
      </c>
      <c r="AO10" s="1356">
        <f t="shared" si="8"/>
        <v>561.64705882352939</v>
      </c>
      <c r="AP10" s="1359">
        <f t="shared" si="9"/>
        <v>561.64705882352939</v>
      </c>
      <c r="AQ10" s="955">
        <f>VLOOKUP(AJ10,Marination_Ordering!$A:$J,6,FALSE)</f>
        <v>1</v>
      </c>
      <c r="AR10" s="955">
        <f>VLOOKUP(AJ10,Marination_Ordering!$A:$J,10,FALSE)</f>
        <v>11.304</v>
      </c>
      <c r="AS10" s="954">
        <f t="shared" si="12"/>
        <v>561.64705882352939</v>
      </c>
      <c r="AT10" s="955">
        <f t="shared" si="13"/>
        <v>6.3488583529411766</v>
      </c>
    </row>
    <row r="11" spans="1:46" ht="28.5" x14ac:dyDescent="0.25">
      <c r="A11" s="1117"/>
      <c r="B11" s="938" t="s">
        <v>93</v>
      </c>
      <c r="C11" s="947" t="s">
        <v>14</v>
      </c>
      <c r="D11" s="914">
        <v>5</v>
      </c>
      <c r="E11" s="944">
        <f t="shared" si="4"/>
        <v>4.6394557823129245</v>
      </c>
      <c r="F11" s="948">
        <v>0.75</v>
      </c>
      <c r="G11" s="940">
        <f t="shared" si="0"/>
        <v>23.197278911564624</v>
      </c>
      <c r="H11" s="943">
        <f t="shared" si="1"/>
        <v>17.397959183673468</v>
      </c>
      <c r="I11" s="914">
        <f>VLOOKUP(B11,All_Ingredients!$A$1:$F$161,6,FALSE())</f>
        <v>1</v>
      </c>
      <c r="J11" s="940">
        <f>VLOOKUP(B11,All_Ingredients!$A$1:$J$161,10,FALSE())</f>
        <v>0.74</v>
      </c>
      <c r="K11" s="945">
        <f t="shared" si="5"/>
        <v>1.7397959183673466E-2</v>
      </c>
      <c r="L11" s="945">
        <f t="shared" si="6"/>
        <v>1.2874489795918365E-2</v>
      </c>
      <c r="R11" s="830"/>
      <c r="W11" s="830"/>
      <c r="AJ11" s="1355" t="s">
        <v>705</v>
      </c>
      <c r="AK11" s="951" t="s">
        <v>14</v>
      </c>
      <c r="AL11" s="1356">
        <v>100</v>
      </c>
      <c r="AM11" s="1357">
        <f t="shared" si="7"/>
        <v>1.6047058823529412</v>
      </c>
      <c r="AN11" s="1358">
        <v>1</v>
      </c>
      <c r="AO11" s="1356">
        <f t="shared" si="8"/>
        <v>160.47058823529412</v>
      </c>
      <c r="AP11" s="1359">
        <f t="shared" si="9"/>
        <v>160.47058823529412</v>
      </c>
      <c r="AQ11" s="955">
        <f>VLOOKUP(AJ11,Marination_Ordering!$A:$J,6,FALSE)</f>
        <v>1</v>
      </c>
      <c r="AR11" s="955">
        <f>VLOOKUP(AJ11,Marination_Ordering!$A:$J,10,FALSE)</f>
        <v>67.91483113069016</v>
      </c>
      <c r="AS11" s="954">
        <f t="shared" si="12"/>
        <v>160.47058823529412</v>
      </c>
      <c r="AT11" s="955">
        <f t="shared" si="13"/>
        <v>10.898332901442515</v>
      </c>
    </row>
    <row r="12" spans="1:46" x14ac:dyDescent="0.25">
      <c r="A12" s="1117"/>
      <c r="B12" s="938" t="s">
        <v>152</v>
      </c>
      <c r="C12" s="947" t="s">
        <v>14</v>
      </c>
      <c r="D12" s="914">
        <v>15</v>
      </c>
      <c r="E12" s="944">
        <f t="shared" si="4"/>
        <v>4.6394557823129245</v>
      </c>
      <c r="F12" s="948">
        <v>1</v>
      </c>
      <c r="G12" s="940">
        <f t="shared" si="0"/>
        <v>69.591836734693871</v>
      </c>
      <c r="H12" s="943">
        <f t="shared" si="1"/>
        <v>69.591836734693871</v>
      </c>
      <c r="I12" s="914">
        <f>VLOOKUP(B12,All_Ingredients!$A$1:$F$161,6,FALSE())</f>
        <v>1</v>
      </c>
      <c r="J12" s="940">
        <f>VLOOKUP(B12,All_Ingredients!$A$1:$J$161,10,FALSE())</f>
        <v>30</v>
      </c>
      <c r="K12" s="945">
        <f t="shared" si="5"/>
        <v>6.9591836734693865E-2</v>
      </c>
      <c r="L12" s="945">
        <f t="shared" si="6"/>
        <v>2.0877551020408158</v>
      </c>
      <c r="R12" s="830"/>
      <c r="W12" s="830"/>
      <c r="AJ12" s="1355" t="s">
        <v>64</v>
      </c>
      <c r="AK12" s="951" t="s">
        <v>14</v>
      </c>
      <c r="AL12" s="1356">
        <v>50</v>
      </c>
      <c r="AM12" s="1357">
        <f t="shared" si="7"/>
        <v>1.6047058823529412</v>
      </c>
      <c r="AN12" s="1358">
        <v>1</v>
      </c>
      <c r="AO12" s="1356">
        <f t="shared" si="8"/>
        <v>80.235294117647058</v>
      </c>
      <c r="AP12" s="1359">
        <f t="shared" si="9"/>
        <v>80.235294117647058</v>
      </c>
      <c r="AQ12" s="955">
        <f>VLOOKUP(AJ12,Marination_Ordering!$A:$J,6,FALSE)</f>
        <v>0.65</v>
      </c>
      <c r="AR12" s="955">
        <f>VLOOKUP(AJ12,Marination_Ordering!$A:$J,10,FALSE)</f>
        <v>3.5</v>
      </c>
      <c r="AS12" s="954">
        <f t="shared" si="12"/>
        <v>123.43891402714931</v>
      </c>
      <c r="AT12" s="955">
        <f t="shared" si="13"/>
        <v>0.43203619909502256</v>
      </c>
    </row>
    <row r="13" spans="1:46" x14ac:dyDescent="0.25">
      <c r="A13" s="1117"/>
      <c r="B13" s="938" t="s">
        <v>185</v>
      </c>
      <c r="C13" s="947" t="s">
        <v>14</v>
      </c>
      <c r="D13" s="914">
        <v>20</v>
      </c>
      <c r="E13" s="944">
        <f t="shared" si="4"/>
        <v>4.6394557823129245</v>
      </c>
      <c r="F13" s="948">
        <v>0.75</v>
      </c>
      <c r="G13" s="940">
        <f t="shared" si="0"/>
        <v>92.789115646258495</v>
      </c>
      <c r="H13" s="943">
        <f t="shared" si="1"/>
        <v>69.591836734693871</v>
      </c>
      <c r="I13" s="914">
        <f>VLOOKUP(B13,All_Ingredients!$A$1:$F$161,6,FALSE())</f>
        <v>1</v>
      </c>
      <c r="J13" s="940">
        <f>VLOOKUP(B13,All_Ingredients!$A$1:$J$161,10,FALSE())</f>
        <v>1.7</v>
      </c>
      <c r="K13" s="945">
        <f t="shared" si="5"/>
        <v>6.9591836734693865E-2</v>
      </c>
      <c r="L13" s="945">
        <f t="shared" si="6"/>
        <v>0.11830612244897956</v>
      </c>
      <c r="R13" s="830"/>
      <c r="W13" s="830"/>
      <c r="AJ13" s="1355" t="s">
        <v>708</v>
      </c>
      <c r="AK13" s="951" t="s">
        <v>14</v>
      </c>
      <c r="AL13" s="1356">
        <v>10</v>
      </c>
      <c r="AM13" s="1357">
        <f t="shared" si="7"/>
        <v>1.6047058823529412</v>
      </c>
      <c r="AN13" s="1358">
        <v>1</v>
      </c>
      <c r="AO13" s="1356">
        <f t="shared" si="8"/>
        <v>16.047058823529412</v>
      </c>
      <c r="AP13" s="1359">
        <f t="shared" si="9"/>
        <v>16.047058823529412</v>
      </c>
      <c r="AQ13" s="955">
        <f>VLOOKUP(AJ13,Marination_Ordering!$A:$J,6,FALSE)</f>
        <v>0.5</v>
      </c>
      <c r="AR13" s="955">
        <f>VLOOKUP(AJ13,Marination_Ordering!$A:$J,10,FALSE)</f>
        <v>90</v>
      </c>
      <c r="AS13" s="954">
        <f t="shared" si="12"/>
        <v>32.094117647058823</v>
      </c>
      <c r="AT13" s="955">
        <f t="shared" si="13"/>
        <v>2.8884705882352941</v>
      </c>
    </row>
    <row r="14" spans="1:46" x14ac:dyDescent="0.25">
      <c r="A14" s="1117"/>
      <c r="B14" s="938" t="s">
        <v>159</v>
      </c>
      <c r="C14" s="947" t="s">
        <v>160</v>
      </c>
      <c r="D14" s="914">
        <v>600</v>
      </c>
      <c r="E14" s="944">
        <f t="shared" si="4"/>
        <v>4.6394557823129245</v>
      </c>
      <c r="F14" s="948">
        <v>1</v>
      </c>
      <c r="G14" s="940">
        <f t="shared" si="0"/>
        <v>2783.6734693877547</v>
      </c>
      <c r="H14" s="943">
        <f t="shared" si="1"/>
        <v>2783.6734693877547</v>
      </c>
      <c r="I14" s="914">
        <f>VLOOKUP(B14,All_Ingredients!$A$1:$F$161,6,FALSE())</f>
        <v>1</v>
      </c>
      <c r="J14" s="940">
        <f>VLOOKUP(B14,All_Ingredients!$A$1:$J$161,10,FALSE())</f>
        <v>4.2033333333333331</v>
      </c>
      <c r="K14" s="945">
        <f t="shared" si="5"/>
        <v>2.7836734693877547</v>
      </c>
      <c r="L14" s="945">
        <f t="shared" si="6"/>
        <v>11.700707482993195</v>
      </c>
      <c r="R14" s="830"/>
      <c r="W14" s="830"/>
      <c r="AJ14" s="1355" t="s">
        <v>141</v>
      </c>
      <c r="AK14" s="951" t="s">
        <v>14</v>
      </c>
      <c r="AL14" s="1356">
        <v>2.5</v>
      </c>
      <c r="AM14" s="1357">
        <f t="shared" si="7"/>
        <v>1.6047058823529412</v>
      </c>
      <c r="AN14" s="1358">
        <v>1</v>
      </c>
      <c r="AO14" s="1356">
        <f t="shared" si="8"/>
        <v>4.0117647058823529</v>
      </c>
      <c r="AP14" s="1359">
        <f t="shared" si="9"/>
        <v>4.0117647058823529</v>
      </c>
      <c r="AQ14" s="955">
        <f>VLOOKUP(AJ14,Marination_Ordering!$A:$J,6,FALSE)</f>
        <v>1</v>
      </c>
      <c r="AR14" s="955">
        <f>VLOOKUP(AJ14,Marination_Ordering!$A:$J,10,FALSE)</f>
        <v>249.99999999999997</v>
      </c>
      <c r="AS14" s="954">
        <f t="shared" si="12"/>
        <v>4.0117647058823529</v>
      </c>
      <c r="AT14" s="955">
        <f t="shared" si="13"/>
        <v>1.002941176470588</v>
      </c>
    </row>
    <row r="15" spans="1:46" x14ac:dyDescent="0.25">
      <c r="A15" s="1117"/>
      <c r="B15" s="938" t="s">
        <v>166</v>
      </c>
      <c r="C15" s="947" t="s">
        <v>160</v>
      </c>
      <c r="D15" s="914">
        <v>600</v>
      </c>
      <c r="E15" s="944">
        <f t="shared" si="4"/>
        <v>4.6394557823129245</v>
      </c>
      <c r="F15" s="948">
        <v>1</v>
      </c>
      <c r="G15" s="940">
        <f t="shared" si="0"/>
        <v>2783.6734693877547</v>
      </c>
      <c r="H15" s="943">
        <f t="shared" si="1"/>
        <v>2783.6734693877547</v>
      </c>
      <c r="I15" s="914">
        <f>VLOOKUP(B15,All_Ingredients!$A$1:$F$161,6,FALSE())</f>
        <v>1</v>
      </c>
      <c r="J15" s="940">
        <f>VLOOKUP(B15,All_Ingredients!$A$1:$J$161,10,FALSE())</f>
        <v>12.666666666666666</v>
      </c>
      <c r="K15" s="945">
        <f t="shared" si="5"/>
        <v>2.7836734693877547</v>
      </c>
      <c r="L15" s="945">
        <f t="shared" si="6"/>
        <v>35.259863945578225</v>
      </c>
      <c r="R15" s="830"/>
      <c r="W15" s="830"/>
      <c r="AJ15" s="1355" t="s">
        <v>93</v>
      </c>
      <c r="AK15" s="951" t="s">
        <v>14</v>
      </c>
      <c r="AL15" s="1356">
        <v>15</v>
      </c>
      <c r="AM15" s="1357">
        <f t="shared" si="7"/>
        <v>1.6047058823529412</v>
      </c>
      <c r="AN15" s="1358">
        <v>1</v>
      </c>
      <c r="AO15" s="1356">
        <f>AL15*AM15</f>
        <v>24.070588235294117</v>
      </c>
      <c r="AP15" s="1359">
        <f>AO15*AN15</f>
        <v>24.070588235294117</v>
      </c>
      <c r="AQ15" s="955">
        <f>VLOOKUP(AJ15,Marination_Ordering!$A:$J,6,FALSE)</f>
        <v>1</v>
      </c>
      <c r="AR15" s="955">
        <f>VLOOKUP(AJ15,Marination_Ordering!$A:$J,10,FALSE)</f>
        <v>0.74</v>
      </c>
      <c r="AS15" s="954">
        <f t="shared" si="12"/>
        <v>24.070588235294117</v>
      </c>
      <c r="AT15" s="955">
        <f t="shared" si="13"/>
        <v>1.7812235294117646E-2</v>
      </c>
    </row>
    <row r="16" spans="1:46" x14ac:dyDescent="0.25">
      <c r="A16" s="1117"/>
      <c r="B16" s="938" t="s">
        <v>192</v>
      </c>
      <c r="C16" s="947" t="s">
        <v>160</v>
      </c>
      <c r="D16" s="914">
        <v>3</v>
      </c>
      <c r="E16" s="944">
        <f t="shared" si="4"/>
        <v>4.6394557823129245</v>
      </c>
      <c r="F16" s="948">
        <v>0.75</v>
      </c>
      <c r="G16" s="940">
        <f t="shared" si="0"/>
        <v>13.918367346938773</v>
      </c>
      <c r="H16" s="943">
        <f t="shared" si="1"/>
        <v>10.43877551020408</v>
      </c>
      <c r="I16" s="914">
        <f>VLOOKUP(B16,All_Ingredients!$A$1:$F$161,6,FALSE())</f>
        <v>1</v>
      </c>
      <c r="J16" s="940">
        <f>VLOOKUP(B16,All_Ingredients!$A$1:$J$161,10,FALSE())</f>
        <v>58.685446009389672</v>
      </c>
      <c r="K16" s="945">
        <f t="shared" si="5"/>
        <v>1.0438775510204079E-2</v>
      </c>
      <c r="L16" s="945">
        <f t="shared" si="6"/>
        <v>0.61260419660822063</v>
      </c>
      <c r="R16" s="830"/>
      <c r="W16" s="830"/>
      <c r="AJ16" s="1355" t="s">
        <v>101</v>
      </c>
      <c r="AK16" s="951" t="s">
        <v>14</v>
      </c>
      <c r="AL16" s="1356">
        <v>10</v>
      </c>
      <c r="AM16" s="1357">
        <f t="shared" si="7"/>
        <v>1.6047058823529412</v>
      </c>
      <c r="AN16" s="1358">
        <v>1</v>
      </c>
      <c r="AO16" s="1356">
        <f>AL16*AM16</f>
        <v>16.047058823529412</v>
      </c>
      <c r="AP16" s="1359">
        <f>AO16*AN16</f>
        <v>16.047058823529412</v>
      </c>
      <c r="AQ16" s="955">
        <f>VLOOKUP(AJ16,Marination_Ordering!$A:$J,6,FALSE)</f>
        <v>1</v>
      </c>
      <c r="AR16" s="955">
        <f>VLOOKUP(AJ16,Marination_Ordering!$A:$J,10,FALSE)</f>
        <v>47</v>
      </c>
      <c r="AS16" s="954">
        <f t="shared" si="12"/>
        <v>16.047058823529412</v>
      </c>
      <c r="AT16" s="955">
        <f t="shared" si="13"/>
        <v>0.75421176470588236</v>
      </c>
    </row>
    <row r="17" spans="1:46" ht="28.5" x14ac:dyDescent="0.25">
      <c r="A17" s="1117"/>
      <c r="B17" s="938" t="s">
        <v>139</v>
      </c>
      <c r="C17" s="947" t="s">
        <v>14</v>
      </c>
      <c r="D17" s="914">
        <v>20</v>
      </c>
      <c r="E17" s="944">
        <f t="shared" si="4"/>
        <v>4.6394557823129245</v>
      </c>
      <c r="F17" s="948">
        <v>0.75</v>
      </c>
      <c r="G17" s="940">
        <f t="shared" si="0"/>
        <v>92.789115646258495</v>
      </c>
      <c r="H17" s="943">
        <f t="shared" si="1"/>
        <v>69.591836734693871</v>
      </c>
      <c r="I17" s="914">
        <f>VLOOKUP(B17,All_Ingredients!$A$1:$F$161,6,FALSE())</f>
        <v>1</v>
      </c>
      <c r="J17" s="940">
        <f>VLOOKUP(B17,All_Ingredients!$A$1:$J$161,10,FALSE())</f>
        <v>15.277777777777779</v>
      </c>
      <c r="K17" s="945">
        <f t="shared" si="5"/>
        <v>6.9591836734693865E-2</v>
      </c>
      <c r="L17" s="945">
        <f t="shared" si="6"/>
        <v>1.0632086167800452</v>
      </c>
      <c r="R17" s="830"/>
      <c r="W17" s="830"/>
      <c r="AJ17" s="1355" t="s">
        <v>99</v>
      </c>
      <c r="AK17" s="951" t="s">
        <v>14</v>
      </c>
      <c r="AL17" s="1356">
        <v>5</v>
      </c>
      <c r="AM17" s="1357">
        <f t="shared" si="7"/>
        <v>1.6047058823529412</v>
      </c>
      <c r="AN17" s="1358">
        <v>1</v>
      </c>
      <c r="AO17" s="1356">
        <f t="shared" si="8"/>
        <v>8.0235294117647058</v>
      </c>
      <c r="AP17" s="1359">
        <f t="shared" si="9"/>
        <v>8.0235294117647058</v>
      </c>
      <c r="AQ17" s="955">
        <f>VLOOKUP(AJ17,Marination_Ordering!$A:$J,6,FALSE)</f>
        <v>1</v>
      </c>
      <c r="AR17" s="955">
        <f>VLOOKUP(AJ17,Marination_Ordering!$A:$J,10,FALSE)</f>
        <v>31</v>
      </c>
      <c r="AS17" s="954">
        <f t="shared" si="12"/>
        <v>8.0235294117647058</v>
      </c>
      <c r="AT17" s="955">
        <f t="shared" si="13"/>
        <v>0.24872941176470587</v>
      </c>
    </row>
    <row r="18" spans="1:46" x14ac:dyDescent="0.25">
      <c r="B18" s="830"/>
      <c r="D18" s="830"/>
      <c r="E18" s="830"/>
      <c r="F18" s="830"/>
      <c r="H18" s="830"/>
      <c r="K18" s="830"/>
      <c r="R18" s="830"/>
      <c r="W18" s="830"/>
      <c r="AJ18" s="830"/>
      <c r="AK18" s="830"/>
      <c r="AL18" s="830"/>
      <c r="AM18" s="830"/>
      <c r="AN18" s="830"/>
      <c r="AP18" s="830"/>
      <c r="AS18" s="830"/>
    </row>
    <row r="19" spans="1:46" x14ac:dyDescent="0.25">
      <c r="B19" s="830"/>
      <c r="D19" s="830"/>
      <c r="E19" s="830"/>
      <c r="F19" s="830"/>
      <c r="H19" s="830"/>
      <c r="K19" s="830"/>
      <c r="R19" s="830"/>
      <c r="W19" s="830"/>
      <c r="AJ19" s="830"/>
      <c r="AK19" s="830"/>
      <c r="AL19" s="830"/>
      <c r="AM19" s="830"/>
      <c r="AN19" s="830"/>
      <c r="AP19" s="830"/>
      <c r="AS19" s="830"/>
    </row>
    <row r="20" spans="1:46" x14ac:dyDescent="0.25">
      <c r="B20" s="830"/>
      <c r="D20" s="830"/>
      <c r="E20" s="830"/>
      <c r="F20" s="830"/>
      <c r="H20" s="830"/>
      <c r="K20" s="830"/>
      <c r="L20" s="144"/>
      <c r="R20" s="830"/>
      <c r="W20" s="830"/>
      <c r="AJ20" s="830"/>
      <c r="AK20" s="830"/>
      <c r="AL20" s="830"/>
      <c r="AM20" s="830"/>
      <c r="AN20" s="830"/>
      <c r="AP20" s="830"/>
      <c r="AS20" s="830"/>
    </row>
    <row r="21" spans="1:46" x14ac:dyDescent="0.25">
      <c r="B21" s="830"/>
      <c r="D21" s="830"/>
      <c r="E21" s="830"/>
      <c r="F21" s="830"/>
      <c r="H21" s="830"/>
      <c r="K21" s="830"/>
      <c r="L21" s="144"/>
      <c r="R21" s="830"/>
      <c r="W21" s="830"/>
      <c r="AJ21" s="830"/>
      <c r="AK21" s="830"/>
      <c r="AL21" s="830"/>
      <c r="AM21" s="830"/>
      <c r="AN21" s="830"/>
      <c r="AP21" s="830"/>
      <c r="AS21" s="830"/>
    </row>
    <row r="22" spans="1:46" ht="26.25" x14ac:dyDescent="0.25">
      <c r="B22" s="830"/>
      <c r="D22" s="830"/>
      <c r="E22" s="830"/>
      <c r="F22" s="830"/>
      <c r="H22" s="830"/>
      <c r="K22" s="830"/>
      <c r="L22" s="144"/>
      <c r="R22" s="1110" t="s">
        <v>299</v>
      </c>
      <c r="W22" s="830"/>
      <c r="AJ22" s="830"/>
      <c r="AK22" s="830"/>
      <c r="AL22" s="830"/>
      <c r="AM22" s="830"/>
      <c r="AN22" s="830"/>
      <c r="AP22" s="830"/>
      <c r="AS22" s="830"/>
    </row>
    <row r="23" spans="1:46" ht="26.25" x14ac:dyDescent="0.25">
      <c r="B23" s="830"/>
      <c r="D23" s="830"/>
      <c r="E23" s="830"/>
      <c r="F23" s="830"/>
      <c r="H23" s="830"/>
      <c r="K23" s="830"/>
      <c r="L23" s="144"/>
      <c r="R23" s="211" t="s">
        <v>397</v>
      </c>
      <c r="W23" s="830"/>
      <c r="AJ23" s="830"/>
      <c r="AK23" s="830"/>
      <c r="AL23" s="830"/>
      <c r="AM23" s="830"/>
      <c r="AN23" s="830"/>
      <c r="AP23" s="830"/>
      <c r="AS23" s="830"/>
    </row>
    <row r="24" spans="1:46" x14ac:dyDescent="0.25">
      <c r="B24" s="830"/>
      <c r="D24" s="830"/>
      <c r="E24" s="830"/>
      <c r="F24" s="830"/>
      <c r="H24" s="830"/>
      <c r="K24" s="830"/>
      <c r="L24" s="144"/>
      <c r="R24" s="830"/>
      <c r="W24" s="830"/>
      <c r="Z24" s="630"/>
      <c r="AJ24" s="830"/>
      <c r="AK24" s="830"/>
      <c r="AL24" s="830"/>
      <c r="AM24" s="830"/>
      <c r="AN24" s="830"/>
      <c r="AP24" s="830"/>
      <c r="AS24" s="830"/>
    </row>
    <row r="25" spans="1:46" ht="15.75" x14ac:dyDescent="0.25">
      <c r="B25" s="830"/>
      <c r="D25" s="830"/>
      <c r="E25" s="830"/>
      <c r="F25" s="830"/>
      <c r="H25" s="830"/>
      <c r="K25" s="830"/>
      <c r="L25" s="144"/>
      <c r="R25" s="1779" t="s">
        <v>510</v>
      </c>
      <c r="S25" s="1780"/>
      <c r="T25" s="1780"/>
      <c r="U25" s="1780"/>
      <c r="V25" s="1780"/>
      <c r="W25" s="957"/>
      <c r="X25" s="959"/>
      <c r="Z25" s="982" t="s">
        <v>252</v>
      </c>
      <c r="AA25" s="989">
        <v>1</v>
      </c>
      <c r="AB25" s="982" t="s">
        <v>249</v>
      </c>
      <c r="AC25" s="985">
        <f>(AA25*(4/3))*AF30+(AA30*(AB28/R1))</f>
        <v>5.2883695535758654E-2</v>
      </c>
      <c r="AD25" s="14"/>
      <c r="AJ25" s="830"/>
      <c r="AK25" s="830"/>
      <c r="AL25" s="830"/>
      <c r="AM25" s="830"/>
      <c r="AN25" s="1587"/>
      <c r="AP25" s="1588"/>
      <c r="AS25" s="830"/>
    </row>
    <row r="26" spans="1:46" x14ac:dyDescent="0.25">
      <c r="B26" s="80"/>
      <c r="D26" s="830"/>
      <c r="E26" s="80"/>
      <c r="F26" s="80"/>
      <c r="H26" s="830"/>
      <c r="K26" s="830"/>
      <c r="R26" s="1786" t="s">
        <v>398</v>
      </c>
      <c r="S26" s="1860"/>
      <c r="T26" s="1860"/>
      <c r="U26" s="1860"/>
      <c r="V26" s="1860"/>
      <c r="W26" s="957"/>
      <c r="X26" s="959"/>
      <c r="Z26" s="14"/>
      <c r="AA26" s="14"/>
      <c r="AB26" s="14"/>
      <c r="AC26" s="14"/>
      <c r="AD26" s="14"/>
      <c r="AJ26" s="830"/>
      <c r="AK26" s="830"/>
      <c r="AL26" s="830"/>
      <c r="AM26" s="830"/>
      <c r="AN26" s="1587"/>
      <c r="AP26" s="830"/>
      <c r="AS26" s="830"/>
    </row>
    <row r="27" spans="1:46" x14ac:dyDescent="0.25">
      <c r="B27" s="830"/>
      <c r="D27" s="830"/>
      <c r="E27" s="830"/>
      <c r="F27" s="830"/>
      <c r="H27" s="830"/>
      <c r="K27" s="830"/>
      <c r="R27" s="961" t="s">
        <v>254</v>
      </c>
      <c r="S27" s="962" t="s">
        <v>255</v>
      </c>
      <c r="T27" s="962" t="s">
        <v>256</v>
      </c>
      <c r="U27" s="962" t="s">
        <v>399</v>
      </c>
      <c r="V27" s="962" t="s">
        <v>257</v>
      </c>
      <c r="W27" s="961" t="s">
        <v>746</v>
      </c>
      <c r="X27" s="962" t="s">
        <v>753</v>
      </c>
      <c r="Z27" s="984" t="s">
        <v>258</v>
      </c>
      <c r="AA27" s="984" t="s">
        <v>311</v>
      </c>
      <c r="AB27" s="984" t="s">
        <v>259</v>
      </c>
      <c r="AC27" s="984" t="s">
        <v>261</v>
      </c>
      <c r="AD27" s="984" t="s">
        <v>399</v>
      </c>
      <c r="AE27" s="984" t="s">
        <v>753</v>
      </c>
      <c r="AF27" s="984" t="s">
        <v>262</v>
      </c>
      <c r="AJ27" s="830"/>
      <c r="AK27" s="830"/>
      <c r="AL27" s="830"/>
      <c r="AM27" s="830"/>
      <c r="AN27" s="830"/>
      <c r="AP27" s="830"/>
      <c r="AS27" s="830"/>
    </row>
    <row r="28" spans="1:46" x14ac:dyDescent="0.25">
      <c r="B28" s="830"/>
      <c r="D28" s="830"/>
      <c r="E28" s="830"/>
      <c r="F28" s="830"/>
      <c r="H28" s="830"/>
      <c r="K28" s="830"/>
      <c r="R28" s="961" t="s">
        <v>263</v>
      </c>
      <c r="S28" s="975">
        <f>V28*0.9</f>
        <v>12276</v>
      </c>
      <c r="T28" s="975"/>
      <c r="U28" s="975">
        <f>V28*0.1</f>
        <v>1364</v>
      </c>
      <c r="V28" s="1391">
        <f>$Z$1</f>
        <v>13640</v>
      </c>
      <c r="W28" s="967">
        <f>SUM(AP5:AP17)</f>
        <v>8196.0352941176461</v>
      </c>
      <c r="X28" s="966">
        <f>F37</f>
        <v>6.7200000000000006</v>
      </c>
      <c r="Z28" s="986"/>
      <c r="AA28" s="987"/>
      <c r="AB28" s="1591">
        <f>AA25*$S$40</f>
        <v>0.9</v>
      </c>
      <c r="AC28" s="983">
        <f>AA25*(1/3)</f>
        <v>0.33333333333333331</v>
      </c>
      <c r="AD28" s="1082">
        <f>AA25*U40</f>
        <v>0.1</v>
      </c>
      <c r="AE28" s="987"/>
      <c r="AF28" s="1592">
        <f>SUM(AB28:AD28)</f>
        <v>1.3333333333333335</v>
      </c>
      <c r="AJ28" s="830"/>
      <c r="AK28" s="830"/>
      <c r="AL28" s="830"/>
      <c r="AM28" s="830"/>
      <c r="AN28" s="830"/>
      <c r="AP28" s="830"/>
      <c r="AS28" s="830"/>
    </row>
    <row r="29" spans="1:46" x14ac:dyDescent="0.25">
      <c r="B29" s="80"/>
      <c r="D29" s="830"/>
      <c r="E29" s="80"/>
      <c r="F29" s="80"/>
      <c r="H29" s="830"/>
      <c r="K29" s="830"/>
      <c r="R29" s="961" t="s">
        <v>264</v>
      </c>
      <c r="S29" s="1589"/>
      <c r="T29" s="966">
        <f>V28*(1/3)</f>
        <v>4546.6666666666661</v>
      </c>
      <c r="U29" s="1589"/>
      <c r="V29" s="1590"/>
      <c r="W29" s="967"/>
      <c r="X29" s="966"/>
      <c r="Z29" s="986"/>
      <c r="AA29" s="991"/>
      <c r="AB29" s="993">
        <f>AB28/$AF$28</f>
        <v>0.67499999999999993</v>
      </c>
      <c r="AC29" s="993">
        <f>AC28/$AF$28</f>
        <v>0.24999999999999994</v>
      </c>
      <c r="AD29" s="993">
        <f>AD28/$AF$28</f>
        <v>7.4999999999999997E-2</v>
      </c>
      <c r="AE29" s="991"/>
      <c r="AF29" s="993">
        <f>AF28/$AF$28</f>
        <v>1</v>
      </c>
      <c r="AJ29" s="830"/>
      <c r="AK29" s="830"/>
      <c r="AL29" s="830"/>
      <c r="AM29" s="830"/>
      <c r="AN29" s="830"/>
      <c r="AP29" s="830"/>
      <c r="AS29" s="830"/>
    </row>
    <row r="30" spans="1:46" x14ac:dyDescent="0.25">
      <c r="B30" s="830"/>
      <c r="D30" s="830"/>
      <c r="E30" s="830"/>
      <c r="F30" s="830"/>
      <c r="H30" s="830"/>
      <c r="K30" s="830"/>
      <c r="R30" s="961" t="s">
        <v>265</v>
      </c>
      <c r="S30" s="974">
        <f>V30*0.9</f>
        <v>0</v>
      </c>
      <c r="T30" s="974">
        <f>V30*0.3</f>
        <v>0</v>
      </c>
      <c r="U30" s="974">
        <f>V30*0.1</f>
        <v>0</v>
      </c>
      <c r="V30" s="1393">
        <f>$AB$1</f>
        <v>0</v>
      </c>
      <c r="W30" s="973"/>
      <c r="X30" s="972"/>
      <c r="Z30" s="984" t="s">
        <v>266</v>
      </c>
      <c r="AA30" s="994">
        <f>W35/(S32/R1)</f>
        <v>6.3357698143755407E-3</v>
      </c>
      <c r="AB30" s="994">
        <f>S35/(S32)</f>
        <v>3.8987688098495218E-2</v>
      </c>
      <c r="AC30" s="1398">
        <f>T35/T32</f>
        <v>1.1882551619239243E-2</v>
      </c>
      <c r="AD30" s="1082">
        <f>U35/U32</f>
        <v>2.6190476190476188E-2</v>
      </c>
      <c r="AE30" s="995">
        <f>X35/V32</f>
        <v>2.5580870742161072E-5</v>
      </c>
      <c r="AF30" s="1593">
        <f>SUMPRODUCT(AB30:AD30,AB29:AD29)+AE30</f>
        <v>3.1277193956321954E-2</v>
      </c>
      <c r="AJ30" s="830"/>
      <c r="AK30" s="830"/>
      <c r="AL30" s="830"/>
      <c r="AM30" s="830"/>
      <c r="AN30" s="830"/>
      <c r="AP30" s="830"/>
      <c r="AS30" s="830"/>
    </row>
    <row r="31" spans="1:46" x14ac:dyDescent="0.25">
      <c r="B31" s="830"/>
      <c r="D31" s="830"/>
      <c r="E31" s="830"/>
      <c r="F31" s="830"/>
      <c r="H31" s="830"/>
      <c r="K31" s="830"/>
      <c r="R31" s="1594"/>
      <c r="S31" s="1595"/>
      <c r="T31" s="1596"/>
      <c r="U31" s="1595"/>
      <c r="V31" s="1597"/>
      <c r="W31" s="1598"/>
      <c r="X31" s="1596"/>
      <c r="AJ31" s="830"/>
      <c r="AK31" s="830"/>
      <c r="AL31" s="830"/>
      <c r="AM31" s="830"/>
      <c r="AN31" s="830"/>
      <c r="AP31" s="830"/>
      <c r="AS31" s="830"/>
    </row>
    <row r="32" spans="1:46" x14ac:dyDescent="0.25">
      <c r="B32" s="830"/>
      <c r="D32" s="830"/>
      <c r="E32" s="830"/>
      <c r="F32" s="830"/>
      <c r="H32" s="830"/>
      <c r="K32" s="830"/>
      <c r="R32" s="961" t="s">
        <v>257</v>
      </c>
      <c r="S32" s="966">
        <f>S28+S30</f>
        <v>12276</v>
      </c>
      <c r="T32" s="966">
        <f>SUM(T28:T30)</f>
        <v>4546.6666666666661</v>
      </c>
      <c r="U32" s="966">
        <f>U28+U30</f>
        <v>1364</v>
      </c>
      <c r="V32" s="966">
        <f>S32+U32+T32</f>
        <v>18186.666666666664</v>
      </c>
      <c r="W32" s="967"/>
      <c r="X32" s="966">
        <f>H37</f>
        <v>6.7200000000000006</v>
      </c>
      <c r="AJ32" s="830"/>
      <c r="AK32" s="830"/>
      <c r="AL32" s="830"/>
      <c r="AM32" s="830"/>
      <c r="AN32" s="830"/>
      <c r="AP32" s="830"/>
      <c r="AS32" s="830"/>
    </row>
    <row r="33" spans="2:24" ht="30" x14ac:dyDescent="0.25">
      <c r="B33" s="80"/>
      <c r="D33" s="830"/>
      <c r="E33" s="80"/>
      <c r="F33" s="80"/>
      <c r="H33" s="830"/>
      <c r="K33" s="830"/>
      <c r="R33" s="976" t="s">
        <v>268</v>
      </c>
      <c r="S33" s="959"/>
      <c r="T33" s="959"/>
      <c r="U33" s="959"/>
      <c r="V33" s="959"/>
      <c r="W33" s="960"/>
      <c r="X33" s="959"/>
    </row>
    <row r="34" spans="2:24" x14ac:dyDescent="0.25">
      <c r="B34" s="80"/>
      <c r="D34" s="830"/>
      <c r="E34" s="80"/>
      <c r="F34" s="80"/>
      <c r="H34" s="830"/>
      <c r="K34" s="830"/>
      <c r="R34" s="961" t="s">
        <v>269</v>
      </c>
      <c r="S34" s="959"/>
      <c r="T34" s="966"/>
      <c r="U34" s="959"/>
      <c r="V34" s="959"/>
      <c r="W34" s="960"/>
      <c r="X34" s="959"/>
    </row>
    <row r="35" spans="2:24" ht="15.75" x14ac:dyDescent="0.25">
      <c r="B35" s="1781" t="s">
        <v>647</v>
      </c>
      <c r="C35" s="1782"/>
      <c r="D35" s="1781"/>
      <c r="E35" s="1781"/>
      <c r="F35" s="1781"/>
      <c r="G35" s="1001"/>
      <c r="H35" s="1434"/>
      <c r="K35" s="830"/>
      <c r="R35" s="977" t="s">
        <v>249</v>
      </c>
      <c r="S35" s="978">
        <f>L5</f>
        <v>478.61285909712728</v>
      </c>
      <c r="T35" s="978">
        <f>SUM(L9:L17,L6:L7)</f>
        <v>54.026001362141088</v>
      </c>
      <c r="U35" s="978">
        <f>$L$8</f>
        <v>35.723809523809521</v>
      </c>
      <c r="V35" s="1136">
        <f>S35+T35+U35+W35+X35</f>
        <v>721.33360710774821</v>
      </c>
      <c r="W35" s="979">
        <f>SUM(AT6:AT17)</f>
        <v>152.50570635543949</v>
      </c>
      <c r="X35" s="978">
        <f>L37</f>
        <v>0.46523076923076928</v>
      </c>
    </row>
    <row r="36" spans="2:24"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30"/>
      <c r="W36" s="830"/>
    </row>
    <row r="37" spans="2:24" x14ac:dyDescent="0.25">
      <c r="B37" s="1005" t="s">
        <v>666</v>
      </c>
      <c r="C37" s="1006" t="s">
        <v>14</v>
      </c>
      <c r="D37" s="1007">
        <v>7.0000000000000007E-2</v>
      </c>
      <c r="E37" s="1005">
        <f>$AD$1</f>
        <v>96</v>
      </c>
      <c r="F37" s="1005">
        <f>D37*E37</f>
        <v>6.7200000000000006</v>
      </c>
      <c r="G37" s="437"/>
      <c r="H37" s="1005">
        <f>F37</f>
        <v>6.7200000000000006</v>
      </c>
      <c r="I37" s="1005">
        <f>VLOOKUP(B37,All_Ingredients!$A$1:$F$161,6,FALSE())</f>
        <v>0.65</v>
      </c>
      <c r="J37" s="1005">
        <f>VLOOKUP(B37,All_Ingredients!$A$1:$J$161,10,FALSE())</f>
        <v>45</v>
      </c>
      <c r="K37" s="1599">
        <f>(H37/I37)/1000</f>
        <v>1.0338461538461539E-2</v>
      </c>
      <c r="L37" s="1599">
        <f>K37*J37</f>
        <v>0.46523076923076928</v>
      </c>
      <c r="R37" s="830"/>
      <c r="W37" s="830"/>
    </row>
    <row r="38" spans="2:24" x14ac:dyDescent="0.25">
      <c r="B38" s="830"/>
      <c r="D38" s="830"/>
      <c r="E38" s="830"/>
      <c r="F38" s="830"/>
      <c r="H38" s="830"/>
      <c r="K38" s="830"/>
      <c r="R38" s="830"/>
      <c r="W38" s="830"/>
    </row>
    <row r="39" spans="2:24" x14ac:dyDescent="0.25">
      <c r="B39" s="830"/>
      <c r="D39" s="830"/>
      <c r="E39" s="830"/>
      <c r="F39" s="830"/>
      <c r="H39" s="830"/>
      <c r="K39" s="830"/>
      <c r="R39" s="830"/>
      <c r="W39" s="830"/>
    </row>
    <row r="40" spans="2:24" ht="26.25" x14ac:dyDescent="0.25">
      <c r="B40" s="830"/>
      <c r="D40" s="830"/>
      <c r="E40" s="830"/>
      <c r="F40" s="830"/>
      <c r="H40" s="830"/>
      <c r="K40" s="830"/>
      <c r="Q40" s="14"/>
      <c r="R40" s="1011" t="s">
        <v>270</v>
      </c>
      <c r="S40" s="1093">
        <v>0.9</v>
      </c>
      <c r="T40" s="1011" t="s">
        <v>769</v>
      </c>
      <c r="U40" s="1093">
        <v>0.1</v>
      </c>
      <c r="V40" s="1014">
        <f>S40+U40</f>
        <v>1</v>
      </c>
      <c r="W40" s="890"/>
      <c r="X40" s="14"/>
    </row>
    <row r="41" spans="2:24" x14ac:dyDescent="0.25">
      <c r="B41" s="830"/>
      <c r="D41" s="830"/>
      <c r="E41" s="830"/>
      <c r="F41" s="830"/>
      <c r="H41" s="830"/>
      <c r="K41" s="830"/>
      <c r="Q41" s="14"/>
      <c r="R41" s="890"/>
      <c r="S41" s="14"/>
      <c r="T41" s="14"/>
      <c r="U41" s="123"/>
      <c r="V41" s="14"/>
      <c r="W41" s="890"/>
      <c r="X41" s="14"/>
    </row>
    <row r="42" spans="2:24" x14ac:dyDescent="0.25">
      <c r="B42" s="830"/>
      <c r="D42" s="830"/>
      <c r="E42" s="830"/>
      <c r="F42" s="830"/>
      <c r="H42" s="830"/>
      <c r="K42" s="830"/>
      <c r="Q42" s="14"/>
      <c r="R42" s="890"/>
      <c r="S42" s="14"/>
      <c r="T42" s="14"/>
      <c r="U42" s="14"/>
      <c r="V42" s="14"/>
      <c r="W42" s="890"/>
      <c r="X42" s="14"/>
    </row>
    <row r="43" spans="2:24" ht="26.25" x14ac:dyDescent="0.25">
      <c r="B43" s="830"/>
      <c r="D43" s="830"/>
      <c r="E43" s="830"/>
      <c r="F43" s="830"/>
      <c r="H43" s="830"/>
      <c r="K43" s="830"/>
      <c r="Q43" s="1015" t="s">
        <v>272</v>
      </c>
      <c r="R43" s="1011" t="s">
        <v>273</v>
      </c>
      <c r="S43" s="1015" t="s">
        <v>274</v>
      </c>
      <c r="T43" s="1015" t="s">
        <v>275</v>
      </c>
      <c r="U43" s="1015" t="s">
        <v>276</v>
      </c>
      <c r="V43" s="1015" t="s">
        <v>277</v>
      </c>
      <c r="W43" s="1011" t="s">
        <v>278</v>
      </c>
      <c r="X43" s="208"/>
    </row>
    <row r="44" spans="2:24" x14ac:dyDescent="0.25">
      <c r="B44" s="830"/>
      <c r="D44" s="830"/>
      <c r="E44" s="830"/>
      <c r="F44" s="830"/>
      <c r="H44" s="830"/>
      <c r="K44" s="830"/>
      <c r="Q44" s="1023">
        <v>33334</v>
      </c>
      <c r="R44" s="1017">
        <f>D51</f>
        <v>10000</v>
      </c>
      <c r="S44" s="1024">
        <v>0</v>
      </c>
      <c r="T44" s="1095">
        <v>1</v>
      </c>
      <c r="U44" s="1096">
        <f>R44*S44</f>
        <v>0</v>
      </c>
      <c r="V44" s="1021">
        <f>R44*T44</f>
        <v>10000</v>
      </c>
      <c r="W44" s="1026">
        <f>Q44-U44</f>
        <v>33334</v>
      </c>
      <c r="X44" s="191"/>
    </row>
    <row r="50" spans="1:11" x14ac:dyDescent="0.25">
      <c r="B50" s="961"/>
      <c r="C50" s="962" t="s">
        <v>233</v>
      </c>
      <c r="D50" s="961" t="s">
        <v>279</v>
      </c>
      <c r="E50" s="830"/>
      <c r="F50" s="80"/>
      <c r="G50" s="962" t="s">
        <v>280</v>
      </c>
      <c r="H50" s="961" t="s">
        <v>233</v>
      </c>
      <c r="I50" s="962" t="s">
        <v>281</v>
      </c>
      <c r="J50" s="962" t="s">
        <v>282</v>
      </c>
      <c r="K50" s="830"/>
    </row>
    <row r="51" spans="1:11" x14ac:dyDescent="0.25">
      <c r="B51" s="1027" t="s">
        <v>283</v>
      </c>
      <c r="C51" s="1028">
        <f>10/$K$1</f>
        <v>10.204081632653061</v>
      </c>
      <c r="D51" s="1029">
        <f>$C$1*10</f>
        <v>10000</v>
      </c>
      <c r="E51" s="135"/>
      <c r="F51" s="80"/>
      <c r="G51" s="1033" t="s">
        <v>283</v>
      </c>
      <c r="H51" s="1122">
        <f>I51/$D$5</f>
        <v>10</v>
      </c>
      <c r="I51" s="1028">
        <f>J51/$R$1</f>
        <v>65360.784313725489</v>
      </c>
      <c r="J51" s="1028">
        <f>$W$44</f>
        <v>33334</v>
      </c>
      <c r="K51" s="830"/>
    </row>
    <row r="52" spans="1:11" x14ac:dyDescent="0.25">
      <c r="B52" s="958" t="s">
        <v>262</v>
      </c>
      <c r="C52" s="1099">
        <f>$I$1</f>
        <v>4.6394557823129245</v>
      </c>
      <c r="D52" s="1100">
        <f>$E$1</f>
        <v>4546.6666666666661</v>
      </c>
      <c r="E52" s="80"/>
      <c r="F52" s="80"/>
      <c r="G52" s="962" t="s">
        <v>262</v>
      </c>
      <c r="H52" s="1052">
        <f>I52/$D$5</f>
        <v>3.6827263454730907</v>
      </c>
      <c r="I52" s="1021">
        <f>J52/$R$1</f>
        <v>24070.588235294119</v>
      </c>
      <c r="J52" s="1030">
        <f>$S$32</f>
        <v>12276</v>
      </c>
      <c r="K52" s="830"/>
    </row>
    <row r="53" spans="1:11" x14ac:dyDescent="0.25">
      <c r="B53" s="958" t="s">
        <v>284</v>
      </c>
      <c r="C53" s="1101">
        <f>MIN(C52, C51)</f>
        <v>4.6394557823129245</v>
      </c>
      <c r="D53" s="1100">
        <f>(C53*$K$1)*$C$1</f>
        <v>4546.6666666666661</v>
      </c>
      <c r="E53" s="80"/>
      <c r="F53" s="80"/>
      <c r="G53" s="962" t="s">
        <v>284</v>
      </c>
      <c r="H53" s="1035">
        <f>MIN(H52,H51)</f>
        <v>3.6827263454730907</v>
      </c>
      <c r="I53" s="1021">
        <f>J53/$R$1</f>
        <v>24070.588235294119</v>
      </c>
      <c r="J53" s="1021">
        <f>MIN(J52,J51)</f>
        <v>12276</v>
      </c>
      <c r="K53" s="83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3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30"/>
    </row>
    <row r="56" spans="1:11" x14ac:dyDescent="0.25">
      <c r="B56" s="830"/>
      <c r="D56" s="830"/>
      <c r="E56" s="830"/>
      <c r="F56" s="830"/>
      <c r="H56" s="830"/>
      <c r="K56" s="830"/>
    </row>
    <row r="57" spans="1:11" x14ac:dyDescent="0.25">
      <c r="B57" s="830"/>
      <c r="D57" s="830"/>
      <c r="E57" s="830"/>
      <c r="F57" s="830"/>
      <c r="H57" s="830"/>
      <c r="K57" s="830"/>
    </row>
    <row r="58" spans="1:11" x14ac:dyDescent="0.25">
      <c r="B58" s="830"/>
      <c r="D58" s="830"/>
      <c r="E58" s="830"/>
      <c r="F58" s="830"/>
      <c r="H58" s="830"/>
      <c r="K58" s="830"/>
    </row>
    <row r="59" spans="1:11" x14ac:dyDescent="0.25">
      <c r="B59" s="830"/>
      <c r="D59" s="830"/>
      <c r="E59" s="830"/>
      <c r="F59" s="830"/>
      <c r="H59" s="830"/>
      <c r="K59" s="830"/>
    </row>
    <row r="60" spans="1:11" x14ac:dyDescent="0.25">
      <c r="B60" s="830"/>
      <c r="D60" s="830"/>
      <c r="E60" s="830"/>
      <c r="F60" s="830"/>
      <c r="H60" s="830"/>
      <c r="K60" s="830"/>
    </row>
    <row r="61" spans="1:11" x14ac:dyDescent="0.25">
      <c r="B61" s="830"/>
      <c r="D61" s="830"/>
      <c r="E61" s="830"/>
      <c r="F61" s="830"/>
      <c r="H61" s="830"/>
      <c r="K61" s="830"/>
    </row>
    <row r="62" spans="1:11" x14ac:dyDescent="0.25">
      <c r="A62" s="1124"/>
      <c r="B62" s="1776" t="str">
        <f>"دجاج مشروم  1 / " &amp; COUNTIF($C$53:$C$55, "&gt;0")</f>
        <v>دجاج مشروم  1 / 1</v>
      </c>
      <c r="C62" s="1777"/>
      <c r="D62" s="1778"/>
      <c r="E62" s="1778"/>
      <c r="F62" s="1778"/>
      <c r="G62" s="1777"/>
      <c r="H62" s="1778"/>
      <c r="K62" s="830"/>
    </row>
    <row r="63" spans="1:11" x14ac:dyDescent="0.25">
      <c r="A63" s="1124"/>
      <c r="B63" s="1776" t="str">
        <f>"Chicken Mushroom  1 / " &amp; COUNTIF($C$53:$C$55, "&gt;0")</f>
        <v>Chicken Mushroom  1 / 1</v>
      </c>
      <c r="C63" s="1777"/>
      <c r="D63" s="1778"/>
      <c r="E63" s="1778"/>
      <c r="F63" s="1778"/>
      <c r="G63" s="1777"/>
      <c r="H63" s="1778"/>
      <c r="K63" s="830"/>
    </row>
    <row r="64" spans="1:11" ht="38.25" x14ac:dyDescent="0.2">
      <c r="A64" s="1350" t="s">
        <v>864</v>
      </c>
      <c r="B64" s="1104" t="s">
        <v>241</v>
      </c>
      <c r="C64" s="934" t="s">
        <v>242</v>
      </c>
      <c r="D64" s="1104" t="s">
        <v>231</v>
      </c>
      <c r="E64" s="936" t="s">
        <v>234</v>
      </c>
      <c r="F64" s="936" t="s">
        <v>243</v>
      </c>
      <c r="G64" s="1104" t="s">
        <v>244</v>
      </c>
      <c r="H64" s="936" t="s">
        <v>245</v>
      </c>
      <c r="K64" s="830"/>
    </row>
    <row r="65" spans="1:11" ht="30" x14ac:dyDescent="0.2">
      <c r="A65" s="937" t="s">
        <v>874</v>
      </c>
      <c r="B65" s="938" t="str">
        <f t="shared" ref="B65:D77" si="14">B5</f>
        <v>Chicken - دجاج</v>
      </c>
      <c r="C65" s="938" t="str">
        <f t="shared" si="14"/>
        <v>gm</v>
      </c>
      <c r="D65" s="1127">
        <f t="shared" si="14"/>
        <v>6536.0784313725489</v>
      </c>
      <c r="E65" s="1167">
        <f>H53</f>
        <v>3.6827263454730907</v>
      </c>
      <c r="F65" s="948">
        <f t="shared" ref="F65:F77" si="15">F5</f>
        <v>1</v>
      </c>
      <c r="G65" s="940">
        <f t="shared" ref="G65:G77" si="16">D65*E65</f>
        <v>24070.588235294119</v>
      </c>
      <c r="H65" s="943">
        <f t="shared" ref="H65:H77" si="17">G65*F65</f>
        <v>24070.588235294119</v>
      </c>
      <c r="K65" s="830"/>
    </row>
    <row r="66" spans="1:11" x14ac:dyDescent="0.25">
      <c r="A66" s="1117" t="s">
        <v>866</v>
      </c>
      <c r="B66" s="938" t="str">
        <f t="shared" si="14"/>
        <v>Onion - بصل</v>
      </c>
      <c r="C66" s="938" t="str">
        <f t="shared" si="14"/>
        <v>gm</v>
      </c>
      <c r="D66" s="938">
        <f t="shared" si="14"/>
        <v>100</v>
      </c>
      <c r="E66" s="1167">
        <f t="shared" ref="E66:E77" si="18">$C$53</f>
        <v>4.6394557823129245</v>
      </c>
      <c r="F66" s="948">
        <f t="shared" si="15"/>
        <v>0.95</v>
      </c>
      <c r="G66" s="940">
        <f t="shared" si="16"/>
        <v>463.94557823129247</v>
      </c>
      <c r="H66" s="943">
        <f t="shared" si="17"/>
        <v>440.74829931972783</v>
      </c>
      <c r="K66" s="830"/>
    </row>
    <row r="67" spans="1:11" x14ac:dyDescent="0.25">
      <c r="A67" s="1117" t="s">
        <v>868</v>
      </c>
      <c r="B67" s="938" t="str">
        <f t="shared" si="14"/>
        <v>Garlic - ثوم مقشر</v>
      </c>
      <c r="C67" s="938" t="str">
        <f t="shared" si="14"/>
        <v>gm</v>
      </c>
      <c r="D67" s="938">
        <f t="shared" si="14"/>
        <v>30</v>
      </c>
      <c r="E67" s="1167">
        <f t="shared" si="18"/>
        <v>4.6394557823129245</v>
      </c>
      <c r="F67" s="948">
        <f t="shared" si="15"/>
        <v>1</v>
      </c>
      <c r="G67" s="940">
        <f t="shared" si="16"/>
        <v>139.18367346938774</v>
      </c>
      <c r="H67" s="943">
        <f t="shared" si="17"/>
        <v>139.18367346938774</v>
      </c>
      <c r="K67" s="830"/>
    </row>
    <row r="68" spans="1:11" x14ac:dyDescent="0.25">
      <c r="A68" s="1117" t="s">
        <v>888</v>
      </c>
      <c r="B68" s="938" t="str">
        <f t="shared" si="14"/>
        <v>Mushroom - مشروم ابيض</v>
      </c>
      <c r="C68" s="938" t="str">
        <f t="shared" si="14"/>
        <v>gm</v>
      </c>
      <c r="D68" s="938">
        <f t="shared" si="14"/>
        <v>350</v>
      </c>
      <c r="E68" s="1167">
        <f t="shared" si="18"/>
        <v>4.6394557823129245</v>
      </c>
      <c r="F68" s="948">
        <f t="shared" si="15"/>
        <v>1</v>
      </c>
      <c r="G68" s="940">
        <f t="shared" si="16"/>
        <v>1623.8095238095236</v>
      </c>
      <c r="H68" s="943">
        <f t="shared" si="17"/>
        <v>1623.8095238095236</v>
      </c>
      <c r="K68" s="830"/>
    </row>
    <row r="69" spans="1:11" x14ac:dyDescent="0.25">
      <c r="A69" s="1117"/>
      <c r="B69" s="938" t="str">
        <f t="shared" si="14"/>
        <v>Dry Thyme - زعتر مجفف</v>
      </c>
      <c r="C69" s="938" t="str">
        <f t="shared" si="14"/>
        <v>gm</v>
      </c>
      <c r="D69" s="938">
        <f t="shared" si="14"/>
        <v>1</v>
      </c>
      <c r="E69" s="1167">
        <f t="shared" si="18"/>
        <v>4.6394557823129245</v>
      </c>
      <c r="F69" s="948">
        <f t="shared" si="15"/>
        <v>0.75</v>
      </c>
      <c r="G69" s="940">
        <f t="shared" si="16"/>
        <v>4.6394557823129245</v>
      </c>
      <c r="H69" s="943">
        <f t="shared" si="17"/>
        <v>3.4795918367346932</v>
      </c>
      <c r="K69" s="830"/>
    </row>
    <row r="70" spans="1:11" ht="25.5" x14ac:dyDescent="0.25">
      <c r="A70" s="1117"/>
      <c r="B70" s="938" t="str">
        <f t="shared" si="14"/>
        <v>Black Pepper Powder - فلفل أسود مطحون</v>
      </c>
      <c r="C70" s="938" t="str">
        <f t="shared" si="14"/>
        <v>gm</v>
      </c>
      <c r="D70" s="938">
        <f t="shared" si="14"/>
        <v>2</v>
      </c>
      <c r="E70" s="1167">
        <f t="shared" si="18"/>
        <v>4.6394557823129245</v>
      </c>
      <c r="F70" s="948">
        <f t="shared" si="15"/>
        <v>0.75</v>
      </c>
      <c r="G70" s="940">
        <f t="shared" si="16"/>
        <v>9.2789115646258491</v>
      </c>
      <c r="H70" s="943">
        <f t="shared" si="17"/>
        <v>6.9591836734693864</v>
      </c>
      <c r="K70" s="830"/>
    </row>
    <row r="71" spans="1:11" x14ac:dyDescent="0.25">
      <c r="A71" s="1117"/>
      <c r="B71" s="938" t="str">
        <f t="shared" si="14"/>
        <v>Salt - ملح</v>
      </c>
      <c r="C71" s="938" t="str">
        <f t="shared" si="14"/>
        <v>gm</v>
      </c>
      <c r="D71" s="938">
        <f t="shared" si="14"/>
        <v>5</v>
      </c>
      <c r="E71" s="1167">
        <f t="shared" si="18"/>
        <v>4.6394557823129245</v>
      </c>
      <c r="F71" s="948">
        <f t="shared" si="15"/>
        <v>0.75</v>
      </c>
      <c r="G71" s="940">
        <f t="shared" si="16"/>
        <v>23.197278911564624</v>
      </c>
      <c r="H71" s="943">
        <f t="shared" si="17"/>
        <v>17.397959183673468</v>
      </c>
      <c r="K71" s="830"/>
    </row>
    <row r="72" spans="1:11" x14ac:dyDescent="0.25">
      <c r="A72" s="1117"/>
      <c r="B72" s="938" t="str">
        <f t="shared" si="14"/>
        <v>Butter - زبدة</v>
      </c>
      <c r="C72" s="938" t="str">
        <f t="shared" si="14"/>
        <v>gm</v>
      </c>
      <c r="D72" s="938">
        <f t="shared" si="14"/>
        <v>15</v>
      </c>
      <c r="E72" s="1167">
        <f t="shared" si="18"/>
        <v>4.6394557823129245</v>
      </c>
      <c r="F72" s="948">
        <f t="shared" si="15"/>
        <v>1</v>
      </c>
      <c r="G72" s="940">
        <f t="shared" si="16"/>
        <v>69.591836734693871</v>
      </c>
      <c r="H72" s="943">
        <f t="shared" si="17"/>
        <v>69.591836734693871</v>
      </c>
      <c r="K72" s="830"/>
    </row>
    <row r="73" spans="1:11" x14ac:dyDescent="0.25">
      <c r="A73" s="1117"/>
      <c r="B73" s="938" t="str">
        <f t="shared" si="14"/>
        <v>Flour - دقيق</v>
      </c>
      <c r="C73" s="938" t="str">
        <f t="shared" si="14"/>
        <v>gm</v>
      </c>
      <c r="D73" s="938">
        <f t="shared" si="14"/>
        <v>20</v>
      </c>
      <c r="E73" s="1167">
        <f t="shared" si="18"/>
        <v>4.6394557823129245</v>
      </c>
      <c r="F73" s="948">
        <f t="shared" si="15"/>
        <v>0.75</v>
      </c>
      <c r="G73" s="940">
        <f t="shared" si="16"/>
        <v>92.789115646258495</v>
      </c>
      <c r="H73" s="943">
        <f t="shared" si="17"/>
        <v>69.591836734693871</v>
      </c>
      <c r="K73" s="830"/>
    </row>
    <row r="74" spans="1:11" x14ac:dyDescent="0.25">
      <c r="A74" s="1117"/>
      <c r="B74" s="938" t="str">
        <f t="shared" si="14"/>
        <v>Milk - حليب</v>
      </c>
      <c r="C74" s="938" t="str">
        <f t="shared" si="14"/>
        <v>ml</v>
      </c>
      <c r="D74" s="938">
        <f t="shared" si="14"/>
        <v>600</v>
      </c>
      <c r="E74" s="1167">
        <f t="shared" si="18"/>
        <v>4.6394557823129245</v>
      </c>
      <c r="F74" s="948">
        <f t="shared" si="15"/>
        <v>1</v>
      </c>
      <c r="G74" s="940">
        <f t="shared" si="16"/>
        <v>2783.6734693877547</v>
      </c>
      <c r="H74" s="943">
        <f t="shared" si="17"/>
        <v>2783.6734693877547</v>
      </c>
      <c r="K74" s="830"/>
    </row>
    <row r="75" spans="1:11" x14ac:dyDescent="0.25">
      <c r="A75" s="1117"/>
      <c r="B75" s="938" t="str">
        <f t="shared" si="14"/>
        <v>Cooking Cream - كريمة طبخ</v>
      </c>
      <c r="C75" s="938" t="str">
        <f t="shared" si="14"/>
        <v>ml</v>
      </c>
      <c r="D75" s="938">
        <f t="shared" si="14"/>
        <v>600</v>
      </c>
      <c r="E75" s="1167">
        <f t="shared" si="18"/>
        <v>4.6394557823129245</v>
      </c>
      <c r="F75" s="948">
        <f t="shared" si="15"/>
        <v>1</v>
      </c>
      <c r="G75" s="940">
        <f t="shared" si="16"/>
        <v>2783.6734693877547</v>
      </c>
      <c r="H75" s="943">
        <f t="shared" si="17"/>
        <v>2783.6734693877547</v>
      </c>
      <c r="K75" s="830"/>
    </row>
    <row r="76" spans="1:11" x14ac:dyDescent="0.25">
      <c r="A76" s="1117"/>
      <c r="B76" s="938" t="str">
        <f t="shared" si="14"/>
        <v>Sriracha Sauce - صوص سريراتشا</v>
      </c>
      <c r="C76" s="938" t="str">
        <f t="shared" si="14"/>
        <v>ml</v>
      </c>
      <c r="D76" s="938">
        <f t="shared" si="14"/>
        <v>3</v>
      </c>
      <c r="E76" s="1167">
        <f t="shared" si="18"/>
        <v>4.6394557823129245</v>
      </c>
      <c r="F76" s="948">
        <f t="shared" si="15"/>
        <v>0.75</v>
      </c>
      <c r="G76" s="940">
        <f t="shared" si="16"/>
        <v>13.918367346938773</v>
      </c>
      <c r="H76" s="943">
        <f t="shared" si="17"/>
        <v>10.43877551020408</v>
      </c>
      <c r="K76" s="830"/>
    </row>
    <row r="77" spans="1:11" x14ac:dyDescent="0.25">
      <c r="A77" s="1117"/>
      <c r="B77" s="938" t="str">
        <f t="shared" si="14"/>
        <v>Maggi Cubes - مكعبات ماجي</v>
      </c>
      <c r="C77" s="938" t="str">
        <f t="shared" si="14"/>
        <v>gm</v>
      </c>
      <c r="D77" s="938">
        <f t="shared" si="14"/>
        <v>20</v>
      </c>
      <c r="E77" s="1167">
        <f t="shared" si="18"/>
        <v>4.6394557823129245</v>
      </c>
      <c r="F77" s="948">
        <f t="shared" si="15"/>
        <v>0.75</v>
      </c>
      <c r="G77" s="940">
        <f t="shared" si="16"/>
        <v>92.789115646258495</v>
      </c>
      <c r="H77" s="943">
        <f t="shared" si="17"/>
        <v>69.591836734693871</v>
      </c>
      <c r="K77" s="830"/>
    </row>
    <row r="78" spans="1:11" ht="18" x14ac:dyDescent="0.25">
      <c r="A78" s="1070"/>
      <c r="B78" s="1041" t="s">
        <v>287</v>
      </c>
      <c r="C78" s="1042" t="s">
        <v>273</v>
      </c>
      <c r="D78" s="1043"/>
      <c r="E78" s="1044" t="s">
        <v>288</v>
      </c>
      <c r="F78" s="1043"/>
      <c r="G78" s="1045" t="s">
        <v>264</v>
      </c>
      <c r="H78" s="1046" t="s">
        <v>661</v>
      </c>
      <c r="K78" s="830"/>
    </row>
    <row r="79" spans="1:11" ht="20.25" x14ac:dyDescent="0.3">
      <c r="A79" s="1070"/>
      <c r="B79" s="1047">
        <f>$J$53</f>
        <v>12276</v>
      </c>
      <c r="C79" s="1048">
        <f>E79+G79</f>
        <v>4546.6666666666661</v>
      </c>
      <c r="D79" s="1049"/>
      <c r="E79" s="1047">
        <f>$D$53*$S$44</f>
        <v>0</v>
      </c>
      <c r="F79" s="1050"/>
      <c r="G79" s="1048">
        <f>$D$53*$T$44</f>
        <v>4546.6666666666661</v>
      </c>
      <c r="H79" s="1047">
        <f>B79+E79</f>
        <v>12276</v>
      </c>
      <c r="K79" s="830"/>
    </row>
    <row r="80" spans="1:11" x14ac:dyDescent="0.25">
      <c r="B80" s="80"/>
      <c r="C80" s="143"/>
      <c r="D80" s="1431"/>
      <c r="E80" s="80"/>
      <c r="F80" s="80"/>
      <c r="H80" s="830"/>
      <c r="K80" s="830"/>
    </row>
    <row r="81" spans="1:11" x14ac:dyDescent="0.25">
      <c r="A81" s="1407"/>
      <c r="B81" s="1776" t="str">
        <f>"دجاج مشروم  2 / " &amp; COUNTIF($C$53:$C$55, "&gt;0")</f>
        <v>دجاج مشروم  2 / 1</v>
      </c>
      <c r="C81" s="1787"/>
      <c r="D81" s="1788"/>
      <c r="E81" s="1788"/>
      <c r="F81" s="1788"/>
      <c r="G81" s="1787"/>
      <c r="H81" s="1788"/>
      <c r="K81" s="830"/>
    </row>
    <row r="82" spans="1:11" x14ac:dyDescent="0.25">
      <c r="A82" s="1407"/>
      <c r="B82" s="1776" t="str">
        <f>"Chicken Mushroom  2 / " &amp; COUNTIF($C$53:$C$55, "&gt;0")</f>
        <v>Chicken Mushroom  2 / 1</v>
      </c>
      <c r="C82" s="1787"/>
      <c r="D82" s="1788"/>
      <c r="E82" s="1788"/>
      <c r="F82" s="1788"/>
      <c r="G82" s="1787"/>
      <c r="H82" s="1788"/>
      <c r="K82" s="830"/>
    </row>
    <row r="83" spans="1:11" ht="38.25" x14ac:dyDescent="0.2">
      <c r="A83" s="1350" t="s">
        <v>864</v>
      </c>
      <c r="B83" s="1104" t="s">
        <v>241</v>
      </c>
      <c r="C83" s="934" t="s">
        <v>242</v>
      </c>
      <c r="D83" s="1104" t="s">
        <v>231</v>
      </c>
      <c r="E83" s="936" t="s">
        <v>234</v>
      </c>
      <c r="F83" s="936" t="s">
        <v>243</v>
      </c>
      <c r="G83" s="1104" t="s">
        <v>244</v>
      </c>
      <c r="H83" s="936" t="s">
        <v>245</v>
      </c>
      <c r="K83" s="830"/>
    </row>
    <row r="84" spans="1:11" ht="30" x14ac:dyDescent="0.2">
      <c r="A84" s="937" t="s">
        <v>874</v>
      </c>
      <c r="B84" s="938" t="str">
        <f t="shared" ref="B84:D96" si="19">B5</f>
        <v>Chicken - دجاج</v>
      </c>
      <c r="C84" s="938" t="str">
        <f t="shared" si="19"/>
        <v>gm</v>
      </c>
      <c r="D84" s="1127">
        <f t="shared" si="19"/>
        <v>6536.0784313725489</v>
      </c>
      <c r="E84" s="944">
        <f>H54</f>
        <v>0</v>
      </c>
      <c r="F84" s="948">
        <f t="shared" ref="F84:F96" si="20">F5</f>
        <v>1</v>
      </c>
      <c r="G84" s="940">
        <f t="shared" ref="G84:G96" si="21">D84*E84</f>
        <v>0</v>
      </c>
      <c r="H84" s="943">
        <f t="shared" ref="H84:H96" si="22">G84*F84</f>
        <v>0</v>
      </c>
      <c r="K84" s="830"/>
    </row>
    <row r="85" spans="1:11" x14ac:dyDescent="0.25">
      <c r="A85" s="1117" t="s">
        <v>866</v>
      </c>
      <c r="B85" s="938" t="str">
        <f t="shared" si="19"/>
        <v>Onion - بصل</v>
      </c>
      <c r="C85" s="938" t="str">
        <f t="shared" si="19"/>
        <v>gm</v>
      </c>
      <c r="D85" s="938">
        <f t="shared" si="19"/>
        <v>100</v>
      </c>
      <c r="E85" s="944">
        <f t="shared" ref="E85:E96" si="23">$C$54</f>
        <v>0</v>
      </c>
      <c r="F85" s="948">
        <f t="shared" si="20"/>
        <v>0.95</v>
      </c>
      <c r="G85" s="940">
        <f t="shared" si="21"/>
        <v>0</v>
      </c>
      <c r="H85" s="943">
        <f t="shared" si="22"/>
        <v>0</v>
      </c>
      <c r="K85" s="830"/>
    </row>
    <row r="86" spans="1:11" x14ac:dyDescent="0.25">
      <c r="A86" s="1117" t="s">
        <v>868</v>
      </c>
      <c r="B86" s="938" t="str">
        <f t="shared" si="19"/>
        <v>Garlic - ثوم مقشر</v>
      </c>
      <c r="C86" s="938" t="str">
        <f t="shared" si="19"/>
        <v>gm</v>
      </c>
      <c r="D86" s="938">
        <f t="shared" si="19"/>
        <v>30</v>
      </c>
      <c r="E86" s="944">
        <f t="shared" si="23"/>
        <v>0</v>
      </c>
      <c r="F86" s="948">
        <f t="shared" si="20"/>
        <v>1</v>
      </c>
      <c r="G86" s="940">
        <f t="shared" si="21"/>
        <v>0</v>
      </c>
      <c r="H86" s="943">
        <f t="shared" si="22"/>
        <v>0</v>
      </c>
      <c r="K86" s="830"/>
    </row>
    <row r="87" spans="1:11" x14ac:dyDescent="0.25">
      <c r="A87" s="1117" t="s">
        <v>888</v>
      </c>
      <c r="B87" s="938" t="str">
        <f t="shared" si="19"/>
        <v>Mushroom - مشروم ابيض</v>
      </c>
      <c r="C87" s="938" t="str">
        <f t="shared" si="19"/>
        <v>gm</v>
      </c>
      <c r="D87" s="938">
        <f t="shared" si="19"/>
        <v>350</v>
      </c>
      <c r="E87" s="944">
        <f t="shared" si="23"/>
        <v>0</v>
      </c>
      <c r="F87" s="948">
        <f t="shared" si="20"/>
        <v>1</v>
      </c>
      <c r="G87" s="940">
        <f t="shared" si="21"/>
        <v>0</v>
      </c>
      <c r="H87" s="943">
        <f t="shared" si="22"/>
        <v>0</v>
      </c>
      <c r="K87" s="830"/>
    </row>
    <row r="88" spans="1:11" x14ac:dyDescent="0.25">
      <c r="A88" s="1117"/>
      <c r="B88" s="938" t="str">
        <f t="shared" si="19"/>
        <v>Dry Thyme - زعتر مجفف</v>
      </c>
      <c r="C88" s="938" t="str">
        <f t="shared" si="19"/>
        <v>gm</v>
      </c>
      <c r="D88" s="938">
        <f t="shared" si="19"/>
        <v>1</v>
      </c>
      <c r="E88" s="944">
        <f t="shared" si="23"/>
        <v>0</v>
      </c>
      <c r="F88" s="948">
        <f t="shared" si="20"/>
        <v>0.75</v>
      </c>
      <c r="G88" s="940">
        <f t="shared" si="21"/>
        <v>0</v>
      </c>
      <c r="H88" s="943">
        <f t="shared" si="22"/>
        <v>0</v>
      </c>
      <c r="K88" s="830"/>
    </row>
    <row r="89" spans="1:11" ht="25.5" x14ac:dyDescent="0.25">
      <c r="A89" s="1117"/>
      <c r="B89" s="938" t="str">
        <f t="shared" si="19"/>
        <v>Black Pepper Powder - فلفل أسود مطحون</v>
      </c>
      <c r="C89" s="938" t="str">
        <f t="shared" si="19"/>
        <v>gm</v>
      </c>
      <c r="D89" s="938">
        <f t="shared" si="19"/>
        <v>2</v>
      </c>
      <c r="E89" s="944">
        <f t="shared" si="23"/>
        <v>0</v>
      </c>
      <c r="F89" s="948">
        <f t="shared" si="20"/>
        <v>0.75</v>
      </c>
      <c r="G89" s="940">
        <f t="shared" si="21"/>
        <v>0</v>
      </c>
      <c r="H89" s="943">
        <f t="shared" si="22"/>
        <v>0</v>
      </c>
      <c r="K89" s="830"/>
    </row>
    <row r="90" spans="1:11" x14ac:dyDescent="0.25">
      <c r="A90" s="1117"/>
      <c r="B90" s="938" t="str">
        <f t="shared" si="19"/>
        <v>Salt - ملح</v>
      </c>
      <c r="C90" s="938" t="str">
        <f t="shared" si="19"/>
        <v>gm</v>
      </c>
      <c r="D90" s="938">
        <f t="shared" si="19"/>
        <v>5</v>
      </c>
      <c r="E90" s="944">
        <f t="shared" si="23"/>
        <v>0</v>
      </c>
      <c r="F90" s="948">
        <f t="shared" si="20"/>
        <v>0.75</v>
      </c>
      <c r="G90" s="940">
        <f t="shared" si="21"/>
        <v>0</v>
      </c>
      <c r="H90" s="943">
        <f t="shared" si="22"/>
        <v>0</v>
      </c>
      <c r="K90" s="830"/>
    </row>
    <row r="91" spans="1:11" x14ac:dyDescent="0.25">
      <c r="A91" s="1117"/>
      <c r="B91" s="938" t="str">
        <f t="shared" si="19"/>
        <v>Butter - زبدة</v>
      </c>
      <c r="C91" s="938" t="str">
        <f t="shared" si="19"/>
        <v>gm</v>
      </c>
      <c r="D91" s="938">
        <f t="shared" si="19"/>
        <v>15</v>
      </c>
      <c r="E91" s="944">
        <f t="shared" si="23"/>
        <v>0</v>
      </c>
      <c r="F91" s="948">
        <f t="shared" si="20"/>
        <v>1</v>
      </c>
      <c r="G91" s="940">
        <f t="shared" si="21"/>
        <v>0</v>
      </c>
      <c r="H91" s="943">
        <f t="shared" si="22"/>
        <v>0</v>
      </c>
      <c r="K91" s="830"/>
    </row>
    <row r="92" spans="1:11" x14ac:dyDescent="0.25">
      <c r="A92" s="1117"/>
      <c r="B92" s="938" t="str">
        <f t="shared" si="19"/>
        <v>Flour - دقيق</v>
      </c>
      <c r="C92" s="938" t="str">
        <f t="shared" si="19"/>
        <v>gm</v>
      </c>
      <c r="D92" s="938">
        <f t="shared" si="19"/>
        <v>20</v>
      </c>
      <c r="E92" s="944">
        <f t="shared" si="23"/>
        <v>0</v>
      </c>
      <c r="F92" s="948">
        <f t="shared" si="20"/>
        <v>0.75</v>
      </c>
      <c r="G92" s="940">
        <f t="shared" si="21"/>
        <v>0</v>
      </c>
      <c r="H92" s="943">
        <f t="shared" si="22"/>
        <v>0</v>
      </c>
      <c r="K92" s="830"/>
    </row>
    <row r="93" spans="1:11" x14ac:dyDescent="0.25">
      <c r="A93" s="1117"/>
      <c r="B93" s="938" t="str">
        <f t="shared" si="19"/>
        <v>Milk - حليب</v>
      </c>
      <c r="C93" s="938" t="str">
        <f t="shared" si="19"/>
        <v>ml</v>
      </c>
      <c r="D93" s="938">
        <f t="shared" si="19"/>
        <v>600</v>
      </c>
      <c r="E93" s="944">
        <f t="shared" si="23"/>
        <v>0</v>
      </c>
      <c r="F93" s="948">
        <f t="shared" si="20"/>
        <v>1</v>
      </c>
      <c r="G93" s="940">
        <f t="shared" si="21"/>
        <v>0</v>
      </c>
      <c r="H93" s="943">
        <f t="shared" si="22"/>
        <v>0</v>
      </c>
      <c r="K93" s="830"/>
    </row>
    <row r="94" spans="1:11" x14ac:dyDescent="0.25">
      <c r="A94" s="1117"/>
      <c r="B94" s="938" t="str">
        <f t="shared" si="19"/>
        <v>Cooking Cream - كريمة طبخ</v>
      </c>
      <c r="C94" s="938" t="str">
        <f t="shared" si="19"/>
        <v>ml</v>
      </c>
      <c r="D94" s="938">
        <f t="shared" si="19"/>
        <v>600</v>
      </c>
      <c r="E94" s="944">
        <f t="shared" si="23"/>
        <v>0</v>
      </c>
      <c r="F94" s="948">
        <f t="shared" si="20"/>
        <v>1</v>
      </c>
      <c r="G94" s="940">
        <f t="shared" si="21"/>
        <v>0</v>
      </c>
      <c r="H94" s="943">
        <f t="shared" si="22"/>
        <v>0</v>
      </c>
      <c r="K94" s="830"/>
    </row>
    <row r="95" spans="1:11" x14ac:dyDescent="0.25">
      <c r="A95" s="1117"/>
      <c r="B95" s="938" t="str">
        <f t="shared" si="19"/>
        <v>Sriracha Sauce - صوص سريراتشا</v>
      </c>
      <c r="C95" s="938" t="str">
        <f t="shared" si="19"/>
        <v>ml</v>
      </c>
      <c r="D95" s="938">
        <f t="shared" si="19"/>
        <v>3</v>
      </c>
      <c r="E95" s="944">
        <f t="shared" si="23"/>
        <v>0</v>
      </c>
      <c r="F95" s="948">
        <f t="shared" si="20"/>
        <v>0.75</v>
      </c>
      <c r="G95" s="940">
        <f t="shared" si="21"/>
        <v>0</v>
      </c>
      <c r="H95" s="943">
        <f t="shared" si="22"/>
        <v>0</v>
      </c>
      <c r="K95" s="830"/>
    </row>
    <row r="96" spans="1:11" x14ac:dyDescent="0.25">
      <c r="A96" s="1117"/>
      <c r="B96" s="938" t="str">
        <f t="shared" si="19"/>
        <v>Maggi Cubes - مكعبات ماجي</v>
      </c>
      <c r="C96" s="938" t="str">
        <f t="shared" si="19"/>
        <v>gm</v>
      </c>
      <c r="D96" s="938">
        <f t="shared" si="19"/>
        <v>20</v>
      </c>
      <c r="E96" s="944">
        <f t="shared" si="23"/>
        <v>0</v>
      </c>
      <c r="F96" s="948">
        <f t="shared" si="20"/>
        <v>0.75</v>
      </c>
      <c r="G96" s="940">
        <f t="shared" si="21"/>
        <v>0</v>
      </c>
      <c r="H96" s="943">
        <f t="shared" si="22"/>
        <v>0</v>
      </c>
      <c r="K96" s="830"/>
    </row>
    <row r="97" spans="1:8" ht="18" x14ac:dyDescent="0.25">
      <c r="A97" s="1070"/>
      <c r="B97" s="1041" t="s">
        <v>287</v>
      </c>
      <c r="C97" s="1042" t="s">
        <v>273</v>
      </c>
      <c r="D97" s="1043"/>
      <c r="E97" s="1044" t="s">
        <v>288</v>
      </c>
      <c r="F97" s="1043"/>
      <c r="G97" s="1045" t="s">
        <v>264</v>
      </c>
      <c r="H97" s="1046" t="s">
        <v>661</v>
      </c>
    </row>
    <row r="98" spans="1:8" ht="20.25" x14ac:dyDescent="0.3">
      <c r="A98" s="1070"/>
      <c r="B98" s="1047">
        <f>$J$54</f>
        <v>0</v>
      </c>
      <c r="C98" s="1048">
        <f>E98+G98</f>
        <v>0</v>
      </c>
      <c r="D98" s="1049"/>
      <c r="E98" s="1047">
        <f>$D$54*$S$44</f>
        <v>0</v>
      </c>
      <c r="F98" s="1050"/>
      <c r="G98" s="1048">
        <f>$D$54*$T$44</f>
        <v>0</v>
      </c>
      <c r="H98" s="1047">
        <f>B98+E98</f>
        <v>0</v>
      </c>
    </row>
  </sheetData>
  <mergeCells count="11">
    <mergeCell ref="AK3:AL3"/>
    <mergeCell ref="AK2:AM2"/>
    <mergeCell ref="AE2:AG3"/>
    <mergeCell ref="B82:H82"/>
    <mergeCell ref="B62:H62"/>
    <mergeCell ref="F2:F3"/>
    <mergeCell ref="B81:H81"/>
    <mergeCell ref="B63:H63"/>
    <mergeCell ref="R25:V25"/>
    <mergeCell ref="R26:V26"/>
    <mergeCell ref="B35:F35"/>
  </mergeCells>
  <printOptions horizontalCentered="1"/>
  <pageMargins left="0.4" right="0.4" top="1" bottom="0.5" header="0.3" footer="0.511811023622047"/>
  <pageSetup paperSize="9" scale="41" orientation="landscape"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7C7C7C"/>
    <pageSetUpPr fitToPage="1"/>
  </sheetPr>
  <dimension ref="A1:AG107"/>
  <sheetViews>
    <sheetView topLeftCell="K27" zoomScale="70" zoomScaleNormal="70" workbookViewId="0">
      <selection activeCell="R56" sqref="R56"/>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5.375" style="14" customWidth="1"/>
    <col min="15" max="15" width="18.625" style="14" customWidth="1"/>
    <col min="16" max="16" width="8.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ol min="25" max="25" width="8.625" style="14" customWidth="1"/>
    <col min="26" max="30" width="12.625" style="14" customWidth="1"/>
    <col min="31" max="16384" width="12.5" style="14"/>
  </cols>
  <sheetData>
    <row r="1" spans="1:33" ht="25.5" x14ac:dyDescent="0.25">
      <c r="B1" s="913" t="s">
        <v>231</v>
      </c>
      <c r="C1" s="914">
        <v>1000</v>
      </c>
      <c r="D1" s="915" t="s">
        <v>232</v>
      </c>
      <c r="E1" s="941">
        <f>T32</f>
        <v>4707.6923076923122</v>
      </c>
      <c r="F1" s="913" t="s">
        <v>233</v>
      </c>
      <c r="G1" s="1040">
        <f>E1/C1</f>
        <v>4.7076923076923123</v>
      </c>
      <c r="H1" s="913" t="s">
        <v>234</v>
      </c>
      <c r="I1" s="1143">
        <f>G1/K1</f>
        <v>4.7076923076923123</v>
      </c>
      <c r="J1" s="919" t="s">
        <v>235</v>
      </c>
      <c r="K1" s="1208">
        <f>9.5/9.5</f>
        <v>1</v>
      </c>
      <c r="L1" s="859"/>
      <c r="M1" s="70"/>
      <c r="N1" s="922"/>
      <c r="O1" s="923" t="s">
        <v>236</v>
      </c>
      <c r="P1" s="914" t="s">
        <v>289</v>
      </c>
      <c r="Q1" s="924" t="s">
        <v>238</v>
      </c>
      <c r="R1" s="914">
        <v>0.51</v>
      </c>
      <c r="T1" s="890"/>
      <c r="W1" s="890"/>
      <c r="Y1" s="923" t="s">
        <v>444</v>
      </c>
      <c r="Z1" s="925">
        <v>20400</v>
      </c>
      <c r="AA1" s="923" t="s">
        <v>544</v>
      </c>
      <c r="AB1" s="925">
        <v>0</v>
      </c>
      <c r="AC1" s="923" t="s">
        <v>537</v>
      </c>
      <c r="AD1" s="925">
        <v>149</v>
      </c>
      <c r="AE1" s="168"/>
      <c r="AF1" s="170"/>
      <c r="AG1" s="73"/>
    </row>
    <row r="2" spans="1:33" x14ac:dyDescent="0.25">
      <c r="A2" s="863"/>
      <c r="B2" s="1784" t="s">
        <v>400</v>
      </c>
      <c r="C2" s="1797"/>
      <c r="D2" s="1798"/>
      <c r="E2" s="1798"/>
      <c r="F2" s="1798"/>
      <c r="G2" s="1797"/>
      <c r="H2" s="1798"/>
      <c r="I2" s="1797"/>
      <c r="J2" s="1797"/>
      <c r="K2" s="1798"/>
      <c r="L2" s="187"/>
      <c r="M2" s="80"/>
      <c r="N2" s="80"/>
      <c r="O2" s="80"/>
      <c r="P2" s="80"/>
      <c r="Q2" s="80"/>
      <c r="R2" s="80"/>
      <c r="T2" s="890"/>
      <c r="W2" s="890"/>
      <c r="AE2" s="1795"/>
      <c r="AF2" s="1799"/>
      <c r="AG2" s="1799"/>
    </row>
    <row r="3" spans="1:33" x14ac:dyDescent="0.25">
      <c r="A3" s="863"/>
      <c r="B3" s="1785"/>
      <c r="C3" s="1796"/>
      <c r="D3" s="1785"/>
      <c r="E3" s="1785"/>
      <c r="F3" s="1785"/>
      <c r="G3" s="1796"/>
      <c r="H3" s="1785"/>
      <c r="I3" s="1796"/>
      <c r="J3" s="1796"/>
      <c r="K3" s="1785"/>
      <c r="L3" s="187"/>
      <c r="M3" s="80"/>
      <c r="N3" s="80"/>
      <c r="O3" s="80"/>
      <c r="P3" s="80"/>
      <c r="Q3" s="80"/>
      <c r="R3" s="80"/>
      <c r="T3" s="890"/>
      <c r="W3" s="890"/>
      <c r="AE3" s="1799"/>
      <c r="AF3" s="1799"/>
      <c r="AG3" s="1799"/>
    </row>
    <row r="4" spans="1:33" ht="25.5"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R4" s="890"/>
      <c r="T4" s="890"/>
      <c r="W4" s="890"/>
      <c r="AA4" s="169"/>
      <c r="AB4" s="171"/>
      <c r="AE4" s="169"/>
    </row>
    <row r="5" spans="1:33" ht="28.5" x14ac:dyDescent="0.2">
      <c r="A5" s="937" t="s">
        <v>872</v>
      </c>
      <c r="B5" s="1068" t="s">
        <v>223</v>
      </c>
      <c r="C5" s="939" t="s">
        <v>14</v>
      </c>
      <c r="D5" s="944">
        <f>I51/10</f>
        <v>6536.0784313725489</v>
      </c>
      <c r="E5" s="941">
        <f>H52</f>
        <v>4.7075981557291913</v>
      </c>
      <c r="F5" s="948">
        <v>1</v>
      </c>
      <c r="G5" s="940">
        <f t="shared" ref="G5:G20" si="0">D5*E5</f>
        <v>30769.230769230759</v>
      </c>
      <c r="H5" s="943">
        <f t="shared" ref="H5:H20" si="1">G5*F5</f>
        <v>30769.230769230759</v>
      </c>
      <c r="I5" s="914">
        <f>VLOOKUP(B5,All_Ingredients!$A$1:$F$161,6,FALSE())</f>
        <v>0.55000000000000004</v>
      </c>
      <c r="J5" s="940">
        <f>VLOOKUP(B5,All_Ingredients!$A$1:$J$161,10,FALSE())</f>
        <v>14.361111111111111</v>
      </c>
      <c r="K5" s="945">
        <f t="shared" ref="K5" si="2">(H5/I5)/1000</f>
        <v>55.944055944055926</v>
      </c>
      <c r="L5" s="945">
        <f t="shared" ref="L5" si="3">K5*J5</f>
        <v>803.41880341880312</v>
      </c>
      <c r="M5" s="80"/>
      <c r="N5" s="80"/>
      <c r="O5" s="80"/>
      <c r="P5" s="80"/>
      <c r="R5" s="890"/>
      <c r="T5" s="890"/>
      <c r="W5" s="890"/>
      <c r="AA5" s="73"/>
      <c r="AB5" s="89"/>
      <c r="AE5" s="91"/>
    </row>
    <row r="6" spans="1:33" x14ac:dyDescent="0.25">
      <c r="A6" s="949" t="s">
        <v>866</v>
      </c>
      <c r="B6" s="1130" t="s">
        <v>12</v>
      </c>
      <c r="C6" s="947" t="s">
        <v>14</v>
      </c>
      <c r="D6" s="914">
        <v>200</v>
      </c>
      <c r="E6" s="1040">
        <f t="shared" ref="E6:E20" si="4">$I$1</f>
        <v>4.7076923076923123</v>
      </c>
      <c r="F6" s="948">
        <v>0.95</v>
      </c>
      <c r="G6" s="940">
        <f t="shared" si="0"/>
        <v>941.53846153846246</v>
      </c>
      <c r="H6" s="943">
        <f t="shared" si="1"/>
        <v>894.46153846153925</v>
      </c>
      <c r="I6" s="914">
        <f>VLOOKUP(B6,All_Ingredients!$A$1:$F$161,6,FALSE())</f>
        <v>0.9</v>
      </c>
      <c r="J6" s="940">
        <f>VLOOKUP(B6,All_Ingredients!$A$1:$J$161,10,FALSE())</f>
        <v>3</v>
      </c>
      <c r="K6" s="945">
        <f t="shared" ref="K6:K20" si="5">(H6/I6)/1000</f>
        <v>0.99384615384615471</v>
      </c>
      <c r="L6" s="945">
        <f t="shared" ref="L6:L20" si="6">K6*J6</f>
        <v>2.9815384615384639</v>
      </c>
      <c r="R6" s="890"/>
      <c r="T6" s="890"/>
      <c r="W6" s="890"/>
    </row>
    <row r="7" spans="1:33" x14ac:dyDescent="0.25">
      <c r="A7" s="949" t="s">
        <v>868</v>
      </c>
      <c r="B7" s="1130" t="s">
        <v>706</v>
      </c>
      <c r="C7" s="947" t="s">
        <v>14</v>
      </c>
      <c r="D7" s="914">
        <v>30</v>
      </c>
      <c r="E7" s="1040">
        <f t="shared" si="4"/>
        <v>4.7076923076923123</v>
      </c>
      <c r="F7" s="948">
        <v>0.95</v>
      </c>
      <c r="G7" s="940">
        <f t="shared" si="0"/>
        <v>141.23076923076937</v>
      </c>
      <c r="H7" s="943">
        <f t="shared" si="1"/>
        <v>134.16923076923089</v>
      </c>
      <c r="I7" s="914">
        <f>VLOOKUP(B7,All_Ingredients!$A$1:$F$161,6,FALSE())</f>
        <v>1</v>
      </c>
      <c r="J7" s="940">
        <f>VLOOKUP(B7,All_Ingredients!$A$1:$J$161,10,FALSE())</f>
        <v>10.5</v>
      </c>
      <c r="K7" s="945">
        <f t="shared" si="5"/>
        <v>0.1341692307692309</v>
      </c>
      <c r="L7" s="945">
        <f t="shared" si="6"/>
        <v>1.4087769230769245</v>
      </c>
      <c r="R7" s="890"/>
      <c r="T7" s="890"/>
      <c r="W7" s="890"/>
    </row>
    <row r="8" spans="1:33" x14ac:dyDescent="0.25">
      <c r="A8" s="949"/>
      <c r="B8" s="1130" t="s">
        <v>202</v>
      </c>
      <c r="C8" s="947" t="s">
        <v>14</v>
      </c>
      <c r="D8" s="914">
        <v>20</v>
      </c>
      <c r="E8" s="1040">
        <f t="shared" si="4"/>
        <v>4.7076923076923123</v>
      </c>
      <c r="F8" s="948">
        <v>1</v>
      </c>
      <c r="G8" s="940">
        <f t="shared" si="0"/>
        <v>94.153846153846246</v>
      </c>
      <c r="H8" s="943">
        <f t="shared" si="1"/>
        <v>94.153846153846246</v>
      </c>
      <c r="I8" s="914">
        <f>VLOOKUP(B8,All_Ingredients!$A$1:$F$161,6,FALSE())</f>
        <v>1</v>
      </c>
      <c r="J8" s="940">
        <f>VLOOKUP(B8,All_Ingredients!$A$1:$J$161,10,FALSE())</f>
        <v>11.243386243386244</v>
      </c>
      <c r="K8" s="945">
        <f t="shared" si="5"/>
        <v>9.4153846153846241E-2</v>
      </c>
      <c r="L8" s="945">
        <f t="shared" si="6"/>
        <v>1.0586080586080595</v>
      </c>
      <c r="R8" s="890"/>
      <c r="T8" s="890"/>
      <c r="W8" s="890"/>
    </row>
    <row r="9" spans="1:33" x14ac:dyDescent="0.25">
      <c r="A9" s="949"/>
      <c r="B9" s="1130" t="s">
        <v>678</v>
      </c>
      <c r="C9" s="947" t="s">
        <v>14</v>
      </c>
      <c r="D9" s="914">
        <v>100</v>
      </c>
      <c r="E9" s="1040">
        <f t="shared" si="4"/>
        <v>4.7076923076923123</v>
      </c>
      <c r="F9" s="948">
        <v>1</v>
      </c>
      <c r="G9" s="940">
        <f t="shared" si="0"/>
        <v>470.76923076923123</v>
      </c>
      <c r="H9" s="943">
        <f t="shared" si="1"/>
        <v>470.76923076923123</v>
      </c>
      <c r="I9" s="914">
        <f>VLOOKUP(B9,All_Ingredients!$A$1:$F$161,6,FALSE())</f>
        <v>1</v>
      </c>
      <c r="J9" s="940">
        <f>VLOOKUP(B9,All_Ingredients!$A$1:$J$161,10,FALSE())</f>
        <v>8.1520833333333336</v>
      </c>
      <c r="K9" s="945">
        <f t="shared" si="5"/>
        <v>0.47076923076923122</v>
      </c>
      <c r="L9" s="945">
        <f t="shared" si="6"/>
        <v>3.8377500000000038</v>
      </c>
      <c r="R9" s="890"/>
      <c r="T9" s="890"/>
      <c r="W9" s="890"/>
    </row>
    <row r="10" spans="1:33" ht="28.5" x14ac:dyDescent="0.25">
      <c r="A10" s="949"/>
      <c r="B10" s="1130" t="s">
        <v>799</v>
      </c>
      <c r="C10" s="947" t="s">
        <v>14</v>
      </c>
      <c r="D10" s="914">
        <v>3</v>
      </c>
      <c r="E10" s="1040">
        <f t="shared" si="4"/>
        <v>4.7076923076923123</v>
      </c>
      <c r="F10" s="948">
        <v>0.75</v>
      </c>
      <c r="G10" s="940">
        <f t="shared" si="0"/>
        <v>14.123076923076937</v>
      </c>
      <c r="H10" s="943">
        <f t="shared" si="1"/>
        <v>10.592307692307703</v>
      </c>
      <c r="I10" s="914">
        <f>VLOOKUP(B10,All_Ingredients!$A$1:$F$161,6,FALSE())</f>
        <v>1</v>
      </c>
      <c r="J10" s="940">
        <f>VLOOKUP(B10,All_Ingredients!$A$1:$J$161,10,FALSE())</f>
        <v>22.5</v>
      </c>
      <c r="K10" s="945">
        <f t="shared" si="5"/>
        <v>1.0592307692307703E-2</v>
      </c>
      <c r="L10" s="945">
        <f t="shared" si="6"/>
        <v>0.23832692307692332</v>
      </c>
      <c r="R10" s="890"/>
      <c r="T10" s="890"/>
      <c r="W10" s="890"/>
    </row>
    <row r="11" spans="1:33" x14ac:dyDescent="0.25">
      <c r="A11" s="949"/>
      <c r="B11" s="1130" t="s">
        <v>203</v>
      </c>
      <c r="C11" s="947" t="s">
        <v>160</v>
      </c>
      <c r="D11" s="1602">
        <v>10</v>
      </c>
      <c r="E11" s="1040">
        <f t="shared" si="4"/>
        <v>4.7076923076923123</v>
      </c>
      <c r="F11" s="948">
        <v>1</v>
      </c>
      <c r="G11" s="940">
        <f t="shared" si="0"/>
        <v>47.076923076923123</v>
      </c>
      <c r="H11" s="943">
        <f t="shared" si="1"/>
        <v>47.076923076923123</v>
      </c>
      <c r="I11" s="914">
        <f>VLOOKUP(B11,All_Ingredients!$A$1:$F$161,6,FALSE())</f>
        <v>1</v>
      </c>
      <c r="J11" s="940">
        <f>VLOOKUP(B11,All_Ingredients!$A$1:$J$161,10,FALSE())</f>
        <v>0</v>
      </c>
      <c r="K11" s="945">
        <f t="shared" si="5"/>
        <v>4.707692307692312E-2</v>
      </c>
      <c r="L11" s="945">
        <f t="shared" si="6"/>
        <v>0</v>
      </c>
      <c r="R11" s="890"/>
      <c r="T11" s="890"/>
      <c r="W11" s="890"/>
    </row>
    <row r="12" spans="1:33" ht="28.5" x14ac:dyDescent="0.25">
      <c r="A12" s="949"/>
      <c r="B12" s="1130" t="s">
        <v>99</v>
      </c>
      <c r="C12" s="947" t="s">
        <v>14</v>
      </c>
      <c r="D12" s="914">
        <v>2</v>
      </c>
      <c r="E12" s="1040">
        <f t="shared" si="4"/>
        <v>4.7076923076923123</v>
      </c>
      <c r="F12" s="948">
        <v>1</v>
      </c>
      <c r="G12" s="940">
        <f t="shared" si="0"/>
        <v>9.4153846153846246</v>
      </c>
      <c r="H12" s="943">
        <f t="shared" si="1"/>
        <v>9.4153846153846246</v>
      </c>
      <c r="I12" s="914">
        <f>VLOOKUP(B12,All_Ingredients!$A$1:$F$161,6,FALSE())</f>
        <v>1</v>
      </c>
      <c r="J12" s="940">
        <f>VLOOKUP(B12,All_Ingredients!$A$1:$J$161,10,FALSE())</f>
        <v>31</v>
      </c>
      <c r="K12" s="945">
        <f t="shared" si="5"/>
        <v>9.4153846153846241E-3</v>
      </c>
      <c r="L12" s="945">
        <f t="shared" si="6"/>
        <v>0.29187692307692337</v>
      </c>
      <c r="R12" s="890"/>
      <c r="T12" s="890"/>
      <c r="W12" s="890"/>
    </row>
    <row r="13" spans="1:33" ht="28.5" x14ac:dyDescent="0.25">
      <c r="A13" s="949"/>
      <c r="B13" s="1130" t="s">
        <v>200</v>
      </c>
      <c r="C13" s="947" t="s">
        <v>14</v>
      </c>
      <c r="D13" s="914">
        <v>25</v>
      </c>
      <c r="E13" s="1040">
        <f t="shared" si="4"/>
        <v>4.7076923076923123</v>
      </c>
      <c r="F13" s="948">
        <v>0.75</v>
      </c>
      <c r="G13" s="940">
        <f t="shared" si="0"/>
        <v>117.69230769230781</v>
      </c>
      <c r="H13" s="943">
        <f t="shared" si="1"/>
        <v>88.269230769230859</v>
      </c>
      <c r="I13" s="914">
        <f>VLOOKUP(B13,All_Ingredients!$A$1:$F$161,6,FALSE())</f>
        <v>1</v>
      </c>
      <c r="J13" s="940">
        <f>VLOOKUP(B13,All_Ingredients!$A$1:$J$161,10,FALSE())</f>
        <v>63.333333333333336</v>
      </c>
      <c r="K13" s="945">
        <f t="shared" si="5"/>
        <v>8.8269230769230864E-2</v>
      </c>
      <c r="L13" s="945">
        <f t="shared" si="6"/>
        <v>5.5903846153846217</v>
      </c>
      <c r="R13" s="890"/>
      <c r="T13" s="890"/>
      <c r="W13" s="890"/>
    </row>
    <row r="14" spans="1:33" x14ac:dyDescent="0.25">
      <c r="A14" s="949"/>
      <c r="B14" s="1130" t="s">
        <v>166</v>
      </c>
      <c r="C14" s="947" t="s">
        <v>160</v>
      </c>
      <c r="D14" s="914">
        <v>500</v>
      </c>
      <c r="E14" s="1040">
        <f t="shared" si="4"/>
        <v>4.7076923076923123</v>
      </c>
      <c r="F14" s="948">
        <v>1</v>
      </c>
      <c r="G14" s="940">
        <f t="shared" si="0"/>
        <v>2353.8461538461561</v>
      </c>
      <c r="H14" s="943">
        <f t="shared" si="1"/>
        <v>2353.8461538461561</v>
      </c>
      <c r="I14" s="914">
        <f>VLOOKUP(B14,All_Ingredients!$A$1:$F$161,6,FALSE())</f>
        <v>1</v>
      </c>
      <c r="J14" s="940">
        <f>VLOOKUP(B14,All_Ingredients!$A$1:$J$161,10,FALSE())</f>
        <v>12.666666666666666</v>
      </c>
      <c r="K14" s="945">
        <f t="shared" si="5"/>
        <v>2.3538461538461561</v>
      </c>
      <c r="L14" s="945">
        <f t="shared" si="6"/>
        <v>29.815384615384644</v>
      </c>
      <c r="R14" s="890"/>
      <c r="T14" s="890"/>
      <c r="W14" s="890"/>
    </row>
    <row r="15" spans="1:33" x14ac:dyDescent="0.25">
      <c r="A15" s="949"/>
      <c r="B15" s="1130" t="s">
        <v>139</v>
      </c>
      <c r="C15" s="947" t="s">
        <v>14</v>
      </c>
      <c r="D15" s="914">
        <v>8</v>
      </c>
      <c r="E15" s="1040">
        <f t="shared" si="4"/>
        <v>4.7076923076923123</v>
      </c>
      <c r="F15" s="948">
        <v>1</v>
      </c>
      <c r="G15" s="940">
        <f t="shared" si="0"/>
        <v>37.661538461538498</v>
      </c>
      <c r="H15" s="943">
        <f t="shared" si="1"/>
        <v>37.661538461538498</v>
      </c>
      <c r="I15" s="914">
        <f>VLOOKUP(B15,All_Ingredients!$A$1:$F$161,6,FALSE())</f>
        <v>1</v>
      </c>
      <c r="J15" s="940">
        <f>VLOOKUP(B15,All_Ingredients!$A$1:$J$161,10,FALSE())</f>
        <v>15.277777777777779</v>
      </c>
      <c r="K15" s="945">
        <f t="shared" si="5"/>
        <v>3.7661538461538496E-2</v>
      </c>
      <c r="L15" s="945">
        <f t="shared" si="6"/>
        <v>0.57538461538461594</v>
      </c>
      <c r="R15" s="890"/>
      <c r="T15" s="890"/>
      <c r="W15" s="890"/>
    </row>
    <row r="16" spans="1:33" x14ac:dyDescent="0.25">
      <c r="A16" s="949"/>
      <c r="B16" s="1130" t="s">
        <v>93</v>
      </c>
      <c r="C16" s="947" t="s">
        <v>14</v>
      </c>
      <c r="D16" s="914">
        <v>5</v>
      </c>
      <c r="E16" s="1040">
        <f t="shared" si="4"/>
        <v>4.7076923076923123</v>
      </c>
      <c r="F16" s="948">
        <v>1</v>
      </c>
      <c r="G16" s="940">
        <f t="shared" si="0"/>
        <v>23.538461538461561</v>
      </c>
      <c r="H16" s="943">
        <f t="shared" si="1"/>
        <v>23.538461538461561</v>
      </c>
      <c r="I16" s="914">
        <f>VLOOKUP(B16,All_Ingredients!$A$1:$F$161,6,FALSE())</f>
        <v>1</v>
      </c>
      <c r="J16" s="940">
        <f>VLOOKUP(B16,All_Ingredients!$A$1:$J$161,10,FALSE())</f>
        <v>0.74</v>
      </c>
      <c r="K16" s="945">
        <f t="shared" si="5"/>
        <v>2.353846153846156E-2</v>
      </c>
      <c r="L16" s="945">
        <f t="shared" si="6"/>
        <v>1.7418461538461553E-2</v>
      </c>
      <c r="R16" s="890"/>
      <c r="T16" s="890"/>
      <c r="W16" s="890"/>
    </row>
    <row r="17" spans="1:30" x14ac:dyDescent="0.25">
      <c r="A17" s="949"/>
      <c r="B17" s="1130" t="s">
        <v>187</v>
      </c>
      <c r="C17" s="947" t="s">
        <v>14</v>
      </c>
      <c r="D17" s="914">
        <v>20</v>
      </c>
      <c r="E17" s="1040">
        <f t="shared" si="4"/>
        <v>4.7076923076923123</v>
      </c>
      <c r="F17" s="948">
        <v>0.75</v>
      </c>
      <c r="G17" s="940">
        <f t="shared" si="0"/>
        <v>94.153846153846246</v>
      </c>
      <c r="H17" s="943">
        <f t="shared" si="1"/>
        <v>70.615384615384684</v>
      </c>
      <c r="I17" s="914">
        <f>VLOOKUP(B17,All_Ingredients!$A$1:$F$161,6,FALSE())</f>
        <v>0.9</v>
      </c>
      <c r="J17" s="940">
        <f>VLOOKUP(B17,All_Ingredients!$A$1:$J$161,10,FALSE())</f>
        <v>2.3199999999999998</v>
      </c>
      <c r="K17" s="945">
        <f t="shared" si="5"/>
        <v>7.8461538461538541E-2</v>
      </c>
      <c r="L17" s="945">
        <f t="shared" si="6"/>
        <v>0.18203076923076941</v>
      </c>
      <c r="R17" s="890"/>
      <c r="T17" s="890"/>
      <c r="W17" s="890"/>
    </row>
    <row r="18" spans="1:30" x14ac:dyDescent="0.25">
      <c r="A18" s="949" t="s">
        <v>888</v>
      </c>
      <c r="B18" s="1130" t="s">
        <v>733</v>
      </c>
      <c r="C18" s="947" t="s">
        <v>14</v>
      </c>
      <c r="D18" s="914">
        <v>100</v>
      </c>
      <c r="E18" s="1040">
        <f t="shared" si="4"/>
        <v>4.7076923076923123</v>
      </c>
      <c r="F18" s="948">
        <v>1</v>
      </c>
      <c r="G18" s="940">
        <f t="shared" si="0"/>
        <v>470.76923076923123</v>
      </c>
      <c r="H18" s="943">
        <f t="shared" si="1"/>
        <v>470.76923076923123</v>
      </c>
      <c r="I18" s="914">
        <f>VLOOKUP(B18,All_Ingredients!$A$1:$F$161,6,FALSE())</f>
        <v>1</v>
      </c>
      <c r="J18" s="940">
        <f>VLOOKUP(B18,All_Ingredients!$A$1:$J$161,10,FALSE())</f>
        <v>22</v>
      </c>
      <c r="K18" s="945">
        <f t="shared" si="5"/>
        <v>0.47076923076923122</v>
      </c>
      <c r="L18" s="945">
        <f t="shared" si="6"/>
        <v>10.356923076923087</v>
      </c>
      <c r="R18" s="890"/>
      <c r="T18" s="890"/>
      <c r="W18" s="890"/>
    </row>
    <row r="19" spans="1:30" x14ac:dyDescent="0.25">
      <c r="A19" s="949"/>
      <c r="B19" s="960" t="s">
        <v>152</v>
      </c>
      <c r="C19" s="947" t="s">
        <v>14</v>
      </c>
      <c r="D19" s="914">
        <v>20</v>
      </c>
      <c r="E19" s="1040">
        <f t="shared" si="4"/>
        <v>4.7076923076923123</v>
      </c>
      <c r="F19" s="948">
        <v>1</v>
      </c>
      <c r="G19" s="940">
        <f t="shared" si="0"/>
        <v>94.153846153846246</v>
      </c>
      <c r="H19" s="943">
        <f t="shared" si="1"/>
        <v>94.153846153846246</v>
      </c>
      <c r="I19" s="914">
        <f>VLOOKUP(B19,All_Ingredients!$A$1:$F$161,6,FALSE())</f>
        <v>1</v>
      </c>
      <c r="J19" s="940">
        <f>VLOOKUP(B19,All_Ingredients!$A$1:$J$161,10,FALSE())</f>
        <v>30</v>
      </c>
      <c r="K19" s="945">
        <f t="shared" si="5"/>
        <v>9.4153846153846241E-2</v>
      </c>
      <c r="L19" s="945">
        <f t="shared" si="6"/>
        <v>2.8246153846153872</v>
      </c>
      <c r="R19" s="890"/>
      <c r="T19" s="890"/>
      <c r="W19" s="890"/>
    </row>
    <row r="20" spans="1:30" ht="29.25" x14ac:dyDescent="0.25">
      <c r="A20" s="949"/>
      <c r="B20" s="960" t="s">
        <v>192</v>
      </c>
      <c r="C20" s="947" t="s">
        <v>160</v>
      </c>
      <c r="D20" s="914">
        <v>15</v>
      </c>
      <c r="E20" s="1040">
        <f t="shared" si="4"/>
        <v>4.7076923076923123</v>
      </c>
      <c r="F20" s="948">
        <v>0.9</v>
      </c>
      <c r="G20" s="940">
        <f t="shared" si="0"/>
        <v>70.615384615384684</v>
      </c>
      <c r="H20" s="943">
        <f t="shared" si="1"/>
        <v>63.553846153846216</v>
      </c>
      <c r="I20" s="914">
        <f>VLOOKUP(B20,All_Ingredients!$A$1:$F$161,6,FALSE())</f>
        <v>1</v>
      </c>
      <c r="J20" s="940">
        <f>VLOOKUP(B20,All_Ingredients!$A$1:$J$161,10,FALSE())</f>
        <v>58.685446009389672</v>
      </c>
      <c r="K20" s="945">
        <f t="shared" si="5"/>
        <v>6.3553846153846211E-2</v>
      </c>
      <c r="L20" s="945">
        <f t="shared" si="6"/>
        <v>3.7296858071505992</v>
      </c>
      <c r="R20" s="890"/>
      <c r="T20" s="890"/>
      <c r="W20" s="890"/>
    </row>
    <row r="21" spans="1:30" x14ac:dyDescent="0.25">
      <c r="B21" s="80"/>
      <c r="C21" s="125"/>
      <c r="D21" s="80"/>
      <c r="E21" s="80"/>
      <c r="F21" s="80"/>
      <c r="G21" s="125"/>
      <c r="H21" s="890"/>
      <c r="K21" s="890"/>
      <c r="L21" s="190"/>
      <c r="R21" s="890"/>
      <c r="T21" s="890"/>
      <c r="W21" s="890"/>
    </row>
    <row r="22" spans="1:30" x14ac:dyDescent="0.25">
      <c r="B22" s="890"/>
      <c r="D22" s="890"/>
      <c r="E22" s="890"/>
      <c r="F22" s="890"/>
      <c r="H22" s="890"/>
      <c r="K22" s="890"/>
      <c r="L22" s="190"/>
      <c r="R22" s="890"/>
      <c r="T22" s="890"/>
      <c r="W22" s="890"/>
    </row>
    <row r="23" spans="1:30" x14ac:dyDescent="0.25">
      <c r="B23" s="890"/>
      <c r="D23" s="890"/>
      <c r="E23" s="890"/>
      <c r="F23" s="890"/>
      <c r="H23" s="890"/>
      <c r="K23" s="890"/>
      <c r="L23" s="190"/>
      <c r="R23" s="890"/>
      <c r="T23" s="890"/>
      <c r="W23" s="890"/>
    </row>
    <row r="24" spans="1:30" x14ac:dyDescent="0.25">
      <c r="B24" s="890"/>
      <c r="D24" s="890"/>
      <c r="E24" s="890"/>
      <c r="F24" s="890"/>
      <c r="H24" s="890"/>
      <c r="K24" s="890"/>
      <c r="L24" s="190"/>
      <c r="R24" s="890"/>
      <c r="T24" s="890"/>
      <c r="W24" s="890"/>
      <c r="Z24" s="597"/>
    </row>
    <row r="25" spans="1:30" x14ac:dyDescent="0.25">
      <c r="B25" s="890"/>
      <c r="D25" s="890"/>
      <c r="E25" s="890"/>
      <c r="F25" s="890"/>
      <c r="H25" s="890"/>
      <c r="K25" s="890"/>
      <c r="L25" s="190"/>
      <c r="R25" s="1792" t="s">
        <v>401</v>
      </c>
      <c r="S25" s="1858"/>
      <c r="T25" s="1861"/>
      <c r="U25" s="1858"/>
      <c r="V25" s="1202"/>
      <c r="W25" s="890"/>
      <c r="Z25" s="982" t="s">
        <v>252</v>
      </c>
      <c r="AA25" s="989">
        <v>1</v>
      </c>
      <c r="AB25" s="982" t="s">
        <v>249</v>
      </c>
      <c r="AC25" s="985">
        <f>AD30*AA25</f>
        <v>4.2502430636121052E-2</v>
      </c>
    </row>
    <row r="26" spans="1:30" x14ac:dyDescent="0.25">
      <c r="B26" s="890"/>
      <c r="D26" s="890"/>
      <c r="E26" s="890"/>
      <c r="F26" s="890"/>
      <c r="H26" s="890"/>
      <c r="K26" s="890"/>
      <c r="L26" s="190"/>
      <c r="R26" s="1792" t="s">
        <v>402</v>
      </c>
      <c r="S26" s="1858"/>
      <c r="T26" s="1861"/>
      <c r="U26" s="1858"/>
      <c r="V26" s="1202"/>
      <c r="W26" s="890"/>
    </row>
    <row r="27" spans="1:30" x14ac:dyDescent="0.25">
      <c r="B27" s="890"/>
      <c r="D27" s="890"/>
      <c r="E27" s="890"/>
      <c r="F27" s="890"/>
      <c r="H27" s="890"/>
      <c r="K27" s="890"/>
      <c r="R27" s="961" t="s">
        <v>254</v>
      </c>
      <c r="S27" s="962" t="s">
        <v>297</v>
      </c>
      <c r="T27" s="961" t="s">
        <v>256</v>
      </c>
      <c r="U27" s="962" t="s">
        <v>257</v>
      </c>
      <c r="V27" s="962" t="s">
        <v>753</v>
      </c>
      <c r="W27" s="890"/>
      <c r="Z27" s="982" t="s">
        <v>258</v>
      </c>
      <c r="AA27" s="982" t="s">
        <v>259</v>
      </c>
      <c r="AB27" s="982" t="s">
        <v>260</v>
      </c>
      <c r="AC27" s="984" t="s">
        <v>753</v>
      </c>
      <c r="AD27" s="982" t="s">
        <v>262</v>
      </c>
    </row>
    <row r="28" spans="1:30" x14ac:dyDescent="0.25">
      <c r="B28" s="80"/>
      <c r="D28" s="890"/>
      <c r="E28" s="80"/>
      <c r="F28" s="80"/>
      <c r="H28" s="890"/>
      <c r="K28" s="890"/>
      <c r="R28" s="961" t="s">
        <v>263</v>
      </c>
      <c r="S28" s="975">
        <f>U28*S40</f>
        <v>15692.307692307688</v>
      </c>
      <c r="T28" s="1132">
        <f>U28*U40</f>
        <v>4707.6923076923122</v>
      </c>
      <c r="U28" s="1391">
        <f>$Z$1</f>
        <v>20400</v>
      </c>
      <c r="V28" s="966">
        <f>H37</f>
        <v>10.430000000000001</v>
      </c>
      <c r="W28" s="890"/>
      <c r="Z28" s="1086"/>
      <c r="AA28" s="985">
        <f>AA25*$S$40</f>
        <v>0.76923076923076905</v>
      </c>
      <c r="AB28" s="985">
        <f>AA25*$U$40</f>
        <v>0.230769230769231</v>
      </c>
      <c r="AC28" s="987"/>
      <c r="AD28" s="1088">
        <f>SUM(AA28:AB28)</f>
        <v>1</v>
      </c>
    </row>
    <row r="29" spans="1:30" ht="15.75" x14ac:dyDescent="0.25">
      <c r="B29" s="431"/>
      <c r="C29" s="1862"/>
      <c r="D29" s="1863"/>
      <c r="E29" s="1863"/>
      <c r="F29" s="1863"/>
      <c r="G29" s="1862"/>
      <c r="H29" s="1339"/>
      <c r="K29" s="890"/>
      <c r="R29" s="961" t="s">
        <v>264</v>
      </c>
      <c r="S29" s="974"/>
      <c r="T29" s="1132"/>
      <c r="U29" s="966">
        <f>T29</f>
        <v>0</v>
      </c>
      <c r="V29" s="966"/>
      <c r="W29" s="890"/>
      <c r="Z29" s="1086"/>
      <c r="AA29" s="1089">
        <f>AA28/$AD$28</f>
        <v>0.76923076923076905</v>
      </c>
      <c r="AB29" s="1089">
        <f>AB28/$AD$28</f>
        <v>0.230769230769231</v>
      </c>
      <c r="AC29" s="991"/>
      <c r="AD29" s="1089">
        <f>AD28/$AD$28</f>
        <v>1</v>
      </c>
    </row>
    <row r="30" spans="1:30" x14ac:dyDescent="0.25">
      <c r="B30" s="433"/>
      <c r="C30" s="434"/>
      <c r="D30" s="1600"/>
      <c r="E30" s="433"/>
      <c r="F30" s="433"/>
      <c r="G30" s="435"/>
      <c r="H30" s="1601"/>
      <c r="K30" s="890"/>
      <c r="R30" s="961" t="s">
        <v>265</v>
      </c>
      <c r="S30" s="1460">
        <f>U30*S40</f>
        <v>0</v>
      </c>
      <c r="T30" s="1132">
        <f>U30*U40</f>
        <v>0</v>
      </c>
      <c r="U30" s="1391">
        <f>$AB$1</f>
        <v>0</v>
      </c>
      <c r="V30" s="972"/>
      <c r="W30" s="890"/>
      <c r="Z30" s="982" t="s">
        <v>266</v>
      </c>
      <c r="AA30" s="1090">
        <f>S35/(S32)</f>
        <v>5.1198257080610016E-2</v>
      </c>
      <c r="AB30" s="1091">
        <f>T35/T32</f>
        <v>1.3362960134883375E-2</v>
      </c>
      <c r="AC30" s="995">
        <f>V35/U32</f>
        <v>3.5395927601809962E-5</v>
      </c>
      <c r="AD30" s="1092">
        <f>SUMPRODUCT(AA30:AB30,AA29:AB29)+AC30</f>
        <v>4.2502430636121052E-2</v>
      </c>
    </row>
    <row r="31" spans="1:30" x14ac:dyDescent="0.25">
      <c r="B31" s="80"/>
      <c r="D31" s="890"/>
      <c r="E31" s="80"/>
      <c r="F31" s="80"/>
      <c r="H31" s="890"/>
      <c r="K31" s="890"/>
      <c r="R31" s="961" t="s">
        <v>267</v>
      </c>
      <c r="S31" s="959"/>
      <c r="T31" s="967"/>
      <c r="U31" s="966"/>
      <c r="V31" s="966"/>
      <c r="W31" s="890"/>
    </row>
    <row r="32" spans="1:30" x14ac:dyDescent="0.25">
      <c r="B32" s="890"/>
      <c r="D32" s="890"/>
      <c r="E32" s="890"/>
      <c r="F32" s="890"/>
      <c r="H32" s="890"/>
      <c r="K32" s="890"/>
      <c r="R32" s="961" t="s">
        <v>257</v>
      </c>
      <c r="S32" s="966">
        <f>SUM(S28:S30)</f>
        <v>15692.307692307688</v>
      </c>
      <c r="T32" s="967">
        <f>SUM(T28:T30)</f>
        <v>4707.6923076923122</v>
      </c>
      <c r="U32" s="966">
        <f>SUM(U28:U30)</f>
        <v>20400</v>
      </c>
      <c r="V32" s="966">
        <f>SUM(V28:V30)</f>
        <v>10.430000000000001</v>
      </c>
      <c r="W32" s="890"/>
    </row>
    <row r="33" spans="2:23" ht="30" x14ac:dyDescent="0.25">
      <c r="B33" s="890"/>
      <c r="D33" s="890"/>
      <c r="E33" s="890"/>
      <c r="F33" s="890"/>
      <c r="H33" s="890"/>
      <c r="K33" s="890"/>
      <c r="R33" s="976" t="s">
        <v>268</v>
      </c>
      <c r="S33" s="966"/>
      <c r="T33" s="960"/>
      <c r="U33" s="959"/>
      <c r="V33" s="959"/>
      <c r="W33" s="890"/>
    </row>
    <row r="34" spans="2:23" x14ac:dyDescent="0.25">
      <c r="B34" s="890"/>
      <c r="D34" s="890"/>
      <c r="E34" s="890"/>
      <c r="F34" s="890"/>
      <c r="H34" s="890"/>
      <c r="K34" s="890"/>
      <c r="R34" s="961" t="s">
        <v>269</v>
      </c>
      <c r="S34" s="966"/>
      <c r="T34" s="967"/>
      <c r="U34" s="959"/>
      <c r="V34" s="959"/>
      <c r="W34" s="890"/>
    </row>
    <row r="35" spans="2:23" ht="15.75" x14ac:dyDescent="0.25">
      <c r="B35" s="1781" t="s">
        <v>648</v>
      </c>
      <c r="C35" s="1782"/>
      <c r="D35" s="1781"/>
      <c r="E35" s="1781"/>
      <c r="F35" s="1781"/>
      <c r="G35" s="1001"/>
      <c r="H35" s="1434"/>
      <c r="I35" s="1010"/>
      <c r="J35" s="1010"/>
      <c r="K35" s="1009"/>
      <c r="L35" s="1010"/>
      <c r="R35" s="977" t="s">
        <v>249</v>
      </c>
      <c r="S35" s="978">
        <f>$L$5</f>
        <v>803.41880341880312</v>
      </c>
      <c r="T35" s="979">
        <f>SUM(L6:L20)</f>
        <v>62.908704634989491</v>
      </c>
      <c r="U35" s="978">
        <f>S35+T35+V35</f>
        <v>867.04958497686948</v>
      </c>
      <c r="V35" s="978">
        <f>L37</f>
        <v>0.72207692307692317</v>
      </c>
      <c r="W35" s="890"/>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row>
    <row r="37" spans="2:23" x14ac:dyDescent="0.25">
      <c r="B37" s="1005" t="s">
        <v>666</v>
      </c>
      <c r="C37" s="1006" t="s">
        <v>14</v>
      </c>
      <c r="D37" s="1007">
        <v>7.0000000000000007E-2</v>
      </c>
      <c r="E37" s="1005">
        <f>$AD$1</f>
        <v>149</v>
      </c>
      <c r="F37" s="1005">
        <f>D37*E37</f>
        <v>10.430000000000001</v>
      </c>
      <c r="G37" s="437"/>
      <c r="H37" s="1005">
        <f>F37</f>
        <v>10.430000000000001</v>
      </c>
      <c r="I37" s="1005">
        <f>VLOOKUP(B37,All_Ingredients!$A$1:$F$161,6,FALSE())</f>
        <v>0.65</v>
      </c>
      <c r="J37" s="1005">
        <f>VLOOKUP(B37,All_Ingredients!$A$1:$J$161,10,FALSE())</f>
        <v>45</v>
      </c>
      <c r="K37" s="1005">
        <f>(H37/I37)/1000</f>
        <v>1.6046153846153849E-2</v>
      </c>
      <c r="L37" s="1005">
        <f>K37*J37</f>
        <v>0.72207692307692317</v>
      </c>
      <c r="R37" s="890"/>
      <c r="T37" s="890"/>
      <c r="W37" s="890"/>
    </row>
    <row r="38" spans="2:23" x14ac:dyDescent="0.25">
      <c r="B38" s="890"/>
      <c r="D38" s="890"/>
      <c r="E38" s="890"/>
      <c r="F38" s="890"/>
      <c r="H38" s="890"/>
      <c r="K38" s="890"/>
      <c r="R38" s="890"/>
      <c r="T38" s="890"/>
      <c r="W38" s="890"/>
    </row>
    <row r="39" spans="2:23" x14ac:dyDescent="0.25">
      <c r="B39" s="890"/>
      <c r="D39" s="890"/>
      <c r="E39" s="890"/>
      <c r="F39" s="890"/>
      <c r="H39" s="890"/>
      <c r="K39" s="890"/>
      <c r="R39" s="890"/>
      <c r="T39" s="890"/>
      <c r="W39" s="890"/>
    </row>
    <row r="40" spans="2:23" ht="26.25" x14ac:dyDescent="0.25">
      <c r="B40" s="890"/>
      <c r="D40" s="890"/>
      <c r="E40" s="890"/>
      <c r="F40" s="890"/>
      <c r="H40" s="890"/>
      <c r="K40" s="890"/>
      <c r="R40" s="1011" t="s">
        <v>270</v>
      </c>
      <c r="S40" s="1012">
        <v>0.76923076923076905</v>
      </c>
      <c r="T40" s="1011" t="s">
        <v>271</v>
      </c>
      <c r="U40" s="1013">
        <v>0.230769230769231</v>
      </c>
      <c r="V40" s="1014">
        <f>S40+U40</f>
        <v>1</v>
      </c>
      <c r="W40" s="890"/>
    </row>
    <row r="41" spans="2:23" x14ac:dyDescent="0.25">
      <c r="B41" s="890"/>
      <c r="D41" s="890"/>
      <c r="E41" s="890"/>
      <c r="F41" s="890"/>
      <c r="H41" s="890"/>
      <c r="K41" s="890"/>
      <c r="R41" s="890"/>
      <c r="T41" s="890"/>
      <c r="U41" s="123"/>
      <c r="W41" s="890"/>
    </row>
    <row r="42" spans="2:23" x14ac:dyDescent="0.25">
      <c r="B42" s="890"/>
      <c r="D42" s="890"/>
      <c r="E42" s="890"/>
      <c r="F42" s="890"/>
      <c r="H42" s="890"/>
      <c r="K42" s="890"/>
      <c r="R42" s="890"/>
      <c r="T42" s="890"/>
      <c r="W42" s="890"/>
    </row>
    <row r="43" spans="2:23" ht="26.25" x14ac:dyDescent="0.25">
      <c r="B43" s="890"/>
      <c r="D43" s="890"/>
      <c r="E43" s="890"/>
      <c r="F43" s="890"/>
      <c r="H43" s="890"/>
      <c r="K43" s="890"/>
      <c r="Q43" s="1015" t="s">
        <v>272</v>
      </c>
      <c r="R43" s="1011" t="s">
        <v>273</v>
      </c>
      <c r="S43" s="1015" t="s">
        <v>274</v>
      </c>
      <c r="T43" s="1011" t="s">
        <v>275</v>
      </c>
      <c r="U43" s="1015" t="s">
        <v>276</v>
      </c>
      <c r="V43" s="1015" t="s">
        <v>277</v>
      </c>
      <c r="W43" s="1011" t="s">
        <v>278</v>
      </c>
    </row>
    <row r="44" spans="2:23" x14ac:dyDescent="0.25">
      <c r="B44" s="890"/>
      <c r="D44" s="890"/>
      <c r="E44" s="890"/>
      <c r="F44" s="890"/>
      <c r="H44" s="890"/>
      <c r="K44" s="890"/>
      <c r="Q44" s="1023">
        <v>43334</v>
      </c>
      <c r="R44" s="1017">
        <f>D51</f>
        <v>10000</v>
      </c>
      <c r="S44" s="1024">
        <v>1</v>
      </c>
      <c r="T44" s="1025">
        <v>0</v>
      </c>
      <c r="U44" s="1096">
        <f>R44*S44</f>
        <v>10000</v>
      </c>
      <c r="V44" s="1021">
        <f>R44*T44</f>
        <v>0</v>
      </c>
      <c r="W44" s="1026">
        <f>Q44-U44</f>
        <v>33334</v>
      </c>
    </row>
    <row r="50" spans="1:11" x14ac:dyDescent="0.25">
      <c r="B50" s="961"/>
      <c r="C50" s="962" t="s">
        <v>233</v>
      </c>
      <c r="D50" s="961" t="s">
        <v>279</v>
      </c>
      <c r="E50" s="80"/>
      <c r="F50" s="80"/>
      <c r="G50" s="962" t="s">
        <v>280</v>
      </c>
      <c r="H50" s="961" t="s">
        <v>233</v>
      </c>
      <c r="I50" s="962" t="s">
        <v>281</v>
      </c>
      <c r="J50" s="962" t="s">
        <v>282</v>
      </c>
      <c r="K50" s="890"/>
    </row>
    <row r="51" spans="1:11" x14ac:dyDescent="0.25">
      <c r="B51" s="1027" t="s">
        <v>283</v>
      </c>
      <c r="C51" s="1028">
        <f>10/$K$1</f>
        <v>10</v>
      </c>
      <c r="D51" s="1029">
        <f>$C$1*10</f>
        <v>10000</v>
      </c>
      <c r="E51" s="135"/>
      <c r="F51" s="80"/>
      <c r="G51" s="1033" t="s">
        <v>283</v>
      </c>
      <c r="H51" s="1122">
        <f>I51/$D$5</f>
        <v>10</v>
      </c>
      <c r="I51" s="1028">
        <f>J51/$R$1</f>
        <v>65360.784313725489</v>
      </c>
      <c r="J51" s="1028">
        <f>$W$44</f>
        <v>33334</v>
      </c>
      <c r="K51" s="890"/>
    </row>
    <row r="52" spans="1:11" x14ac:dyDescent="0.25">
      <c r="B52" s="958" t="s">
        <v>262</v>
      </c>
      <c r="C52" s="1099">
        <f>$I$1</f>
        <v>4.7076923076923123</v>
      </c>
      <c r="D52" s="1100">
        <f>$E$1</f>
        <v>4707.6923076923122</v>
      </c>
      <c r="E52" s="80"/>
      <c r="F52" s="80"/>
      <c r="G52" s="962" t="s">
        <v>262</v>
      </c>
      <c r="H52" s="1052">
        <f>I52/$D$5</f>
        <v>4.7075981557291913</v>
      </c>
      <c r="I52" s="1021">
        <f>J52/$R$1</f>
        <v>30769.230769230759</v>
      </c>
      <c r="J52" s="1030">
        <f>$S$32</f>
        <v>15692.307692307688</v>
      </c>
      <c r="K52" s="890"/>
    </row>
    <row r="53" spans="1:11" x14ac:dyDescent="0.25">
      <c r="B53" s="958" t="s">
        <v>284</v>
      </c>
      <c r="C53" s="1101">
        <f>MIN(C52, C51)</f>
        <v>4.7076923076923123</v>
      </c>
      <c r="D53" s="1100">
        <f>(C53*$K$1)*$C$1</f>
        <v>4707.6923076923122</v>
      </c>
      <c r="E53" s="80"/>
      <c r="F53" s="80"/>
      <c r="G53" s="962" t="s">
        <v>284</v>
      </c>
      <c r="H53" s="1035">
        <f>MIN(H52,H51)</f>
        <v>4.7075981557291913</v>
      </c>
      <c r="I53" s="1021">
        <f>J53/$R$1</f>
        <v>30769.230769230759</v>
      </c>
      <c r="J53" s="1021">
        <f>MIN(J52,J51)</f>
        <v>15692.307692307688</v>
      </c>
      <c r="K53" s="89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1036"/>
      <c r="B62" s="1776" t="str">
        <f>"ستروغانوف لحم  1 / " &amp; COUNTIF($C$53:$C$55, "&gt;0")</f>
        <v>ستروغانوف لحم  1 / 1</v>
      </c>
      <c r="C62" s="1777"/>
      <c r="D62" s="1778"/>
      <c r="E62" s="1778"/>
      <c r="F62" s="1778"/>
      <c r="G62" s="1777"/>
      <c r="H62" s="1778"/>
      <c r="K62" s="890"/>
    </row>
    <row r="63" spans="1:11" x14ac:dyDescent="0.25">
      <c r="A63" s="1036"/>
      <c r="B63" s="1776" t="str">
        <f>"Stroganoff sauce for Beef  1 / " &amp; COUNTIF($C$53:$C$55, "&gt;0")</f>
        <v>Stroganoff sauce for Beef  1 / 1</v>
      </c>
      <c r="C63" s="1777"/>
      <c r="D63" s="1778"/>
      <c r="E63" s="1778"/>
      <c r="F63" s="1778"/>
      <c r="G63" s="1777"/>
      <c r="H63" s="1778"/>
      <c r="K63" s="890"/>
    </row>
    <row r="64" spans="1:11" ht="38.25" x14ac:dyDescent="0.2">
      <c r="A64" s="1350" t="s">
        <v>864</v>
      </c>
      <c r="B64" s="1104" t="s">
        <v>241</v>
      </c>
      <c r="C64" s="934" t="s">
        <v>242</v>
      </c>
      <c r="D64" s="1104" t="s">
        <v>231</v>
      </c>
      <c r="E64" s="936" t="s">
        <v>234</v>
      </c>
      <c r="F64" s="936" t="s">
        <v>243</v>
      </c>
      <c r="G64" s="1104" t="s">
        <v>244</v>
      </c>
      <c r="H64" s="936" t="s">
        <v>245</v>
      </c>
      <c r="K64" s="890"/>
    </row>
    <row r="65" spans="1:11" ht="28.5" x14ac:dyDescent="0.2">
      <c r="A65" s="937" t="s">
        <v>872</v>
      </c>
      <c r="B65" s="1130" t="str">
        <f t="shared" ref="B65:D80" si="7">B5</f>
        <v>Indian Meat Alana  - لحم هندى ألانا</v>
      </c>
      <c r="C65" s="1252" t="str">
        <f t="shared" si="7"/>
        <v>gm</v>
      </c>
      <c r="D65" s="1280">
        <f t="shared" si="7"/>
        <v>6536.0784313725489</v>
      </c>
      <c r="E65" s="918">
        <f>H53</f>
        <v>4.7075981557291913</v>
      </c>
      <c r="F65" s="948">
        <f t="shared" ref="F65:F80" si="8">F5</f>
        <v>1</v>
      </c>
      <c r="G65" s="940">
        <f t="shared" ref="G65:G80" si="9">D65*E65</f>
        <v>30769.230769230759</v>
      </c>
      <c r="H65" s="943">
        <f t="shared" ref="H65:H80" si="10">G65*F65</f>
        <v>30769.230769230759</v>
      </c>
      <c r="K65" s="890"/>
    </row>
    <row r="66" spans="1:11" x14ac:dyDescent="0.25">
      <c r="A66" s="949" t="s">
        <v>866</v>
      </c>
      <c r="B66" s="1130" t="str">
        <f t="shared" si="7"/>
        <v>Onion - بصل</v>
      </c>
      <c r="C66" s="1252" t="str">
        <f t="shared" si="7"/>
        <v>gm</v>
      </c>
      <c r="D66" s="1130">
        <f t="shared" si="7"/>
        <v>200</v>
      </c>
      <c r="E66" s="918">
        <f t="shared" ref="E66:E80" si="11">$C$53</f>
        <v>4.7076923076923123</v>
      </c>
      <c r="F66" s="948">
        <f t="shared" si="8"/>
        <v>0.95</v>
      </c>
      <c r="G66" s="940">
        <f t="shared" si="9"/>
        <v>941.53846153846246</v>
      </c>
      <c r="H66" s="943">
        <f t="shared" si="10"/>
        <v>894.46153846153925</v>
      </c>
      <c r="K66" s="890"/>
    </row>
    <row r="67" spans="1:11" x14ac:dyDescent="0.25">
      <c r="A67" s="949" t="s">
        <v>868</v>
      </c>
      <c r="B67" s="1130" t="str">
        <f t="shared" si="7"/>
        <v>Garlic - ثوم مقشر</v>
      </c>
      <c r="C67" s="1252" t="str">
        <f t="shared" si="7"/>
        <v>gm</v>
      </c>
      <c r="D67" s="1130">
        <f t="shared" si="7"/>
        <v>30</v>
      </c>
      <c r="E67" s="918">
        <f t="shared" si="11"/>
        <v>4.7076923076923123</v>
      </c>
      <c r="F67" s="948">
        <f t="shared" si="8"/>
        <v>0.95</v>
      </c>
      <c r="G67" s="940">
        <f t="shared" si="9"/>
        <v>141.23076923076937</v>
      </c>
      <c r="H67" s="943">
        <f t="shared" si="10"/>
        <v>134.16923076923089</v>
      </c>
      <c r="K67" s="890"/>
    </row>
    <row r="68" spans="1:11" x14ac:dyDescent="0.25">
      <c r="A68" s="949"/>
      <c r="B68" s="1130" t="str">
        <f t="shared" si="7"/>
        <v>Mustard - خردل</v>
      </c>
      <c r="C68" s="1252" t="str">
        <f t="shared" si="7"/>
        <v>gm</v>
      </c>
      <c r="D68" s="1130">
        <f t="shared" si="7"/>
        <v>20</v>
      </c>
      <c r="E68" s="918">
        <f t="shared" si="11"/>
        <v>4.7076923076923123</v>
      </c>
      <c r="F68" s="948">
        <f t="shared" si="8"/>
        <v>1</v>
      </c>
      <c r="G68" s="940">
        <f t="shared" si="9"/>
        <v>94.153846153846246</v>
      </c>
      <c r="H68" s="943">
        <f t="shared" si="10"/>
        <v>94.153846153846246</v>
      </c>
      <c r="K68" s="890"/>
    </row>
    <row r="69" spans="1:11" x14ac:dyDescent="0.25">
      <c r="A69" s="949"/>
      <c r="B69" s="1130" t="str">
        <f t="shared" si="7"/>
        <v>Tomato Paste - صلصة طماطم</v>
      </c>
      <c r="C69" s="1252" t="str">
        <f t="shared" si="7"/>
        <v>gm</v>
      </c>
      <c r="D69" s="1130">
        <f t="shared" si="7"/>
        <v>100</v>
      </c>
      <c r="E69" s="918">
        <f t="shared" si="11"/>
        <v>4.7076923076923123</v>
      </c>
      <c r="F69" s="948">
        <f t="shared" si="8"/>
        <v>1</v>
      </c>
      <c r="G69" s="940">
        <f t="shared" si="9"/>
        <v>470.76923076923123</v>
      </c>
      <c r="H69" s="943">
        <f t="shared" si="10"/>
        <v>470.76923076923123</v>
      </c>
      <c r="K69" s="890"/>
    </row>
    <row r="70" spans="1:11" ht="28.5" x14ac:dyDescent="0.25">
      <c r="A70" s="949"/>
      <c r="B70" s="1130" t="str">
        <f t="shared" si="7"/>
        <v>Saffron yellow color powder - لون صفار زعفران بودر</v>
      </c>
      <c r="C70" s="1252" t="str">
        <f t="shared" si="7"/>
        <v>gm</v>
      </c>
      <c r="D70" s="1130">
        <f t="shared" si="7"/>
        <v>3</v>
      </c>
      <c r="E70" s="918">
        <f t="shared" si="11"/>
        <v>4.7076923076923123</v>
      </c>
      <c r="F70" s="948">
        <f t="shared" si="8"/>
        <v>0.75</v>
      </c>
      <c r="G70" s="940">
        <f t="shared" si="9"/>
        <v>14.123076923076937</v>
      </c>
      <c r="H70" s="943">
        <f t="shared" si="10"/>
        <v>10.592307692307703</v>
      </c>
      <c r="K70" s="890"/>
    </row>
    <row r="71" spans="1:11" x14ac:dyDescent="0.25">
      <c r="A71" s="949"/>
      <c r="B71" s="1130" t="str">
        <f t="shared" si="7"/>
        <v>Water - ماء</v>
      </c>
      <c r="C71" s="1252" t="str">
        <f t="shared" si="7"/>
        <v>ml</v>
      </c>
      <c r="D71" s="1130">
        <f t="shared" si="7"/>
        <v>10</v>
      </c>
      <c r="E71" s="918">
        <f t="shared" si="11"/>
        <v>4.7076923076923123</v>
      </c>
      <c r="F71" s="948">
        <f t="shared" si="8"/>
        <v>1</v>
      </c>
      <c r="G71" s="940">
        <f t="shared" si="9"/>
        <v>47.076923076923123</v>
      </c>
      <c r="H71" s="943">
        <f t="shared" si="10"/>
        <v>47.076923076923123</v>
      </c>
      <c r="K71" s="890"/>
    </row>
    <row r="72" spans="1:11" ht="28.5" x14ac:dyDescent="0.25">
      <c r="A72" s="949"/>
      <c r="B72" s="1130" t="str">
        <f t="shared" si="7"/>
        <v>Black Pepper Powder - فلفل أسود مطحون</v>
      </c>
      <c r="C72" s="1252" t="str">
        <f t="shared" si="7"/>
        <v>gm</v>
      </c>
      <c r="D72" s="1130">
        <f t="shared" si="7"/>
        <v>2</v>
      </c>
      <c r="E72" s="918">
        <f t="shared" si="11"/>
        <v>4.7076923076923123</v>
      </c>
      <c r="F72" s="948">
        <f t="shared" si="8"/>
        <v>1</v>
      </c>
      <c r="G72" s="940">
        <f t="shared" si="9"/>
        <v>9.4153846153846246</v>
      </c>
      <c r="H72" s="943">
        <f t="shared" si="10"/>
        <v>9.4153846153846246</v>
      </c>
      <c r="K72" s="890"/>
    </row>
    <row r="73" spans="1:11" ht="28.5" x14ac:dyDescent="0.25">
      <c r="A73" s="949"/>
      <c r="B73" s="1130" t="str">
        <f t="shared" si="7"/>
        <v>Demi Glaze Sauce - صوص ديمي غلاز</v>
      </c>
      <c r="C73" s="1252" t="str">
        <f t="shared" si="7"/>
        <v>gm</v>
      </c>
      <c r="D73" s="1130">
        <f t="shared" si="7"/>
        <v>25</v>
      </c>
      <c r="E73" s="918">
        <f t="shared" si="11"/>
        <v>4.7076923076923123</v>
      </c>
      <c r="F73" s="948">
        <f t="shared" si="8"/>
        <v>0.75</v>
      </c>
      <c r="G73" s="940">
        <f t="shared" si="9"/>
        <v>117.69230769230781</v>
      </c>
      <c r="H73" s="943">
        <f t="shared" si="10"/>
        <v>88.269230769230859</v>
      </c>
      <c r="K73" s="890"/>
    </row>
    <row r="74" spans="1:11" x14ac:dyDescent="0.25">
      <c r="A74" s="949"/>
      <c r="B74" s="1130" t="str">
        <f t="shared" si="7"/>
        <v>Cooking Cream - كريمة طبخ</v>
      </c>
      <c r="C74" s="1252" t="str">
        <f t="shared" si="7"/>
        <v>ml</v>
      </c>
      <c r="D74" s="1130">
        <f t="shared" si="7"/>
        <v>500</v>
      </c>
      <c r="E74" s="918">
        <f t="shared" si="11"/>
        <v>4.7076923076923123</v>
      </c>
      <c r="F74" s="948">
        <f t="shared" si="8"/>
        <v>1</v>
      </c>
      <c r="G74" s="940">
        <f t="shared" si="9"/>
        <v>2353.8461538461561</v>
      </c>
      <c r="H74" s="943">
        <f t="shared" si="10"/>
        <v>2353.8461538461561</v>
      </c>
      <c r="K74" s="890"/>
    </row>
    <row r="75" spans="1:11" x14ac:dyDescent="0.25">
      <c r="A75" s="949"/>
      <c r="B75" s="1130" t="str">
        <f t="shared" si="7"/>
        <v>Maggi Cubes - مكعبات ماجي</v>
      </c>
      <c r="C75" s="1252" t="str">
        <f t="shared" si="7"/>
        <v>gm</v>
      </c>
      <c r="D75" s="1130">
        <f t="shared" si="7"/>
        <v>8</v>
      </c>
      <c r="E75" s="918">
        <f t="shared" si="11"/>
        <v>4.7076923076923123</v>
      </c>
      <c r="F75" s="948">
        <f t="shared" si="8"/>
        <v>1</v>
      </c>
      <c r="G75" s="940">
        <f t="shared" si="9"/>
        <v>37.661538461538498</v>
      </c>
      <c r="H75" s="943">
        <f t="shared" si="10"/>
        <v>37.661538461538498</v>
      </c>
      <c r="K75" s="890"/>
    </row>
    <row r="76" spans="1:11" x14ac:dyDescent="0.25">
      <c r="A76" s="949"/>
      <c r="B76" s="1130" t="str">
        <f t="shared" si="7"/>
        <v>Salt - ملح</v>
      </c>
      <c r="C76" s="1252" t="str">
        <f t="shared" si="7"/>
        <v>gm</v>
      </c>
      <c r="D76" s="1130">
        <f t="shared" si="7"/>
        <v>5</v>
      </c>
      <c r="E76" s="918">
        <f t="shared" si="11"/>
        <v>4.7076923076923123</v>
      </c>
      <c r="F76" s="948">
        <f t="shared" si="8"/>
        <v>1</v>
      </c>
      <c r="G76" s="940">
        <f t="shared" si="9"/>
        <v>23.538461538461561</v>
      </c>
      <c r="H76" s="943">
        <f t="shared" si="10"/>
        <v>23.538461538461561</v>
      </c>
      <c r="K76" s="890"/>
    </row>
    <row r="77" spans="1:11" x14ac:dyDescent="0.25">
      <c r="A77" s="949"/>
      <c r="B77" s="1130" t="str">
        <f t="shared" si="7"/>
        <v>Corn Starch - نشا ذرة</v>
      </c>
      <c r="C77" s="1252" t="str">
        <f t="shared" si="7"/>
        <v>gm</v>
      </c>
      <c r="D77" s="1130">
        <f t="shared" si="7"/>
        <v>20</v>
      </c>
      <c r="E77" s="918">
        <f t="shared" si="11"/>
        <v>4.7076923076923123</v>
      </c>
      <c r="F77" s="948">
        <f t="shared" si="8"/>
        <v>0.75</v>
      </c>
      <c r="G77" s="940">
        <f t="shared" si="9"/>
        <v>94.153846153846246</v>
      </c>
      <c r="H77" s="943">
        <f t="shared" si="10"/>
        <v>70.615384615384684</v>
      </c>
      <c r="K77" s="890"/>
    </row>
    <row r="78" spans="1:11" x14ac:dyDescent="0.25">
      <c r="A78" s="949" t="s">
        <v>888</v>
      </c>
      <c r="B78" s="1130" t="str">
        <f t="shared" si="7"/>
        <v>Mushroom - مشروم ابيض</v>
      </c>
      <c r="C78" s="1252" t="str">
        <f t="shared" si="7"/>
        <v>gm</v>
      </c>
      <c r="D78" s="1130">
        <f t="shared" si="7"/>
        <v>100</v>
      </c>
      <c r="E78" s="918">
        <f t="shared" si="11"/>
        <v>4.7076923076923123</v>
      </c>
      <c r="F78" s="948">
        <f t="shared" si="8"/>
        <v>1</v>
      </c>
      <c r="G78" s="940">
        <f t="shared" si="9"/>
        <v>470.76923076923123</v>
      </c>
      <c r="H78" s="943">
        <f t="shared" si="10"/>
        <v>470.76923076923123</v>
      </c>
      <c r="K78" s="890"/>
    </row>
    <row r="79" spans="1:11" x14ac:dyDescent="0.25">
      <c r="A79" s="949"/>
      <c r="B79" s="1130" t="str">
        <f t="shared" si="7"/>
        <v>Butter - زبدة</v>
      </c>
      <c r="C79" s="1252" t="str">
        <f t="shared" si="7"/>
        <v>gm</v>
      </c>
      <c r="D79" s="1130">
        <f t="shared" si="7"/>
        <v>20</v>
      </c>
      <c r="E79" s="918">
        <f t="shared" si="11"/>
        <v>4.7076923076923123</v>
      </c>
      <c r="F79" s="948">
        <f t="shared" si="8"/>
        <v>1</v>
      </c>
      <c r="G79" s="940">
        <f t="shared" si="9"/>
        <v>94.153846153846246</v>
      </c>
      <c r="H79" s="943">
        <f t="shared" si="10"/>
        <v>94.153846153846246</v>
      </c>
      <c r="K79" s="890"/>
    </row>
    <row r="80" spans="1:11" ht="28.5" x14ac:dyDescent="0.25">
      <c r="A80" s="949"/>
      <c r="B80" s="1130" t="str">
        <f t="shared" si="7"/>
        <v>Sriracha Sauce - صوص سريراتشا</v>
      </c>
      <c r="C80" s="1252" t="str">
        <f t="shared" si="7"/>
        <v>ml</v>
      </c>
      <c r="D80" s="1130">
        <f t="shared" si="7"/>
        <v>15</v>
      </c>
      <c r="E80" s="918">
        <f t="shared" si="11"/>
        <v>4.7076923076923123</v>
      </c>
      <c r="F80" s="948">
        <f t="shared" si="8"/>
        <v>0.9</v>
      </c>
      <c r="G80" s="940">
        <f t="shared" si="9"/>
        <v>70.615384615384684</v>
      </c>
      <c r="H80" s="943">
        <f t="shared" si="10"/>
        <v>63.553846153846216</v>
      </c>
      <c r="K80" s="890"/>
    </row>
    <row r="81" spans="1:11" ht="18" x14ac:dyDescent="0.25">
      <c r="A81" s="1070"/>
      <c r="B81" s="1041" t="s">
        <v>287</v>
      </c>
      <c r="C81" s="1042" t="s">
        <v>273</v>
      </c>
      <c r="D81" s="1043"/>
      <c r="E81" s="1044" t="s">
        <v>288</v>
      </c>
      <c r="F81" s="1043"/>
      <c r="G81" s="1045" t="s">
        <v>264</v>
      </c>
      <c r="H81" s="1046" t="s">
        <v>661</v>
      </c>
      <c r="K81" s="890"/>
    </row>
    <row r="82" spans="1:11" ht="20.25" x14ac:dyDescent="0.3">
      <c r="A82" s="1070"/>
      <c r="B82" s="1047">
        <f>$J$53</f>
        <v>15692.307692307688</v>
      </c>
      <c r="C82" s="1048">
        <f>E82+G82</f>
        <v>4707.6923076923122</v>
      </c>
      <c r="D82" s="1049"/>
      <c r="E82" s="1047">
        <f>$D$53*$S$44</f>
        <v>4707.6923076923122</v>
      </c>
      <c r="F82" s="1050"/>
      <c r="G82" s="1048">
        <f>$D$53*$T$44</f>
        <v>0</v>
      </c>
      <c r="H82" s="1047">
        <f>B82+E82</f>
        <v>20400</v>
      </c>
      <c r="K82" s="890"/>
    </row>
    <row r="83" spans="1:11" x14ac:dyDescent="0.25">
      <c r="B83" s="80"/>
      <c r="D83" s="890"/>
      <c r="E83" s="80"/>
      <c r="F83" s="80"/>
      <c r="H83" s="890"/>
      <c r="K83" s="890"/>
    </row>
    <row r="84" spans="1:11" x14ac:dyDescent="0.25">
      <c r="B84" s="80"/>
      <c r="C84" s="80"/>
      <c r="D84" s="80"/>
      <c r="E84" s="80"/>
      <c r="F84" s="80"/>
      <c r="G84" s="80"/>
      <c r="H84" s="80"/>
      <c r="K84" s="890"/>
    </row>
    <row r="85" spans="1:11" x14ac:dyDescent="0.25">
      <c r="B85" s="80"/>
      <c r="C85" s="80"/>
      <c r="D85" s="80"/>
      <c r="E85" s="80"/>
      <c r="F85" s="80"/>
      <c r="G85" s="80"/>
      <c r="H85" s="80"/>
      <c r="K85" s="890"/>
    </row>
    <row r="86" spans="1:11" x14ac:dyDescent="0.25">
      <c r="B86" s="80"/>
      <c r="C86" s="80"/>
      <c r="D86" s="80"/>
      <c r="E86" s="80"/>
      <c r="F86" s="80"/>
      <c r="G86" s="80"/>
      <c r="H86" s="80"/>
      <c r="K86" s="890"/>
    </row>
    <row r="87" spans="1:11" x14ac:dyDescent="0.25">
      <c r="A87" s="1385"/>
      <c r="B87" s="1776" t="str">
        <f>"ستروغانوف لحم  2 / " &amp; COUNTIF($C$53:$C$55, "&gt;0")</f>
        <v>ستروغانوف لحم  2 / 1</v>
      </c>
      <c r="C87" s="1787"/>
      <c r="D87" s="1788"/>
      <c r="E87" s="1788"/>
      <c r="F87" s="1788"/>
      <c r="G87" s="1787"/>
      <c r="H87" s="1788"/>
      <c r="K87" s="890"/>
    </row>
    <row r="88" spans="1:11" x14ac:dyDescent="0.25">
      <c r="A88" s="1385"/>
      <c r="B88" s="1776" t="str">
        <f>"Stroganoff sauce for Beef  2 / " &amp; COUNTIF($C$53:$C$55, "&gt;0")</f>
        <v>Stroganoff sauce for Beef  2 / 1</v>
      </c>
      <c r="C88" s="1787"/>
      <c r="D88" s="1788"/>
      <c r="E88" s="1788"/>
      <c r="F88" s="1788"/>
      <c r="G88" s="1787"/>
      <c r="H88" s="1788"/>
      <c r="K88" s="890"/>
    </row>
    <row r="89" spans="1:11" ht="38.25" x14ac:dyDescent="0.2">
      <c r="A89" s="1350" t="s">
        <v>864</v>
      </c>
      <c r="B89" s="1104" t="s">
        <v>241</v>
      </c>
      <c r="C89" s="934" t="s">
        <v>242</v>
      </c>
      <c r="D89" s="1104" t="s">
        <v>231</v>
      </c>
      <c r="E89" s="936" t="s">
        <v>234</v>
      </c>
      <c r="F89" s="936" t="s">
        <v>243</v>
      </c>
      <c r="G89" s="1104" t="s">
        <v>244</v>
      </c>
      <c r="H89" s="936" t="s">
        <v>245</v>
      </c>
      <c r="K89" s="890"/>
    </row>
    <row r="90" spans="1:11" ht="28.5" x14ac:dyDescent="0.2">
      <c r="A90" s="937" t="s">
        <v>872</v>
      </c>
      <c r="B90" s="1130" t="str">
        <f t="shared" ref="B90:D105" si="12">B5</f>
        <v>Indian Meat Alana  - لحم هندى ألانا</v>
      </c>
      <c r="C90" s="1252" t="str">
        <f t="shared" si="12"/>
        <v>gm</v>
      </c>
      <c r="D90" s="1280">
        <f t="shared" si="12"/>
        <v>6536.0784313725489</v>
      </c>
      <c r="E90" s="918">
        <f>H54</f>
        <v>0</v>
      </c>
      <c r="F90" s="948">
        <f t="shared" ref="F90:F105" si="13">F5</f>
        <v>1</v>
      </c>
      <c r="G90" s="940">
        <f t="shared" ref="G90:G105" si="14">D90*E90</f>
        <v>0</v>
      </c>
      <c r="H90" s="943">
        <f t="shared" ref="H90:H105" si="15">G90*F90</f>
        <v>0</v>
      </c>
      <c r="K90" s="890"/>
    </row>
    <row r="91" spans="1:11" x14ac:dyDescent="0.25">
      <c r="A91" s="949" t="s">
        <v>866</v>
      </c>
      <c r="B91" s="1130" t="str">
        <f t="shared" si="12"/>
        <v>Onion - بصل</v>
      </c>
      <c r="C91" s="1252" t="str">
        <f t="shared" si="12"/>
        <v>gm</v>
      </c>
      <c r="D91" s="1130">
        <f t="shared" si="12"/>
        <v>200</v>
      </c>
      <c r="E91" s="918">
        <f t="shared" ref="E91:E105" si="16">$C$54</f>
        <v>0</v>
      </c>
      <c r="F91" s="948">
        <f t="shared" si="13"/>
        <v>0.95</v>
      </c>
      <c r="G91" s="940">
        <f t="shared" si="14"/>
        <v>0</v>
      </c>
      <c r="H91" s="943">
        <f t="shared" si="15"/>
        <v>0</v>
      </c>
      <c r="K91" s="890"/>
    </row>
    <row r="92" spans="1:11" x14ac:dyDescent="0.25">
      <c r="A92" s="949" t="s">
        <v>868</v>
      </c>
      <c r="B92" s="1130" t="str">
        <f t="shared" si="12"/>
        <v>Garlic - ثوم مقشر</v>
      </c>
      <c r="C92" s="1252" t="str">
        <f t="shared" si="12"/>
        <v>gm</v>
      </c>
      <c r="D92" s="1130">
        <f t="shared" si="12"/>
        <v>30</v>
      </c>
      <c r="E92" s="918">
        <f t="shared" si="16"/>
        <v>0</v>
      </c>
      <c r="F92" s="948">
        <f t="shared" si="13"/>
        <v>0.95</v>
      </c>
      <c r="G92" s="940">
        <f t="shared" si="14"/>
        <v>0</v>
      </c>
      <c r="H92" s="943">
        <f t="shared" si="15"/>
        <v>0</v>
      </c>
      <c r="K92" s="890"/>
    </row>
    <row r="93" spans="1:11" x14ac:dyDescent="0.25">
      <c r="A93" s="949"/>
      <c r="B93" s="1130" t="str">
        <f t="shared" si="12"/>
        <v>Mustard - خردل</v>
      </c>
      <c r="C93" s="1252" t="str">
        <f t="shared" si="12"/>
        <v>gm</v>
      </c>
      <c r="D93" s="1130">
        <f t="shared" si="12"/>
        <v>20</v>
      </c>
      <c r="E93" s="918">
        <f t="shared" si="16"/>
        <v>0</v>
      </c>
      <c r="F93" s="948">
        <f t="shared" si="13"/>
        <v>1</v>
      </c>
      <c r="G93" s="940">
        <f t="shared" si="14"/>
        <v>0</v>
      </c>
      <c r="H93" s="943">
        <f t="shared" si="15"/>
        <v>0</v>
      </c>
      <c r="K93" s="890"/>
    </row>
    <row r="94" spans="1:11" x14ac:dyDescent="0.25">
      <c r="A94" s="949"/>
      <c r="B94" s="1130" t="str">
        <f t="shared" si="12"/>
        <v>Tomato Paste - صلصة طماطم</v>
      </c>
      <c r="C94" s="1252" t="str">
        <f t="shared" si="12"/>
        <v>gm</v>
      </c>
      <c r="D94" s="1130">
        <f t="shared" si="12"/>
        <v>100</v>
      </c>
      <c r="E94" s="918">
        <f t="shared" si="16"/>
        <v>0</v>
      </c>
      <c r="F94" s="948">
        <f t="shared" si="13"/>
        <v>1</v>
      </c>
      <c r="G94" s="940">
        <f t="shared" si="14"/>
        <v>0</v>
      </c>
      <c r="H94" s="943">
        <f t="shared" si="15"/>
        <v>0</v>
      </c>
      <c r="K94" s="890"/>
    </row>
    <row r="95" spans="1:11" ht="28.5" x14ac:dyDescent="0.25">
      <c r="A95" s="949"/>
      <c r="B95" s="1130" t="str">
        <f t="shared" si="12"/>
        <v>Saffron yellow color powder - لون صفار زعفران بودر</v>
      </c>
      <c r="C95" s="1252" t="str">
        <f t="shared" si="12"/>
        <v>gm</v>
      </c>
      <c r="D95" s="1130">
        <f t="shared" si="12"/>
        <v>3</v>
      </c>
      <c r="E95" s="918">
        <f t="shared" si="16"/>
        <v>0</v>
      </c>
      <c r="F95" s="948">
        <f t="shared" si="13"/>
        <v>0.75</v>
      </c>
      <c r="G95" s="940">
        <f t="shared" si="14"/>
        <v>0</v>
      </c>
      <c r="H95" s="943">
        <f t="shared" si="15"/>
        <v>0</v>
      </c>
      <c r="K95" s="890"/>
    </row>
    <row r="96" spans="1:11" x14ac:dyDescent="0.25">
      <c r="A96" s="949"/>
      <c r="B96" s="1130" t="str">
        <f t="shared" si="12"/>
        <v>Water - ماء</v>
      </c>
      <c r="C96" s="1252" t="str">
        <f t="shared" si="12"/>
        <v>ml</v>
      </c>
      <c r="D96" s="1130">
        <f t="shared" si="12"/>
        <v>10</v>
      </c>
      <c r="E96" s="918">
        <f t="shared" si="16"/>
        <v>0</v>
      </c>
      <c r="F96" s="948">
        <f t="shared" si="13"/>
        <v>1</v>
      </c>
      <c r="G96" s="940">
        <f t="shared" si="14"/>
        <v>0</v>
      </c>
      <c r="H96" s="943">
        <f t="shared" si="15"/>
        <v>0</v>
      </c>
      <c r="K96" s="890"/>
    </row>
    <row r="97" spans="1:11" ht="28.5" x14ac:dyDescent="0.25">
      <c r="A97" s="949"/>
      <c r="B97" s="1130" t="str">
        <f t="shared" si="12"/>
        <v>Black Pepper Powder - فلفل أسود مطحون</v>
      </c>
      <c r="C97" s="1252" t="str">
        <f t="shared" si="12"/>
        <v>gm</v>
      </c>
      <c r="D97" s="1130">
        <f t="shared" si="12"/>
        <v>2</v>
      </c>
      <c r="E97" s="918">
        <f t="shared" si="16"/>
        <v>0</v>
      </c>
      <c r="F97" s="948">
        <f t="shared" si="13"/>
        <v>1</v>
      </c>
      <c r="G97" s="940">
        <f t="shared" si="14"/>
        <v>0</v>
      </c>
      <c r="H97" s="943">
        <f t="shared" si="15"/>
        <v>0</v>
      </c>
      <c r="K97" s="890"/>
    </row>
    <row r="98" spans="1:11" ht="28.5" x14ac:dyDescent="0.25">
      <c r="A98" s="949"/>
      <c r="B98" s="1130" t="str">
        <f t="shared" si="12"/>
        <v>Demi Glaze Sauce - صوص ديمي غلاز</v>
      </c>
      <c r="C98" s="1252" t="str">
        <f t="shared" si="12"/>
        <v>gm</v>
      </c>
      <c r="D98" s="1130">
        <f t="shared" si="12"/>
        <v>25</v>
      </c>
      <c r="E98" s="918">
        <f t="shared" si="16"/>
        <v>0</v>
      </c>
      <c r="F98" s="948">
        <f t="shared" si="13"/>
        <v>0.75</v>
      </c>
      <c r="G98" s="940">
        <f t="shared" si="14"/>
        <v>0</v>
      </c>
      <c r="H98" s="943">
        <f t="shared" si="15"/>
        <v>0</v>
      </c>
      <c r="K98" s="890"/>
    </row>
    <row r="99" spans="1:11" x14ac:dyDescent="0.25">
      <c r="A99" s="949"/>
      <c r="B99" s="1130" t="str">
        <f t="shared" si="12"/>
        <v>Cooking Cream - كريمة طبخ</v>
      </c>
      <c r="C99" s="1252" t="str">
        <f t="shared" si="12"/>
        <v>ml</v>
      </c>
      <c r="D99" s="1130">
        <f t="shared" si="12"/>
        <v>500</v>
      </c>
      <c r="E99" s="918">
        <f t="shared" si="16"/>
        <v>0</v>
      </c>
      <c r="F99" s="948">
        <f t="shared" si="13"/>
        <v>1</v>
      </c>
      <c r="G99" s="940">
        <f t="shared" si="14"/>
        <v>0</v>
      </c>
      <c r="H99" s="943">
        <f t="shared" si="15"/>
        <v>0</v>
      </c>
      <c r="K99" s="890"/>
    </row>
    <row r="100" spans="1:11" x14ac:dyDescent="0.25">
      <c r="A100" s="949"/>
      <c r="B100" s="1130" t="str">
        <f t="shared" si="12"/>
        <v>Maggi Cubes - مكعبات ماجي</v>
      </c>
      <c r="C100" s="1252" t="str">
        <f t="shared" si="12"/>
        <v>gm</v>
      </c>
      <c r="D100" s="1130">
        <f t="shared" si="12"/>
        <v>8</v>
      </c>
      <c r="E100" s="918">
        <f t="shared" si="16"/>
        <v>0</v>
      </c>
      <c r="F100" s="948">
        <f t="shared" si="13"/>
        <v>1</v>
      </c>
      <c r="G100" s="940">
        <f t="shared" si="14"/>
        <v>0</v>
      </c>
      <c r="H100" s="943">
        <f t="shared" si="15"/>
        <v>0</v>
      </c>
      <c r="K100" s="890"/>
    </row>
    <row r="101" spans="1:11" x14ac:dyDescent="0.25">
      <c r="A101" s="949"/>
      <c r="B101" s="1130" t="str">
        <f t="shared" si="12"/>
        <v>Salt - ملح</v>
      </c>
      <c r="C101" s="1252" t="str">
        <f t="shared" si="12"/>
        <v>gm</v>
      </c>
      <c r="D101" s="1130">
        <f t="shared" si="12"/>
        <v>5</v>
      </c>
      <c r="E101" s="918">
        <f t="shared" si="16"/>
        <v>0</v>
      </c>
      <c r="F101" s="948">
        <f t="shared" si="13"/>
        <v>1</v>
      </c>
      <c r="G101" s="940">
        <f t="shared" si="14"/>
        <v>0</v>
      </c>
      <c r="H101" s="943">
        <f t="shared" si="15"/>
        <v>0</v>
      </c>
      <c r="K101" s="890"/>
    </row>
    <row r="102" spans="1:11" x14ac:dyDescent="0.25">
      <c r="A102" s="949"/>
      <c r="B102" s="1130" t="str">
        <f t="shared" si="12"/>
        <v>Corn Starch - نشا ذرة</v>
      </c>
      <c r="C102" s="1252" t="str">
        <f t="shared" si="12"/>
        <v>gm</v>
      </c>
      <c r="D102" s="1130">
        <f t="shared" si="12"/>
        <v>20</v>
      </c>
      <c r="E102" s="918">
        <f t="shared" si="16"/>
        <v>0</v>
      </c>
      <c r="F102" s="948">
        <f t="shared" si="13"/>
        <v>0.75</v>
      </c>
      <c r="G102" s="940">
        <f t="shared" si="14"/>
        <v>0</v>
      </c>
      <c r="H102" s="943">
        <f t="shared" si="15"/>
        <v>0</v>
      </c>
      <c r="K102" s="890"/>
    </row>
    <row r="103" spans="1:11" x14ac:dyDescent="0.25">
      <c r="A103" s="949" t="s">
        <v>888</v>
      </c>
      <c r="B103" s="1130" t="str">
        <f t="shared" si="12"/>
        <v>Mushroom - مشروم ابيض</v>
      </c>
      <c r="C103" s="1252" t="str">
        <f t="shared" si="12"/>
        <v>gm</v>
      </c>
      <c r="D103" s="1130">
        <f t="shared" si="12"/>
        <v>100</v>
      </c>
      <c r="E103" s="918">
        <f t="shared" si="16"/>
        <v>0</v>
      </c>
      <c r="F103" s="948">
        <f t="shared" si="13"/>
        <v>1</v>
      </c>
      <c r="G103" s="940">
        <f t="shared" si="14"/>
        <v>0</v>
      </c>
      <c r="H103" s="943">
        <f t="shared" si="15"/>
        <v>0</v>
      </c>
      <c r="K103" s="890"/>
    </row>
    <row r="104" spans="1:11" x14ac:dyDescent="0.25">
      <c r="A104" s="949"/>
      <c r="B104" s="1130" t="str">
        <f t="shared" si="12"/>
        <v>Butter - زبدة</v>
      </c>
      <c r="C104" s="1252" t="str">
        <f t="shared" si="12"/>
        <v>gm</v>
      </c>
      <c r="D104" s="1130">
        <f t="shared" si="12"/>
        <v>20</v>
      </c>
      <c r="E104" s="918">
        <f t="shared" si="16"/>
        <v>0</v>
      </c>
      <c r="F104" s="948">
        <f t="shared" si="13"/>
        <v>1</v>
      </c>
      <c r="G104" s="940">
        <f t="shared" si="14"/>
        <v>0</v>
      </c>
      <c r="H104" s="943">
        <f t="shared" si="15"/>
        <v>0</v>
      </c>
      <c r="K104" s="890"/>
    </row>
    <row r="105" spans="1:11" ht="28.5" x14ac:dyDescent="0.25">
      <c r="A105" s="949"/>
      <c r="B105" s="1130" t="str">
        <f t="shared" si="12"/>
        <v>Sriracha Sauce - صوص سريراتشا</v>
      </c>
      <c r="C105" s="1252" t="str">
        <f t="shared" si="12"/>
        <v>ml</v>
      </c>
      <c r="D105" s="1130">
        <f t="shared" si="12"/>
        <v>15</v>
      </c>
      <c r="E105" s="918">
        <f t="shared" si="16"/>
        <v>0</v>
      </c>
      <c r="F105" s="948">
        <f t="shared" si="13"/>
        <v>0.9</v>
      </c>
      <c r="G105" s="940">
        <f t="shared" si="14"/>
        <v>0</v>
      </c>
      <c r="H105" s="943">
        <f t="shared" si="15"/>
        <v>0</v>
      </c>
      <c r="K105" s="890"/>
    </row>
    <row r="106" spans="1:11" ht="18" x14ac:dyDescent="0.25">
      <c r="A106" s="1070"/>
      <c r="B106" s="1041" t="s">
        <v>287</v>
      </c>
      <c r="C106" s="1042" t="s">
        <v>273</v>
      </c>
      <c r="D106" s="1043"/>
      <c r="E106" s="1044" t="s">
        <v>288</v>
      </c>
      <c r="F106" s="1043"/>
      <c r="G106" s="1045" t="s">
        <v>264</v>
      </c>
      <c r="H106" s="1046" t="s">
        <v>661</v>
      </c>
      <c r="K106" s="890"/>
    </row>
    <row r="107" spans="1:11" ht="20.25" x14ac:dyDescent="0.3">
      <c r="A107" s="1070"/>
      <c r="B107" s="1047">
        <f>$J$54</f>
        <v>0</v>
      </c>
      <c r="C107" s="1048">
        <f>E107+G107</f>
        <v>0</v>
      </c>
      <c r="D107" s="1049"/>
      <c r="E107" s="1047">
        <f>$D$54*$S$44</f>
        <v>0</v>
      </c>
      <c r="F107" s="1050"/>
      <c r="G107" s="1048">
        <f>$D$54*$T$44</f>
        <v>0</v>
      </c>
      <c r="H107" s="1047">
        <f>B107+E107</f>
        <v>0</v>
      </c>
      <c r="K107" s="890"/>
    </row>
  </sheetData>
  <mergeCells count="10">
    <mergeCell ref="AE2:AG3"/>
    <mergeCell ref="B88:H88"/>
    <mergeCell ref="R26:U26"/>
    <mergeCell ref="B87:H87"/>
    <mergeCell ref="R25:U25"/>
    <mergeCell ref="B62:H62"/>
    <mergeCell ref="B2:K3"/>
    <mergeCell ref="B63:H63"/>
    <mergeCell ref="C29:G29"/>
    <mergeCell ref="B35:F35"/>
  </mergeCells>
  <printOptions horizontalCentered="1"/>
  <pageMargins left="0.4" right="0.4" top="1" bottom="0.5" header="0.3" footer="0.511811023622047"/>
  <pageSetup paperSize="9" scale="45" fitToHeight="0" orientation="landscape"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6" tint="-0.249977111117893"/>
    <pageSetUpPr fitToPage="1"/>
  </sheetPr>
  <dimension ref="A1:AD129"/>
  <sheetViews>
    <sheetView topLeftCell="P11" zoomScale="55" zoomScaleNormal="55" workbookViewId="0">
      <selection activeCell="T47" sqref="R46:T47"/>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6.75" style="14" customWidth="1"/>
    <col min="15" max="15" width="18.625" style="14" customWidth="1"/>
    <col min="16" max="16" width="1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ol min="25" max="25" width="8.625" style="14" customWidth="1"/>
    <col min="26" max="26" width="12.625" style="14" customWidth="1"/>
    <col min="27" max="27" width="8.625" style="14" customWidth="1"/>
    <col min="28" max="29" width="12.625" style="14" customWidth="1"/>
    <col min="30" max="30" width="8.625" style="14" customWidth="1"/>
    <col min="31" max="16384" width="12.5" style="14"/>
  </cols>
  <sheetData>
    <row r="1" spans="1:30" ht="25.5" x14ac:dyDescent="0.25">
      <c r="B1" s="913" t="s">
        <v>231</v>
      </c>
      <c r="C1" s="914">
        <v>1000</v>
      </c>
      <c r="D1" s="915" t="s">
        <v>232</v>
      </c>
      <c r="E1" s="941">
        <f>T32</f>
        <v>8160</v>
      </c>
      <c r="F1" s="913" t="s">
        <v>233</v>
      </c>
      <c r="G1" s="914">
        <f>E1/C1</f>
        <v>8.16</v>
      </c>
      <c r="H1" s="913" t="s">
        <v>234</v>
      </c>
      <c r="I1" s="1143">
        <f>G1/K1</f>
        <v>8.16</v>
      </c>
      <c r="J1" s="919" t="s">
        <v>235</v>
      </c>
      <c r="K1" s="1208">
        <v>1</v>
      </c>
      <c r="L1" s="80"/>
      <c r="M1" s="70"/>
      <c r="N1" s="71"/>
      <c r="O1" s="72" t="s">
        <v>236</v>
      </c>
      <c r="P1" s="80"/>
      <c r="Q1" s="74" t="s">
        <v>504</v>
      </c>
      <c r="R1" s="890">
        <v>2.5</v>
      </c>
      <c r="T1" s="890"/>
      <c r="W1" s="890"/>
      <c r="Y1" s="923" t="s">
        <v>444</v>
      </c>
      <c r="Z1" s="925">
        <v>20400</v>
      </c>
      <c r="AA1" s="923" t="s">
        <v>544</v>
      </c>
      <c r="AB1" s="925">
        <v>0</v>
      </c>
      <c r="AC1" s="923" t="s">
        <v>537</v>
      </c>
      <c r="AD1" s="925">
        <v>149</v>
      </c>
    </row>
    <row r="2" spans="1:30" ht="15.75" x14ac:dyDescent="0.25">
      <c r="A2" s="863"/>
      <c r="B2" s="1784" t="s">
        <v>403</v>
      </c>
      <c r="C2" s="1787"/>
      <c r="D2" s="1788"/>
      <c r="E2" s="1788"/>
      <c r="F2" s="1788"/>
      <c r="G2" s="1787"/>
      <c r="H2" s="1788"/>
      <c r="I2" s="1576"/>
      <c r="J2" s="1576"/>
      <c r="K2" s="1576"/>
      <c r="L2" s="187"/>
      <c r="M2" s="80"/>
      <c r="N2" s="80"/>
      <c r="O2" s="80"/>
      <c r="P2" s="80"/>
      <c r="Q2" s="80"/>
      <c r="R2" s="890"/>
      <c r="T2" s="890"/>
      <c r="W2" s="890"/>
    </row>
    <row r="3" spans="1:30" ht="15.75" x14ac:dyDescent="0.25">
      <c r="A3" s="863"/>
      <c r="B3" s="1785"/>
      <c r="C3" s="1796"/>
      <c r="D3" s="1785"/>
      <c r="E3" s="1785"/>
      <c r="F3" s="1785"/>
      <c r="G3" s="1796"/>
      <c r="H3" s="1785"/>
      <c r="I3" s="265"/>
      <c r="J3" s="265"/>
      <c r="K3" s="269"/>
      <c r="L3" s="187"/>
      <c r="M3" s="80"/>
      <c r="N3" s="80"/>
      <c r="O3" s="80"/>
      <c r="P3" s="80"/>
      <c r="Q3" s="80"/>
      <c r="R3" s="890"/>
      <c r="T3" s="890"/>
      <c r="W3" s="890"/>
    </row>
    <row r="4" spans="1:30" ht="25.5"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R4" s="890"/>
      <c r="T4" s="890"/>
      <c r="W4" s="890"/>
    </row>
    <row r="5" spans="1:30" x14ac:dyDescent="0.2">
      <c r="A5" s="937"/>
      <c r="B5" s="914" t="s">
        <v>404</v>
      </c>
      <c r="C5" s="947" t="s">
        <v>14</v>
      </c>
      <c r="D5" s="1603">
        <f>I51/H51</f>
        <v>600</v>
      </c>
      <c r="E5" s="1040">
        <f t="shared" ref="E5:E20" si="0">$I$1</f>
        <v>8.16</v>
      </c>
      <c r="F5" s="948">
        <v>1</v>
      </c>
      <c r="G5" s="944">
        <f>D5*E5</f>
        <v>4896</v>
      </c>
      <c r="H5" s="943">
        <f>G5*F5</f>
        <v>4896</v>
      </c>
      <c r="I5" s="914">
        <f>VLOOKUP(B5,All_Ingredients!$A$1:$F$161,6,FALSE())</f>
        <v>1</v>
      </c>
      <c r="J5" s="940">
        <f>VLOOKUP(B5,All_Ingredients!$A$1:$J$161,10,FALSE())</f>
        <v>8.3333333333333321</v>
      </c>
      <c r="K5" s="945">
        <f>(H5/I5)/1000</f>
        <v>4.8959999999999999</v>
      </c>
      <c r="L5" s="945">
        <f>K5*J5</f>
        <v>40.79999999999999</v>
      </c>
      <c r="M5" s="80"/>
      <c r="N5" s="80"/>
      <c r="O5" s="80"/>
      <c r="R5" s="890"/>
      <c r="T5" s="890"/>
      <c r="W5" s="890"/>
    </row>
    <row r="6" spans="1:30" x14ac:dyDescent="0.25">
      <c r="A6" s="949"/>
      <c r="B6" s="1130" t="s">
        <v>12</v>
      </c>
      <c r="C6" s="947" t="s">
        <v>14</v>
      </c>
      <c r="D6" s="1039">
        <v>202.12765957446808</v>
      </c>
      <c r="E6" s="1040">
        <f t="shared" si="0"/>
        <v>8.16</v>
      </c>
      <c r="F6" s="948">
        <v>0.95</v>
      </c>
      <c r="G6" s="944">
        <f t="shared" ref="G6:G20" si="1">D6*E6</f>
        <v>1649.3617021276596</v>
      </c>
      <c r="H6" s="943">
        <f t="shared" ref="H6:H20" si="2">G6*F6</f>
        <v>1566.8936170212764</v>
      </c>
      <c r="I6" s="914">
        <f>VLOOKUP(B6,All_Ingredients!$A$1:$F$161,6,FALSE())</f>
        <v>0.9</v>
      </c>
      <c r="J6" s="940">
        <f>VLOOKUP(B6,All_Ingredients!$A$1:$J$161,10,FALSE())</f>
        <v>3</v>
      </c>
      <c r="K6" s="945">
        <f t="shared" ref="K6:K20" si="3">(H6/I6)/1000</f>
        <v>1.7409929078014181</v>
      </c>
      <c r="L6" s="945">
        <f t="shared" ref="L6:L20" si="4">K6*J6</f>
        <v>5.2229787234042542</v>
      </c>
      <c r="R6" s="890"/>
      <c r="T6" s="890"/>
      <c r="W6" s="890"/>
    </row>
    <row r="7" spans="1:30" x14ac:dyDescent="0.25">
      <c r="A7" s="949"/>
      <c r="B7" s="1130" t="s">
        <v>706</v>
      </c>
      <c r="C7" s="947" t="s">
        <v>14</v>
      </c>
      <c r="D7" s="1039">
        <v>30.319148936170212</v>
      </c>
      <c r="E7" s="1040">
        <f t="shared" si="0"/>
        <v>8.16</v>
      </c>
      <c r="F7" s="948">
        <v>0.95</v>
      </c>
      <c r="G7" s="944">
        <f t="shared" si="1"/>
        <v>247.40425531914894</v>
      </c>
      <c r="H7" s="943">
        <f t="shared" si="2"/>
        <v>235.03404255319148</v>
      </c>
      <c r="I7" s="914">
        <f>VLOOKUP(B7,All_Ingredients!$A$1:$F$161,6,FALSE())</f>
        <v>1</v>
      </c>
      <c r="J7" s="940">
        <f>VLOOKUP(B7,All_Ingredients!$A$1:$J$161,10,FALSE())</f>
        <v>10.5</v>
      </c>
      <c r="K7" s="945">
        <f t="shared" si="3"/>
        <v>0.23503404255319149</v>
      </c>
      <c r="L7" s="945">
        <f t="shared" si="4"/>
        <v>2.4678574468085106</v>
      </c>
      <c r="R7" s="890"/>
      <c r="T7" s="890"/>
      <c r="W7" s="890"/>
    </row>
    <row r="8" spans="1:30" x14ac:dyDescent="0.25">
      <c r="A8" s="949"/>
      <c r="B8" s="1130" t="s">
        <v>202</v>
      </c>
      <c r="C8" s="947" t="s">
        <v>14</v>
      </c>
      <c r="D8" s="1039">
        <v>20.212765957446805</v>
      </c>
      <c r="E8" s="1040">
        <f t="shared" si="0"/>
        <v>8.16</v>
      </c>
      <c r="F8" s="948">
        <v>1</v>
      </c>
      <c r="G8" s="944">
        <f t="shared" si="1"/>
        <v>164.93617021276594</v>
      </c>
      <c r="H8" s="943">
        <f t="shared" si="2"/>
        <v>164.93617021276594</v>
      </c>
      <c r="I8" s="914">
        <f>VLOOKUP(B8,All_Ingredients!$A$1:$F$161,6,FALSE())</f>
        <v>1</v>
      </c>
      <c r="J8" s="940">
        <f>VLOOKUP(B8,All_Ingredients!$A$1:$J$161,10,FALSE())</f>
        <v>11.243386243386244</v>
      </c>
      <c r="K8" s="945">
        <f t="shared" si="3"/>
        <v>0.16493617021276594</v>
      </c>
      <c r="L8" s="945">
        <f t="shared" si="4"/>
        <v>1.8544410672070244</v>
      </c>
      <c r="R8" s="890"/>
      <c r="T8" s="890"/>
      <c r="W8" s="890"/>
    </row>
    <row r="9" spans="1:30" x14ac:dyDescent="0.25">
      <c r="A9" s="949"/>
      <c r="B9" s="1130" t="s">
        <v>678</v>
      </c>
      <c r="C9" s="947" t="s">
        <v>14</v>
      </c>
      <c r="D9" s="1039">
        <v>101.06382978723404</v>
      </c>
      <c r="E9" s="1040">
        <f t="shared" si="0"/>
        <v>8.16</v>
      </c>
      <c r="F9" s="948">
        <v>1</v>
      </c>
      <c r="G9" s="944">
        <f t="shared" si="1"/>
        <v>824.68085106382978</v>
      </c>
      <c r="H9" s="943">
        <f t="shared" si="2"/>
        <v>824.68085106382978</v>
      </c>
      <c r="I9" s="914">
        <f>VLOOKUP(B9,All_Ingredients!$A$1:$F$161,6,FALSE())</f>
        <v>1</v>
      </c>
      <c r="J9" s="940">
        <f>VLOOKUP(B9,All_Ingredients!$A$1:$J$161,10,FALSE())</f>
        <v>8.1520833333333336</v>
      </c>
      <c r="K9" s="945">
        <f t="shared" si="3"/>
        <v>0.82468085106382982</v>
      </c>
      <c r="L9" s="945">
        <f t="shared" si="4"/>
        <v>6.7228670212765964</v>
      </c>
      <c r="R9" s="890"/>
      <c r="T9" s="890"/>
      <c r="W9" s="890"/>
    </row>
    <row r="10" spans="1:30" ht="28.5" x14ac:dyDescent="0.25">
      <c r="A10" s="949"/>
      <c r="B10" s="1130" t="s">
        <v>799</v>
      </c>
      <c r="C10" s="947" t="s">
        <v>14</v>
      </c>
      <c r="D10" s="1039">
        <v>3.0319148936170208</v>
      </c>
      <c r="E10" s="1040">
        <f t="shared" si="0"/>
        <v>8.16</v>
      </c>
      <c r="F10" s="948">
        <v>0.75</v>
      </c>
      <c r="G10" s="944">
        <f t="shared" si="1"/>
        <v>24.740425531914891</v>
      </c>
      <c r="H10" s="943">
        <f t="shared" si="2"/>
        <v>18.555319148936167</v>
      </c>
      <c r="I10" s="914">
        <f>VLOOKUP(B10,All_Ingredients!$A$1:$F$161,6,FALSE())</f>
        <v>1</v>
      </c>
      <c r="J10" s="940">
        <f>VLOOKUP(B10,All_Ingredients!$A$1:$J$161,10,FALSE())</f>
        <v>22.5</v>
      </c>
      <c r="K10" s="945">
        <f t="shared" si="3"/>
        <v>1.8555319148936166E-2</v>
      </c>
      <c r="L10" s="945">
        <f t="shared" si="4"/>
        <v>0.41749468085106373</v>
      </c>
      <c r="R10" s="890"/>
      <c r="T10" s="890"/>
      <c r="W10" s="890"/>
    </row>
    <row r="11" spans="1:30" x14ac:dyDescent="0.25">
      <c r="A11" s="949"/>
      <c r="B11" s="1130" t="s">
        <v>203</v>
      </c>
      <c r="C11" s="947" t="s">
        <v>160</v>
      </c>
      <c r="D11" s="1039">
        <v>200</v>
      </c>
      <c r="E11" s="1040">
        <f t="shared" si="0"/>
        <v>8.16</v>
      </c>
      <c r="F11" s="948">
        <v>1</v>
      </c>
      <c r="G11" s="944">
        <f t="shared" si="1"/>
        <v>1632</v>
      </c>
      <c r="H11" s="943">
        <f t="shared" si="2"/>
        <v>1632</v>
      </c>
      <c r="I11" s="914">
        <f>VLOOKUP(B11,All_Ingredients!$A$1:$F$161,6,FALSE())</f>
        <v>1</v>
      </c>
      <c r="J11" s="940">
        <f>VLOOKUP(B11,All_Ingredients!$A$1:$J$161,10,FALSE())</f>
        <v>0</v>
      </c>
      <c r="K11" s="945">
        <f t="shared" si="3"/>
        <v>1.6319999999999999</v>
      </c>
      <c r="L11" s="945">
        <f t="shared" si="4"/>
        <v>0</v>
      </c>
      <c r="R11" s="890"/>
      <c r="T11" s="890"/>
      <c r="W11" s="890"/>
    </row>
    <row r="12" spans="1:30" ht="28.5" x14ac:dyDescent="0.25">
      <c r="A12" s="949"/>
      <c r="B12" s="1130" t="s">
        <v>99</v>
      </c>
      <c r="C12" s="947" t="s">
        <v>14</v>
      </c>
      <c r="D12" s="1039">
        <v>2.0212765957446805</v>
      </c>
      <c r="E12" s="1040">
        <f t="shared" si="0"/>
        <v>8.16</v>
      </c>
      <c r="F12" s="948">
        <v>1</v>
      </c>
      <c r="G12" s="944">
        <f t="shared" si="1"/>
        <v>16.493617021276595</v>
      </c>
      <c r="H12" s="943">
        <f t="shared" si="2"/>
        <v>16.493617021276595</v>
      </c>
      <c r="I12" s="914">
        <f>VLOOKUP(B12,All_Ingredients!$A$1:$F$161,6,FALSE())</f>
        <v>1</v>
      </c>
      <c r="J12" s="940">
        <f>VLOOKUP(B12,All_Ingredients!$A$1:$J$161,10,FALSE())</f>
        <v>31</v>
      </c>
      <c r="K12" s="945">
        <f t="shared" si="3"/>
        <v>1.6493617021276594E-2</v>
      </c>
      <c r="L12" s="945">
        <f t="shared" si="4"/>
        <v>0.51130212765957439</v>
      </c>
      <c r="R12" s="890"/>
      <c r="T12" s="890"/>
      <c r="W12" s="890"/>
    </row>
    <row r="13" spans="1:30" ht="28.5" x14ac:dyDescent="0.25">
      <c r="A13" s="949"/>
      <c r="B13" s="1130" t="s">
        <v>200</v>
      </c>
      <c r="C13" s="947" t="s">
        <v>14</v>
      </c>
      <c r="D13" s="1039">
        <v>25.26595744680851</v>
      </c>
      <c r="E13" s="1040">
        <f t="shared" si="0"/>
        <v>8.16</v>
      </c>
      <c r="F13" s="948">
        <v>0.75</v>
      </c>
      <c r="G13" s="944">
        <f t="shared" si="1"/>
        <v>206.17021276595744</v>
      </c>
      <c r="H13" s="943">
        <f t="shared" si="2"/>
        <v>154.62765957446808</v>
      </c>
      <c r="I13" s="914">
        <f>VLOOKUP(B13,All_Ingredients!$A$1:$F$161,6,FALSE())</f>
        <v>1</v>
      </c>
      <c r="J13" s="940">
        <f>VLOOKUP(B13,All_Ingredients!$A$1:$J$161,10,FALSE())</f>
        <v>63.333333333333336</v>
      </c>
      <c r="K13" s="945">
        <f t="shared" si="3"/>
        <v>0.15462765957446808</v>
      </c>
      <c r="L13" s="945">
        <f t="shared" si="4"/>
        <v>9.7930851063829785</v>
      </c>
      <c r="R13" s="890"/>
      <c r="T13" s="890"/>
      <c r="W13" s="890"/>
    </row>
    <row r="14" spans="1:30" x14ac:dyDescent="0.25">
      <c r="A14" s="949"/>
      <c r="B14" s="1130" t="s">
        <v>166</v>
      </c>
      <c r="C14" s="947" t="s">
        <v>160</v>
      </c>
      <c r="D14" s="1039">
        <v>505.31914893617017</v>
      </c>
      <c r="E14" s="1040">
        <f t="shared" si="0"/>
        <v>8.16</v>
      </c>
      <c r="F14" s="948">
        <v>1</v>
      </c>
      <c r="G14" s="944">
        <f t="shared" si="1"/>
        <v>4123.4042553191484</v>
      </c>
      <c r="H14" s="943">
        <f t="shared" si="2"/>
        <v>4123.4042553191484</v>
      </c>
      <c r="I14" s="914">
        <f>VLOOKUP(B14,All_Ingredients!$A$1:$F$161,6,FALSE())</f>
        <v>1</v>
      </c>
      <c r="J14" s="940">
        <f>VLOOKUP(B14,All_Ingredients!$A$1:$J$161,10,FALSE())</f>
        <v>12.666666666666666</v>
      </c>
      <c r="K14" s="945">
        <f t="shared" si="3"/>
        <v>4.1234042553191488</v>
      </c>
      <c r="L14" s="945">
        <f t="shared" si="4"/>
        <v>52.229787234042547</v>
      </c>
      <c r="R14" s="890"/>
      <c r="T14" s="890"/>
      <c r="W14" s="890"/>
    </row>
    <row r="15" spans="1:30" x14ac:dyDescent="0.25">
      <c r="A15" s="949"/>
      <c r="B15" s="1130" t="s">
        <v>139</v>
      </c>
      <c r="C15" s="947" t="s">
        <v>14</v>
      </c>
      <c r="D15" s="1039">
        <v>8.0851063829787222</v>
      </c>
      <c r="E15" s="1040">
        <f t="shared" si="0"/>
        <v>8.16</v>
      </c>
      <c r="F15" s="948">
        <v>1</v>
      </c>
      <c r="G15" s="944">
        <f t="shared" si="1"/>
        <v>65.97446808510638</v>
      </c>
      <c r="H15" s="943">
        <f t="shared" si="2"/>
        <v>65.97446808510638</v>
      </c>
      <c r="I15" s="914">
        <f>VLOOKUP(B15,All_Ingredients!$A$1:$F$161,6,FALSE())</f>
        <v>1</v>
      </c>
      <c r="J15" s="940">
        <f>VLOOKUP(B15,All_Ingredients!$A$1:$J$161,10,FALSE())</f>
        <v>15.277777777777779</v>
      </c>
      <c r="K15" s="945">
        <f t="shared" si="3"/>
        <v>6.5974468085106375E-2</v>
      </c>
      <c r="L15" s="945">
        <f t="shared" si="4"/>
        <v>1.0079432624113474</v>
      </c>
      <c r="R15" s="890"/>
      <c r="T15" s="890"/>
      <c r="W15" s="890"/>
    </row>
    <row r="16" spans="1:30" x14ac:dyDescent="0.25">
      <c r="A16" s="949"/>
      <c r="B16" s="1130" t="s">
        <v>93</v>
      </c>
      <c r="C16" s="947" t="s">
        <v>14</v>
      </c>
      <c r="D16" s="1039">
        <v>5.0531914893617014</v>
      </c>
      <c r="E16" s="1040">
        <f t="shared" si="0"/>
        <v>8.16</v>
      </c>
      <c r="F16" s="948">
        <v>1</v>
      </c>
      <c r="G16" s="944">
        <f t="shared" si="1"/>
        <v>41.234042553191486</v>
      </c>
      <c r="H16" s="943">
        <f t="shared" si="2"/>
        <v>41.234042553191486</v>
      </c>
      <c r="I16" s="914">
        <f>VLOOKUP(B16,All_Ingredients!$A$1:$F$161,6,FALSE())</f>
        <v>1</v>
      </c>
      <c r="J16" s="940">
        <f>VLOOKUP(B16,All_Ingredients!$A$1:$J$161,10,FALSE())</f>
        <v>0.74</v>
      </c>
      <c r="K16" s="945">
        <f t="shared" si="3"/>
        <v>4.1234042553191484E-2</v>
      </c>
      <c r="L16" s="945">
        <f t="shared" si="4"/>
        <v>3.0513191489361699E-2</v>
      </c>
      <c r="R16" s="890"/>
      <c r="T16" s="890"/>
      <c r="W16" s="890"/>
    </row>
    <row r="17" spans="1:29" x14ac:dyDescent="0.25">
      <c r="A17" s="949"/>
      <c r="B17" s="1130" t="s">
        <v>187</v>
      </c>
      <c r="C17" s="947" t="s">
        <v>14</v>
      </c>
      <c r="D17" s="1039">
        <v>70.744680851063819</v>
      </c>
      <c r="E17" s="1040">
        <f t="shared" si="0"/>
        <v>8.16</v>
      </c>
      <c r="F17" s="948">
        <v>0.75</v>
      </c>
      <c r="G17" s="944">
        <f t="shared" si="1"/>
        <v>577.27659574468078</v>
      </c>
      <c r="H17" s="943">
        <f t="shared" si="2"/>
        <v>432.95744680851055</v>
      </c>
      <c r="I17" s="914">
        <f>VLOOKUP(B17,All_Ingredients!$A$1:$F$161,6,FALSE())</f>
        <v>0.9</v>
      </c>
      <c r="J17" s="940">
        <f>VLOOKUP(B17,All_Ingredients!$A$1:$J$161,10,FALSE())</f>
        <v>2.3199999999999998</v>
      </c>
      <c r="K17" s="945">
        <f t="shared" si="3"/>
        <v>0.48106382978723394</v>
      </c>
      <c r="L17" s="945">
        <f t="shared" si="4"/>
        <v>1.1160680851063827</v>
      </c>
      <c r="R17" s="890"/>
      <c r="T17" s="890"/>
      <c r="W17" s="890"/>
    </row>
    <row r="18" spans="1:29" x14ac:dyDescent="0.25">
      <c r="A18" s="949"/>
      <c r="B18" s="1130" t="s">
        <v>733</v>
      </c>
      <c r="C18" s="947" t="s">
        <v>14</v>
      </c>
      <c r="D18" s="1039">
        <v>101.06382978723404</v>
      </c>
      <c r="E18" s="1040">
        <f t="shared" si="0"/>
        <v>8.16</v>
      </c>
      <c r="F18" s="948">
        <v>1</v>
      </c>
      <c r="G18" s="944">
        <f t="shared" si="1"/>
        <v>824.68085106382978</v>
      </c>
      <c r="H18" s="943">
        <f t="shared" si="2"/>
        <v>824.68085106382978</v>
      </c>
      <c r="I18" s="914">
        <f>VLOOKUP(B18,All_Ingredients!$A$1:$F$161,6,FALSE())</f>
        <v>1</v>
      </c>
      <c r="J18" s="940">
        <f>VLOOKUP(B18,All_Ingredients!$A$1:$J$161,10,FALSE())</f>
        <v>22</v>
      </c>
      <c r="K18" s="945">
        <f t="shared" si="3"/>
        <v>0.82468085106382982</v>
      </c>
      <c r="L18" s="945">
        <f t="shared" si="4"/>
        <v>18.142978723404255</v>
      </c>
      <c r="R18" s="890"/>
      <c r="T18" s="890"/>
      <c r="W18" s="890"/>
    </row>
    <row r="19" spans="1:29" x14ac:dyDescent="0.25">
      <c r="A19" s="949"/>
      <c r="B19" s="960" t="s">
        <v>152</v>
      </c>
      <c r="C19" s="947" t="s">
        <v>14</v>
      </c>
      <c r="D19" s="1039">
        <v>20.212765957446805</v>
      </c>
      <c r="E19" s="1040">
        <f t="shared" si="0"/>
        <v>8.16</v>
      </c>
      <c r="F19" s="948">
        <v>1</v>
      </c>
      <c r="G19" s="944">
        <f t="shared" si="1"/>
        <v>164.93617021276594</v>
      </c>
      <c r="H19" s="943">
        <f t="shared" si="2"/>
        <v>164.93617021276594</v>
      </c>
      <c r="I19" s="914">
        <f>VLOOKUP(B19,All_Ingredients!$A$1:$F$161,6,FALSE())</f>
        <v>1</v>
      </c>
      <c r="J19" s="940">
        <f>VLOOKUP(B19,All_Ingredients!$A$1:$J$161,10,FALSE())</f>
        <v>30</v>
      </c>
      <c r="K19" s="945">
        <f t="shared" si="3"/>
        <v>0.16493617021276594</v>
      </c>
      <c r="L19" s="945">
        <f t="shared" si="4"/>
        <v>4.9480851063829778</v>
      </c>
      <c r="R19" s="890"/>
      <c r="T19" s="890"/>
      <c r="W19" s="890"/>
    </row>
    <row r="20" spans="1:29" ht="29.25" x14ac:dyDescent="0.25">
      <c r="A20" s="949"/>
      <c r="B20" s="960" t="s">
        <v>192</v>
      </c>
      <c r="C20" s="947" t="s">
        <v>160</v>
      </c>
      <c r="D20" s="1039">
        <v>15.159574468085106</v>
      </c>
      <c r="E20" s="1040">
        <f t="shared" si="0"/>
        <v>8.16</v>
      </c>
      <c r="F20" s="948">
        <v>0.9</v>
      </c>
      <c r="G20" s="944">
        <f t="shared" si="1"/>
        <v>123.70212765957447</v>
      </c>
      <c r="H20" s="943">
        <f t="shared" si="2"/>
        <v>111.33191489361703</v>
      </c>
      <c r="I20" s="914">
        <f>VLOOKUP(B20,All_Ingredients!$A$1:$F$161,6,FALSE())</f>
        <v>1</v>
      </c>
      <c r="J20" s="940">
        <f>VLOOKUP(B20,All_Ingredients!$A$1:$J$161,10,FALSE())</f>
        <v>58.685446009389672</v>
      </c>
      <c r="K20" s="945">
        <f t="shared" si="3"/>
        <v>0.11133191489361703</v>
      </c>
      <c r="L20" s="945">
        <f t="shared" si="4"/>
        <v>6.5335630806113283</v>
      </c>
      <c r="R20" s="890"/>
      <c r="T20" s="890"/>
      <c r="W20" s="890"/>
    </row>
    <row r="21" spans="1:29" x14ac:dyDescent="0.25">
      <c r="B21" s="80"/>
      <c r="C21" s="125"/>
      <c r="D21" s="80"/>
      <c r="E21" s="80"/>
      <c r="F21" s="80"/>
      <c r="G21" s="125"/>
      <c r="H21" s="890"/>
      <c r="K21" s="890"/>
      <c r="L21" s="190"/>
      <c r="R21" s="890"/>
      <c r="S21" s="952">
        <v>6600</v>
      </c>
      <c r="T21" s="1043">
        <f>S21*U40</f>
        <v>2640</v>
      </c>
      <c r="U21" s="952">
        <v>12000</v>
      </c>
      <c r="W21" s="890"/>
    </row>
    <row r="22" spans="1:29" x14ac:dyDescent="0.25">
      <c r="B22" s="890"/>
      <c r="D22" s="890"/>
      <c r="E22" s="890"/>
      <c r="F22" s="890"/>
      <c r="H22" s="890"/>
      <c r="K22" s="890"/>
      <c r="R22" s="890"/>
      <c r="S22" s="952"/>
      <c r="T22" s="1043"/>
      <c r="U22" s="952">
        <v>9240</v>
      </c>
      <c r="W22" s="890"/>
    </row>
    <row r="23" spans="1:29" x14ac:dyDescent="0.25">
      <c r="B23" s="890"/>
      <c r="D23" s="890"/>
      <c r="E23" s="890"/>
      <c r="F23" s="890"/>
      <c r="H23" s="890"/>
      <c r="K23" s="890"/>
      <c r="R23" s="890"/>
      <c r="S23" s="952">
        <f>U23*S40</f>
        <v>1656</v>
      </c>
      <c r="T23" s="1043">
        <f>U23*U40</f>
        <v>1104</v>
      </c>
      <c r="U23" s="952">
        <f>U21-U22</f>
        <v>2760</v>
      </c>
      <c r="W23" s="890"/>
    </row>
    <row r="24" spans="1:29" x14ac:dyDescent="0.25">
      <c r="B24" s="890"/>
      <c r="D24" s="890"/>
      <c r="E24" s="890"/>
      <c r="F24" s="890"/>
      <c r="H24" s="890"/>
      <c r="K24" s="890"/>
      <c r="R24" s="890"/>
      <c r="T24" s="890"/>
      <c r="W24" s="890"/>
      <c r="Z24" s="597"/>
    </row>
    <row r="25" spans="1:29" x14ac:dyDescent="0.25">
      <c r="B25" s="890"/>
      <c r="D25" s="890"/>
      <c r="E25" s="890"/>
      <c r="F25" s="890"/>
      <c r="H25" s="890"/>
      <c r="K25" s="890"/>
      <c r="R25" s="1792" t="s">
        <v>405</v>
      </c>
      <c r="S25" s="1787"/>
      <c r="T25" s="1788"/>
      <c r="U25" s="1787"/>
      <c r="W25" s="890"/>
      <c r="Z25" s="982" t="s">
        <v>252</v>
      </c>
      <c r="AA25" s="989">
        <v>1</v>
      </c>
      <c r="AB25" s="982" t="s">
        <v>249</v>
      </c>
      <c r="AC25" s="985">
        <f>AC30*AA25</f>
        <v>7.4411257282861864E-3</v>
      </c>
    </row>
    <row r="26" spans="1:29" x14ac:dyDescent="0.25">
      <c r="B26" s="890"/>
      <c r="D26" s="890"/>
      <c r="E26" s="890"/>
      <c r="F26" s="890"/>
      <c r="H26" s="890"/>
      <c r="K26" s="890"/>
      <c r="R26" s="1792" t="s">
        <v>406</v>
      </c>
      <c r="S26" s="1787"/>
      <c r="T26" s="1788"/>
      <c r="U26" s="1787"/>
      <c r="W26" s="890"/>
    </row>
    <row r="27" spans="1:29" x14ac:dyDescent="0.25">
      <c r="B27" s="890"/>
      <c r="D27" s="890"/>
      <c r="E27" s="890"/>
      <c r="F27" s="890"/>
      <c r="H27" s="890"/>
      <c r="K27" s="890"/>
      <c r="R27" s="961" t="s">
        <v>254</v>
      </c>
      <c r="S27" s="962" t="s">
        <v>351</v>
      </c>
      <c r="T27" s="961" t="s">
        <v>256</v>
      </c>
      <c r="U27" s="962" t="s">
        <v>257</v>
      </c>
      <c r="W27" s="890"/>
      <c r="Z27" s="982" t="s">
        <v>258</v>
      </c>
      <c r="AA27" s="982" t="s">
        <v>351</v>
      </c>
      <c r="AB27" s="982" t="s">
        <v>260</v>
      </c>
      <c r="AC27" s="982" t="s">
        <v>262</v>
      </c>
    </row>
    <row r="28" spans="1:29" x14ac:dyDescent="0.25">
      <c r="B28" s="898"/>
      <c r="D28" s="1365"/>
      <c r="E28" s="80"/>
      <c r="F28" s="80"/>
      <c r="H28" s="890"/>
      <c r="K28" s="890"/>
      <c r="R28" s="961" t="s">
        <v>263</v>
      </c>
      <c r="S28" s="966">
        <f>U28*S40</f>
        <v>12240</v>
      </c>
      <c r="T28" s="967">
        <f>U28*U40</f>
        <v>8160</v>
      </c>
      <c r="U28" s="1377">
        <f>$Z$1</f>
        <v>20400</v>
      </c>
      <c r="W28" s="890"/>
      <c r="Z28" s="1086"/>
      <c r="AA28" s="985">
        <f>AA25*$S$40</f>
        <v>0.6</v>
      </c>
      <c r="AB28" s="985">
        <f>AA25*$U$40</f>
        <v>0.4</v>
      </c>
      <c r="AC28" s="1088">
        <f>SUM(AA28:AB28)</f>
        <v>1</v>
      </c>
    </row>
    <row r="29" spans="1:29" x14ac:dyDescent="0.25">
      <c r="B29" s="898"/>
      <c r="D29" s="1365"/>
      <c r="E29" s="80"/>
      <c r="F29" s="80"/>
      <c r="H29" s="890"/>
      <c r="K29" s="890"/>
      <c r="R29" s="961" t="s">
        <v>264</v>
      </c>
      <c r="S29" s="959"/>
      <c r="T29" s="967"/>
      <c r="U29" s="966">
        <f>T29</f>
        <v>0</v>
      </c>
      <c r="W29" s="890"/>
      <c r="Z29" s="1086"/>
      <c r="AA29" s="1089">
        <f>AA28/$AC$28</f>
        <v>0.6</v>
      </c>
      <c r="AB29" s="1089">
        <f>AB28/$AC$28</f>
        <v>0.4</v>
      </c>
      <c r="AC29" s="1089">
        <f>AC28/$AC$28</f>
        <v>1</v>
      </c>
    </row>
    <row r="30" spans="1:29" x14ac:dyDescent="0.25">
      <c r="B30" s="898"/>
      <c r="D30" s="1365"/>
      <c r="E30" s="80"/>
      <c r="F30" s="80"/>
      <c r="H30" s="890"/>
      <c r="K30" s="890"/>
      <c r="R30" s="961" t="s">
        <v>265</v>
      </c>
      <c r="S30" s="1604">
        <f>U30*S40</f>
        <v>0</v>
      </c>
      <c r="T30" s="1605">
        <f>U30*U40</f>
        <v>0</v>
      </c>
      <c r="U30" s="1377">
        <f>$AB$1</f>
        <v>0</v>
      </c>
      <c r="W30" s="890"/>
      <c r="Z30" s="982" t="s">
        <v>266</v>
      </c>
      <c r="AA30" s="1090">
        <f>S35/(S28)</f>
        <v>3.3333333333333327E-3</v>
      </c>
      <c r="AB30" s="1091">
        <f>T35/T32</f>
        <v>1.3602814320715466E-2</v>
      </c>
      <c r="AC30" s="1399">
        <f>SUMPRODUCT(AA30:AB30,AA29:AB29)</f>
        <v>7.4411257282861864E-3</v>
      </c>
    </row>
    <row r="31" spans="1:29" x14ac:dyDescent="0.25">
      <c r="B31" s="898"/>
      <c r="D31" s="1365"/>
      <c r="E31" s="80"/>
      <c r="F31" s="80"/>
      <c r="H31" s="890"/>
      <c r="K31" s="890"/>
      <c r="R31" s="961" t="s">
        <v>267</v>
      </c>
      <c r="S31" s="959"/>
      <c r="T31" s="967"/>
      <c r="U31" s="966"/>
      <c r="W31" s="890"/>
    </row>
    <row r="32" spans="1:29" x14ac:dyDescent="0.25">
      <c r="B32" s="898"/>
      <c r="D32" s="1365"/>
      <c r="E32" s="80"/>
      <c r="F32" s="80"/>
      <c r="H32" s="890"/>
      <c r="K32" s="890"/>
      <c r="R32" s="961" t="s">
        <v>257</v>
      </c>
      <c r="S32" s="966">
        <f>SUM(S28:S30)</f>
        <v>12240</v>
      </c>
      <c r="T32" s="967">
        <f>SUM(T28:T30)</f>
        <v>8160</v>
      </c>
      <c r="U32" s="966">
        <f>SUM(U28:U30)</f>
        <v>20400</v>
      </c>
      <c r="W32" s="890"/>
    </row>
    <row r="33" spans="17:23" ht="30" x14ac:dyDescent="0.25">
      <c r="R33" s="976" t="s">
        <v>268</v>
      </c>
      <c r="S33" s="959"/>
      <c r="T33" s="960"/>
      <c r="U33" s="959"/>
      <c r="W33" s="890"/>
    </row>
    <row r="34" spans="17:23" x14ac:dyDescent="0.25">
      <c r="R34" s="961" t="s">
        <v>269</v>
      </c>
      <c r="S34" s="959"/>
      <c r="T34" s="967"/>
      <c r="U34" s="959"/>
      <c r="W34" s="890"/>
    </row>
    <row r="35" spans="17:23" x14ac:dyDescent="0.25">
      <c r="R35" s="977" t="s">
        <v>249</v>
      </c>
      <c r="S35" s="978">
        <f>$L$5</f>
        <v>40.79999999999999</v>
      </c>
      <c r="T35" s="979">
        <f>SUM(L6:L20)</f>
        <v>110.9989648570382</v>
      </c>
      <c r="U35" s="978">
        <f>S35+T35</f>
        <v>151.79896485703819</v>
      </c>
      <c r="W35" s="890"/>
    </row>
    <row r="36" spans="17:23" x14ac:dyDescent="0.25">
      <c r="R36" s="890"/>
      <c r="T36" s="890"/>
      <c r="W36" s="890"/>
    </row>
    <row r="37" spans="17:23" x14ac:dyDescent="0.25">
      <c r="R37" s="890"/>
      <c r="T37" s="890"/>
      <c r="W37" s="890"/>
    </row>
    <row r="38" spans="17:23" x14ac:dyDescent="0.25">
      <c r="R38" s="890"/>
      <c r="T38" s="890"/>
      <c r="W38" s="890"/>
    </row>
    <row r="39" spans="17:23" x14ac:dyDescent="0.25">
      <c r="R39" s="890"/>
      <c r="T39" s="890"/>
      <c r="W39" s="890"/>
    </row>
    <row r="40" spans="17:23" ht="26.25" x14ac:dyDescent="0.25">
      <c r="R40" s="1011" t="s">
        <v>270</v>
      </c>
      <c r="S40" s="1012">
        <v>0.6</v>
      </c>
      <c r="T40" s="1011" t="s">
        <v>271</v>
      </c>
      <c r="U40" s="1013">
        <v>0.4</v>
      </c>
      <c r="V40" s="1014">
        <f>S40+U40</f>
        <v>1</v>
      </c>
      <c r="W40" s="890"/>
    </row>
    <row r="41" spans="17:23" x14ac:dyDescent="0.25">
      <c r="R41" s="890"/>
      <c r="T41" s="890"/>
      <c r="U41" s="123"/>
      <c r="W41" s="890"/>
    </row>
    <row r="42" spans="17:23" x14ac:dyDescent="0.25">
      <c r="R42" s="890"/>
      <c r="T42" s="890"/>
      <c r="W42" s="890"/>
    </row>
    <row r="43" spans="17:23" ht="26.25" x14ac:dyDescent="0.25">
      <c r="Q43" s="1015" t="s">
        <v>272</v>
      </c>
      <c r="R43" s="1011" t="s">
        <v>273</v>
      </c>
      <c r="S43" s="1015" t="s">
        <v>274</v>
      </c>
      <c r="T43" s="1011" t="s">
        <v>275</v>
      </c>
      <c r="U43" s="1015" t="s">
        <v>276</v>
      </c>
      <c r="V43" s="1015" t="s">
        <v>277</v>
      </c>
      <c r="W43" s="1011" t="s">
        <v>498</v>
      </c>
    </row>
    <row r="44" spans="17:23" x14ac:dyDescent="0.25">
      <c r="Q44" s="1380">
        <v>25000</v>
      </c>
      <c r="R44" s="1017">
        <f>D51</f>
        <v>10000</v>
      </c>
      <c r="S44" s="1024">
        <v>1</v>
      </c>
      <c r="T44" s="1025">
        <v>0</v>
      </c>
      <c r="U44" s="1096">
        <f>R44*S44</f>
        <v>10000</v>
      </c>
      <c r="V44" s="1021">
        <f>R44*T44</f>
        <v>0</v>
      </c>
      <c r="W44" s="1043">
        <f>Q44-U44</f>
        <v>15000</v>
      </c>
    </row>
    <row r="50" spans="1:11" x14ac:dyDescent="0.25">
      <c r="B50" s="961"/>
      <c r="C50" s="962" t="s">
        <v>233</v>
      </c>
      <c r="D50" s="961" t="s">
        <v>279</v>
      </c>
      <c r="E50" s="80"/>
      <c r="F50" s="80"/>
      <c r="G50" s="962" t="s">
        <v>280</v>
      </c>
      <c r="H50" s="961" t="s">
        <v>233</v>
      </c>
      <c r="I50" s="962" t="s">
        <v>497</v>
      </c>
      <c r="J50" s="962" t="s">
        <v>496</v>
      </c>
      <c r="K50" s="890"/>
    </row>
    <row r="51" spans="1:11" x14ac:dyDescent="0.25">
      <c r="B51" s="1027" t="s">
        <v>283</v>
      </c>
      <c r="C51" s="1028">
        <f>10/$K$1</f>
        <v>10</v>
      </c>
      <c r="D51" s="1029">
        <f>$C$1*10</f>
        <v>10000</v>
      </c>
      <c r="E51" s="80"/>
      <c r="F51" s="80"/>
      <c r="G51" s="1033" t="s">
        <v>283</v>
      </c>
      <c r="H51" s="1122">
        <v>10</v>
      </c>
      <c r="I51" s="1028">
        <f>J51/$R$1</f>
        <v>6000</v>
      </c>
      <c r="J51" s="1028">
        <f>$W$44</f>
        <v>15000</v>
      </c>
      <c r="K51" s="890"/>
    </row>
    <row r="52" spans="1:11" x14ac:dyDescent="0.25">
      <c r="B52" s="961" t="s">
        <v>262</v>
      </c>
      <c r="C52" s="1030">
        <f>I1</f>
        <v>8.16</v>
      </c>
      <c r="D52" s="1031">
        <f>E1</f>
        <v>8160</v>
      </c>
      <c r="E52" s="80"/>
      <c r="F52" s="80"/>
      <c r="G52" s="962" t="s">
        <v>262</v>
      </c>
      <c r="H52" s="1052">
        <f>I52/$D$5</f>
        <v>8.16</v>
      </c>
      <c r="I52" s="1021">
        <f>J52/$R$1</f>
        <v>4896</v>
      </c>
      <c r="J52" s="1030">
        <f>$S$32</f>
        <v>12240</v>
      </c>
      <c r="K52" s="890"/>
    </row>
    <row r="53" spans="1:11" x14ac:dyDescent="0.25">
      <c r="B53" s="961" t="s">
        <v>284</v>
      </c>
      <c r="C53" s="1382">
        <f>MIN($C$52, C51)</f>
        <v>8.16</v>
      </c>
      <c r="D53" s="1031">
        <f>(C53*$K$1)*$C$1</f>
        <v>8160</v>
      </c>
      <c r="E53" s="80"/>
      <c r="F53" s="80"/>
      <c r="G53" s="962" t="s">
        <v>284</v>
      </c>
      <c r="H53" s="1035">
        <f>MIN(H52,H51)</f>
        <v>8.16</v>
      </c>
      <c r="I53" s="1021">
        <f>J53/$R$1</f>
        <v>4896</v>
      </c>
      <c r="J53" s="1021">
        <f>MIN(J52,J51)</f>
        <v>12240</v>
      </c>
      <c r="K53" s="890"/>
    </row>
    <row r="54" spans="1:11" x14ac:dyDescent="0.25">
      <c r="B54" s="961"/>
      <c r="C54" s="1032">
        <f>MIN(MAX($C$52-C53,0),C51)</f>
        <v>0</v>
      </c>
      <c r="D54" s="1031">
        <f>(C54*$K$1)*$C$1</f>
        <v>0</v>
      </c>
      <c r="E54" s="80"/>
      <c r="F54" s="80"/>
      <c r="G54" s="962" t="s">
        <v>285</v>
      </c>
      <c r="H54" s="1035">
        <f>MIN(MAX(H52-H53),H51)</f>
        <v>0</v>
      </c>
      <c r="I54" s="1021">
        <f>J54/$R$1</f>
        <v>0</v>
      </c>
      <c r="J54" s="1021">
        <f>MIN(MAX(J52-J53),J51)</f>
        <v>0</v>
      </c>
      <c r="K54" s="890"/>
    </row>
    <row r="55" spans="1:11" x14ac:dyDescent="0.25">
      <c r="B55" s="961"/>
      <c r="C55" s="1032">
        <f>MIN(MAX($C$52-C53-C54,0),C51)</f>
        <v>0</v>
      </c>
      <c r="D55" s="1031">
        <f>(C55*$K$1)*$C$1</f>
        <v>0</v>
      </c>
      <c r="E55" s="80"/>
      <c r="F55" s="80"/>
      <c r="G55" s="962" t="s">
        <v>286</v>
      </c>
      <c r="H55" s="1035">
        <f>MIN(MAX(H52-H53-H54),H51)</f>
        <v>0</v>
      </c>
      <c r="I55" s="1021">
        <f>J55/$R$1</f>
        <v>0</v>
      </c>
      <c r="J55" s="1021">
        <f>MIN(MAX(J52-J53-J54),J51)</f>
        <v>0</v>
      </c>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867"/>
      <c r="B62" s="1776" t="str">
        <f>"ستروغانوف باستا  1 / " &amp; COUNTIF($C$53:$C$55, "&gt;0")</f>
        <v>ستروغانوف باستا  1 / 1</v>
      </c>
      <c r="C62" s="1777"/>
      <c r="D62" s="1778"/>
      <c r="E62" s="1778"/>
      <c r="F62" s="1778"/>
      <c r="G62" s="1777"/>
      <c r="H62" s="1778"/>
      <c r="K62" s="890"/>
    </row>
    <row r="63" spans="1:11" x14ac:dyDescent="0.25">
      <c r="A63" s="867"/>
      <c r="B63" s="1776" t="str">
        <f>"Stroganoff sauce for pasta  1 / " &amp; COUNTIF($C$53:$C$55, "&gt;0")</f>
        <v>Stroganoff sauce for pasta  1 / 1</v>
      </c>
      <c r="C63" s="1777"/>
      <c r="D63" s="1778"/>
      <c r="E63" s="1778"/>
      <c r="F63" s="1778"/>
      <c r="G63" s="1777"/>
      <c r="H63" s="1778"/>
      <c r="K63" s="890"/>
    </row>
    <row r="64" spans="1:11" ht="38.25" x14ac:dyDescent="0.2">
      <c r="A64" s="872"/>
      <c r="B64" s="1104" t="s">
        <v>241</v>
      </c>
      <c r="C64" s="934" t="s">
        <v>242</v>
      </c>
      <c r="D64" s="1104" t="s">
        <v>231</v>
      </c>
      <c r="E64" s="936" t="s">
        <v>234</v>
      </c>
      <c r="F64" s="936" t="s">
        <v>243</v>
      </c>
      <c r="G64" s="1104" t="s">
        <v>244</v>
      </c>
      <c r="H64" s="936" t="s">
        <v>245</v>
      </c>
      <c r="K64" s="890"/>
    </row>
    <row r="65" spans="2:11" x14ac:dyDescent="0.25">
      <c r="B65" s="1130" t="str">
        <f t="shared" ref="B65:D80" si="5">B5</f>
        <v>Pasta fusilli - مكرونة مبرومة</v>
      </c>
      <c r="C65" s="1252" t="str">
        <f t="shared" si="5"/>
        <v>gm</v>
      </c>
      <c r="D65" s="1280">
        <f t="shared" si="5"/>
        <v>600</v>
      </c>
      <c r="E65" s="918">
        <f>H53</f>
        <v>8.16</v>
      </c>
      <c r="F65" s="948">
        <f t="shared" ref="F65:F80" si="6">F5</f>
        <v>1</v>
      </c>
      <c r="G65" s="940">
        <f>D65*E65</f>
        <v>4896</v>
      </c>
      <c r="H65" s="943">
        <f>G65*F65</f>
        <v>4896</v>
      </c>
      <c r="K65" s="890"/>
    </row>
    <row r="66" spans="2:11" x14ac:dyDescent="0.25">
      <c r="B66" s="1130" t="str">
        <f t="shared" si="5"/>
        <v>Onion - بصل</v>
      </c>
      <c r="C66" s="1252" t="str">
        <f t="shared" si="5"/>
        <v>gm</v>
      </c>
      <c r="D66" s="1280">
        <f t="shared" si="5"/>
        <v>202.12765957446808</v>
      </c>
      <c r="E66" s="918">
        <f t="shared" ref="E66:E80" si="7">$C$53</f>
        <v>8.16</v>
      </c>
      <c r="F66" s="948">
        <f t="shared" si="6"/>
        <v>0.95</v>
      </c>
      <c r="G66" s="940">
        <f t="shared" ref="G66:G80" si="8">D66*E66</f>
        <v>1649.3617021276596</v>
      </c>
      <c r="H66" s="943">
        <f t="shared" ref="H66:H80" si="9">G66*F66</f>
        <v>1566.8936170212764</v>
      </c>
      <c r="K66" s="890"/>
    </row>
    <row r="67" spans="2:11" x14ac:dyDescent="0.25">
      <c r="B67" s="1130" t="str">
        <f t="shared" si="5"/>
        <v>Garlic - ثوم مقشر</v>
      </c>
      <c r="C67" s="1252" t="str">
        <f t="shared" si="5"/>
        <v>gm</v>
      </c>
      <c r="D67" s="1280">
        <f t="shared" si="5"/>
        <v>30.319148936170212</v>
      </c>
      <c r="E67" s="918">
        <f t="shared" si="7"/>
        <v>8.16</v>
      </c>
      <c r="F67" s="948">
        <f t="shared" si="6"/>
        <v>0.95</v>
      </c>
      <c r="G67" s="940">
        <f t="shared" si="8"/>
        <v>247.40425531914894</v>
      </c>
      <c r="H67" s="943">
        <f t="shared" si="9"/>
        <v>235.03404255319148</v>
      </c>
      <c r="K67" s="890"/>
    </row>
    <row r="68" spans="2:11" x14ac:dyDescent="0.25">
      <c r="B68" s="1130" t="str">
        <f t="shared" si="5"/>
        <v>Mustard - خردل</v>
      </c>
      <c r="C68" s="1252" t="str">
        <f t="shared" si="5"/>
        <v>gm</v>
      </c>
      <c r="D68" s="1280">
        <f t="shared" si="5"/>
        <v>20.212765957446805</v>
      </c>
      <c r="E68" s="918">
        <f t="shared" si="7"/>
        <v>8.16</v>
      </c>
      <c r="F68" s="948">
        <f t="shared" si="6"/>
        <v>1</v>
      </c>
      <c r="G68" s="940">
        <f t="shared" si="8"/>
        <v>164.93617021276594</v>
      </c>
      <c r="H68" s="943">
        <f t="shared" si="9"/>
        <v>164.93617021276594</v>
      </c>
      <c r="K68" s="890"/>
    </row>
    <row r="69" spans="2:11" x14ac:dyDescent="0.25">
      <c r="B69" s="1130" t="str">
        <f t="shared" si="5"/>
        <v>Tomato Paste - صلصة طماطم</v>
      </c>
      <c r="C69" s="1252" t="str">
        <f t="shared" si="5"/>
        <v>gm</v>
      </c>
      <c r="D69" s="1280">
        <f t="shared" si="5"/>
        <v>101.06382978723404</v>
      </c>
      <c r="E69" s="918">
        <f t="shared" si="7"/>
        <v>8.16</v>
      </c>
      <c r="F69" s="948">
        <f t="shared" si="6"/>
        <v>1</v>
      </c>
      <c r="G69" s="940">
        <f t="shared" si="8"/>
        <v>824.68085106382978</v>
      </c>
      <c r="H69" s="943">
        <f t="shared" si="9"/>
        <v>824.68085106382978</v>
      </c>
      <c r="K69" s="890"/>
    </row>
    <row r="70" spans="2:11" ht="28.5" x14ac:dyDescent="0.25">
      <c r="B70" s="1130" t="str">
        <f t="shared" si="5"/>
        <v>Saffron yellow color powder - لون صفار زعفران بودر</v>
      </c>
      <c r="C70" s="1252" t="str">
        <f t="shared" si="5"/>
        <v>gm</v>
      </c>
      <c r="D70" s="1280">
        <f t="shared" si="5"/>
        <v>3.0319148936170208</v>
      </c>
      <c r="E70" s="918">
        <f t="shared" si="7"/>
        <v>8.16</v>
      </c>
      <c r="F70" s="948">
        <f t="shared" si="6"/>
        <v>0.75</v>
      </c>
      <c r="G70" s="940">
        <f t="shared" si="8"/>
        <v>24.740425531914891</v>
      </c>
      <c r="H70" s="943">
        <f t="shared" si="9"/>
        <v>18.555319148936167</v>
      </c>
      <c r="K70" s="890"/>
    </row>
    <row r="71" spans="2:11" x14ac:dyDescent="0.25">
      <c r="B71" s="1130" t="str">
        <f t="shared" si="5"/>
        <v>Water - ماء</v>
      </c>
      <c r="C71" s="1252" t="str">
        <f t="shared" si="5"/>
        <v>ml</v>
      </c>
      <c r="D71" s="1280">
        <f t="shared" si="5"/>
        <v>200</v>
      </c>
      <c r="E71" s="918">
        <f t="shared" si="7"/>
        <v>8.16</v>
      </c>
      <c r="F71" s="948">
        <f t="shared" si="6"/>
        <v>1</v>
      </c>
      <c r="G71" s="940">
        <f t="shared" si="8"/>
        <v>1632</v>
      </c>
      <c r="H71" s="943">
        <f t="shared" si="9"/>
        <v>1632</v>
      </c>
      <c r="K71" s="890"/>
    </row>
    <row r="72" spans="2:11" ht="28.5" x14ac:dyDescent="0.25">
      <c r="B72" s="1130" t="str">
        <f t="shared" si="5"/>
        <v>Black Pepper Powder - فلفل أسود مطحون</v>
      </c>
      <c r="C72" s="1252" t="str">
        <f t="shared" si="5"/>
        <v>gm</v>
      </c>
      <c r="D72" s="1280">
        <f t="shared" si="5"/>
        <v>2.0212765957446805</v>
      </c>
      <c r="E72" s="918">
        <f t="shared" si="7"/>
        <v>8.16</v>
      </c>
      <c r="F72" s="948">
        <f t="shared" si="6"/>
        <v>1</v>
      </c>
      <c r="G72" s="940">
        <f t="shared" si="8"/>
        <v>16.493617021276595</v>
      </c>
      <c r="H72" s="943">
        <f t="shared" si="9"/>
        <v>16.493617021276595</v>
      </c>
      <c r="K72" s="890"/>
    </row>
    <row r="73" spans="2:11" ht="28.5" x14ac:dyDescent="0.25">
      <c r="B73" s="1130" t="str">
        <f t="shared" si="5"/>
        <v>Demi Glaze Sauce - صوص ديمي غلاز</v>
      </c>
      <c r="C73" s="1252" t="str">
        <f t="shared" si="5"/>
        <v>gm</v>
      </c>
      <c r="D73" s="1280">
        <f t="shared" si="5"/>
        <v>25.26595744680851</v>
      </c>
      <c r="E73" s="918">
        <f t="shared" si="7"/>
        <v>8.16</v>
      </c>
      <c r="F73" s="948">
        <f t="shared" si="6"/>
        <v>0.75</v>
      </c>
      <c r="G73" s="940">
        <f t="shared" si="8"/>
        <v>206.17021276595744</v>
      </c>
      <c r="H73" s="943">
        <f t="shared" si="9"/>
        <v>154.62765957446808</v>
      </c>
      <c r="K73" s="890"/>
    </row>
    <row r="74" spans="2:11" x14ac:dyDescent="0.25">
      <c r="B74" s="1130" t="str">
        <f t="shared" si="5"/>
        <v>Cooking Cream - كريمة طبخ</v>
      </c>
      <c r="C74" s="1252" t="str">
        <f t="shared" si="5"/>
        <v>ml</v>
      </c>
      <c r="D74" s="1280">
        <f t="shared" si="5"/>
        <v>505.31914893617017</v>
      </c>
      <c r="E74" s="918">
        <f t="shared" si="7"/>
        <v>8.16</v>
      </c>
      <c r="F74" s="948">
        <f t="shared" si="6"/>
        <v>1</v>
      </c>
      <c r="G74" s="940">
        <f t="shared" si="8"/>
        <v>4123.4042553191484</v>
      </c>
      <c r="H74" s="943">
        <f t="shared" si="9"/>
        <v>4123.4042553191484</v>
      </c>
      <c r="K74" s="890"/>
    </row>
    <row r="75" spans="2:11" x14ac:dyDescent="0.25">
      <c r="B75" s="1130" t="str">
        <f t="shared" si="5"/>
        <v>Maggi Cubes - مكعبات ماجي</v>
      </c>
      <c r="C75" s="1252" t="str">
        <f t="shared" si="5"/>
        <v>gm</v>
      </c>
      <c r="D75" s="1280">
        <f t="shared" si="5"/>
        <v>8.0851063829787222</v>
      </c>
      <c r="E75" s="918">
        <f t="shared" si="7"/>
        <v>8.16</v>
      </c>
      <c r="F75" s="948">
        <f t="shared" si="6"/>
        <v>1</v>
      </c>
      <c r="G75" s="940">
        <f t="shared" si="8"/>
        <v>65.97446808510638</v>
      </c>
      <c r="H75" s="943">
        <f t="shared" si="9"/>
        <v>65.97446808510638</v>
      </c>
      <c r="K75" s="890"/>
    </row>
    <row r="76" spans="2:11" x14ac:dyDescent="0.25">
      <c r="B76" s="1130" t="str">
        <f t="shared" si="5"/>
        <v>Salt - ملح</v>
      </c>
      <c r="C76" s="1252" t="str">
        <f t="shared" si="5"/>
        <v>gm</v>
      </c>
      <c r="D76" s="1280">
        <f t="shared" si="5"/>
        <v>5.0531914893617014</v>
      </c>
      <c r="E76" s="918">
        <f t="shared" si="7"/>
        <v>8.16</v>
      </c>
      <c r="F76" s="948">
        <f t="shared" si="6"/>
        <v>1</v>
      </c>
      <c r="G76" s="940">
        <f t="shared" si="8"/>
        <v>41.234042553191486</v>
      </c>
      <c r="H76" s="943">
        <f t="shared" si="9"/>
        <v>41.234042553191486</v>
      </c>
      <c r="K76" s="890"/>
    </row>
    <row r="77" spans="2:11" x14ac:dyDescent="0.25">
      <c r="B77" s="1130" t="str">
        <f t="shared" si="5"/>
        <v>Corn Starch - نشا ذرة</v>
      </c>
      <c r="C77" s="1252" t="str">
        <f t="shared" si="5"/>
        <v>gm</v>
      </c>
      <c r="D77" s="1280">
        <f t="shared" si="5"/>
        <v>70.744680851063819</v>
      </c>
      <c r="E77" s="918">
        <f t="shared" si="7"/>
        <v>8.16</v>
      </c>
      <c r="F77" s="948">
        <f t="shared" si="6"/>
        <v>0.75</v>
      </c>
      <c r="G77" s="940">
        <f t="shared" si="8"/>
        <v>577.27659574468078</v>
      </c>
      <c r="H77" s="943">
        <f t="shared" si="9"/>
        <v>432.95744680851055</v>
      </c>
      <c r="K77" s="890"/>
    </row>
    <row r="78" spans="2:11" x14ac:dyDescent="0.25">
      <c r="B78" s="1130" t="str">
        <f t="shared" si="5"/>
        <v>Mushroom - مشروم ابيض</v>
      </c>
      <c r="C78" s="1252" t="str">
        <f t="shared" si="5"/>
        <v>gm</v>
      </c>
      <c r="D78" s="1280">
        <f t="shared" si="5"/>
        <v>101.06382978723404</v>
      </c>
      <c r="E78" s="918">
        <f t="shared" si="7"/>
        <v>8.16</v>
      </c>
      <c r="F78" s="948">
        <f t="shared" si="6"/>
        <v>1</v>
      </c>
      <c r="G78" s="940">
        <f t="shared" si="8"/>
        <v>824.68085106382978</v>
      </c>
      <c r="H78" s="943">
        <f t="shared" si="9"/>
        <v>824.68085106382978</v>
      </c>
      <c r="K78" s="890"/>
    </row>
    <row r="79" spans="2:11" x14ac:dyDescent="0.25">
      <c r="B79" s="1130" t="str">
        <f t="shared" si="5"/>
        <v>Butter - زبدة</v>
      </c>
      <c r="C79" s="1252" t="str">
        <f t="shared" si="5"/>
        <v>gm</v>
      </c>
      <c r="D79" s="1280">
        <f t="shared" si="5"/>
        <v>20.212765957446805</v>
      </c>
      <c r="E79" s="918">
        <f t="shared" si="7"/>
        <v>8.16</v>
      </c>
      <c r="F79" s="948">
        <f t="shared" si="6"/>
        <v>1</v>
      </c>
      <c r="G79" s="940">
        <f t="shared" si="8"/>
        <v>164.93617021276594</v>
      </c>
      <c r="H79" s="943">
        <f t="shared" si="9"/>
        <v>164.93617021276594</v>
      </c>
      <c r="K79" s="890"/>
    </row>
    <row r="80" spans="2:11" ht="28.5" x14ac:dyDescent="0.25">
      <c r="B80" s="1130" t="str">
        <f t="shared" si="5"/>
        <v>Sriracha Sauce - صوص سريراتشا</v>
      </c>
      <c r="C80" s="1252" t="str">
        <f t="shared" si="5"/>
        <v>ml</v>
      </c>
      <c r="D80" s="1280">
        <f t="shared" si="5"/>
        <v>15.159574468085106</v>
      </c>
      <c r="E80" s="918">
        <f t="shared" si="7"/>
        <v>8.16</v>
      </c>
      <c r="F80" s="948">
        <f t="shared" si="6"/>
        <v>0.9</v>
      </c>
      <c r="G80" s="940">
        <f t="shared" si="8"/>
        <v>123.70212765957447</v>
      </c>
      <c r="H80" s="943">
        <f t="shared" si="9"/>
        <v>111.33191489361703</v>
      </c>
      <c r="K80" s="890"/>
    </row>
    <row r="81" spans="1:11" ht="18" x14ac:dyDescent="0.25">
      <c r="B81" s="1041" t="s">
        <v>351</v>
      </c>
      <c r="C81" s="1042" t="s">
        <v>273</v>
      </c>
      <c r="D81" s="1043"/>
      <c r="E81" s="1044" t="s">
        <v>288</v>
      </c>
      <c r="F81" s="1043"/>
      <c r="G81" s="1045" t="s">
        <v>264</v>
      </c>
      <c r="H81" s="1046" t="s">
        <v>664</v>
      </c>
      <c r="K81" s="890"/>
    </row>
    <row r="82" spans="1:11" ht="20.25" x14ac:dyDescent="0.3">
      <c r="B82" s="1047">
        <f>$J$53</f>
        <v>12240</v>
      </c>
      <c r="C82" s="1048">
        <f>E82+G82</f>
        <v>8160</v>
      </c>
      <c r="D82" s="1049"/>
      <c r="E82" s="1047">
        <f>$D$53*$S$44</f>
        <v>8160</v>
      </c>
      <c r="F82" s="1050"/>
      <c r="G82" s="1048">
        <f>$D$53*$T$44</f>
        <v>0</v>
      </c>
      <c r="H82" s="1047">
        <f>B82+E82</f>
        <v>20400</v>
      </c>
      <c r="K82" s="890"/>
    </row>
    <row r="83" spans="1:11" x14ac:dyDescent="0.25">
      <c r="B83" s="80"/>
      <c r="D83" s="890"/>
      <c r="E83" s="80"/>
      <c r="F83" s="80"/>
      <c r="H83" s="890"/>
      <c r="K83" s="890"/>
    </row>
    <row r="84" spans="1:11" x14ac:dyDescent="0.25">
      <c r="B84" s="80"/>
      <c r="C84" s="80"/>
      <c r="D84" s="80"/>
      <c r="E84" s="80"/>
      <c r="F84" s="80"/>
      <c r="G84" s="80"/>
      <c r="H84" s="80"/>
      <c r="K84" s="890"/>
    </row>
    <row r="85" spans="1:11" x14ac:dyDescent="0.25">
      <c r="B85" s="80"/>
      <c r="C85" s="80"/>
      <c r="D85" s="80"/>
      <c r="E85" s="80"/>
      <c r="F85" s="80"/>
      <c r="G85" s="80"/>
      <c r="H85" s="80"/>
      <c r="K85" s="890"/>
    </row>
    <row r="86" spans="1:11" x14ac:dyDescent="0.25">
      <c r="B86" s="80"/>
      <c r="C86" s="80"/>
      <c r="D86" s="80"/>
      <c r="E86" s="80"/>
      <c r="F86" s="80"/>
      <c r="G86" s="80"/>
      <c r="H86" s="80"/>
      <c r="K86" s="890"/>
    </row>
    <row r="87" spans="1:11" x14ac:dyDescent="0.25">
      <c r="A87" s="867"/>
      <c r="B87" s="1776" t="str">
        <f>"ستروغانوف باستا  2 / " &amp; COUNTIF($C$53:$C$55, "&gt;0")</f>
        <v>ستروغانوف باستا  2 / 1</v>
      </c>
      <c r="C87" s="1777"/>
      <c r="D87" s="1778"/>
      <c r="E87" s="1778"/>
      <c r="F87" s="1778"/>
      <c r="G87" s="1777"/>
      <c r="H87" s="1778"/>
      <c r="K87" s="890"/>
    </row>
    <row r="88" spans="1:11" x14ac:dyDescent="0.25">
      <c r="A88" s="867"/>
      <c r="B88" s="1776" t="str">
        <f>"Stroganoff sauce for pasta  2 / " &amp; COUNTIF($C$53:$C$55, "&gt;0")</f>
        <v>Stroganoff sauce for pasta  2 / 1</v>
      </c>
      <c r="C88" s="1777"/>
      <c r="D88" s="1778"/>
      <c r="E88" s="1778"/>
      <c r="F88" s="1778"/>
      <c r="G88" s="1777"/>
      <c r="H88" s="1778"/>
      <c r="K88" s="890"/>
    </row>
    <row r="89" spans="1:11" ht="38.25" x14ac:dyDescent="0.2">
      <c r="A89" s="872"/>
      <c r="B89" s="1104" t="s">
        <v>241</v>
      </c>
      <c r="C89" s="934" t="s">
        <v>242</v>
      </c>
      <c r="D89" s="1104" t="s">
        <v>231</v>
      </c>
      <c r="E89" s="936" t="s">
        <v>234</v>
      </c>
      <c r="F89" s="936" t="s">
        <v>243</v>
      </c>
      <c r="G89" s="1104" t="s">
        <v>244</v>
      </c>
      <c r="H89" s="936" t="s">
        <v>245</v>
      </c>
      <c r="K89" s="890"/>
    </row>
    <row r="90" spans="1:11" x14ac:dyDescent="0.25">
      <c r="B90" s="1130" t="str">
        <f t="shared" ref="B90:D105" si="10">B5</f>
        <v>Pasta fusilli - مكرونة مبرومة</v>
      </c>
      <c r="C90" s="1252" t="str">
        <f t="shared" si="10"/>
        <v>gm</v>
      </c>
      <c r="D90" s="1280">
        <f t="shared" si="10"/>
        <v>600</v>
      </c>
      <c r="E90" s="918">
        <f>H54</f>
        <v>0</v>
      </c>
      <c r="F90" s="948">
        <f t="shared" ref="F90:F105" si="11">F5</f>
        <v>1</v>
      </c>
      <c r="G90" s="940">
        <f>D90*E90</f>
        <v>0</v>
      </c>
      <c r="H90" s="943">
        <f>G90*F90</f>
        <v>0</v>
      </c>
      <c r="K90" s="890"/>
    </row>
    <row r="91" spans="1:11" x14ac:dyDescent="0.25">
      <c r="B91" s="1130" t="str">
        <f t="shared" si="10"/>
        <v>Onion - بصل</v>
      </c>
      <c r="C91" s="1252" t="str">
        <f t="shared" si="10"/>
        <v>gm</v>
      </c>
      <c r="D91" s="1280">
        <f t="shared" si="10"/>
        <v>202.12765957446808</v>
      </c>
      <c r="E91" s="918">
        <f t="shared" ref="E91:E105" si="12">$C$54</f>
        <v>0</v>
      </c>
      <c r="F91" s="948">
        <f t="shared" si="11"/>
        <v>0.95</v>
      </c>
      <c r="G91" s="940">
        <f t="shared" ref="G91:G105" si="13">D91*E91</f>
        <v>0</v>
      </c>
      <c r="H91" s="943">
        <f t="shared" ref="H91:H105" si="14">G91*F91</f>
        <v>0</v>
      </c>
      <c r="K91" s="890"/>
    </row>
    <row r="92" spans="1:11" x14ac:dyDescent="0.25">
      <c r="B92" s="1130" t="str">
        <f t="shared" si="10"/>
        <v>Garlic - ثوم مقشر</v>
      </c>
      <c r="C92" s="1252" t="str">
        <f t="shared" si="10"/>
        <v>gm</v>
      </c>
      <c r="D92" s="1280">
        <f t="shared" si="10"/>
        <v>30.319148936170212</v>
      </c>
      <c r="E92" s="918">
        <f t="shared" si="12"/>
        <v>0</v>
      </c>
      <c r="F92" s="948">
        <f t="shared" si="11"/>
        <v>0.95</v>
      </c>
      <c r="G92" s="940">
        <f t="shared" si="13"/>
        <v>0</v>
      </c>
      <c r="H92" s="943">
        <f t="shared" si="14"/>
        <v>0</v>
      </c>
      <c r="K92" s="890"/>
    </row>
    <row r="93" spans="1:11" x14ac:dyDescent="0.25">
      <c r="B93" s="1130" t="str">
        <f t="shared" si="10"/>
        <v>Mustard - خردل</v>
      </c>
      <c r="C93" s="1252" t="str">
        <f t="shared" si="10"/>
        <v>gm</v>
      </c>
      <c r="D93" s="1280">
        <f t="shared" si="10"/>
        <v>20.212765957446805</v>
      </c>
      <c r="E93" s="918">
        <f t="shared" si="12"/>
        <v>0</v>
      </c>
      <c r="F93" s="948">
        <f t="shared" si="11"/>
        <v>1</v>
      </c>
      <c r="G93" s="940">
        <f t="shared" si="13"/>
        <v>0</v>
      </c>
      <c r="H93" s="943">
        <f t="shared" si="14"/>
        <v>0</v>
      </c>
      <c r="K93" s="890"/>
    </row>
    <row r="94" spans="1:11" x14ac:dyDescent="0.25">
      <c r="B94" s="1130" t="str">
        <f t="shared" si="10"/>
        <v>Tomato Paste - صلصة طماطم</v>
      </c>
      <c r="C94" s="1252" t="str">
        <f t="shared" si="10"/>
        <v>gm</v>
      </c>
      <c r="D94" s="1280">
        <f t="shared" si="10"/>
        <v>101.06382978723404</v>
      </c>
      <c r="E94" s="918">
        <f t="shared" si="12"/>
        <v>0</v>
      </c>
      <c r="F94" s="948">
        <f t="shared" si="11"/>
        <v>1</v>
      </c>
      <c r="G94" s="940">
        <f t="shared" si="13"/>
        <v>0</v>
      </c>
      <c r="H94" s="943">
        <f t="shared" si="14"/>
        <v>0</v>
      </c>
      <c r="K94" s="890"/>
    </row>
    <row r="95" spans="1:11" ht="28.5" x14ac:dyDescent="0.25">
      <c r="B95" s="1130" t="str">
        <f t="shared" si="10"/>
        <v>Saffron yellow color powder - لون صفار زعفران بودر</v>
      </c>
      <c r="C95" s="1252" t="str">
        <f t="shared" si="10"/>
        <v>gm</v>
      </c>
      <c r="D95" s="1280">
        <f t="shared" si="10"/>
        <v>3.0319148936170208</v>
      </c>
      <c r="E95" s="918">
        <f t="shared" si="12"/>
        <v>0</v>
      </c>
      <c r="F95" s="948">
        <f t="shared" si="11"/>
        <v>0.75</v>
      </c>
      <c r="G95" s="940">
        <f t="shared" si="13"/>
        <v>0</v>
      </c>
      <c r="H95" s="943">
        <f t="shared" si="14"/>
        <v>0</v>
      </c>
      <c r="K95" s="890"/>
    </row>
    <row r="96" spans="1:11" x14ac:dyDescent="0.25">
      <c r="B96" s="1130" t="str">
        <f t="shared" si="10"/>
        <v>Water - ماء</v>
      </c>
      <c r="C96" s="1252" t="str">
        <f t="shared" si="10"/>
        <v>ml</v>
      </c>
      <c r="D96" s="1280">
        <f t="shared" si="10"/>
        <v>200</v>
      </c>
      <c r="E96" s="918">
        <f t="shared" si="12"/>
        <v>0</v>
      </c>
      <c r="F96" s="948">
        <f t="shared" si="11"/>
        <v>1</v>
      </c>
      <c r="G96" s="940">
        <f t="shared" si="13"/>
        <v>0</v>
      </c>
      <c r="H96" s="943">
        <f t="shared" si="14"/>
        <v>0</v>
      </c>
      <c r="K96" s="890"/>
    </row>
    <row r="97" spans="1:11" ht="28.5" x14ac:dyDescent="0.25">
      <c r="B97" s="1130" t="str">
        <f t="shared" si="10"/>
        <v>Black Pepper Powder - فلفل أسود مطحون</v>
      </c>
      <c r="C97" s="1252" t="str">
        <f t="shared" si="10"/>
        <v>gm</v>
      </c>
      <c r="D97" s="1280">
        <f t="shared" si="10"/>
        <v>2.0212765957446805</v>
      </c>
      <c r="E97" s="918">
        <f t="shared" si="12"/>
        <v>0</v>
      </c>
      <c r="F97" s="948">
        <f t="shared" si="11"/>
        <v>1</v>
      </c>
      <c r="G97" s="940">
        <f t="shared" si="13"/>
        <v>0</v>
      </c>
      <c r="H97" s="943">
        <f t="shared" si="14"/>
        <v>0</v>
      </c>
      <c r="K97" s="890"/>
    </row>
    <row r="98" spans="1:11" ht="28.5" x14ac:dyDescent="0.25">
      <c r="B98" s="1130" t="str">
        <f t="shared" si="10"/>
        <v>Demi Glaze Sauce - صوص ديمي غلاز</v>
      </c>
      <c r="C98" s="1252" t="str">
        <f t="shared" si="10"/>
        <v>gm</v>
      </c>
      <c r="D98" s="1280">
        <f t="shared" si="10"/>
        <v>25.26595744680851</v>
      </c>
      <c r="E98" s="918">
        <f t="shared" si="12"/>
        <v>0</v>
      </c>
      <c r="F98" s="948">
        <f t="shared" si="11"/>
        <v>0.75</v>
      </c>
      <c r="G98" s="940">
        <f t="shared" si="13"/>
        <v>0</v>
      </c>
      <c r="H98" s="943">
        <f t="shared" si="14"/>
        <v>0</v>
      </c>
      <c r="K98" s="890"/>
    </row>
    <row r="99" spans="1:11" x14ac:dyDescent="0.25">
      <c r="B99" s="1130" t="str">
        <f t="shared" si="10"/>
        <v>Cooking Cream - كريمة طبخ</v>
      </c>
      <c r="C99" s="1252" t="str">
        <f t="shared" si="10"/>
        <v>ml</v>
      </c>
      <c r="D99" s="1280">
        <f t="shared" si="10"/>
        <v>505.31914893617017</v>
      </c>
      <c r="E99" s="918">
        <f t="shared" si="12"/>
        <v>0</v>
      </c>
      <c r="F99" s="948">
        <f t="shared" si="11"/>
        <v>1</v>
      </c>
      <c r="G99" s="940">
        <f t="shared" si="13"/>
        <v>0</v>
      </c>
      <c r="H99" s="943">
        <f t="shared" si="14"/>
        <v>0</v>
      </c>
      <c r="K99" s="890"/>
    </row>
    <row r="100" spans="1:11" x14ac:dyDescent="0.25">
      <c r="B100" s="1130" t="str">
        <f t="shared" si="10"/>
        <v>Maggi Cubes - مكعبات ماجي</v>
      </c>
      <c r="C100" s="1252" t="str">
        <f t="shared" si="10"/>
        <v>gm</v>
      </c>
      <c r="D100" s="1280">
        <f t="shared" si="10"/>
        <v>8.0851063829787222</v>
      </c>
      <c r="E100" s="918">
        <f t="shared" si="12"/>
        <v>0</v>
      </c>
      <c r="F100" s="948">
        <f t="shared" si="11"/>
        <v>1</v>
      </c>
      <c r="G100" s="940">
        <f t="shared" si="13"/>
        <v>0</v>
      </c>
      <c r="H100" s="943">
        <f t="shared" si="14"/>
        <v>0</v>
      </c>
      <c r="K100" s="890"/>
    </row>
    <row r="101" spans="1:11" x14ac:dyDescent="0.25">
      <c r="B101" s="1130" t="str">
        <f t="shared" si="10"/>
        <v>Salt - ملح</v>
      </c>
      <c r="C101" s="1252" t="str">
        <f t="shared" si="10"/>
        <v>gm</v>
      </c>
      <c r="D101" s="1280">
        <f t="shared" si="10"/>
        <v>5.0531914893617014</v>
      </c>
      <c r="E101" s="918">
        <f t="shared" si="12"/>
        <v>0</v>
      </c>
      <c r="F101" s="948">
        <f t="shared" si="11"/>
        <v>1</v>
      </c>
      <c r="G101" s="940">
        <f t="shared" si="13"/>
        <v>0</v>
      </c>
      <c r="H101" s="943">
        <f t="shared" si="14"/>
        <v>0</v>
      </c>
      <c r="K101" s="890"/>
    </row>
    <row r="102" spans="1:11" x14ac:dyDescent="0.25">
      <c r="B102" s="1130" t="str">
        <f t="shared" si="10"/>
        <v>Corn Starch - نشا ذرة</v>
      </c>
      <c r="C102" s="1252" t="str">
        <f t="shared" si="10"/>
        <v>gm</v>
      </c>
      <c r="D102" s="1280">
        <f t="shared" si="10"/>
        <v>70.744680851063819</v>
      </c>
      <c r="E102" s="918">
        <f t="shared" si="12"/>
        <v>0</v>
      </c>
      <c r="F102" s="948">
        <f t="shared" si="11"/>
        <v>0.75</v>
      </c>
      <c r="G102" s="940">
        <f t="shared" si="13"/>
        <v>0</v>
      </c>
      <c r="H102" s="943">
        <f t="shared" si="14"/>
        <v>0</v>
      </c>
      <c r="K102" s="890"/>
    </row>
    <row r="103" spans="1:11" x14ac:dyDescent="0.25">
      <c r="B103" s="1130" t="str">
        <f t="shared" si="10"/>
        <v>Mushroom - مشروم ابيض</v>
      </c>
      <c r="C103" s="1252" t="str">
        <f t="shared" si="10"/>
        <v>gm</v>
      </c>
      <c r="D103" s="1280">
        <f t="shared" si="10"/>
        <v>101.06382978723404</v>
      </c>
      <c r="E103" s="918">
        <f t="shared" si="12"/>
        <v>0</v>
      </c>
      <c r="F103" s="948">
        <f t="shared" si="11"/>
        <v>1</v>
      </c>
      <c r="G103" s="940">
        <f t="shared" si="13"/>
        <v>0</v>
      </c>
      <c r="H103" s="943">
        <f t="shared" si="14"/>
        <v>0</v>
      </c>
      <c r="K103" s="890"/>
    </row>
    <row r="104" spans="1:11" x14ac:dyDescent="0.25">
      <c r="B104" s="1130" t="str">
        <f t="shared" si="10"/>
        <v>Butter - زبدة</v>
      </c>
      <c r="C104" s="1252" t="str">
        <f t="shared" si="10"/>
        <v>gm</v>
      </c>
      <c r="D104" s="1280">
        <f t="shared" si="10"/>
        <v>20.212765957446805</v>
      </c>
      <c r="E104" s="918">
        <f t="shared" si="12"/>
        <v>0</v>
      </c>
      <c r="F104" s="948">
        <f t="shared" si="11"/>
        <v>1</v>
      </c>
      <c r="G104" s="940">
        <f t="shared" si="13"/>
        <v>0</v>
      </c>
      <c r="H104" s="943">
        <f t="shared" si="14"/>
        <v>0</v>
      </c>
      <c r="K104" s="890"/>
    </row>
    <row r="105" spans="1:11" ht="28.5" x14ac:dyDescent="0.25">
      <c r="B105" s="1130" t="str">
        <f t="shared" si="10"/>
        <v>Sriracha Sauce - صوص سريراتشا</v>
      </c>
      <c r="C105" s="1252" t="str">
        <f t="shared" si="10"/>
        <v>ml</v>
      </c>
      <c r="D105" s="1280">
        <f t="shared" si="10"/>
        <v>15.159574468085106</v>
      </c>
      <c r="E105" s="918">
        <f t="shared" si="12"/>
        <v>0</v>
      </c>
      <c r="F105" s="948">
        <f t="shared" si="11"/>
        <v>0.9</v>
      </c>
      <c r="G105" s="940">
        <f t="shared" si="13"/>
        <v>0</v>
      </c>
      <c r="H105" s="943">
        <f t="shared" si="14"/>
        <v>0</v>
      </c>
      <c r="K105" s="890"/>
    </row>
    <row r="106" spans="1:11" ht="18" x14ac:dyDescent="0.25">
      <c r="B106" s="1041" t="s">
        <v>351</v>
      </c>
      <c r="C106" s="1042" t="s">
        <v>273</v>
      </c>
      <c r="D106" s="1043"/>
      <c r="E106" s="1044" t="s">
        <v>288</v>
      </c>
      <c r="F106" s="1043"/>
      <c r="G106" s="1045" t="s">
        <v>264</v>
      </c>
      <c r="H106" s="1046" t="s">
        <v>664</v>
      </c>
      <c r="K106" s="890"/>
    </row>
    <row r="107" spans="1:11" ht="20.25" x14ac:dyDescent="0.3">
      <c r="B107" s="1047">
        <f>$J$54</f>
        <v>0</v>
      </c>
      <c r="C107" s="1048">
        <f>E107+G107</f>
        <v>0</v>
      </c>
      <c r="D107" s="1049"/>
      <c r="E107" s="1047">
        <f>$D$54*$S$44</f>
        <v>0</v>
      </c>
      <c r="F107" s="1050"/>
      <c r="G107" s="1048">
        <f>$D$54*$T$44</f>
        <v>0</v>
      </c>
      <c r="H107" s="1047">
        <f>B107+E107</f>
        <v>0</v>
      </c>
      <c r="K107" s="890"/>
    </row>
    <row r="108" spans="1:11" x14ac:dyDescent="0.25">
      <c r="B108" s="890"/>
      <c r="D108" s="890"/>
      <c r="E108" s="890"/>
      <c r="F108" s="890"/>
      <c r="H108" s="890"/>
      <c r="K108" s="890"/>
    </row>
    <row r="109" spans="1:11" x14ac:dyDescent="0.25">
      <c r="A109" s="863"/>
      <c r="B109" s="1776" t="str">
        <f>"ستروغانوف باستا  3 / " &amp; COUNTIF($C$53:$C$55, "&gt;0")</f>
        <v>ستروغانوف باستا  3 / 1</v>
      </c>
      <c r="C109" s="1787"/>
      <c r="D109" s="1788"/>
      <c r="E109" s="1788"/>
      <c r="F109" s="1788"/>
      <c r="G109" s="1787"/>
      <c r="H109" s="1788"/>
      <c r="K109" s="890"/>
    </row>
    <row r="110" spans="1:11" x14ac:dyDescent="0.25">
      <c r="A110" s="863"/>
      <c r="B110" s="1776" t="str">
        <f>"Stroganoff sauce for pasta  3 / " &amp; COUNTIF($C$53:$C$55, "&gt;0")</f>
        <v>Stroganoff sauce for pasta  3 / 1</v>
      </c>
      <c r="C110" s="1787"/>
      <c r="D110" s="1788"/>
      <c r="E110" s="1788"/>
      <c r="F110" s="1788"/>
      <c r="G110" s="1787"/>
      <c r="H110" s="1788"/>
      <c r="K110" s="890"/>
    </row>
    <row r="111" spans="1:11" ht="38.25" x14ac:dyDescent="0.2">
      <c r="A111" s="872"/>
      <c r="B111" s="1104" t="s">
        <v>241</v>
      </c>
      <c r="C111" s="934" t="s">
        <v>242</v>
      </c>
      <c r="D111" s="1104" t="s">
        <v>231</v>
      </c>
      <c r="E111" s="936" t="s">
        <v>234</v>
      </c>
      <c r="F111" s="936" t="s">
        <v>243</v>
      </c>
      <c r="G111" s="1104" t="s">
        <v>244</v>
      </c>
      <c r="H111" s="936" t="s">
        <v>245</v>
      </c>
      <c r="K111" s="890"/>
    </row>
    <row r="112" spans="1:11" x14ac:dyDescent="0.25">
      <c r="B112" s="1130" t="str">
        <f t="shared" ref="B112:D127" si="15">B5</f>
        <v>Pasta fusilli - مكرونة مبرومة</v>
      </c>
      <c r="C112" s="1252" t="str">
        <f t="shared" si="15"/>
        <v>gm</v>
      </c>
      <c r="D112" s="1130">
        <f t="shared" si="15"/>
        <v>600</v>
      </c>
      <c r="E112" s="918">
        <f>H55</f>
        <v>0</v>
      </c>
      <c r="F112" s="948">
        <f>F5</f>
        <v>1</v>
      </c>
      <c r="G112" s="940">
        <f t="shared" ref="G112:G127" si="16">D112*E112</f>
        <v>0</v>
      </c>
      <c r="H112" s="943">
        <f t="shared" ref="H112:H127" si="17">G112*F112</f>
        <v>0</v>
      </c>
      <c r="K112" s="890"/>
    </row>
    <row r="113" spans="2:11" x14ac:dyDescent="0.25">
      <c r="B113" s="1130" t="str">
        <f t="shared" si="15"/>
        <v>Onion - بصل</v>
      </c>
      <c r="C113" s="1252" t="str">
        <f t="shared" si="15"/>
        <v>gm</v>
      </c>
      <c r="D113" s="1280">
        <f t="shared" si="15"/>
        <v>202.12765957446808</v>
      </c>
      <c r="E113" s="918">
        <f t="shared" ref="E113:E127" si="18">$C$55</f>
        <v>0</v>
      </c>
      <c r="F113" s="948">
        <f t="shared" ref="F113:F127" si="19">F6</f>
        <v>0.95</v>
      </c>
      <c r="G113" s="940">
        <f t="shared" si="16"/>
        <v>0</v>
      </c>
      <c r="H113" s="943">
        <f t="shared" si="17"/>
        <v>0</v>
      </c>
      <c r="K113" s="890"/>
    </row>
    <row r="114" spans="2:11" x14ac:dyDescent="0.25">
      <c r="B114" s="1130" t="str">
        <f t="shared" si="15"/>
        <v>Garlic - ثوم مقشر</v>
      </c>
      <c r="C114" s="1252" t="str">
        <f t="shared" si="15"/>
        <v>gm</v>
      </c>
      <c r="D114" s="1280">
        <f t="shared" si="15"/>
        <v>30.319148936170212</v>
      </c>
      <c r="E114" s="918">
        <f t="shared" si="18"/>
        <v>0</v>
      </c>
      <c r="F114" s="948">
        <f t="shared" si="19"/>
        <v>0.95</v>
      </c>
      <c r="G114" s="940">
        <f t="shared" si="16"/>
        <v>0</v>
      </c>
      <c r="H114" s="943">
        <f t="shared" si="17"/>
        <v>0</v>
      </c>
      <c r="K114" s="890"/>
    </row>
    <row r="115" spans="2:11" x14ac:dyDescent="0.25">
      <c r="B115" s="1130" t="str">
        <f t="shared" si="15"/>
        <v>Mustard - خردل</v>
      </c>
      <c r="C115" s="1252" t="str">
        <f t="shared" si="15"/>
        <v>gm</v>
      </c>
      <c r="D115" s="1280">
        <f t="shared" si="15"/>
        <v>20.212765957446805</v>
      </c>
      <c r="E115" s="918">
        <f t="shared" si="18"/>
        <v>0</v>
      </c>
      <c r="F115" s="948">
        <f t="shared" si="19"/>
        <v>1</v>
      </c>
      <c r="G115" s="940">
        <f t="shared" si="16"/>
        <v>0</v>
      </c>
      <c r="H115" s="943">
        <f t="shared" si="17"/>
        <v>0</v>
      </c>
      <c r="K115" s="890"/>
    </row>
    <row r="116" spans="2:11" x14ac:dyDescent="0.25">
      <c r="B116" s="1130" t="str">
        <f t="shared" si="15"/>
        <v>Tomato Paste - صلصة طماطم</v>
      </c>
      <c r="C116" s="1252" t="str">
        <f t="shared" si="15"/>
        <v>gm</v>
      </c>
      <c r="D116" s="1280">
        <f t="shared" si="15"/>
        <v>101.06382978723404</v>
      </c>
      <c r="E116" s="918">
        <f t="shared" si="18"/>
        <v>0</v>
      </c>
      <c r="F116" s="948">
        <f t="shared" si="19"/>
        <v>1</v>
      </c>
      <c r="G116" s="940">
        <f t="shared" si="16"/>
        <v>0</v>
      </c>
      <c r="H116" s="943">
        <f t="shared" si="17"/>
        <v>0</v>
      </c>
      <c r="K116" s="890"/>
    </row>
    <row r="117" spans="2:11" ht="28.5" x14ac:dyDescent="0.25">
      <c r="B117" s="1130" t="str">
        <f t="shared" si="15"/>
        <v>Saffron yellow color powder - لون صفار زعفران بودر</v>
      </c>
      <c r="C117" s="1252" t="str">
        <f t="shared" si="15"/>
        <v>gm</v>
      </c>
      <c r="D117" s="1280">
        <f t="shared" si="15"/>
        <v>3.0319148936170208</v>
      </c>
      <c r="E117" s="918">
        <f t="shared" si="18"/>
        <v>0</v>
      </c>
      <c r="F117" s="948">
        <f t="shared" si="19"/>
        <v>0.75</v>
      </c>
      <c r="G117" s="940">
        <f t="shared" si="16"/>
        <v>0</v>
      </c>
      <c r="H117" s="943">
        <f t="shared" si="17"/>
        <v>0</v>
      </c>
      <c r="K117" s="890"/>
    </row>
    <row r="118" spans="2:11" x14ac:dyDescent="0.25">
      <c r="B118" s="1130" t="str">
        <f t="shared" si="15"/>
        <v>Water - ماء</v>
      </c>
      <c r="C118" s="1252" t="str">
        <f t="shared" si="15"/>
        <v>ml</v>
      </c>
      <c r="D118" s="1280">
        <f t="shared" si="15"/>
        <v>200</v>
      </c>
      <c r="E118" s="918">
        <f t="shared" si="18"/>
        <v>0</v>
      </c>
      <c r="F118" s="948">
        <f t="shared" si="19"/>
        <v>1</v>
      </c>
      <c r="G118" s="940">
        <f t="shared" si="16"/>
        <v>0</v>
      </c>
      <c r="H118" s="943">
        <f t="shared" si="17"/>
        <v>0</v>
      </c>
      <c r="K118" s="890"/>
    </row>
    <row r="119" spans="2:11" ht="28.5" x14ac:dyDescent="0.25">
      <c r="B119" s="1130" t="str">
        <f t="shared" si="15"/>
        <v>Black Pepper Powder - فلفل أسود مطحون</v>
      </c>
      <c r="C119" s="1252" t="str">
        <f t="shared" si="15"/>
        <v>gm</v>
      </c>
      <c r="D119" s="1280">
        <f t="shared" si="15"/>
        <v>2.0212765957446805</v>
      </c>
      <c r="E119" s="918">
        <f t="shared" si="18"/>
        <v>0</v>
      </c>
      <c r="F119" s="948">
        <f t="shared" si="19"/>
        <v>1</v>
      </c>
      <c r="G119" s="940">
        <f t="shared" si="16"/>
        <v>0</v>
      </c>
      <c r="H119" s="943">
        <f t="shared" si="17"/>
        <v>0</v>
      </c>
      <c r="K119" s="890"/>
    </row>
    <row r="120" spans="2:11" ht="28.5" x14ac:dyDescent="0.25">
      <c r="B120" s="1130" t="str">
        <f t="shared" si="15"/>
        <v>Demi Glaze Sauce - صوص ديمي غلاز</v>
      </c>
      <c r="C120" s="1252" t="str">
        <f t="shared" si="15"/>
        <v>gm</v>
      </c>
      <c r="D120" s="1280">
        <f t="shared" si="15"/>
        <v>25.26595744680851</v>
      </c>
      <c r="E120" s="918">
        <f t="shared" si="18"/>
        <v>0</v>
      </c>
      <c r="F120" s="948">
        <f t="shared" si="19"/>
        <v>0.75</v>
      </c>
      <c r="G120" s="940">
        <f t="shared" si="16"/>
        <v>0</v>
      </c>
      <c r="H120" s="943">
        <f t="shared" si="17"/>
        <v>0</v>
      </c>
      <c r="K120" s="890"/>
    </row>
    <row r="121" spans="2:11" x14ac:dyDescent="0.25">
      <c r="B121" s="1130" t="str">
        <f t="shared" si="15"/>
        <v>Cooking Cream - كريمة طبخ</v>
      </c>
      <c r="C121" s="1252" t="str">
        <f t="shared" si="15"/>
        <v>ml</v>
      </c>
      <c r="D121" s="1280">
        <f t="shared" si="15"/>
        <v>505.31914893617017</v>
      </c>
      <c r="E121" s="918">
        <f t="shared" si="18"/>
        <v>0</v>
      </c>
      <c r="F121" s="948">
        <f t="shared" si="19"/>
        <v>1</v>
      </c>
      <c r="G121" s="940">
        <f t="shared" si="16"/>
        <v>0</v>
      </c>
      <c r="H121" s="943">
        <f t="shared" si="17"/>
        <v>0</v>
      </c>
      <c r="K121" s="890"/>
    </row>
    <row r="122" spans="2:11" x14ac:dyDescent="0.25">
      <c r="B122" s="1130" t="str">
        <f t="shared" si="15"/>
        <v>Maggi Cubes - مكعبات ماجي</v>
      </c>
      <c r="C122" s="1252" t="str">
        <f t="shared" si="15"/>
        <v>gm</v>
      </c>
      <c r="D122" s="1280">
        <f t="shared" si="15"/>
        <v>8.0851063829787222</v>
      </c>
      <c r="E122" s="918">
        <f t="shared" si="18"/>
        <v>0</v>
      </c>
      <c r="F122" s="948">
        <f t="shared" si="19"/>
        <v>1</v>
      </c>
      <c r="G122" s="940">
        <f t="shared" si="16"/>
        <v>0</v>
      </c>
      <c r="H122" s="943">
        <f t="shared" si="17"/>
        <v>0</v>
      </c>
      <c r="K122" s="890"/>
    </row>
    <row r="123" spans="2:11" x14ac:dyDescent="0.25">
      <c r="B123" s="1130" t="str">
        <f t="shared" si="15"/>
        <v>Salt - ملح</v>
      </c>
      <c r="C123" s="1252" t="str">
        <f t="shared" si="15"/>
        <v>gm</v>
      </c>
      <c r="D123" s="1280">
        <f t="shared" si="15"/>
        <v>5.0531914893617014</v>
      </c>
      <c r="E123" s="918">
        <f t="shared" si="18"/>
        <v>0</v>
      </c>
      <c r="F123" s="948">
        <f t="shared" si="19"/>
        <v>1</v>
      </c>
      <c r="G123" s="940">
        <f t="shared" si="16"/>
        <v>0</v>
      </c>
      <c r="H123" s="943">
        <f t="shared" si="17"/>
        <v>0</v>
      </c>
      <c r="K123" s="890"/>
    </row>
    <row r="124" spans="2:11" x14ac:dyDescent="0.25">
      <c r="B124" s="1130" t="str">
        <f t="shared" si="15"/>
        <v>Corn Starch - نشا ذرة</v>
      </c>
      <c r="C124" s="1252" t="str">
        <f t="shared" si="15"/>
        <v>gm</v>
      </c>
      <c r="D124" s="1280">
        <f t="shared" si="15"/>
        <v>70.744680851063819</v>
      </c>
      <c r="E124" s="918">
        <f t="shared" si="18"/>
        <v>0</v>
      </c>
      <c r="F124" s="948">
        <f t="shared" si="19"/>
        <v>0.75</v>
      </c>
      <c r="G124" s="940">
        <f t="shared" si="16"/>
        <v>0</v>
      </c>
      <c r="H124" s="943">
        <f t="shared" si="17"/>
        <v>0</v>
      </c>
      <c r="K124" s="890"/>
    </row>
    <row r="125" spans="2:11" x14ac:dyDescent="0.25">
      <c r="B125" s="1130" t="str">
        <f t="shared" si="15"/>
        <v>Mushroom - مشروم ابيض</v>
      </c>
      <c r="C125" s="1252" t="str">
        <f t="shared" si="15"/>
        <v>gm</v>
      </c>
      <c r="D125" s="1280">
        <f t="shared" si="15"/>
        <v>101.06382978723404</v>
      </c>
      <c r="E125" s="918">
        <f t="shared" si="18"/>
        <v>0</v>
      </c>
      <c r="F125" s="948">
        <f t="shared" si="19"/>
        <v>1</v>
      </c>
      <c r="G125" s="940">
        <f t="shared" si="16"/>
        <v>0</v>
      </c>
      <c r="H125" s="943">
        <f t="shared" si="17"/>
        <v>0</v>
      </c>
      <c r="K125" s="890"/>
    </row>
    <row r="126" spans="2:11" x14ac:dyDescent="0.25">
      <c r="B126" s="1130" t="str">
        <f t="shared" si="15"/>
        <v>Butter - زبدة</v>
      </c>
      <c r="C126" s="1252" t="str">
        <f t="shared" si="15"/>
        <v>gm</v>
      </c>
      <c r="D126" s="1280">
        <f t="shared" si="15"/>
        <v>20.212765957446805</v>
      </c>
      <c r="E126" s="918">
        <f t="shared" si="18"/>
        <v>0</v>
      </c>
      <c r="F126" s="948">
        <f t="shared" si="19"/>
        <v>1</v>
      </c>
      <c r="G126" s="940">
        <f t="shared" si="16"/>
        <v>0</v>
      </c>
      <c r="H126" s="943">
        <f t="shared" si="17"/>
        <v>0</v>
      </c>
      <c r="K126" s="890"/>
    </row>
    <row r="127" spans="2:11" ht="28.5" x14ac:dyDescent="0.25">
      <c r="B127" s="1130" t="str">
        <f t="shared" si="15"/>
        <v>Sriracha Sauce - صوص سريراتشا</v>
      </c>
      <c r="C127" s="1252" t="str">
        <f t="shared" si="15"/>
        <v>ml</v>
      </c>
      <c r="D127" s="1280">
        <f t="shared" si="15"/>
        <v>15.159574468085106</v>
      </c>
      <c r="E127" s="918">
        <f t="shared" si="18"/>
        <v>0</v>
      </c>
      <c r="F127" s="948">
        <f t="shared" si="19"/>
        <v>0.9</v>
      </c>
      <c r="G127" s="940">
        <f t="shared" si="16"/>
        <v>0</v>
      </c>
      <c r="H127" s="943">
        <f t="shared" si="17"/>
        <v>0</v>
      </c>
      <c r="K127" s="890"/>
    </row>
    <row r="128" spans="2:11" ht="18" x14ac:dyDescent="0.25">
      <c r="B128" s="1041" t="s">
        <v>351</v>
      </c>
      <c r="C128" s="1042" t="s">
        <v>273</v>
      </c>
      <c r="D128" s="1043"/>
      <c r="E128" s="1044" t="s">
        <v>288</v>
      </c>
      <c r="F128" s="1043"/>
      <c r="G128" s="1045" t="s">
        <v>264</v>
      </c>
      <c r="H128" s="1046" t="s">
        <v>664</v>
      </c>
      <c r="K128" s="890"/>
    </row>
    <row r="129" spans="2:8" ht="20.25" x14ac:dyDescent="0.3">
      <c r="B129" s="1047">
        <f>$J$55</f>
        <v>0</v>
      </c>
      <c r="C129" s="1048">
        <f>E129+G129</f>
        <v>0</v>
      </c>
      <c r="D129" s="1049"/>
      <c r="E129" s="1047">
        <f>$D$55*$S$44</f>
        <v>0</v>
      </c>
      <c r="F129" s="1050"/>
      <c r="G129" s="1048">
        <f>$D$55*$T$44</f>
        <v>0</v>
      </c>
      <c r="H129" s="1047">
        <f>B129+E129</f>
        <v>0</v>
      </c>
    </row>
  </sheetData>
  <mergeCells count="9">
    <mergeCell ref="B2:H3"/>
    <mergeCell ref="B63:H63"/>
    <mergeCell ref="B109:H109"/>
    <mergeCell ref="B110:H110"/>
    <mergeCell ref="R26:U26"/>
    <mergeCell ref="B88:H88"/>
    <mergeCell ref="B62:H62"/>
    <mergeCell ref="R25:U25"/>
    <mergeCell ref="B87:H87"/>
  </mergeCells>
  <printOptions horizontalCentered="1"/>
  <pageMargins left="0.4" right="0.4" top="1" bottom="0.5" header="0.3" footer="0.511811023622047"/>
  <pageSetup paperSize="9" scale="46" fitToHeight="0" orientation="landscape"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7C7C7C"/>
    <pageSetUpPr fitToPage="1"/>
  </sheetPr>
  <dimension ref="A1:AG77"/>
  <sheetViews>
    <sheetView topLeftCell="C9" zoomScale="55" zoomScaleNormal="55" workbookViewId="0">
      <selection activeCell="T62" sqref="T62"/>
    </sheetView>
  </sheetViews>
  <sheetFormatPr defaultColWidth="12.5" defaultRowHeight="15" x14ac:dyDescent="0.25"/>
  <cols>
    <col min="1" max="1" width="18.625" style="61" customWidth="1"/>
    <col min="2" max="2" width="25.875" style="14" customWidth="1"/>
    <col min="3" max="3" width="18.625" style="14" customWidth="1"/>
    <col min="4"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4" width="3.875" style="14" customWidth="1"/>
    <col min="15" max="15" width="18.625" style="14" customWidth="1"/>
    <col min="16" max="16" width="8.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5" style="14"/>
    <col min="25" max="25" width="8.625" style="14" customWidth="1"/>
    <col min="26" max="30" width="12.625" style="14" customWidth="1"/>
    <col min="31" max="16384" width="12.5" style="14"/>
  </cols>
  <sheetData>
    <row r="1" spans="1:33" ht="25.5" x14ac:dyDescent="0.25">
      <c r="B1" s="913" t="s">
        <v>231</v>
      </c>
      <c r="C1" s="914">
        <v>1000</v>
      </c>
      <c r="D1" s="915" t="s">
        <v>232</v>
      </c>
      <c r="E1" s="941">
        <f>T32</f>
        <v>3636.9230769230808</v>
      </c>
      <c r="F1" s="913" t="s">
        <v>233</v>
      </c>
      <c r="G1" s="914">
        <f>E1/C1</f>
        <v>3.6369230769230807</v>
      </c>
      <c r="H1" s="913" t="s">
        <v>234</v>
      </c>
      <c r="I1" s="1143">
        <f>G1/K1</f>
        <v>3.723222946544984</v>
      </c>
      <c r="J1" s="919" t="s">
        <v>235</v>
      </c>
      <c r="K1" s="1208">
        <f>5.9/6.04</f>
        <v>0.97682119205298024</v>
      </c>
      <c r="L1" s="80"/>
      <c r="M1" s="70"/>
      <c r="N1" s="922"/>
      <c r="O1" s="923" t="s">
        <v>236</v>
      </c>
      <c r="P1" s="914" t="s">
        <v>289</v>
      </c>
      <c r="Q1" s="924" t="s">
        <v>238</v>
      </c>
      <c r="R1" s="914">
        <v>0.51</v>
      </c>
      <c r="T1" s="890"/>
      <c r="W1" s="890"/>
      <c r="Y1" s="923" t="s">
        <v>444</v>
      </c>
      <c r="Z1" s="925">
        <v>15760</v>
      </c>
      <c r="AA1" s="923" t="s">
        <v>544</v>
      </c>
      <c r="AB1" s="925">
        <v>0</v>
      </c>
      <c r="AC1" s="923" t="s">
        <v>537</v>
      </c>
      <c r="AD1" s="925">
        <v>107</v>
      </c>
      <c r="AE1" s="168"/>
      <c r="AF1" s="170"/>
      <c r="AG1" s="73"/>
    </row>
    <row r="2" spans="1:33" x14ac:dyDescent="0.25">
      <c r="A2" s="863"/>
      <c r="B2" s="1784" t="s">
        <v>102</v>
      </c>
      <c r="C2" s="1787"/>
      <c r="D2" s="1788"/>
      <c r="E2" s="1788"/>
      <c r="F2" s="1788"/>
      <c r="G2" s="1787"/>
      <c r="H2" s="1788"/>
      <c r="I2" s="1787"/>
      <c r="J2" s="1787"/>
      <c r="K2" s="1788"/>
      <c r="L2" s="187"/>
      <c r="M2" s="80"/>
      <c r="N2" s="80"/>
      <c r="O2" s="80"/>
      <c r="P2" s="80"/>
      <c r="Q2" s="80"/>
      <c r="R2" s="80"/>
      <c r="T2" s="890"/>
      <c r="W2" s="890"/>
      <c r="AE2" s="1795"/>
      <c r="AF2" s="1799"/>
      <c r="AG2" s="1799"/>
    </row>
    <row r="3" spans="1:33" x14ac:dyDescent="0.25">
      <c r="A3" s="863"/>
      <c r="B3" s="1785"/>
      <c r="C3" s="1796"/>
      <c r="D3" s="1785"/>
      <c r="E3" s="1785"/>
      <c r="F3" s="1785"/>
      <c r="G3" s="1796"/>
      <c r="H3" s="1785"/>
      <c r="I3" s="1796"/>
      <c r="J3" s="1796"/>
      <c r="K3" s="1831"/>
      <c r="L3" s="187"/>
      <c r="M3" s="80"/>
      <c r="N3" s="80"/>
      <c r="O3" s="80"/>
      <c r="P3" s="80"/>
      <c r="Q3" s="80"/>
      <c r="R3" s="80"/>
      <c r="T3" s="890"/>
      <c r="W3" s="890"/>
      <c r="AE3" s="1799"/>
      <c r="AF3" s="1799"/>
      <c r="AG3" s="1799"/>
    </row>
    <row r="4" spans="1:33" ht="25.5"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R4" s="890"/>
      <c r="T4" s="890"/>
      <c r="W4" s="890"/>
      <c r="AA4" s="169"/>
      <c r="AB4" s="171"/>
      <c r="AE4" s="169"/>
    </row>
    <row r="5" spans="1:33" ht="28.5" x14ac:dyDescent="0.2">
      <c r="A5" s="937" t="s">
        <v>873</v>
      </c>
      <c r="B5" s="1068" t="s">
        <v>223</v>
      </c>
      <c r="C5" s="939" t="s">
        <v>14</v>
      </c>
      <c r="D5" s="944">
        <f>I51/10</f>
        <v>6536.0784313725489</v>
      </c>
      <c r="E5" s="941">
        <f>H52</f>
        <v>3.6368503399162777</v>
      </c>
      <c r="F5" s="948">
        <v>1</v>
      </c>
      <c r="G5" s="940">
        <f t="shared" ref="G5:G15" si="0">D5*E5</f>
        <v>23770.739064856705</v>
      </c>
      <c r="H5" s="943">
        <f t="shared" ref="H5:H15" si="1">G5*F5</f>
        <v>23770.739064856705</v>
      </c>
      <c r="I5" s="914">
        <f>VLOOKUP(B5,All_Ingredients!$A$1:$F$161,6,FALSE())</f>
        <v>0.55000000000000004</v>
      </c>
      <c r="J5" s="940">
        <f>VLOOKUP(B5,All_Ingredients!$A$1:$J$161,10,FALSE())</f>
        <v>14.361111111111111</v>
      </c>
      <c r="K5" s="945">
        <f t="shared" ref="K5" si="2">(H5/I5)/1000</f>
        <v>43.219525572466736</v>
      </c>
      <c r="L5" s="945">
        <f t="shared" ref="L5" si="3">K5*J5</f>
        <v>620.68040891570286</v>
      </c>
      <c r="M5" s="80"/>
      <c r="N5" s="80"/>
      <c r="O5" s="80"/>
      <c r="P5" s="80"/>
      <c r="R5" s="890"/>
      <c r="T5" s="890"/>
      <c r="W5" s="890"/>
      <c r="AA5" s="73"/>
      <c r="AB5" s="89"/>
      <c r="AE5" s="91"/>
    </row>
    <row r="6" spans="1:33" x14ac:dyDescent="0.25">
      <c r="A6" s="949" t="s">
        <v>868</v>
      </c>
      <c r="B6" s="1130" t="s">
        <v>706</v>
      </c>
      <c r="C6" s="947" t="s">
        <v>14</v>
      </c>
      <c r="D6" s="914">
        <v>25</v>
      </c>
      <c r="E6" s="1040">
        <f t="shared" ref="E6:E15" si="4">$I$1</f>
        <v>3.723222946544984</v>
      </c>
      <c r="F6" s="948">
        <v>0.95</v>
      </c>
      <c r="G6" s="940">
        <f t="shared" si="0"/>
        <v>93.080573663624605</v>
      </c>
      <c r="H6" s="943">
        <f t="shared" si="1"/>
        <v>88.426544980443367</v>
      </c>
      <c r="I6" s="914">
        <f>VLOOKUP(B6,All_Ingredients!$A$1:$F$161,6,FALSE())</f>
        <v>1</v>
      </c>
      <c r="J6" s="940">
        <f>VLOOKUP(B6,All_Ingredients!$A$1:$J$161,10,FALSE())</f>
        <v>10.5</v>
      </c>
      <c r="K6" s="945">
        <f t="shared" ref="K6:K15" si="5">(H6/I6)/1000</f>
        <v>8.8426544980443361E-2</v>
      </c>
      <c r="L6" s="945">
        <f t="shared" ref="L6:L15" si="6">K6*J6</f>
        <v>0.92847872229465533</v>
      </c>
      <c r="R6" s="890"/>
      <c r="T6" s="890"/>
      <c r="W6" s="890"/>
    </row>
    <row r="7" spans="1:33" x14ac:dyDescent="0.25">
      <c r="A7" s="949" t="s">
        <v>881</v>
      </c>
      <c r="B7" s="1130" t="s">
        <v>12</v>
      </c>
      <c r="C7" s="947" t="s">
        <v>14</v>
      </c>
      <c r="D7" s="914">
        <v>200</v>
      </c>
      <c r="E7" s="1040">
        <f t="shared" si="4"/>
        <v>3.723222946544984</v>
      </c>
      <c r="F7" s="948">
        <v>0.95</v>
      </c>
      <c r="G7" s="940">
        <f t="shared" si="0"/>
        <v>744.64458930899684</v>
      </c>
      <c r="H7" s="943">
        <f t="shared" si="1"/>
        <v>707.41235984354694</v>
      </c>
      <c r="I7" s="914">
        <f>VLOOKUP(B7,All_Ingredients!$A$1:$F$161,6,FALSE())</f>
        <v>0.9</v>
      </c>
      <c r="J7" s="940">
        <f>VLOOKUP(B7,All_Ingredients!$A$1:$J$161,10,FALSE())</f>
        <v>3</v>
      </c>
      <c r="K7" s="945">
        <f t="shared" si="5"/>
        <v>0.78601373315949663</v>
      </c>
      <c r="L7" s="945">
        <f t="shared" si="6"/>
        <v>2.3580411994784898</v>
      </c>
      <c r="R7" s="890"/>
      <c r="T7" s="890"/>
      <c r="W7" s="890"/>
    </row>
    <row r="8" spans="1:33" ht="28.5" x14ac:dyDescent="0.25">
      <c r="A8" s="949"/>
      <c r="B8" s="1130" t="s">
        <v>200</v>
      </c>
      <c r="C8" s="947" t="s">
        <v>14</v>
      </c>
      <c r="D8" s="914">
        <v>50</v>
      </c>
      <c r="E8" s="1040">
        <f t="shared" si="4"/>
        <v>3.723222946544984</v>
      </c>
      <c r="F8" s="948">
        <v>1</v>
      </c>
      <c r="G8" s="940">
        <f t="shared" si="0"/>
        <v>186.16114732724921</v>
      </c>
      <c r="H8" s="943">
        <f t="shared" si="1"/>
        <v>186.16114732724921</v>
      </c>
      <c r="I8" s="914">
        <f>VLOOKUP(B8,All_Ingredients!$A$1:$F$161,6,FALSE())</f>
        <v>1</v>
      </c>
      <c r="J8" s="940">
        <f>VLOOKUP(B8,All_Ingredients!$A$1:$J$161,10,FALSE())</f>
        <v>63.333333333333336</v>
      </c>
      <c r="K8" s="945">
        <f t="shared" si="5"/>
        <v>0.1861611473272492</v>
      </c>
      <c r="L8" s="945">
        <f t="shared" si="6"/>
        <v>11.79020599739245</v>
      </c>
      <c r="R8" s="890"/>
      <c r="T8" s="890"/>
      <c r="W8" s="890"/>
    </row>
    <row r="9" spans="1:33" ht="28.5" x14ac:dyDescent="0.25">
      <c r="A9" s="949"/>
      <c r="B9" s="1130" t="s">
        <v>99</v>
      </c>
      <c r="C9" s="947" t="s">
        <v>14</v>
      </c>
      <c r="D9" s="914">
        <v>5</v>
      </c>
      <c r="E9" s="1040">
        <f t="shared" si="4"/>
        <v>3.723222946544984</v>
      </c>
      <c r="F9" s="948">
        <v>1</v>
      </c>
      <c r="G9" s="940">
        <f t="shared" si="0"/>
        <v>18.61611473272492</v>
      </c>
      <c r="H9" s="943">
        <f t="shared" si="1"/>
        <v>18.61611473272492</v>
      </c>
      <c r="I9" s="914">
        <f>VLOOKUP(B9,All_Ingredients!$A$1:$F$161,6,FALSE())</f>
        <v>1</v>
      </c>
      <c r="J9" s="940">
        <f>VLOOKUP(B9,All_Ingredients!$A$1:$J$161,10,FALSE())</f>
        <v>31</v>
      </c>
      <c r="K9" s="945">
        <f t="shared" si="5"/>
        <v>1.8616114732724922E-2</v>
      </c>
      <c r="L9" s="945">
        <f t="shared" si="6"/>
        <v>0.57709955671447255</v>
      </c>
      <c r="R9" s="890"/>
      <c r="T9" s="890"/>
      <c r="W9" s="890"/>
    </row>
    <row r="10" spans="1:33" x14ac:dyDescent="0.25">
      <c r="A10" s="949"/>
      <c r="B10" s="1130" t="s">
        <v>139</v>
      </c>
      <c r="C10" s="947" t="s">
        <v>14</v>
      </c>
      <c r="D10" s="914">
        <v>8</v>
      </c>
      <c r="E10" s="1040">
        <f t="shared" si="4"/>
        <v>3.723222946544984</v>
      </c>
      <c r="F10" s="948">
        <v>0.75</v>
      </c>
      <c r="G10" s="940">
        <f t="shared" si="0"/>
        <v>29.785783572359872</v>
      </c>
      <c r="H10" s="943">
        <f t="shared" si="1"/>
        <v>22.339337679269903</v>
      </c>
      <c r="I10" s="914">
        <f>VLOOKUP(B10,All_Ingredients!$A$1:$F$161,6,FALSE())</f>
        <v>1</v>
      </c>
      <c r="J10" s="940">
        <f>VLOOKUP(B10,All_Ingredients!$A$1:$J$161,10,FALSE())</f>
        <v>15.277777777777779</v>
      </c>
      <c r="K10" s="945">
        <f t="shared" si="5"/>
        <v>2.2339337679269902E-2</v>
      </c>
      <c r="L10" s="945">
        <f t="shared" si="6"/>
        <v>0.34129543676662349</v>
      </c>
      <c r="R10" s="890"/>
      <c r="T10" s="890"/>
      <c r="W10" s="890"/>
    </row>
    <row r="11" spans="1:33" x14ac:dyDescent="0.25">
      <c r="A11" s="949"/>
      <c r="B11" s="1130" t="s">
        <v>93</v>
      </c>
      <c r="C11" s="947" t="s">
        <v>14</v>
      </c>
      <c r="D11" s="914">
        <v>5</v>
      </c>
      <c r="E11" s="1040">
        <f t="shared" si="4"/>
        <v>3.723222946544984</v>
      </c>
      <c r="F11" s="948">
        <v>1</v>
      </c>
      <c r="G11" s="940">
        <f t="shared" si="0"/>
        <v>18.61611473272492</v>
      </c>
      <c r="H11" s="943">
        <f t="shared" si="1"/>
        <v>18.61611473272492</v>
      </c>
      <c r="I11" s="914">
        <f>VLOOKUP(B11,All_Ingredients!$A$1:$F$161,6,FALSE())</f>
        <v>1</v>
      </c>
      <c r="J11" s="940">
        <f>VLOOKUP(B11,All_Ingredients!$A$1:$J$161,10,FALSE())</f>
        <v>0.74</v>
      </c>
      <c r="K11" s="945">
        <f t="shared" si="5"/>
        <v>1.8616114732724922E-2</v>
      </c>
      <c r="L11" s="945">
        <f t="shared" si="6"/>
        <v>1.3775924902216442E-2</v>
      </c>
      <c r="R11" s="890"/>
      <c r="T11" s="890"/>
      <c r="W11" s="890"/>
    </row>
    <row r="12" spans="1:33" x14ac:dyDescent="0.25">
      <c r="A12" s="949" t="s">
        <v>888</v>
      </c>
      <c r="B12" s="1130" t="s">
        <v>733</v>
      </c>
      <c r="C12" s="947" t="s">
        <v>14</v>
      </c>
      <c r="D12" s="914">
        <v>200</v>
      </c>
      <c r="E12" s="1040">
        <f t="shared" si="4"/>
        <v>3.723222946544984</v>
      </c>
      <c r="F12" s="948">
        <v>1</v>
      </c>
      <c r="G12" s="940">
        <f t="shared" si="0"/>
        <v>744.64458930899684</v>
      </c>
      <c r="H12" s="943">
        <f t="shared" si="1"/>
        <v>744.64458930899684</v>
      </c>
      <c r="I12" s="914">
        <f>VLOOKUP(B12,All_Ingredients!$A$1:$F$161,6,FALSE())</f>
        <v>1</v>
      </c>
      <c r="J12" s="940">
        <f>VLOOKUP(B12,All_Ingredients!$A$1:$J$161,10,FALSE())</f>
        <v>22</v>
      </c>
      <c r="K12" s="945">
        <f t="shared" si="5"/>
        <v>0.7446445893089968</v>
      </c>
      <c r="L12" s="945">
        <f t="shared" si="6"/>
        <v>16.382180964797929</v>
      </c>
      <c r="R12" s="890"/>
      <c r="T12" s="890"/>
      <c r="W12" s="890"/>
    </row>
    <row r="13" spans="1:33" x14ac:dyDescent="0.25">
      <c r="A13" s="949" t="s">
        <v>886</v>
      </c>
      <c r="B13" s="1130" t="s">
        <v>19</v>
      </c>
      <c r="C13" s="947" t="s">
        <v>14</v>
      </c>
      <c r="D13" s="914">
        <v>100</v>
      </c>
      <c r="E13" s="1040">
        <f t="shared" si="4"/>
        <v>3.723222946544984</v>
      </c>
      <c r="F13" s="948">
        <v>0.75</v>
      </c>
      <c r="G13" s="940">
        <f t="shared" si="0"/>
        <v>372.32229465449842</v>
      </c>
      <c r="H13" s="943">
        <f t="shared" si="1"/>
        <v>279.24172099087383</v>
      </c>
      <c r="I13" s="914">
        <f>VLOOKUP(B13,All_Ingredients!$A$1:$F$161,6,FALSE())</f>
        <v>0.8</v>
      </c>
      <c r="J13" s="940">
        <f>VLOOKUP(B13,All_Ingredients!$A$1:$J$161,10,FALSE())</f>
        <v>2.6</v>
      </c>
      <c r="K13" s="945">
        <f t="shared" si="5"/>
        <v>0.34905215123859229</v>
      </c>
      <c r="L13" s="945">
        <f t="shared" si="6"/>
        <v>0.90753559322033994</v>
      </c>
      <c r="R13" s="890"/>
      <c r="T13" s="890"/>
      <c r="W13" s="890"/>
    </row>
    <row r="14" spans="1:33" x14ac:dyDescent="0.25">
      <c r="A14" s="949"/>
      <c r="B14" s="960" t="s">
        <v>166</v>
      </c>
      <c r="C14" s="947" t="s">
        <v>160</v>
      </c>
      <c r="D14" s="914">
        <v>700</v>
      </c>
      <c r="E14" s="1040">
        <f t="shared" si="4"/>
        <v>3.723222946544984</v>
      </c>
      <c r="F14" s="948">
        <v>1</v>
      </c>
      <c r="G14" s="940">
        <f t="shared" si="0"/>
        <v>2606.256062581489</v>
      </c>
      <c r="H14" s="943">
        <f t="shared" si="1"/>
        <v>2606.256062581489</v>
      </c>
      <c r="I14" s="914">
        <f>VLOOKUP(B14,All_Ingredients!$A$1:$F$161,6,FALSE())</f>
        <v>1</v>
      </c>
      <c r="J14" s="940">
        <f>VLOOKUP(B14,All_Ingredients!$A$1:$J$161,10,FALSE())</f>
        <v>12.666666666666666</v>
      </c>
      <c r="K14" s="945">
        <f t="shared" si="5"/>
        <v>2.606256062581489</v>
      </c>
      <c r="L14" s="945">
        <f t="shared" si="6"/>
        <v>33.012576792698859</v>
      </c>
      <c r="R14" s="890"/>
      <c r="T14" s="890"/>
      <c r="W14" s="890"/>
    </row>
    <row r="15" spans="1:33" x14ac:dyDescent="0.25">
      <c r="A15" s="949"/>
      <c r="B15" s="960" t="s">
        <v>152</v>
      </c>
      <c r="C15" s="947" t="s">
        <v>14</v>
      </c>
      <c r="D15" s="950">
        <v>40</v>
      </c>
      <c r="E15" s="1040">
        <f t="shared" si="4"/>
        <v>3.723222946544984</v>
      </c>
      <c r="F15" s="948">
        <v>1</v>
      </c>
      <c r="G15" s="940">
        <f t="shared" si="0"/>
        <v>148.92891786179936</v>
      </c>
      <c r="H15" s="943">
        <f t="shared" si="1"/>
        <v>148.92891786179936</v>
      </c>
      <c r="I15" s="914">
        <f>VLOOKUP(B15,All_Ingredients!$A$1:$F$161,6,FALSE())</f>
        <v>1</v>
      </c>
      <c r="J15" s="940">
        <f>VLOOKUP(B15,All_Ingredients!$A$1:$J$161,10,FALSE())</f>
        <v>30</v>
      </c>
      <c r="K15" s="945">
        <f t="shared" si="5"/>
        <v>0.14892891786179938</v>
      </c>
      <c r="L15" s="945">
        <f t="shared" si="6"/>
        <v>4.4678675358539817</v>
      </c>
      <c r="R15" s="890"/>
      <c r="T15" s="890"/>
      <c r="W15" s="890"/>
    </row>
    <row r="25" spans="3:30" x14ac:dyDescent="0.25">
      <c r="D25" s="890"/>
      <c r="E25" s="80"/>
      <c r="F25" s="80"/>
      <c r="H25" s="890"/>
      <c r="K25" s="890"/>
      <c r="L25" s="190"/>
      <c r="R25" s="1779" t="s">
        <v>407</v>
      </c>
      <c r="S25" s="1787"/>
      <c r="T25" s="1788"/>
      <c r="U25" s="1787"/>
      <c r="V25" s="952"/>
      <c r="W25" s="890"/>
      <c r="Z25" s="982" t="s">
        <v>252</v>
      </c>
      <c r="AA25" s="989">
        <v>1</v>
      </c>
      <c r="AB25" s="982" t="s">
        <v>249</v>
      </c>
      <c r="AC25" s="985">
        <f>AD30*AA25</f>
        <v>4.3907233826228513E-2</v>
      </c>
    </row>
    <row r="26" spans="3:30" x14ac:dyDescent="0.25">
      <c r="D26" s="890"/>
      <c r="E26" s="80"/>
      <c r="F26" s="80"/>
      <c r="H26" s="890"/>
      <c r="K26" s="890"/>
      <c r="L26" s="190"/>
      <c r="R26" s="1786" t="s">
        <v>296</v>
      </c>
      <c r="S26" s="1787"/>
      <c r="T26" s="1788"/>
      <c r="U26" s="1787"/>
      <c r="V26" s="952"/>
      <c r="W26" s="890"/>
    </row>
    <row r="27" spans="3:30" ht="15.75" x14ac:dyDescent="0.25">
      <c r="C27" s="1862"/>
      <c r="D27" s="1863"/>
      <c r="E27" s="1863"/>
      <c r="F27" s="1863"/>
      <c r="G27" s="1862"/>
      <c r="H27" s="1339"/>
      <c r="K27" s="890"/>
      <c r="R27" s="961" t="s">
        <v>254</v>
      </c>
      <c r="S27" s="962" t="s">
        <v>297</v>
      </c>
      <c r="T27" s="961" t="s">
        <v>256</v>
      </c>
      <c r="U27" s="962" t="s">
        <v>257</v>
      </c>
      <c r="V27" s="962" t="s">
        <v>753</v>
      </c>
      <c r="W27" s="890"/>
      <c r="Z27" s="982" t="s">
        <v>258</v>
      </c>
      <c r="AA27" s="982" t="s">
        <v>259</v>
      </c>
      <c r="AB27" s="982" t="s">
        <v>260</v>
      </c>
      <c r="AC27" s="984" t="s">
        <v>753</v>
      </c>
      <c r="AD27" s="982" t="s">
        <v>262</v>
      </c>
    </row>
    <row r="28" spans="3:30" x14ac:dyDescent="0.25">
      <c r="C28" s="434"/>
      <c r="D28" s="1600"/>
      <c r="E28" s="433"/>
      <c r="F28" s="433"/>
      <c r="G28" s="435"/>
      <c r="H28" s="1601"/>
      <c r="K28" s="890"/>
      <c r="R28" s="961" t="s">
        <v>263</v>
      </c>
      <c r="S28" s="975">
        <f>U28*S40</f>
        <v>12123.07692307692</v>
      </c>
      <c r="T28" s="1132">
        <f>U28*U40</f>
        <v>3636.9230769230808</v>
      </c>
      <c r="U28" s="1391">
        <f>$Z$1</f>
        <v>15760</v>
      </c>
      <c r="V28" s="966">
        <f>SUM(H37)</f>
        <v>7.4900000000000011</v>
      </c>
      <c r="W28" s="890"/>
      <c r="Z28" s="1086"/>
      <c r="AA28" s="985">
        <f>AA25*$S$40</f>
        <v>0.76923076923076905</v>
      </c>
      <c r="AB28" s="985">
        <f>AA25*$U$40</f>
        <v>0.230769230769231</v>
      </c>
      <c r="AC28" s="987"/>
      <c r="AD28" s="1088">
        <f>SUM(AA28:AC28)</f>
        <v>1</v>
      </c>
    </row>
    <row r="29" spans="3:30" x14ac:dyDescent="0.25">
      <c r="D29" s="890"/>
      <c r="E29" s="890"/>
      <c r="F29" s="890"/>
      <c r="H29" s="890"/>
      <c r="K29" s="890"/>
      <c r="R29" s="961" t="s">
        <v>264</v>
      </c>
      <c r="S29" s="974"/>
      <c r="T29" s="1132"/>
      <c r="U29" s="966" t="s">
        <v>309</v>
      </c>
      <c r="V29" s="966"/>
      <c r="W29" s="890"/>
      <c r="Z29" s="1086"/>
      <c r="AA29" s="1089">
        <f>AA28/$AD$28</f>
        <v>0.76923076923076905</v>
      </c>
      <c r="AB29" s="1089">
        <f>AB28/$AD$28</f>
        <v>0.230769230769231</v>
      </c>
      <c r="AC29" s="991"/>
      <c r="AD29" s="1089">
        <f>AD28/$AD$28</f>
        <v>1</v>
      </c>
    </row>
    <row r="30" spans="3:30" x14ac:dyDescent="0.25">
      <c r="D30" s="890"/>
      <c r="E30" s="890"/>
      <c r="F30" s="890"/>
      <c r="H30" s="890"/>
      <c r="K30" s="890"/>
      <c r="R30" s="961" t="s">
        <v>265</v>
      </c>
      <c r="S30" s="1460">
        <f>U30*S40</f>
        <v>0</v>
      </c>
      <c r="T30" s="1132">
        <f>U30*U40</f>
        <v>0</v>
      </c>
      <c r="U30" s="1391">
        <f>$AB$1</f>
        <v>0</v>
      </c>
      <c r="V30" s="972"/>
      <c r="W30" s="890"/>
      <c r="Z30" s="982" t="s">
        <v>266</v>
      </c>
      <c r="AA30" s="1090">
        <f>S35/(S28)</f>
        <v>5.1198257080610023E-2</v>
      </c>
      <c r="AB30" s="1091">
        <f>T35/T32</f>
        <v>1.9461246836158193E-2</v>
      </c>
      <c r="AC30" s="995">
        <f>V35/U32</f>
        <v>3.2902186645841473E-5</v>
      </c>
      <c r="AD30" s="1092">
        <f>SUMPRODUCT(AA30:AB30,AA29:AB29)+AC30</f>
        <v>4.3907233826228513E-2</v>
      </c>
    </row>
    <row r="31" spans="3:30" x14ac:dyDescent="0.25">
      <c r="D31" s="890"/>
      <c r="E31" s="890"/>
      <c r="F31" s="890"/>
      <c r="H31" s="890"/>
      <c r="K31" s="890"/>
      <c r="R31" s="961" t="s">
        <v>267</v>
      </c>
      <c r="S31" s="959"/>
      <c r="T31" s="967"/>
      <c r="U31" s="966"/>
      <c r="V31" s="966"/>
      <c r="W31" s="890"/>
    </row>
    <row r="32" spans="3:30" x14ac:dyDescent="0.25">
      <c r="D32" s="890"/>
      <c r="E32" s="890"/>
      <c r="F32" s="890"/>
      <c r="H32" s="890"/>
      <c r="K32" s="890"/>
      <c r="R32" s="961" t="s">
        <v>257</v>
      </c>
      <c r="S32" s="966">
        <f>SUM(S28:S30)</f>
        <v>12123.07692307692</v>
      </c>
      <c r="T32" s="967">
        <f>SUM(T28:T30)</f>
        <v>3636.9230769230808</v>
      </c>
      <c r="U32" s="966">
        <f>SUM(U28:U30)</f>
        <v>15760</v>
      </c>
      <c r="V32" s="966">
        <f>SUM(V28:V30)</f>
        <v>7.4900000000000011</v>
      </c>
      <c r="W32" s="890"/>
    </row>
    <row r="33" spans="2:23" ht="30" x14ac:dyDescent="0.25">
      <c r="B33" s="890"/>
      <c r="D33" s="890"/>
      <c r="E33" s="890"/>
      <c r="F33" s="890"/>
      <c r="H33" s="890"/>
      <c r="K33" s="890"/>
      <c r="R33" s="976" t="s">
        <v>268</v>
      </c>
      <c r="S33" s="959"/>
      <c r="T33" s="960"/>
      <c r="U33" s="959"/>
      <c r="V33" s="959"/>
      <c r="W33" s="890"/>
    </row>
    <row r="34" spans="2:23" x14ac:dyDescent="0.25">
      <c r="B34" s="890"/>
      <c r="D34" s="890"/>
      <c r="E34" s="890"/>
      <c r="F34" s="890"/>
      <c r="H34" s="890"/>
      <c r="K34" s="890"/>
      <c r="R34" s="961" t="s">
        <v>269</v>
      </c>
      <c r="S34" s="959"/>
      <c r="T34" s="967"/>
      <c r="U34" s="959"/>
      <c r="V34" s="959"/>
      <c r="W34" s="890"/>
    </row>
    <row r="35" spans="2:23" ht="15.75" x14ac:dyDescent="0.25">
      <c r="B35" s="1781" t="s">
        <v>649</v>
      </c>
      <c r="C35" s="1782"/>
      <c r="D35" s="1781"/>
      <c r="E35" s="1781"/>
      <c r="F35" s="1781"/>
      <c r="G35" s="1001"/>
      <c r="H35" s="1434"/>
      <c r="I35" s="1010"/>
      <c r="J35" s="1010"/>
      <c r="K35" s="1009"/>
      <c r="L35" s="1010"/>
      <c r="R35" s="977" t="s">
        <v>249</v>
      </c>
      <c r="S35" s="1133">
        <f>$L$5</f>
        <v>620.68040891570286</v>
      </c>
      <c r="T35" s="1134">
        <f>SUM(L6:L15)</f>
        <v>70.779057724120022</v>
      </c>
      <c r="U35" s="1160">
        <f>S35+T35+V35</f>
        <v>691.9780051013613</v>
      </c>
      <c r="V35" s="1136">
        <f>SUM(L37)</f>
        <v>0.51853846153846161</v>
      </c>
      <c r="W35" s="890"/>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90"/>
      <c r="T36" s="890"/>
      <c r="W36" s="890"/>
    </row>
    <row r="37" spans="2:23" x14ac:dyDescent="0.25">
      <c r="B37" s="1005" t="s">
        <v>666</v>
      </c>
      <c r="C37" s="1006" t="s">
        <v>14</v>
      </c>
      <c r="D37" s="1007">
        <v>7.0000000000000007E-2</v>
      </c>
      <c r="E37" s="1005">
        <f>$AD$1</f>
        <v>107</v>
      </c>
      <c r="F37" s="1005">
        <f>D37*E37</f>
        <v>7.4900000000000011</v>
      </c>
      <c r="G37" s="437"/>
      <c r="H37" s="1005">
        <f>F37</f>
        <v>7.4900000000000011</v>
      </c>
      <c r="I37" s="1005">
        <f>VLOOKUP(B37,All_Ingredients!$A$1:$F$161,6,FALSE())</f>
        <v>0.65</v>
      </c>
      <c r="J37" s="1005">
        <f>VLOOKUP(B37,All_Ingredients!$A$1:$J$161,10,FALSE())</f>
        <v>45</v>
      </c>
      <c r="K37" s="1005">
        <f>(H37/I37)/1000</f>
        <v>1.1523076923076924E-2</v>
      </c>
      <c r="L37" s="1005">
        <f>K37*J37</f>
        <v>0.51853846153846161</v>
      </c>
      <c r="R37" s="890"/>
      <c r="T37" s="890"/>
      <c r="W37" s="890"/>
    </row>
    <row r="38" spans="2:23" x14ac:dyDescent="0.25">
      <c r="B38" s="890"/>
      <c r="D38" s="890"/>
      <c r="E38" s="890"/>
      <c r="F38" s="890"/>
      <c r="H38" s="890"/>
      <c r="K38" s="890"/>
      <c r="R38" s="890"/>
      <c r="T38" s="890"/>
      <c r="W38" s="890"/>
    </row>
    <row r="39" spans="2:23" x14ac:dyDescent="0.25">
      <c r="B39" s="890"/>
      <c r="D39" s="890"/>
      <c r="E39" s="890"/>
      <c r="F39" s="890"/>
      <c r="H39" s="890"/>
      <c r="K39" s="890"/>
      <c r="R39" s="890"/>
      <c r="T39" s="890"/>
      <c r="W39" s="890"/>
    </row>
    <row r="40" spans="2:23" ht="26.25" x14ac:dyDescent="0.25">
      <c r="B40" s="890"/>
      <c r="D40" s="890"/>
      <c r="E40" s="890"/>
      <c r="F40" s="890"/>
      <c r="H40" s="890"/>
      <c r="K40" s="890"/>
      <c r="R40" s="1011" t="s">
        <v>270</v>
      </c>
      <c r="S40" s="1012">
        <v>0.76923076923076905</v>
      </c>
      <c r="T40" s="1011" t="s">
        <v>271</v>
      </c>
      <c r="U40" s="1013">
        <v>0.230769230769231</v>
      </c>
      <c r="V40" s="1014">
        <f>S40+U40</f>
        <v>1</v>
      </c>
      <c r="W40" s="890"/>
    </row>
    <row r="41" spans="2:23" x14ac:dyDescent="0.25">
      <c r="B41" s="890"/>
      <c r="D41" s="890"/>
      <c r="E41" s="890"/>
      <c r="F41" s="890"/>
      <c r="H41" s="890"/>
      <c r="K41" s="890"/>
      <c r="R41" s="890"/>
      <c r="T41" s="890"/>
      <c r="U41" s="123"/>
      <c r="W41" s="890"/>
    </row>
    <row r="42" spans="2:23" x14ac:dyDescent="0.25">
      <c r="B42" s="890"/>
      <c r="D42" s="890"/>
      <c r="E42" s="890"/>
      <c r="F42" s="890"/>
      <c r="H42" s="890"/>
      <c r="K42" s="890"/>
      <c r="R42" s="890"/>
      <c r="T42" s="890"/>
      <c r="W42" s="890"/>
    </row>
    <row r="43" spans="2:23" ht="26.25" x14ac:dyDescent="0.25">
      <c r="B43" s="890"/>
      <c r="D43" s="890"/>
      <c r="E43" s="890"/>
      <c r="F43" s="890"/>
      <c r="H43" s="890"/>
      <c r="K43" s="890"/>
      <c r="Q43" s="1015" t="s">
        <v>272</v>
      </c>
      <c r="R43" s="1011" t="s">
        <v>273</v>
      </c>
      <c r="S43" s="1015" t="s">
        <v>274</v>
      </c>
      <c r="T43" s="1011" t="s">
        <v>275</v>
      </c>
      <c r="U43" s="1015" t="s">
        <v>276</v>
      </c>
      <c r="V43" s="1015" t="s">
        <v>277</v>
      </c>
      <c r="W43" s="1011" t="s">
        <v>278</v>
      </c>
    </row>
    <row r="44" spans="2:23" x14ac:dyDescent="0.25">
      <c r="B44" s="890"/>
      <c r="D44" s="890"/>
      <c r="E44" s="890"/>
      <c r="F44" s="890"/>
      <c r="H44" s="890"/>
      <c r="K44" s="890"/>
      <c r="Q44" s="1023">
        <v>43334</v>
      </c>
      <c r="R44" s="1017">
        <f>D51</f>
        <v>10000</v>
      </c>
      <c r="S44" s="1024">
        <v>1</v>
      </c>
      <c r="T44" s="1025">
        <v>0</v>
      </c>
      <c r="U44" s="1096">
        <f>R44*S44</f>
        <v>10000</v>
      </c>
      <c r="V44" s="1021">
        <f>R44*T44</f>
        <v>0</v>
      </c>
      <c r="W44" s="1026">
        <f>Q44-U44</f>
        <v>33334</v>
      </c>
    </row>
    <row r="50" spans="1:11" x14ac:dyDescent="0.25">
      <c r="B50" s="961"/>
      <c r="C50" s="962" t="s">
        <v>233</v>
      </c>
      <c r="D50" s="961" t="s">
        <v>279</v>
      </c>
      <c r="E50" s="80"/>
      <c r="F50" s="80"/>
      <c r="G50" s="962" t="s">
        <v>280</v>
      </c>
      <c r="H50" s="961" t="s">
        <v>233</v>
      </c>
      <c r="I50" s="962" t="s">
        <v>281</v>
      </c>
      <c r="J50" s="962" t="s">
        <v>282</v>
      </c>
      <c r="K50" s="890"/>
    </row>
    <row r="51" spans="1:11" x14ac:dyDescent="0.25">
      <c r="B51" s="1027" t="s">
        <v>283</v>
      </c>
      <c r="C51" s="1028">
        <f>10/$K$1</f>
        <v>10.23728813559322</v>
      </c>
      <c r="D51" s="1029">
        <f>$C$1*10</f>
        <v>10000</v>
      </c>
      <c r="E51" s="135"/>
      <c r="F51" s="80"/>
      <c r="G51" s="1033" t="s">
        <v>283</v>
      </c>
      <c r="H51" s="1122">
        <f>I51/$D$5</f>
        <v>10</v>
      </c>
      <c r="I51" s="1028">
        <f>J51/$R$1</f>
        <v>65360.784313725489</v>
      </c>
      <c r="J51" s="1028">
        <f>$W$44</f>
        <v>33334</v>
      </c>
      <c r="K51" s="890"/>
    </row>
    <row r="52" spans="1:11" x14ac:dyDescent="0.25">
      <c r="B52" s="958" t="s">
        <v>262</v>
      </c>
      <c r="C52" s="1099">
        <f>$I$1</f>
        <v>3.723222946544984</v>
      </c>
      <c r="D52" s="1100">
        <f>$E$1</f>
        <v>3636.9230769230808</v>
      </c>
      <c r="E52" s="80"/>
      <c r="F52" s="80"/>
      <c r="G52" s="962" t="s">
        <v>262</v>
      </c>
      <c r="H52" s="1052">
        <f>I52/$D$5</f>
        <v>3.6368503399162777</v>
      </c>
      <c r="I52" s="1021">
        <f>J52/$R$1</f>
        <v>23770.739064856705</v>
      </c>
      <c r="J52" s="1030">
        <f>$S$32</f>
        <v>12123.07692307692</v>
      </c>
      <c r="K52" s="890"/>
    </row>
    <row r="53" spans="1:11" x14ac:dyDescent="0.25">
      <c r="B53" s="958" t="s">
        <v>284</v>
      </c>
      <c r="C53" s="1101">
        <f>MIN(C52, C51)</f>
        <v>3.723222946544984</v>
      </c>
      <c r="D53" s="1100">
        <f>(C53*$K$1)*$C$1</f>
        <v>3636.9230769230808</v>
      </c>
      <c r="E53" s="80"/>
      <c r="F53" s="80"/>
      <c r="G53" s="962" t="s">
        <v>284</v>
      </c>
      <c r="H53" s="1035">
        <f>MIN(H52,H51)</f>
        <v>3.6368503399162777</v>
      </c>
      <c r="I53" s="1021">
        <f>J53/$R$1</f>
        <v>23770.739064856705</v>
      </c>
      <c r="J53" s="1021">
        <f>MIN(J52,J51)</f>
        <v>12123.07692307692</v>
      </c>
      <c r="K53" s="890"/>
    </row>
    <row r="54" spans="1:11" x14ac:dyDescent="0.25">
      <c r="B54" s="958" t="s">
        <v>285</v>
      </c>
      <c r="C54" s="1101">
        <f>MIN(MAX(C52-C53,0),C51)</f>
        <v>0</v>
      </c>
      <c r="D54" s="1100">
        <f>(C54*$K$1)*$C$1</f>
        <v>0</v>
      </c>
      <c r="E54" s="80"/>
      <c r="F54" s="80"/>
      <c r="G54" s="962" t="s">
        <v>285</v>
      </c>
      <c r="H54" s="1035">
        <f>MIN(MAX(H52-H53),H51)</f>
        <v>0</v>
      </c>
      <c r="I54" s="1021">
        <f>J54/$R$1</f>
        <v>0</v>
      </c>
      <c r="J54" s="1021">
        <f>MIN(MAX(J52-J53),J51)</f>
        <v>0</v>
      </c>
      <c r="K54" s="89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90"/>
    </row>
    <row r="56" spans="1:11" x14ac:dyDescent="0.25">
      <c r="B56" s="890"/>
      <c r="D56" s="890"/>
      <c r="E56" s="890"/>
      <c r="F56" s="890"/>
      <c r="H56" s="890"/>
      <c r="K56" s="890"/>
    </row>
    <row r="57" spans="1:11" x14ac:dyDescent="0.25">
      <c r="B57" s="890"/>
      <c r="D57" s="890"/>
      <c r="E57" s="890"/>
      <c r="F57" s="890"/>
      <c r="H57" s="890"/>
      <c r="K57" s="890"/>
    </row>
    <row r="58" spans="1:11" x14ac:dyDescent="0.25">
      <c r="B58" s="890"/>
      <c r="D58" s="890"/>
      <c r="E58" s="890"/>
      <c r="F58" s="890"/>
      <c r="H58" s="890"/>
      <c r="K58" s="890"/>
    </row>
    <row r="59" spans="1:11" x14ac:dyDescent="0.25">
      <c r="B59" s="890"/>
      <c r="D59" s="890"/>
      <c r="E59" s="890"/>
      <c r="F59" s="890"/>
      <c r="H59" s="890"/>
      <c r="K59" s="890"/>
    </row>
    <row r="60" spans="1:11" x14ac:dyDescent="0.25">
      <c r="B60" s="890"/>
      <c r="D60" s="890"/>
      <c r="E60" s="890"/>
      <c r="F60" s="890"/>
      <c r="H60" s="890"/>
      <c r="K60" s="890"/>
    </row>
    <row r="61" spans="1:11" x14ac:dyDescent="0.25">
      <c r="B61" s="890"/>
      <c r="D61" s="890"/>
      <c r="E61" s="890"/>
      <c r="F61" s="890"/>
      <c r="H61" s="890"/>
      <c r="K61" s="890"/>
    </row>
    <row r="62" spans="1:11" x14ac:dyDescent="0.25">
      <c r="A62" s="1036"/>
      <c r="B62" s="1776" t="str">
        <f>"بيف امانسي   1 / " &amp; COUNTIF($C$53:$C$55, "&gt;0")</f>
        <v>بيف امانسي   1 / 1</v>
      </c>
      <c r="C62" s="1777"/>
      <c r="D62" s="1778"/>
      <c r="E62" s="1778"/>
      <c r="F62" s="1778"/>
      <c r="G62" s="1777"/>
      <c r="H62" s="1778"/>
      <c r="K62" s="890"/>
    </row>
    <row r="63" spans="1:11" x14ac:dyDescent="0.25">
      <c r="A63" s="1036"/>
      <c r="B63" s="1776" t="str">
        <f>"Beef Amansi   1 / " &amp; COUNTIF($C$53:$C$55, "&gt;0")</f>
        <v>Beef Amansi   1 / 1</v>
      </c>
      <c r="C63" s="1777"/>
      <c r="D63" s="1778"/>
      <c r="E63" s="1778"/>
      <c r="F63" s="1778"/>
      <c r="G63" s="1777"/>
      <c r="H63" s="1778"/>
      <c r="K63" s="890"/>
    </row>
    <row r="64" spans="1:11" ht="38.25" x14ac:dyDescent="0.2">
      <c r="A64" s="1350" t="s">
        <v>864</v>
      </c>
      <c r="B64" s="1104" t="s">
        <v>241</v>
      </c>
      <c r="C64" s="934" t="s">
        <v>242</v>
      </c>
      <c r="D64" s="1104" t="s">
        <v>231</v>
      </c>
      <c r="E64" s="936" t="s">
        <v>234</v>
      </c>
      <c r="F64" s="936" t="s">
        <v>243</v>
      </c>
      <c r="G64" s="1104" t="s">
        <v>244</v>
      </c>
      <c r="H64" s="936" t="s">
        <v>245</v>
      </c>
      <c r="K64" s="890"/>
    </row>
    <row r="65" spans="1:11" ht="28.5" x14ac:dyDescent="0.2">
      <c r="A65" s="937" t="s">
        <v>873</v>
      </c>
      <c r="B65" s="1130" t="str">
        <f t="shared" ref="B65:D75" si="7">B5</f>
        <v>Indian Meat Alana  - لحم هندى ألانا</v>
      </c>
      <c r="C65" s="947" t="str">
        <f t="shared" si="7"/>
        <v>gm</v>
      </c>
      <c r="D65" s="940">
        <f t="shared" si="7"/>
        <v>6536.0784313725489</v>
      </c>
      <c r="E65" s="918">
        <f>H53</f>
        <v>3.6368503399162777</v>
      </c>
      <c r="F65" s="948">
        <f t="shared" ref="F65:F75" si="8">F5</f>
        <v>1</v>
      </c>
      <c r="G65" s="940">
        <f t="shared" ref="G65:G75" si="9">D65*E65</f>
        <v>23770.739064856705</v>
      </c>
      <c r="H65" s="943">
        <f t="shared" ref="H65:H75" si="10">G65*F65</f>
        <v>23770.739064856705</v>
      </c>
      <c r="K65" s="890"/>
    </row>
    <row r="66" spans="1:11" x14ac:dyDescent="0.25">
      <c r="A66" s="949" t="s">
        <v>868</v>
      </c>
      <c r="B66" s="1130" t="str">
        <f t="shared" si="7"/>
        <v>Garlic - ثوم مقشر</v>
      </c>
      <c r="C66" s="947" t="str">
        <f t="shared" si="7"/>
        <v>gm</v>
      </c>
      <c r="D66" s="914">
        <f t="shared" si="7"/>
        <v>25</v>
      </c>
      <c r="E66" s="918">
        <f>$C$53</f>
        <v>3.723222946544984</v>
      </c>
      <c r="F66" s="948">
        <f t="shared" si="8"/>
        <v>0.95</v>
      </c>
      <c r="G66" s="940">
        <f t="shared" si="9"/>
        <v>93.080573663624605</v>
      </c>
      <c r="H66" s="943">
        <f t="shared" si="10"/>
        <v>88.426544980443367</v>
      </c>
      <c r="K66" s="890"/>
    </row>
    <row r="67" spans="1:11" x14ac:dyDescent="0.25">
      <c r="A67" s="949" t="s">
        <v>881</v>
      </c>
      <c r="B67" s="1130" t="str">
        <f t="shared" si="7"/>
        <v>Onion - بصل</v>
      </c>
      <c r="C67" s="947" t="str">
        <f t="shared" si="7"/>
        <v>gm</v>
      </c>
      <c r="D67" s="914">
        <f t="shared" si="7"/>
        <v>200</v>
      </c>
      <c r="E67" s="918">
        <f t="shared" ref="E67:E75" si="11">$C$53</f>
        <v>3.723222946544984</v>
      </c>
      <c r="F67" s="948">
        <f t="shared" si="8"/>
        <v>0.95</v>
      </c>
      <c r="G67" s="940">
        <f t="shared" si="9"/>
        <v>744.64458930899684</v>
      </c>
      <c r="H67" s="943">
        <f t="shared" si="10"/>
        <v>707.41235984354694</v>
      </c>
      <c r="K67" s="890"/>
    </row>
    <row r="68" spans="1:11" ht="28.5" x14ac:dyDescent="0.25">
      <c r="A68" s="949"/>
      <c r="B68" s="1130" t="str">
        <f t="shared" si="7"/>
        <v>Demi Glaze Sauce - صوص ديمي غلاز</v>
      </c>
      <c r="C68" s="947" t="str">
        <f t="shared" si="7"/>
        <v>gm</v>
      </c>
      <c r="D68" s="914">
        <f t="shared" si="7"/>
        <v>50</v>
      </c>
      <c r="E68" s="918">
        <f t="shared" si="11"/>
        <v>3.723222946544984</v>
      </c>
      <c r="F68" s="948">
        <f t="shared" si="8"/>
        <v>1</v>
      </c>
      <c r="G68" s="940">
        <f t="shared" si="9"/>
        <v>186.16114732724921</v>
      </c>
      <c r="H68" s="943">
        <f t="shared" si="10"/>
        <v>186.16114732724921</v>
      </c>
      <c r="K68" s="890"/>
    </row>
    <row r="69" spans="1:11" ht="28.5" x14ac:dyDescent="0.25">
      <c r="A69" s="949"/>
      <c r="B69" s="1130" t="str">
        <f t="shared" si="7"/>
        <v>Black Pepper Powder - فلفل أسود مطحون</v>
      </c>
      <c r="C69" s="947" t="str">
        <f t="shared" si="7"/>
        <v>gm</v>
      </c>
      <c r="D69" s="914">
        <f t="shared" si="7"/>
        <v>5</v>
      </c>
      <c r="E69" s="918">
        <f t="shared" si="11"/>
        <v>3.723222946544984</v>
      </c>
      <c r="F69" s="948">
        <f t="shared" si="8"/>
        <v>1</v>
      </c>
      <c r="G69" s="940">
        <f t="shared" si="9"/>
        <v>18.61611473272492</v>
      </c>
      <c r="H69" s="943">
        <f t="shared" si="10"/>
        <v>18.61611473272492</v>
      </c>
      <c r="K69" s="890"/>
    </row>
    <row r="70" spans="1:11" x14ac:dyDescent="0.25">
      <c r="A70" s="949"/>
      <c r="B70" s="1130" t="str">
        <f t="shared" si="7"/>
        <v>Maggi Cubes - مكعبات ماجي</v>
      </c>
      <c r="C70" s="947" t="str">
        <f t="shared" si="7"/>
        <v>gm</v>
      </c>
      <c r="D70" s="914">
        <f t="shared" si="7"/>
        <v>8</v>
      </c>
      <c r="E70" s="918">
        <f t="shared" si="11"/>
        <v>3.723222946544984</v>
      </c>
      <c r="F70" s="948">
        <f t="shared" si="8"/>
        <v>0.75</v>
      </c>
      <c r="G70" s="940">
        <f t="shared" si="9"/>
        <v>29.785783572359872</v>
      </c>
      <c r="H70" s="943">
        <f t="shared" si="10"/>
        <v>22.339337679269903</v>
      </c>
      <c r="K70" s="890"/>
    </row>
    <row r="71" spans="1:11" x14ac:dyDescent="0.25">
      <c r="A71" s="949"/>
      <c r="B71" s="1130" t="str">
        <f t="shared" si="7"/>
        <v>Salt - ملح</v>
      </c>
      <c r="C71" s="947" t="str">
        <f t="shared" si="7"/>
        <v>gm</v>
      </c>
      <c r="D71" s="914">
        <f t="shared" si="7"/>
        <v>5</v>
      </c>
      <c r="E71" s="918">
        <f t="shared" si="11"/>
        <v>3.723222946544984</v>
      </c>
      <c r="F71" s="948">
        <f t="shared" si="8"/>
        <v>1</v>
      </c>
      <c r="G71" s="940">
        <f t="shared" si="9"/>
        <v>18.61611473272492</v>
      </c>
      <c r="H71" s="943">
        <f t="shared" si="10"/>
        <v>18.61611473272492</v>
      </c>
      <c r="K71" s="890"/>
    </row>
    <row r="72" spans="1:11" x14ac:dyDescent="0.25">
      <c r="A72" s="949" t="s">
        <v>888</v>
      </c>
      <c r="B72" s="1130" t="str">
        <f t="shared" si="7"/>
        <v>Mushroom - مشروم ابيض</v>
      </c>
      <c r="C72" s="947" t="str">
        <f t="shared" si="7"/>
        <v>gm</v>
      </c>
      <c r="D72" s="914">
        <f t="shared" si="7"/>
        <v>200</v>
      </c>
      <c r="E72" s="918">
        <f t="shared" si="11"/>
        <v>3.723222946544984</v>
      </c>
      <c r="F72" s="948">
        <f t="shared" si="8"/>
        <v>1</v>
      </c>
      <c r="G72" s="940">
        <f t="shared" si="9"/>
        <v>744.64458930899684</v>
      </c>
      <c r="H72" s="943">
        <f t="shared" si="10"/>
        <v>744.64458930899684</v>
      </c>
      <c r="K72" s="890"/>
    </row>
    <row r="73" spans="1:11" x14ac:dyDescent="0.25">
      <c r="A73" s="949" t="s">
        <v>886</v>
      </c>
      <c r="B73" s="1130" t="str">
        <f t="shared" si="7"/>
        <v>Carrot - جزر</v>
      </c>
      <c r="C73" s="947" t="str">
        <f t="shared" si="7"/>
        <v>gm</v>
      </c>
      <c r="D73" s="914">
        <f t="shared" si="7"/>
        <v>100</v>
      </c>
      <c r="E73" s="918">
        <f t="shared" si="11"/>
        <v>3.723222946544984</v>
      </c>
      <c r="F73" s="948">
        <f t="shared" si="8"/>
        <v>0.75</v>
      </c>
      <c r="G73" s="940">
        <f t="shared" si="9"/>
        <v>372.32229465449842</v>
      </c>
      <c r="H73" s="943">
        <f t="shared" si="10"/>
        <v>279.24172099087383</v>
      </c>
      <c r="K73" s="890"/>
    </row>
    <row r="74" spans="1:11" x14ac:dyDescent="0.25">
      <c r="A74" s="949"/>
      <c r="B74" s="1130" t="str">
        <f t="shared" si="7"/>
        <v>Cooking Cream - كريمة طبخ</v>
      </c>
      <c r="C74" s="947" t="str">
        <f t="shared" si="7"/>
        <v>ml</v>
      </c>
      <c r="D74" s="914">
        <f t="shared" si="7"/>
        <v>700</v>
      </c>
      <c r="E74" s="918">
        <f t="shared" si="11"/>
        <v>3.723222946544984</v>
      </c>
      <c r="F74" s="948">
        <f t="shared" si="8"/>
        <v>1</v>
      </c>
      <c r="G74" s="940">
        <f t="shared" si="9"/>
        <v>2606.256062581489</v>
      </c>
      <c r="H74" s="943">
        <f t="shared" si="10"/>
        <v>2606.256062581489</v>
      </c>
      <c r="K74" s="890"/>
    </row>
    <row r="75" spans="1:11" x14ac:dyDescent="0.25">
      <c r="A75" s="949"/>
      <c r="B75" s="1130" t="str">
        <f t="shared" si="7"/>
        <v>Butter - زبدة</v>
      </c>
      <c r="C75" s="947" t="str">
        <f t="shared" si="7"/>
        <v>gm</v>
      </c>
      <c r="D75" s="914">
        <f t="shared" si="7"/>
        <v>40</v>
      </c>
      <c r="E75" s="918">
        <f t="shared" si="11"/>
        <v>3.723222946544984</v>
      </c>
      <c r="F75" s="948">
        <f t="shared" si="8"/>
        <v>1</v>
      </c>
      <c r="G75" s="940">
        <f t="shared" si="9"/>
        <v>148.92891786179936</v>
      </c>
      <c r="H75" s="943">
        <f t="shared" si="10"/>
        <v>148.92891786179936</v>
      </c>
      <c r="K75" s="890"/>
    </row>
    <row r="76" spans="1:11" ht="18" x14ac:dyDescent="0.25">
      <c r="A76" s="1070"/>
      <c r="B76" s="1041" t="s">
        <v>287</v>
      </c>
      <c r="C76" s="1042" t="s">
        <v>273</v>
      </c>
      <c r="D76" s="1043"/>
      <c r="E76" s="1044" t="s">
        <v>288</v>
      </c>
      <c r="F76" s="1043"/>
      <c r="G76" s="1045" t="s">
        <v>264</v>
      </c>
      <c r="H76" s="1046" t="s">
        <v>661</v>
      </c>
      <c r="K76" s="890"/>
    </row>
    <row r="77" spans="1:11" ht="20.25" x14ac:dyDescent="0.3">
      <c r="A77" s="1070"/>
      <c r="B77" s="1047">
        <f>$J$53</f>
        <v>12123.07692307692</v>
      </c>
      <c r="C77" s="1048">
        <f>E77+G77</f>
        <v>3636.9230769230808</v>
      </c>
      <c r="D77" s="1049"/>
      <c r="E77" s="1047">
        <f>$D$53*$S$44</f>
        <v>3636.9230769230808</v>
      </c>
      <c r="F77" s="1050"/>
      <c r="G77" s="1048">
        <f>$D$53*$T$44</f>
        <v>0</v>
      </c>
      <c r="H77" s="1047">
        <f>B77+E77</f>
        <v>15760</v>
      </c>
      <c r="K77" s="890"/>
    </row>
  </sheetData>
  <mergeCells count="8">
    <mergeCell ref="B63:H63"/>
    <mergeCell ref="AE2:AG3"/>
    <mergeCell ref="R26:U26"/>
    <mergeCell ref="B62:H62"/>
    <mergeCell ref="R25:U25"/>
    <mergeCell ref="B2:K3"/>
    <mergeCell ref="C27:G27"/>
    <mergeCell ref="B35:F35"/>
  </mergeCells>
  <printOptions horizontalCentered="1"/>
  <pageMargins left="0.4" right="0.4" top="1" bottom="0.5" header="0.3" footer="0.511811023622047"/>
  <pageSetup paperSize="9" scale="46" fitToHeight="0" orientation="landscape" r:id="rId1"/>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6" tint="-0.249977111117893"/>
    <pageSetUpPr fitToPage="1"/>
  </sheetPr>
  <dimension ref="A1:AT142"/>
  <sheetViews>
    <sheetView topLeftCell="N1" zoomScale="85" zoomScaleNormal="85" workbookViewId="0">
      <selection activeCell="R17" sqref="R17"/>
    </sheetView>
  </sheetViews>
  <sheetFormatPr defaultColWidth="29.25" defaultRowHeight="15" x14ac:dyDescent="0.25"/>
  <cols>
    <col min="1" max="1" width="18.625" style="61" customWidth="1"/>
    <col min="2" max="2" width="25.875" style="14" customWidth="1"/>
    <col min="3" max="3" width="18.625" style="14" customWidth="1"/>
    <col min="4" max="4" width="25.875" style="14" customWidth="1"/>
    <col min="5" max="5" width="25.875" style="168" customWidth="1"/>
    <col min="6" max="6" width="25.875" style="14" customWidth="1"/>
    <col min="7" max="7" width="18.625" style="14" customWidth="1"/>
    <col min="8" max="8" width="25.875" style="14" customWidth="1"/>
    <col min="9" max="10" width="18.625" style="14" customWidth="1"/>
    <col min="11" max="11" width="25.875" style="14" customWidth="1"/>
    <col min="12" max="12" width="12.625" style="14" customWidth="1"/>
    <col min="13" max="13" width="29.25" style="14" customWidth="1"/>
    <col min="14" max="14" width="11.5" style="14" customWidth="1"/>
    <col min="15" max="15" width="18.625" style="14" customWidth="1"/>
    <col min="16" max="16" width="12.625" style="14" customWidth="1"/>
    <col min="17" max="17" width="18.625" style="14" customWidth="1"/>
    <col min="18" max="18" width="25.875" style="14" customWidth="1"/>
    <col min="19" max="19" width="12.625" style="14" customWidth="1"/>
    <col min="20" max="20" width="25.875" style="14" customWidth="1"/>
    <col min="21" max="22" width="12.625" style="14" customWidth="1"/>
    <col min="23" max="23" width="25.875" style="14" customWidth="1"/>
    <col min="24" max="24" width="12.375" style="14" customWidth="1"/>
    <col min="25" max="25" width="8.625" style="14" customWidth="1"/>
    <col min="26" max="29" width="12.625" style="14" customWidth="1"/>
    <col min="30" max="30" width="18.625" style="14" customWidth="1"/>
    <col min="31" max="32" width="12.625" style="14" customWidth="1"/>
    <col min="33" max="34" width="7.375" style="14" customWidth="1"/>
    <col min="35" max="35" width="18.625" style="14" customWidth="1"/>
    <col min="36" max="40" width="25.875" style="14" customWidth="1"/>
    <col min="41" max="41" width="18.625" style="14" customWidth="1"/>
    <col min="42" max="42" width="25.875" style="14" customWidth="1"/>
    <col min="43" max="44" width="18.625" style="14" customWidth="1"/>
    <col min="45" max="45" width="25.875" style="14" customWidth="1"/>
    <col min="46" max="46" width="8.625" style="14" customWidth="1"/>
    <col min="47" max="16384" width="29.25" style="14"/>
  </cols>
  <sheetData>
    <row r="1" spans="1:46" s="168" customFormat="1" ht="25.5" x14ac:dyDescent="0.25">
      <c r="A1" s="865"/>
      <c r="B1" s="913" t="s">
        <v>231</v>
      </c>
      <c r="C1" s="914">
        <v>1000</v>
      </c>
      <c r="D1" s="915" t="s">
        <v>232</v>
      </c>
      <c r="E1" s="941">
        <f>T32</f>
        <v>6419.4871794871824</v>
      </c>
      <c r="F1" s="913" t="s">
        <v>233</v>
      </c>
      <c r="G1" s="917">
        <f>E1/C1</f>
        <v>6.4194871794871826</v>
      </c>
      <c r="H1" s="913" t="s">
        <v>234</v>
      </c>
      <c r="I1" s="918">
        <f>(G1/K1)</f>
        <v>6.5504971219256971</v>
      </c>
      <c r="J1" s="919" t="s">
        <v>235</v>
      </c>
      <c r="K1" s="914">
        <v>0.98</v>
      </c>
      <c r="L1" s="73"/>
      <c r="M1" s="70"/>
      <c r="N1" s="922"/>
      <c r="O1" s="923" t="s">
        <v>236</v>
      </c>
      <c r="P1" s="914" t="s">
        <v>237</v>
      </c>
      <c r="Q1" s="924" t="s">
        <v>238</v>
      </c>
      <c r="R1" s="914">
        <v>0.59</v>
      </c>
      <c r="S1" s="73"/>
      <c r="T1" s="73"/>
      <c r="W1" s="1129"/>
      <c r="Y1" s="923" t="s">
        <v>444</v>
      </c>
      <c r="Z1" s="925">
        <v>10380</v>
      </c>
      <c r="AA1" s="923" t="s">
        <v>544</v>
      </c>
      <c r="AB1" s="925">
        <v>1000</v>
      </c>
      <c r="AC1" s="923" t="s">
        <v>537</v>
      </c>
      <c r="AD1" s="925">
        <v>69</v>
      </c>
      <c r="AF1" s="170"/>
      <c r="AG1" s="73"/>
      <c r="AI1" s="61"/>
      <c r="AJ1" s="926" t="s">
        <v>250</v>
      </c>
      <c r="AK1" s="926">
        <v>10000</v>
      </c>
      <c r="AL1" s="927" t="s">
        <v>474</v>
      </c>
      <c r="AM1" s="928">
        <f>$S$32</f>
        <v>8753.8461538461524</v>
      </c>
      <c r="AN1" s="926" t="s">
        <v>239</v>
      </c>
      <c r="AO1" s="1349">
        <f>($S$32/$R$1)/$AK$1</f>
        <v>1.4837027379400258</v>
      </c>
      <c r="AP1" s="76"/>
      <c r="AS1" s="1129"/>
    </row>
    <row r="2" spans="1:46" ht="15.75" x14ac:dyDescent="0.25">
      <c r="A2" s="863"/>
      <c r="B2" s="1784" t="s">
        <v>65</v>
      </c>
      <c r="C2" s="1797"/>
      <c r="D2" s="1798"/>
      <c r="E2" s="1864"/>
      <c r="F2" s="1798"/>
      <c r="G2" s="1797"/>
      <c r="H2" s="1798"/>
      <c r="I2" s="1797"/>
      <c r="J2" s="1797"/>
      <c r="K2" s="1784"/>
      <c r="L2" s="1851"/>
      <c r="O2" s="80"/>
      <c r="P2" s="80"/>
      <c r="Q2" s="80"/>
      <c r="R2" s="80"/>
      <c r="S2" s="80"/>
      <c r="T2" s="80"/>
      <c r="U2" s="80"/>
      <c r="W2" s="890"/>
      <c r="AC2" s="79"/>
      <c r="AD2" s="79"/>
      <c r="AE2" s="1795"/>
      <c r="AF2" s="1799"/>
      <c r="AG2" s="1799"/>
      <c r="AI2" s="61"/>
      <c r="AJ2" s="930"/>
      <c r="AK2" s="1783" t="s">
        <v>373</v>
      </c>
      <c r="AL2" s="1783"/>
      <c r="AM2" s="1783"/>
      <c r="AN2" s="931"/>
      <c r="AO2" s="930"/>
      <c r="AP2" s="81"/>
      <c r="AS2" s="890"/>
    </row>
    <row r="3" spans="1:46" ht="15.75" x14ac:dyDescent="0.25">
      <c r="A3" s="863"/>
      <c r="B3" s="1785"/>
      <c r="C3" s="1796"/>
      <c r="D3" s="1785"/>
      <c r="E3" s="1785"/>
      <c r="F3" s="1785"/>
      <c r="G3" s="1796"/>
      <c r="H3" s="1785"/>
      <c r="I3" s="1796"/>
      <c r="J3" s="1796"/>
      <c r="K3" s="1785"/>
      <c r="L3" s="1796"/>
      <c r="O3" s="80"/>
      <c r="P3" s="80"/>
      <c r="Q3" s="80"/>
      <c r="R3" s="80"/>
      <c r="S3" s="80"/>
      <c r="T3" s="80"/>
      <c r="U3" s="80"/>
      <c r="W3" s="890"/>
      <c r="AC3" s="79"/>
      <c r="AD3" s="79"/>
      <c r="AE3" s="1799"/>
      <c r="AF3" s="1799"/>
      <c r="AG3" s="1799"/>
      <c r="AI3" s="61"/>
      <c r="AJ3" s="1354"/>
      <c r="AK3" s="81"/>
      <c r="AL3" s="82"/>
      <c r="AM3" s="82"/>
      <c r="AN3" s="82"/>
      <c r="AO3" s="81"/>
      <c r="AP3" s="81"/>
      <c r="AS3" s="890"/>
    </row>
    <row r="4" spans="1:46" ht="38.25" x14ac:dyDescent="0.25">
      <c r="A4" s="1350" t="s">
        <v>864</v>
      </c>
      <c r="B4" s="923" t="s">
        <v>241</v>
      </c>
      <c r="C4" s="934" t="s">
        <v>242</v>
      </c>
      <c r="D4" s="923" t="s">
        <v>231</v>
      </c>
      <c r="E4" s="935" t="s">
        <v>234</v>
      </c>
      <c r="F4" s="935" t="s">
        <v>243</v>
      </c>
      <c r="G4" s="923" t="s">
        <v>244</v>
      </c>
      <c r="H4" s="936" t="s">
        <v>334</v>
      </c>
      <c r="I4" s="923" t="s">
        <v>246</v>
      </c>
      <c r="J4" s="923" t="s">
        <v>247</v>
      </c>
      <c r="K4" s="923" t="s">
        <v>248</v>
      </c>
      <c r="L4" s="923" t="s">
        <v>249</v>
      </c>
      <c r="M4" s="235"/>
      <c r="N4" s="235"/>
      <c r="Q4" s="80"/>
      <c r="R4" s="80"/>
      <c r="S4" s="80"/>
      <c r="T4" s="80"/>
      <c r="U4" s="80"/>
      <c r="W4" s="890"/>
      <c r="AC4" s="169"/>
      <c r="AD4" s="171"/>
      <c r="AE4" s="169"/>
      <c r="AF4" s="169"/>
      <c r="AG4" s="169"/>
      <c r="AI4" s="949"/>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937" t="s">
        <v>872</v>
      </c>
      <c r="B5" s="1118" t="s">
        <v>220</v>
      </c>
      <c r="C5" s="939" t="s">
        <v>14</v>
      </c>
      <c r="D5" s="944">
        <f>I51/10</f>
        <v>2311.5254237288136</v>
      </c>
      <c r="E5" s="918">
        <f>H52</f>
        <v>6.4187169334551637</v>
      </c>
      <c r="F5" s="948">
        <v>1</v>
      </c>
      <c r="G5" s="1040">
        <f t="shared" ref="G5:G25" si="0">D5*E5</f>
        <v>14837.027379400259</v>
      </c>
      <c r="H5" s="1039">
        <f t="shared" ref="H5:H25" si="1">G5*F5</f>
        <v>14837.027379400259</v>
      </c>
      <c r="I5" s="914">
        <f>VLOOKUP(B5,All_Ingredients!$A$1:$F$161,6,FALSE())</f>
        <v>0.86</v>
      </c>
      <c r="J5" s="940">
        <f>VLOOKUP(B5,All_Ingredients!$A$1:$J$161,10,FALSE())</f>
        <v>17.100000000000001</v>
      </c>
      <c r="K5" s="945">
        <f t="shared" ref="K5" si="2">(H5/I5)/1000</f>
        <v>17.252357417907277</v>
      </c>
      <c r="L5" s="945">
        <f t="shared" ref="L5" si="3">K5*J5</f>
        <v>295.01531184621444</v>
      </c>
      <c r="M5" s="87"/>
      <c r="N5" s="87"/>
      <c r="O5" s="80"/>
      <c r="P5" s="80"/>
      <c r="Q5" s="80"/>
      <c r="R5" s="80"/>
      <c r="S5" s="80"/>
      <c r="T5" s="80"/>
      <c r="U5" s="80"/>
      <c r="W5" s="890"/>
      <c r="AC5" s="73"/>
      <c r="AD5" s="89"/>
      <c r="AE5" s="172"/>
      <c r="AF5" s="90"/>
      <c r="AG5" s="91"/>
      <c r="AI5" s="949"/>
      <c r="AJ5" s="1468" t="s">
        <v>220</v>
      </c>
      <c r="AK5" s="951" t="s">
        <v>227</v>
      </c>
      <c r="AL5" s="940">
        <v>10</v>
      </c>
      <c r="AM5" s="1040">
        <f t="shared" ref="AM5:AM19" si="4">$AO$1</f>
        <v>1.4837027379400258</v>
      </c>
      <c r="AN5" s="1166">
        <v>1</v>
      </c>
      <c r="AO5" s="1167">
        <f t="shared" ref="AO5:AO19" si="5">AL5*AM5</f>
        <v>14.837027379400258</v>
      </c>
      <c r="AP5" s="1039">
        <f t="shared" ref="AP5:AP19" si="6">AO5*AN5</f>
        <v>14.837027379400258</v>
      </c>
      <c r="AQ5" s="952"/>
      <c r="AR5" s="953"/>
      <c r="AS5" s="954"/>
      <c r="AT5" s="955"/>
    </row>
    <row r="6" spans="1:46" x14ac:dyDescent="0.25">
      <c r="A6" s="949" t="s">
        <v>866</v>
      </c>
      <c r="B6" s="938" t="s">
        <v>12</v>
      </c>
      <c r="C6" s="939" t="s">
        <v>14</v>
      </c>
      <c r="D6" s="914">
        <v>200</v>
      </c>
      <c r="E6" s="1040">
        <f t="shared" ref="E6:E25" si="7">$I$1</f>
        <v>6.5504971219256971</v>
      </c>
      <c r="F6" s="1166">
        <v>0.95</v>
      </c>
      <c r="G6" s="1040">
        <f t="shared" si="0"/>
        <v>1310.0994243851394</v>
      </c>
      <c r="H6" s="1039">
        <f t="shared" si="1"/>
        <v>1244.5944531658824</v>
      </c>
      <c r="I6" s="914">
        <f>VLOOKUP(B6,All_Ingredients!$A$1:$F$161,6,FALSE())</f>
        <v>0.9</v>
      </c>
      <c r="J6" s="940">
        <f>VLOOKUP(B6,All_Ingredients!$A$1:$J$161,10,FALSE())</f>
        <v>3</v>
      </c>
      <c r="K6" s="945">
        <f t="shared" ref="K6:K25" si="8">(H6/I6)/1000</f>
        <v>1.3828827257398693</v>
      </c>
      <c r="L6" s="945">
        <f t="shared" ref="L6:L25" si="9">K6*J6</f>
        <v>4.1486481772196075</v>
      </c>
      <c r="M6" s="87"/>
      <c r="N6" s="87"/>
      <c r="R6" s="890"/>
      <c r="T6" s="890"/>
      <c r="W6" s="890"/>
      <c r="AI6" s="949" t="s">
        <v>94</v>
      </c>
      <c r="AJ6" s="1130" t="s">
        <v>105</v>
      </c>
      <c r="AK6" s="951" t="s">
        <v>14</v>
      </c>
      <c r="AL6" s="940">
        <v>20</v>
      </c>
      <c r="AM6" s="1040">
        <f t="shared" si="4"/>
        <v>1.4837027379400258</v>
      </c>
      <c r="AN6" s="1166">
        <v>1</v>
      </c>
      <c r="AO6" s="1040">
        <f t="shared" si="5"/>
        <v>29.674054758800516</v>
      </c>
      <c r="AP6" s="1039">
        <f t="shared" si="6"/>
        <v>29.674054758800516</v>
      </c>
      <c r="AQ6" s="955">
        <f>VLOOKUP(AJ6,Marination_Ordering!$A:$J,6,FALSE)</f>
        <v>1</v>
      </c>
      <c r="AR6" s="955">
        <f>VLOOKUP(AJ6,Marination_Ordering!$A:$J,10,FALSE)</f>
        <v>15</v>
      </c>
      <c r="AS6" s="954">
        <f>AP6/AQ6</f>
        <v>29.674054758800516</v>
      </c>
      <c r="AT6" s="955">
        <f>AR6*(AS6/1000)</f>
        <v>0.44511082138200775</v>
      </c>
    </row>
    <row r="7" spans="1:46" ht="28.5" x14ac:dyDescent="0.25">
      <c r="A7" s="949" t="s">
        <v>870</v>
      </c>
      <c r="B7" s="938" t="s">
        <v>17</v>
      </c>
      <c r="C7" s="939" t="s">
        <v>14</v>
      </c>
      <c r="D7" s="914">
        <v>450</v>
      </c>
      <c r="E7" s="1040">
        <f t="shared" si="7"/>
        <v>6.5504971219256971</v>
      </c>
      <c r="F7" s="1166">
        <v>1</v>
      </c>
      <c r="G7" s="1040">
        <f t="shared" si="0"/>
        <v>2947.7237048665638</v>
      </c>
      <c r="H7" s="1039">
        <f t="shared" si="1"/>
        <v>2947.7237048665638</v>
      </c>
      <c r="I7" s="914">
        <f>VLOOKUP(B7,All_Ingredients!$A$1:$F$161,6,FALSE())</f>
        <v>0.98</v>
      </c>
      <c r="J7" s="940">
        <f>VLOOKUP(B7,All_Ingredients!$A$1:$J$161,10,FALSE())</f>
        <v>3.5</v>
      </c>
      <c r="K7" s="945">
        <f t="shared" si="8"/>
        <v>3.0078813314964936</v>
      </c>
      <c r="L7" s="945">
        <f t="shared" si="9"/>
        <v>10.527584660237729</v>
      </c>
      <c r="M7" s="87"/>
      <c r="N7" s="87"/>
      <c r="R7" s="890"/>
      <c r="T7" s="890"/>
      <c r="W7" s="890"/>
      <c r="AI7" s="949" t="s">
        <v>94</v>
      </c>
      <c r="AJ7" s="1130" t="s">
        <v>107</v>
      </c>
      <c r="AK7" s="951" t="s">
        <v>14</v>
      </c>
      <c r="AL7" s="940">
        <v>10</v>
      </c>
      <c r="AM7" s="1040">
        <f t="shared" si="4"/>
        <v>1.4837027379400258</v>
      </c>
      <c r="AN7" s="1166">
        <v>1</v>
      </c>
      <c r="AO7" s="1040">
        <f t="shared" si="5"/>
        <v>14.837027379400258</v>
      </c>
      <c r="AP7" s="1039">
        <f t="shared" si="6"/>
        <v>14.837027379400258</v>
      </c>
      <c r="AQ7" s="955">
        <f>VLOOKUP(AJ7,Marination_Ordering!$A:$J,6,FALSE)</f>
        <v>1</v>
      </c>
      <c r="AR7" s="955">
        <f>VLOOKUP(AJ7,Marination_Ordering!$A:$J,10,FALSE)</f>
        <v>8</v>
      </c>
      <c r="AS7" s="954">
        <f t="shared" ref="AS7:AS8" si="10">AP7/AQ7</f>
        <v>14.837027379400258</v>
      </c>
      <c r="AT7" s="955">
        <f t="shared" ref="AT7:AT8" si="11">AR7*(AS7/1000)</f>
        <v>0.11869621903520207</v>
      </c>
    </row>
    <row r="8" spans="1:46" x14ac:dyDescent="0.25">
      <c r="A8" s="949" t="s">
        <v>867</v>
      </c>
      <c r="B8" s="938" t="s">
        <v>54</v>
      </c>
      <c r="C8" s="939" t="s">
        <v>14</v>
      </c>
      <c r="D8" s="914">
        <v>20</v>
      </c>
      <c r="E8" s="1040">
        <f t="shared" si="7"/>
        <v>6.5504971219256971</v>
      </c>
      <c r="F8" s="1166">
        <v>0.9</v>
      </c>
      <c r="G8" s="1040">
        <f t="shared" si="0"/>
        <v>131.00994243851395</v>
      </c>
      <c r="H8" s="1039">
        <f t="shared" si="1"/>
        <v>117.90894819466256</v>
      </c>
      <c r="I8" s="914">
        <f>VLOOKUP(B8,All_Ingredients!$A$1:$F$161,6,FALSE())</f>
        <v>0.87</v>
      </c>
      <c r="J8" s="940">
        <f>VLOOKUP(B8,All_Ingredients!$A$1:$J$161,10,FALSE())</f>
        <v>7</v>
      </c>
      <c r="K8" s="945">
        <f t="shared" si="8"/>
        <v>0.13552752666053167</v>
      </c>
      <c r="L8" s="945">
        <f t="shared" si="9"/>
        <v>0.94869268662372164</v>
      </c>
      <c r="M8" s="87"/>
      <c r="N8" s="87"/>
      <c r="R8" s="890"/>
      <c r="T8" s="890"/>
      <c r="W8" s="890"/>
      <c r="AI8" s="949" t="s">
        <v>153</v>
      </c>
      <c r="AJ8" s="1355" t="s">
        <v>163</v>
      </c>
      <c r="AK8" s="951" t="s">
        <v>14</v>
      </c>
      <c r="AL8" s="944">
        <v>250</v>
      </c>
      <c r="AM8" s="1040">
        <f t="shared" si="4"/>
        <v>1.4837027379400258</v>
      </c>
      <c r="AN8" s="1166">
        <v>1</v>
      </c>
      <c r="AO8" s="1040">
        <f t="shared" si="5"/>
        <v>370.92568448500646</v>
      </c>
      <c r="AP8" s="1039">
        <f t="shared" si="6"/>
        <v>370.92568448500646</v>
      </c>
      <c r="AQ8" s="955">
        <f>VLOOKUP(AJ8,Marination_Ordering!$A:$J,6,FALSE)</f>
        <v>1</v>
      </c>
      <c r="AR8" s="955">
        <f>VLOOKUP(AJ8,Marination_Ordering!$A:$J,10,FALSE)</f>
        <v>6.6959999999999997</v>
      </c>
      <c r="AS8" s="954">
        <f t="shared" si="10"/>
        <v>370.92568448500646</v>
      </c>
      <c r="AT8" s="955">
        <f t="shared" si="11"/>
        <v>2.483718383311603</v>
      </c>
    </row>
    <row r="9" spans="1:46" ht="28.5" x14ac:dyDescent="0.25">
      <c r="A9" s="949" t="s">
        <v>868</v>
      </c>
      <c r="B9" s="938" t="s">
        <v>706</v>
      </c>
      <c r="C9" s="939" t="s">
        <v>14</v>
      </c>
      <c r="D9" s="914">
        <v>20</v>
      </c>
      <c r="E9" s="1040">
        <f t="shared" si="7"/>
        <v>6.5504971219256971</v>
      </c>
      <c r="F9" s="1166">
        <v>0.9</v>
      </c>
      <c r="G9" s="1040">
        <f t="shared" si="0"/>
        <v>131.00994243851395</v>
      </c>
      <c r="H9" s="1039">
        <f t="shared" si="1"/>
        <v>117.90894819466256</v>
      </c>
      <c r="I9" s="914">
        <f>VLOOKUP(B9,All_Ingredients!$A$1:$F$161,6,FALSE())</f>
        <v>1</v>
      </c>
      <c r="J9" s="940">
        <f>VLOOKUP(B9,All_Ingredients!$A$1:$J$161,10,FALSE())</f>
        <v>10.5</v>
      </c>
      <c r="K9" s="945">
        <f t="shared" si="8"/>
        <v>0.11790894819466256</v>
      </c>
      <c r="L9" s="945">
        <f t="shared" si="9"/>
        <v>1.2380439560439569</v>
      </c>
      <c r="M9" s="87"/>
      <c r="N9" s="87"/>
      <c r="R9" s="890"/>
      <c r="T9" s="890"/>
      <c r="W9" s="890"/>
      <c r="AI9" s="949" t="s">
        <v>94</v>
      </c>
      <c r="AJ9" s="1355" t="s">
        <v>113</v>
      </c>
      <c r="AK9" s="951" t="s">
        <v>14</v>
      </c>
      <c r="AL9" s="940">
        <v>7</v>
      </c>
      <c r="AM9" s="1040">
        <f t="shared" si="4"/>
        <v>1.4837027379400258</v>
      </c>
      <c r="AN9" s="1166">
        <v>1</v>
      </c>
      <c r="AO9" s="1040">
        <f t="shared" si="5"/>
        <v>10.38591916558018</v>
      </c>
      <c r="AP9" s="1039">
        <f t="shared" si="6"/>
        <v>10.38591916558018</v>
      </c>
      <c r="AQ9" s="955">
        <f>VLOOKUP(AJ9,Marination_Ordering!$A:$J,6,FALSE)</f>
        <v>1</v>
      </c>
      <c r="AR9" s="955">
        <f>VLOOKUP(AJ9,Marination_Ordering!$A:$J,10,FALSE)</f>
        <v>20</v>
      </c>
      <c r="AS9" s="954">
        <f t="shared" ref="AS9:AS19" si="12">AP9/AQ9</f>
        <v>10.38591916558018</v>
      </c>
      <c r="AT9" s="955">
        <f t="shared" ref="AT9:AT19" si="13">AR9*(AS9/1000)</f>
        <v>0.20771838331160361</v>
      </c>
    </row>
    <row r="10" spans="1:46" x14ac:dyDescent="0.25">
      <c r="A10" s="949" t="s">
        <v>884</v>
      </c>
      <c r="B10" s="938" t="s">
        <v>34</v>
      </c>
      <c r="C10" s="939" t="s">
        <v>14</v>
      </c>
      <c r="D10" s="914">
        <v>10</v>
      </c>
      <c r="E10" s="1040">
        <f t="shared" si="7"/>
        <v>6.5504971219256971</v>
      </c>
      <c r="F10" s="1166">
        <v>0.75</v>
      </c>
      <c r="G10" s="1040">
        <f t="shared" si="0"/>
        <v>65.504971219256973</v>
      </c>
      <c r="H10" s="1039">
        <f t="shared" si="1"/>
        <v>49.128728414442733</v>
      </c>
      <c r="I10" s="914">
        <f>VLOOKUP(B10,All_Ingredients!$A$1:$F$161,6,FALSE())</f>
        <v>0.86</v>
      </c>
      <c r="J10" s="940">
        <f>VLOOKUP(B10,All_Ingredients!$A$1:$J$161,10,FALSE())</f>
        <v>14</v>
      </c>
      <c r="K10" s="945">
        <f t="shared" si="8"/>
        <v>5.7126428388886902E-2</v>
      </c>
      <c r="L10" s="945">
        <f t="shared" si="9"/>
        <v>0.79976999744441657</v>
      </c>
      <c r="M10" s="87"/>
      <c r="N10" s="87"/>
      <c r="R10" s="890"/>
      <c r="T10" s="890"/>
      <c r="W10" s="890"/>
      <c r="AI10" s="949" t="s">
        <v>94</v>
      </c>
      <c r="AJ10" s="1355" t="s">
        <v>118</v>
      </c>
      <c r="AK10" s="951" t="s">
        <v>14</v>
      </c>
      <c r="AL10" s="940">
        <v>20</v>
      </c>
      <c r="AM10" s="1040">
        <f t="shared" si="4"/>
        <v>1.4837027379400258</v>
      </c>
      <c r="AN10" s="1166">
        <v>1</v>
      </c>
      <c r="AO10" s="1040">
        <f t="shared" si="5"/>
        <v>29.674054758800516</v>
      </c>
      <c r="AP10" s="1039">
        <f t="shared" si="6"/>
        <v>29.674054758800516</v>
      </c>
      <c r="AQ10" s="955">
        <f>VLOOKUP(AJ10,Marination_Ordering!$A:$J,6,FALSE)</f>
        <v>1</v>
      </c>
      <c r="AR10" s="955">
        <f>VLOOKUP(AJ10,Marination_Ordering!$A:$J,10,FALSE)</f>
        <v>15</v>
      </c>
      <c r="AS10" s="954">
        <f t="shared" si="12"/>
        <v>29.674054758800516</v>
      </c>
      <c r="AT10" s="955">
        <f t="shared" si="13"/>
        <v>0.44511082138200775</v>
      </c>
    </row>
    <row r="11" spans="1:46" x14ac:dyDescent="0.25">
      <c r="A11" s="949"/>
      <c r="B11" s="938" t="s">
        <v>178</v>
      </c>
      <c r="C11" s="939" t="s">
        <v>14</v>
      </c>
      <c r="D11" s="914">
        <v>25</v>
      </c>
      <c r="E11" s="1040">
        <f t="shared" si="7"/>
        <v>6.5504971219256971</v>
      </c>
      <c r="F11" s="1166">
        <v>1</v>
      </c>
      <c r="G11" s="1040">
        <f t="shared" si="0"/>
        <v>163.76242804814243</v>
      </c>
      <c r="H11" s="1039">
        <f t="shared" si="1"/>
        <v>163.76242804814243</v>
      </c>
      <c r="I11" s="914">
        <f>VLOOKUP(B11,All_Ingredients!$A$1:$F$161,6,FALSE())</f>
        <v>1</v>
      </c>
      <c r="J11" s="940">
        <f>VLOOKUP(B11,All_Ingredients!$A$1:$J$161,10,FALSE())</f>
        <v>40</v>
      </c>
      <c r="K11" s="945">
        <f t="shared" si="8"/>
        <v>0.16376242804814242</v>
      </c>
      <c r="L11" s="945">
        <f t="shared" si="9"/>
        <v>6.5504971219256971</v>
      </c>
      <c r="M11" s="87"/>
      <c r="N11" s="87"/>
      <c r="R11" s="890"/>
      <c r="T11" s="890"/>
      <c r="W11" s="890"/>
      <c r="AI11" s="949" t="s">
        <v>94</v>
      </c>
      <c r="AJ11" s="1355" t="s">
        <v>703</v>
      </c>
      <c r="AK11" s="951" t="s">
        <v>14</v>
      </c>
      <c r="AL11" s="940">
        <v>10</v>
      </c>
      <c r="AM11" s="1040">
        <f t="shared" si="4"/>
        <v>1.4837027379400258</v>
      </c>
      <c r="AN11" s="1166">
        <v>1</v>
      </c>
      <c r="AO11" s="1040">
        <f t="shared" si="5"/>
        <v>14.837027379400258</v>
      </c>
      <c r="AP11" s="1039">
        <f t="shared" si="6"/>
        <v>14.837027379400258</v>
      </c>
      <c r="AQ11" s="955">
        <f>VLOOKUP(AJ11,Marination_Ordering!$A:$J,6,FALSE)</f>
        <v>1</v>
      </c>
      <c r="AR11" s="955">
        <f>VLOOKUP(AJ11,Marination_Ordering!$A:$J,10,FALSE)</f>
        <v>52</v>
      </c>
      <c r="AS11" s="954">
        <f t="shared" si="12"/>
        <v>14.837027379400258</v>
      </c>
      <c r="AT11" s="955">
        <f t="shared" si="13"/>
        <v>0.7715254237288135</v>
      </c>
    </row>
    <row r="12" spans="1:46" ht="25.5" x14ac:dyDescent="0.25">
      <c r="A12" s="949"/>
      <c r="B12" s="938" t="s">
        <v>113</v>
      </c>
      <c r="C12" s="939" t="s">
        <v>14</v>
      </c>
      <c r="D12" s="914">
        <v>3</v>
      </c>
      <c r="E12" s="1040">
        <f t="shared" si="7"/>
        <v>6.5504971219256971</v>
      </c>
      <c r="F12" s="1166">
        <v>0.9</v>
      </c>
      <c r="G12" s="1040">
        <f t="shared" si="0"/>
        <v>19.65149136577709</v>
      </c>
      <c r="H12" s="1039">
        <f t="shared" si="1"/>
        <v>17.686342229199383</v>
      </c>
      <c r="I12" s="914">
        <f>VLOOKUP(B12,All_Ingredients!$A$1:$F$161,6,FALSE())</f>
        <v>1</v>
      </c>
      <c r="J12" s="940">
        <f>VLOOKUP(B12,All_Ingredients!$A$1:$J$161,10,FALSE())</f>
        <v>20</v>
      </c>
      <c r="K12" s="945">
        <f t="shared" si="8"/>
        <v>1.7686342229199382E-2</v>
      </c>
      <c r="L12" s="945">
        <f t="shared" si="9"/>
        <v>0.35372684458398762</v>
      </c>
      <c r="M12" s="87"/>
      <c r="N12" s="87"/>
      <c r="R12" s="890"/>
      <c r="T12" s="890"/>
      <c r="W12" s="890"/>
      <c r="AI12" s="949" t="s">
        <v>94</v>
      </c>
      <c r="AJ12" s="1355" t="s">
        <v>93</v>
      </c>
      <c r="AK12" s="951" t="s">
        <v>14</v>
      </c>
      <c r="AL12" s="914">
        <v>5</v>
      </c>
      <c r="AM12" s="1040">
        <f t="shared" si="4"/>
        <v>1.4837027379400258</v>
      </c>
      <c r="AN12" s="1166">
        <v>1</v>
      </c>
      <c r="AO12" s="1040">
        <f t="shared" si="5"/>
        <v>7.4185136897001289</v>
      </c>
      <c r="AP12" s="1039">
        <f t="shared" si="6"/>
        <v>7.4185136897001289</v>
      </c>
      <c r="AQ12" s="955">
        <f>VLOOKUP(AJ12,Marination_Ordering!$A:$J,6,FALSE)</f>
        <v>1</v>
      </c>
      <c r="AR12" s="955">
        <f>VLOOKUP(AJ12,Marination_Ordering!$A:$J,10,FALSE)</f>
        <v>0.74</v>
      </c>
      <c r="AS12" s="954">
        <f t="shared" si="12"/>
        <v>7.4185136897001289</v>
      </c>
      <c r="AT12" s="955">
        <f t="shared" si="13"/>
        <v>5.4897001303780956E-3</v>
      </c>
    </row>
    <row r="13" spans="1:46" x14ac:dyDescent="0.25">
      <c r="A13" s="949"/>
      <c r="B13" s="938" t="s">
        <v>163</v>
      </c>
      <c r="C13" s="939" t="s">
        <v>14</v>
      </c>
      <c r="D13" s="914">
        <v>300</v>
      </c>
      <c r="E13" s="1040">
        <f t="shared" si="7"/>
        <v>6.5504971219256971</v>
      </c>
      <c r="F13" s="1166">
        <v>0.75</v>
      </c>
      <c r="G13" s="1040">
        <f t="shared" si="0"/>
        <v>1965.1491365777092</v>
      </c>
      <c r="H13" s="1039">
        <f t="shared" si="1"/>
        <v>1473.8618524332819</v>
      </c>
      <c r="I13" s="914">
        <f>VLOOKUP(B13,All_Ingredients!$A$1:$F$161,6,FALSE())</f>
        <v>1</v>
      </c>
      <c r="J13" s="940">
        <f>VLOOKUP(B13,All_Ingredients!$A$1:$J$161,10,FALSE())</f>
        <v>6.6959999999999997</v>
      </c>
      <c r="K13" s="945">
        <f t="shared" si="8"/>
        <v>1.4738618524332818</v>
      </c>
      <c r="L13" s="945">
        <f t="shared" si="9"/>
        <v>9.8689789638932552</v>
      </c>
      <c r="M13" s="87"/>
      <c r="N13" s="87"/>
      <c r="R13" s="890"/>
      <c r="T13" s="890"/>
      <c r="W13" s="890"/>
      <c r="AI13" s="949" t="s">
        <v>213</v>
      </c>
      <c r="AJ13" s="1355" t="s">
        <v>214</v>
      </c>
      <c r="AK13" s="951" t="s">
        <v>14</v>
      </c>
      <c r="AL13" s="940">
        <v>2</v>
      </c>
      <c r="AM13" s="1040">
        <f t="shared" si="4"/>
        <v>1.4837027379400258</v>
      </c>
      <c r="AN13" s="1166">
        <v>1</v>
      </c>
      <c r="AO13" s="1040">
        <f t="shared" si="5"/>
        <v>2.9674054758800517</v>
      </c>
      <c r="AP13" s="1039">
        <f t="shared" si="6"/>
        <v>2.9674054758800517</v>
      </c>
      <c r="AQ13" s="955">
        <f>VLOOKUP(AJ13,Marination_Ordering!$A:$J,6,FALSE)</f>
        <v>1</v>
      </c>
      <c r="AR13" s="955">
        <f>VLOOKUP(AJ13,Marination_Ordering!$A:$J,10,FALSE)</f>
        <v>35</v>
      </c>
      <c r="AS13" s="954">
        <f t="shared" si="12"/>
        <v>2.9674054758800517</v>
      </c>
      <c r="AT13" s="955">
        <f t="shared" si="13"/>
        <v>0.10385919165580181</v>
      </c>
    </row>
    <row r="14" spans="1:46" x14ac:dyDescent="0.25">
      <c r="A14" s="949"/>
      <c r="B14" s="938" t="s">
        <v>108</v>
      </c>
      <c r="C14" s="939" t="s">
        <v>14</v>
      </c>
      <c r="D14" s="914">
        <v>10</v>
      </c>
      <c r="E14" s="1040">
        <f t="shared" si="7"/>
        <v>6.5504971219256971</v>
      </c>
      <c r="F14" s="1166">
        <v>0.75</v>
      </c>
      <c r="G14" s="1040">
        <f t="shared" si="0"/>
        <v>65.504971219256973</v>
      </c>
      <c r="H14" s="1039">
        <f t="shared" si="1"/>
        <v>49.128728414442733</v>
      </c>
      <c r="I14" s="914">
        <f>VLOOKUP(B14,All_Ingredients!$A$1:$F$161,6,FALSE())</f>
        <v>1</v>
      </c>
      <c r="J14" s="940">
        <f>VLOOKUP(B14,All_Ingredients!$A$1:$J$161,10,FALSE())</f>
        <v>26.5</v>
      </c>
      <c r="K14" s="945">
        <f t="shared" si="8"/>
        <v>4.9128728414442734E-2</v>
      </c>
      <c r="L14" s="945">
        <f t="shared" si="9"/>
        <v>1.3019113029827325</v>
      </c>
      <c r="M14" s="87"/>
      <c r="N14" s="87"/>
      <c r="R14" s="890"/>
      <c r="T14" s="890"/>
      <c r="W14" s="890"/>
      <c r="AI14" s="949" t="s">
        <v>94</v>
      </c>
      <c r="AJ14" s="1355" t="s">
        <v>126</v>
      </c>
      <c r="AK14" s="951" t="s">
        <v>14</v>
      </c>
      <c r="AL14" s="940">
        <v>10</v>
      </c>
      <c r="AM14" s="1040">
        <f t="shared" si="4"/>
        <v>1.4837027379400258</v>
      </c>
      <c r="AN14" s="1166">
        <v>1</v>
      </c>
      <c r="AO14" s="1040">
        <f t="shared" si="5"/>
        <v>14.837027379400258</v>
      </c>
      <c r="AP14" s="1039">
        <f t="shared" si="6"/>
        <v>14.837027379400258</v>
      </c>
      <c r="AQ14" s="955">
        <f>VLOOKUP(AJ14,Marination_Ordering!$A:$J,6,FALSE)</f>
        <v>1</v>
      </c>
      <c r="AR14" s="955">
        <f>VLOOKUP(AJ14,Marination_Ordering!$A:$J,10,FALSE)</f>
        <v>125</v>
      </c>
      <c r="AS14" s="954">
        <f t="shared" si="12"/>
        <v>14.837027379400258</v>
      </c>
      <c r="AT14" s="955">
        <f t="shared" si="13"/>
        <v>1.8546284224250322</v>
      </c>
    </row>
    <row r="15" spans="1:46" ht="28.5" x14ac:dyDescent="0.25">
      <c r="A15" s="949"/>
      <c r="B15" s="938" t="s">
        <v>105</v>
      </c>
      <c r="C15" s="939" t="s">
        <v>14</v>
      </c>
      <c r="D15" s="914">
        <v>10</v>
      </c>
      <c r="E15" s="1040">
        <f t="shared" si="7"/>
        <v>6.5504971219256971</v>
      </c>
      <c r="F15" s="1166">
        <v>0.75</v>
      </c>
      <c r="G15" s="1040">
        <f t="shared" si="0"/>
        <v>65.504971219256973</v>
      </c>
      <c r="H15" s="1039">
        <f t="shared" si="1"/>
        <v>49.128728414442733</v>
      </c>
      <c r="I15" s="914">
        <f>VLOOKUP(B15,All_Ingredients!$A$1:$F$161,6,FALSE())</f>
        <v>1</v>
      </c>
      <c r="J15" s="940">
        <f>VLOOKUP(B15,All_Ingredients!$A$1:$J$161,10,FALSE())</f>
        <v>15</v>
      </c>
      <c r="K15" s="945">
        <f t="shared" si="8"/>
        <v>4.9128728414442734E-2</v>
      </c>
      <c r="L15" s="945">
        <f t="shared" si="9"/>
        <v>0.73693092621664102</v>
      </c>
      <c r="M15" s="87"/>
      <c r="N15" s="87"/>
      <c r="R15" s="890"/>
      <c r="T15" s="890"/>
      <c r="W15" s="890"/>
      <c r="AI15" s="949" t="s">
        <v>94</v>
      </c>
      <c r="AJ15" s="1355" t="s">
        <v>122</v>
      </c>
      <c r="AK15" s="951" t="s">
        <v>14</v>
      </c>
      <c r="AL15" s="940">
        <v>5</v>
      </c>
      <c r="AM15" s="1040">
        <f t="shared" si="4"/>
        <v>1.4837027379400258</v>
      </c>
      <c r="AN15" s="1166">
        <v>1</v>
      </c>
      <c r="AO15" s="1040">
        <f t="shared" si="5"/>
        <v>7.4185136897001289</v>
      </c>
      <c r="AP15" s="1039">
        <f t="shared" si="6"/>
        <v>7.4185136897001289</v>
      </c>
      <c r="AQ15" s="955">
        <f>VLOOKUP(AJ15,Marination_Ordering!$A:$J,6,FALSE)</f>
        <v>1</v>
      </c>
      <c r="AR15" s="955">
        <f>VLOOKUP(AJ15,Marination_Ordering!$A:$J,10,FALSE)</f>
        <v>14</v>
      </c>
      <c r="AS15" s="954">
        <f t="shared" si="12"/>
        <v>7.4185136897001289</v>
      </c>
      <c r="AT15" s="955">
        <f t="shared" si="13"/>
        <v>0.10385919165580181</v>
      </c>
    </row>
    <row r="16" spans="1:46" x14ac:dyDescent="0.25">
      <c r="A16" s="949"/>
      <c r="B16" s="938" t="s">
        <v>107</v>
      </c>
      <c r="C16" s="939" t="s">
        <v>14</v>
      </c>
      <c r="D16" s="914">
        <v>10</v>
      </c>
      <c r="E16" s="1040">
        <f t="shared" si="7"/>
        <v>6.5504971219256971</v>
      </c>
      <c r="F16" s="1166">
        <v>0.75</v>
      </c>
      <c r="G16" s="1040">
        <f t="shared" si="0"/>
        <v>65.504971219256973</v>
      </c>
      <c r="H16" s="1039">
        <f t="shared" si="1"/>
        <v>49.128728414442733</v>
      </c>
      <c r="I16" s="914">
        <f>VLOOKUP(B16,All_Ingredients!$A$1:$F$161,6,FALSE())</f>
        <v>1</v>
      </c>
      <c r="J16" s="940">
        <f>VLOOKUP(B16,All_Ingredients!$A$1:$J$161,10,FALSE())</f>
        <v>8</v>
      </c>
      <c r="K16" s="945">
        <f t="shared" si="8"/>
        <v>4.9128728414442734E-2</v>
      </c>
      <c r="L16" s="945">
        <f t="shared" si="9"/>
        <v>0.39302982731554187</v>
      </c>
      <c r="M16" s="87"/>
      <c r="N16" s="87"/>
      <c r="R16" s="890"/>
      <c r="T16" s="890"/>
      <c r="W16" s="890"/>
      <c r="AI16" s="949" t="s">
        <v>55</v>
      </c>
      <c r="AJ16" s="1355" t="s">
        <v>54</v>
      </c>
      <c r="AK16" s="951" t="s">
        <v>14</v>
      </c>
      <c r="AL16" s="914">
        <v>100</v>
      </c>
      <c r="AM16" s="1040">
        <f t="shared" si="4"/>
        <v>1.4837027379400258</v>
      </c>
      <c r="AN16" s="1166">
        <v>1</v>
      </c>
      <c r="AO16" s="1040">
        <f t="shared" si="5"/>
        <v>148.37027379400257</v>
      </c>
      <c r="AP16" s="1039">
        <f t="shared" si="6"/>
        <v>148.37027379400257</v>
      </c>
      <c r="AQ16" s="955">
        <f>VLOOKUP(AJ16,Marination_Ordering!$A:$J,6,FALSE)</f>
        <v>0.87</v>
      </c>
      <c r="AR16" s="955">
        <f>VLOOKUP(AJ16,Marination_Ordering!$A:$J,10,FALSE)</f>
        <v>7</v>
      </c>
      <c r="AS16" s="954">
        <f t="shared" si="12"/>
        <v>170.54054459080754</v>
      </c>
      <c r="AT16" s="955">
        <f t="shared" si="13"/>
        <v>1.1937838121356528</v>
      </c>
    </row>
    <row r="17" spans="1:46" x14ac:dyDescent="0.25">
      <c r="A17" s="949" t="s">
        <v>869</v>
      </c>
      <c r="B17" s="938" t="s">
        <v>60</v>
      </c>
      <c r="C17" s="939" t="s">
        <v>14</v>
      </c>
      <c r="D17" s="914">
        <v>5</v>
      </c>
      <c r="E17" s="1040">
        <f t="shared" si="7"/>
        <v>6.5504971219256971</v>
      </c>
      <c r="F17" s="1166">
        <v>1</v>
      </c>
      <c r="G17" s="1040">
        <f t="shared" si="0"/>
        <v>32.752485609628486</v>
      </c>
      <c r="H17" s="1039">
        <f t="shared" si="1"/>
        <v>32.752485609628486</v>
      </c>
      <c r="I17" s="914">
        <f>VLOOKUP(B17,All_Ingredients!$A$1:$F$161,6,FALSE())</f>
        <v>0.94</v>
      </c>
      <c r="J17" s="940">
        <f>VLOOKUP(B17,All_Ingredients!$A$1:$J$161,10,FALSE())</f>
        <v>3.6363636363636367</v>
      </c>
      <c r="K17" s="945">
        <f t="shared" si="8"/>
        <v>3.4843069797477116E-2</v>
      </c>
      <c r="L17" s="945">
        <f t="shared" si="9"/>
        <v>0.12670207199082589</v>
      </c>
      <c r="M17" s="87"/>
      <c r="N17" s="87"/>
      <c r="R17" s="890"/>
      <c r="T17" s="890"/>
      <c r="W17" s="890"/>
      <c r="AI17" s="949" t="s">
        <v>13</v>
      </c>
      <c r="AJ17" s="1355" t="s">
        <v>706</v>
      </c>
      <c r="AK17" s="951" t="s">
        <v>14</v>
      </c>
      <c r="AL17" s="940">
        <v>150</v>
      </c>
      <c r="AM17" s="1040">
        <f t="shared" si="4"/>
        <v>1.4837027379400258</v>
      </c>
      <c r="AN17" s="1166">
        <v>1</v>
      </c>
      <c r="AO17" s="1040">
        <f t="shared" si="5"/>
        <v>222.55541069100389</v>
      </c>
      <c r="AP17" s="1039">
        <f t="shared" si="6"/>
        <v>222.55541069100389</v>
      </c>
      <c r="AQ17" s="955">
        <f>VLOOKUP(AJ17,Marination_Ordering!$A:$J,6,FALSE)</f>
        <v>1</v>
      </c>
      <c r="AR17" s="955">
        <f>VLOOKUP(AJ17,Marination_Ordering!$A:$J,10,FALSE)</f>
        <v>10.5</v>
      </c>
      <c r="AS17" s="954">
        <f t="shared" si="12"/>
        <v>222.55541069100389</v>
      </c>
      <c r="AT17" s="955">
        <f t="shared" si="13"/>
        <v>2.3368318122555407</v>
      </c>
    </row>
    <row r="18" spans="1:46" ht="28.5" x14ac:dyDescent="0.25">
      <c r="A18" s="949"/>
      <c r="B18" s="951" t="s">
        <v>799</v>
      </c>
      <c r="C18" s="939" t="s">
        <v>14</v>
      </c>
      <c r="D18" s="914">
        <v>2</v>
      </c>
      <c r="E18" s="1040">
        <f t="shared" si="7"/>
        <v>6.5504971219256971</v>
      </c>
      <c r="F18" s="1166">
        <v>0.9</v>
      </c>
      <c r="G18" s="1040">
        <f t="shared" si="0"/>
        <v>13.100994243851394</v>
      </c>
      <c r="H18" s="1039">
        <f t="shared" si="1"/>
        <v>11.790894819466255</v>
      </c>
      <c r="I18" s="914">
        <f>VLOOKUP(B18,All_Ingredients!$A$1:$F$161,6,FALSE())</f>
        <v>1</v>
      </c>
      <c r="J18" s="940">
        <f>VLOOKUP(B18,All_Ingredients!$A$1:$J$161,10,FALSE())</f>
        <v>22.5</v>
      </c>
      <c r="K18" s="945">
        <f t="shared" si="8"/>
        <v>1.1790894819466255E-2</v>
      </c>
      <c r="L18" s="945">
        <f t="shared" si="9"/>
        <v>0.26529513343799072</v>
      </c>
      <c r="M18" s="87"/>
      <c r="N18" s="87"/>
      <c r="R18" s="890"/>
      <c r="T18" s="890"/>
      <c r="W18" s="890"/>
      <c r="AI18" s="949" t="s">
        <v>204</v>
      </c>
      <c r="AJ18" s="1355" t="s">
        <v>212</v>
      </c>
      <c r="AK18" s="951" t="s">
        <v>160</v>
      </c>
      <c r="AL18" s="940">
        <v>300</v>
      </c>
      <c r="AM18" s="1040">
        <f t="shared" si="4"/>
        <v>1.4837027379400258</v>
      </c>
      <c r="AN18" s="1166">
        <v>1</v>
      </c>
      <c r="AO18" s="1040">
        <f t="shared" si="5"/>
        <v>445.11082138200777</v>
      </c>
      <c r="AP18" s="1039">
        <f t="shared" si="6"/>
        <v>445.11082138200777</v>
      </c>
      <c r="AQ18" s="955">
        <f>VLOOKUP(AJ18,Marination_Ordering!$A:$J,6,FALSE)</f>
        <v>1</v>
      </c>
      <c r="AR18" s="955">
        <f>VLOOKUP(AJ18,Marination_Ordering!$A:$J,10,FALSE)</f>
        <v>5</v>
      </c>
      <c r="AS18" s="954">
        <f t="shared" si="12"/>
        <v>445.11082138200777</v>
      </c>
      <c r="AT18" s="955">
        <f t="shared" si="13"/>
        <v>2.2255541069100389</v>
      </c>
    </row>
    <row r="19" spans="1:46" x14ac:dyDescent="0.25">
      <c r="A19" s="949"/>
      <c r="B19" s="938" t="s">
        <v>214</v>
      </c>
      <c r="C19" s="939" t="s">
        <v>14</v>
      </c>
      <c r="D19" s="914">
        <v>1</v>
      </c>
      <c r="E19" s="1040">
        <f t="shared" si="7"/>
        <v>6.5504971219256971</v>
      </c>
      <c r="F19" s="1166">
        <v>1</v>
      </c>
      <c r="G19" s="1040">
        <f t="shared" si="0"/>
        <v>6.5504971219256971</v>
      </c>
      <c r="H19" s="1039">
        <f t="shared" si="1"/>
        <v>6.5504971219256971</v>
      </c>
      <c r="I19" s="914">
        <f>VLOOKUP(B19,All_Ingredients!$A$1:$F$161,6,FALSE())</f>
        <v>1</v>
      </c>
      <c r="J19" s="940">
        <f>VLOOKUP(B19,All_Ingredients!$A$1:$J$161,10,FALSE())</f>
        <v>35</v>
      </c>
      <c r="K19" s="945">
        <f t="shared" si="8"/>
        <v>6.5504971219256967E-3</v>
      </c>
      <c r="L19" s="945">
        <f t="shared" si="9"/>
        <v>0.22926739926739939</v>
      </c>
      <c r="M19" s="87"/>
      <c r="N19" s="87"/>
      <c r="R19" s="890"/>
      <c r="T19" s="890"/>
      <c r="W19" s="890"/>
      <c r="AI19" s="949" t="s">
        <v>204</v>
      </c>
      <c r="AJ19" s="1130" t="s">
        <v>208</v>
      </c>
      <c r="AK19" s="951" t="s">
        <v>160</v>
      </c>
      <c r="AL19" s="940">
        <v>50</v>
      </c>
      <c r="AM19" s="1040">
        <f t="shared" si="4"/>
        <v>1.4837027379400258</v>
      </c>
      <c r="AN19" s="1166">
        <v>1</v>
      </c>
      <c r="AO19" s="1040">
        <f t="shared" si="5"/>
        <v>74.185136897001286</v>
      </c>
      <c r="AP19" s="1039">
        <f t="shared" si="6"/>
        <v>74.185136897001286</v>
      </c>
      <c r="AQ19" s="955">
        <f>VLOOKUP(AJ19,Marination_Ordering!$A:$J,6,FALSE)</f>
        <v>1</v>
      </c>
      <c r="AR19" s="955">
        <f>VLOOKUP(AJ19,Marination_Ordering!$A:$J,10,FALSE)</f>
        <v>2.1621621621621623</v>
      </c>
      <c r="AS19" s="954">
        <f t="shared" si="12"/>
        <v>74.185136897001286</v>
      </c>
      <c r="AT19" s="955">
        <f t="shared" si="13"/>
        <v>0.16040029599351632</v>
      </c>
    </row>
    <row r="20" spans="1:46" x14ac:dyDescent="0.25">
      <c r="A20" s="949"/>
      <c r="B20" s="938" t="s">
        <v>217</v>
      </c>
      <c r="C20" s="939" t="s">
        <v>14</v>
      </c>
      <c r="D20" s="914">
        <v>10</v>
      </c>
      <c r="E20" s="1040">
        <f t="shared" si="7"/>
        <v>6.5504971219256971</v>
      </c>
      <c r="F20" s="1166">
        <v>0.5</v>
      </c>
      <c r="G20" s="1040">
        <f t="shared" si="0"/>
        <v>65.504971219256973</v>
      </c>
      <c r="H20" s="1039">
        <f t="shared" si="1"/>
        <v>32.752485609628486</v>
      </c>
      <c r="I20" s="914">
        <f>VLOOKUP(B20,All_Ingredients!$A$1:$F$161,6,FALSE())</f>
        <v>1</v>
      </c>
      <c r="J20" s="940">
        <f>VLOOKUP(B20,All_Ingredients!$A$1:$J$161,10,FALSE())</f>
        <v>3</v>
      </c>
      <c r="K20" s="945">
        <f t="shared" si="8"/>
        <v>3.2752485609628484E-2</v>
      </c>
      <c r="L20" s="945">
        <f t="shared" si="9"/>
        <v>9.8257456828885453E-2</v>
      </c>
      <c r="M20" s="87"/>
      <c r="N20" s="87"/>
      <c r="R20" s="890"/>
      <c r="T20" s="890"/>
      <c r="W20" s="890"/>
      <c r="AJ20" s="890"/>
      <c r="AK20" s="890"/>
      <c r="AL20" s="890"/>
      <c r="AM20" s="890"/>
      <c r="AN20" s="890"/>
      <c r="AP20" s="890"/>
      <c r="AS20" s="890"/>
    </row>
    <row r="21" spans="1:46" x14ac:dyDescent="0.25">
      <c r="A21" s="949"/>
      <c r="B21" s="938" t="s">
        <v>93</v>
      </c>
      <c r="C21" s="939" t="s">
        <v>14</v>
      </c>
      <c r="D21" s="914">
        <v>11</v>
      </c>
      <c r="E21" s="1040">
        <f t="shared" si="7"/>
        <v>6.5504971219256971</v>
      </c>
      <c r="F21" s="1166">
        <v>0.75</v>
      </c>
      <c r="G21" s="1040">
        <f t="shared" si="0"/>
        <v>72.055468341182674</v>
      </c>
      <c r="H21" s="1039">
        <f t="shared" si="1"/>
        <v>54.041601255887002</v>
      </c>
      <c r="I21" s="914">
        <f>VLOOKUP(B21,All_Ingredients!$A$1:$F$161,6,FALSE())</f>
        <v>1</v>
      </c>
      <c r="J21" s="940">
        <f>VLOOKUP(B21,All_Ingredients!$A$1:$J$161,10,FALSE())</f>
        <v>0.74</v>
      </c>
      <c r="K21" s="945">
        <f t="shared" si="8"/>
        <v>5.4041601255887001E-2</v>
      </c>
      <c r="L21" s="945">
        <f t="shared" si="9"/>
        <v>3.9990784929356378E-2</v>
      </c>
      <c r="M21" s="87"/>
      <c r="N21" s="87"/>
      <c r="R21" s="890"/>
      <c r="T21" s="890"/>
      <c r="W21" s="890"/>
      <c r="AJ21" s="890"/>
      <c r="AK21" s="890"/>
      <c r="AL21" s="890"/>
      <c r="AM21" s="890"/>
      <c r="AN21" s="890"/>
      <c r="AP21" s="890"/>
      <c r="AS21" s="890"/>
    </row>
    <row r="22" spans="1:46" x14ac:dyDescent="0.25">
      <c r="A22" s="949"/>
      <c r="B22" s="938" t="s">
        <v>152</v>
      </c>
      <c r="C22" s="939" t="s">
        <v>14</v>
      </c>
      <c r="D22" s="914">
        <v>40</v>
      </c>
      <c r="E22" s="1040">
        <f t="shared" si="7"/>
        <v>6.5504971219256971</v>
      </c>
      <c r="F22" s="1166">
        <v>0.9</v>
      </c>
      <c r="G22" s="1040">
        <f t="shared" si="0"/>
        <v>262.01988487702789</v>
      </c>
      <c r="H22" s="1039">
        <f t="shared" si="1"/>
        <v>235.81789638932511</v>
      </c>
      <c r="I22" s="914">
        <f>VLOOKUP(B22,All_Ingredients!$A$1:$F$161,6,FALSE())</f>
        <v>1</v>
      </c>
      <c r="J22" s="940">
        <f>VLOOKUP(B22,All_Ingredients!$A$1:$J$161,10,FALSE())</f>
        <v>30</v>
      </c>
      <c r="K22" s="945">
        <f t="shared" si="8"/>
        <v>0.23581789638932513</v>
      </c>
      <c r="L22" s="945">
        <f t="shared" si="9"/>
        <v>7.0745368916797542</v>
      </c>
      <c r="M22" s="87"/>
      <c r="N22" s="87"/>
      <c r="R22" s="890"/>
      <c r="T22" s="890"/>
      <c r="W22" s="890"/>
      <c r="AJ22" s="890"/>
      <c r="AK22" s="890"/>
      <c r="AL22" s="890"/>
      <c r="AM22" s="890"/>
      <c r="AN22" s="890"/>
      <c r="AP22" s="890"/>
      <c r="AS22" s="890"/>
    </row>
    <row r="23" spans="1:46" x14ac:dyDescent="0.25">
      <c r="A23" s="949"/>
      <c r="B23" s="938" t="s">
        <v>166</v>
      </c>
      <c r="C23" s="939" t="s">
        <v>160</v>
      </c>
      <c r="D23" s="914">
        <v>250</v>
      </c>
      <c r="E23" s="1040">
        <f t="shared" si="7"/>
        <v>6.5504971219256971</v>
      </c>
      <c r="F23" s="1166">
        <v>1</v>
      </c>
      <c r="G23" s="1040">
        <f t="shared" si="0"/>
        <v>1637.6242804814242</v>
      </c>
      <c r="H23" s="1039">
        <f t="shared" si="1"/>
        <v>1637.6242804814242</v>
      </c>
      <c r="I23" s="914">
        <f>VLOOKUP(B23,All_Ingredients!$A$1:$F$161,6,FALSE())</f>
        <v>1</v>
      </c>
      <c r="J23" s="940">
        <f>VLOOKUP(B23,All_Ingredients!$A$1:$J$161,10,FALSE())</f>
        <v>12.666666666666666</v>
      </c>
      <c r="K23" s="945">
        <f t="shared" si="8"/>
        <v>1.6376242804814243</v>
      </c>
      <c r="L23" s="945">
        <f t="shared" si="9"/>
        <v>20.74324088609804</v>
      </c>
      <c r="M23" s="87"/>
      <c r="N23" s="87"/>
      <c r="R23" s="890"/>
      <c r="T23" s="890"/>
      <c r="W23" s="890"/>
      <c r="AJ23" s="890"/>
      <c r="AK23" s="890"/>
      <c r="AL23" s="890"/>
      <c r="AM23" s="890"/>
      <c r="AN23" s="890"/>
      <c r="AP23" s="890"/>
      <c r="AS23" s="890"/>
    </row>
    <row r="24" spans="1:46" x14ac:dyDescent="0.25">
      <c r="A24" s="949"/>
      <c r="B24" s="938" t="s">
        <v>703</v>
      </c>
      <c r="C24" s="939" t="s">
        <v>14</v>
      </c>
      <c r="D24" s="914">
        <v>2</v>
      </c>
      <c r="E24" s="1040">
        <f t="shared" si="7"/>
        <v>6.5504971219256971</v>
      </c>
      <c r="F24" s="1166">
        <v>1</v>
      </c>
      <c r="G24" s="1040">
        <f t="shared" si="0"/>
        <v>13.100994243851394</v>
      </c>
      <c r="H24" s="1039">
        <f t="shared" si="1"/>
        <v>13.100994243851394</v>
      </c>
      <c r="I24" s="914">
        <f>VLOOKUP(B24,All_Ingredients!$A$1:$F$161,6,FALSE())</f>
        <v>1</v>
      </c>
      <c r="J24" s="940">
        <f>VLOOKUP(B24,All_Ingredients!$A$1:$J$161,10,FALSE())</f>
        <v>52</v>
      </c>
      <c r="K24" s="945">
        <f t="shared" si="8"/>
        <v>1.3100994243851393E-2</v>
      </c>
      <c r="L24" s="945">
        <f t="shared" si="9"/>
        <v>0.68125170068027241</v>
      </c>
      <c r="M24" s="87"/>
      <c r="N24" s="87"/>
      <c r="R24" s="830"/>
      <c r="T24" s="890"/>
      <c r="W24" s="890"/>
      <c r="Z24" s="597"/>
      <c r="AJ24" s="890"/>
      <c r="AK24" s="890"/>
      <c r="AL24" s="890"/>
      <c r="AM24" s="890"/>
      <c r="AN24" s="890"/>
      <c r="AP24" s="890"/>
      <c r="AS24" s="890"/>
    </row>
    <row r="25" spans="1:46" x14ac:dyDescent="0.25">
      <c r="A25" s="949"/>
      <c r="B25" s="960" t="s">
        <v>187</v>
      </c>
      <c r="C25" s="947" t="s">
        <v>14</v>
      </c>
      <c r="D25" s="914">
        <v>20</v>
      </c>
      <c r="E25" s="944">
        <f t="shared" si="7"/>
        <v>6.5504971219256971</v>
      </c>
      <c r="F25" s="948">
        <v>0.75</v>
      </c>
      <c r="G25" s="940">
        <f t="shared" si="0"/>
        <v>131.00994243851395</v>
      </c>
      <c r="H25" s="943">
        <f t="shared" si="1"/>
        <v>98.257456828885466</v>
      </c>
      <c r="I25" s="914">
        <f>VLOOKUP(B25,All_Ingredients!$A$1:$F$161,6,FALSE())</f>
        <v>0.9</v>
      </c>
      <c r="J25" s="940">
        <f>VLOOKUP(B25,All_Ingredients!$A$1:$J$161,10,FALSE())</f>
        <v>2.3199999999999998</v>
      </c>
      <c r="K25" s="945">
        <f t="shared" si="8"/>
        <v>0.10917495203209496</v>
      </c>
      <c r="L25" s="945">
        <f t="shared" si="9"/>
        <v>0.25328588871446028</v>
      </c>
      <c r="R25" s="1848" t="s">
        <v>373</v>
      </c>
      <c r="S25" s="1787"/>
      <c r="T25" s="1788"/>
      <c r="U25" s="1787"/>
      <c r="V25" s="956"/>
      <c r="W25" s="1043"/>
      <c r="Z25" s="982" t="s">
        <v>252</v>
      </c>
      <c r="AA25" s="989">
        <v>1</v>
      </c>
      <c r="AB25" s="982" t="s">
        <v>249</v>
      </c>
      <c r="AC25" s="985">
        <f>(AA25*(4/3))*AF30+(AA30*(AB28/R1))</f>
        <v>3.3065813288306441E-2</v>
      </c>
      <c r="AJ25" s="890"/>
      <c r="AK25" s="890"/>
      <c r="AL25" s="890"/>
      <c r="AM25" s="890"/>
      <c r="AN25" s="890"/>
      <c r="AP25" s="890"/>
      <c r="AS25" s="890"/>
    </row>
    <row r="26" spans="1:46" x14ac:dyDescent="0.25">
      <c r="B26" s="890"/>
      <c r="D26" s="890"/>
      <c r="E26" s="1129"/>
      <c r="F26" s="890"/>
      <c r="H26" s="890"/>
      <c r="K26" s="890"/>
      <c r="L26" s="190"/>
      <c r="R26" s="1847" t="s">
        <v>253</v>
      </c>
      <c r="S26" s="1787"/>
      <c r="T26" s="1788"/>
      <c r="U26" s="1787"/>
      <c r="V26" s="956"/>
      <c r="W26" s="1043"/>
      <c r="AJ26" s="890"/>
      <c r="AK26" s="890"/>
      <c r="AL26" s="890"/>
      <c r="AM26" s="890"/>
      <c r="AN26" s="890"/>
      <c r="AP26" s="890"/>
      <c r="AS26" s="890"/>
    </row>
    <row r="27" spans="1:46" x14ac:dyDescent="0.25">
      <c r="B27" s="890"/>
      <c r="D27" s="890"/>
      <c r="E27" s="1129"/>
      <c r="F27" s="890"/>
      <c r="H27" s="890"/>
      <c r="K27" s="890"/>
      <c r="R27" s="1428" t="s">
        <v>254</v>
      </c>
      <c r="S27" s="1469" t="s">
        <v>255</v>
      </c>
      <c r="T27" s="1428" t="s">
        <v>256</v>
      </c>
      <c r="U27" s="1469" t="s">
        <v>257</v>
      </c>
      <c r="V27" s="962" t="s">
        <v>746</v>
      </c>
      <c r="W27" s="961" t="s">
        <v>753</v>
      </c>
      <c r="Z27" s="982" t="s">
        <v>258</v>
      </c>
      <c r="AA27" s="984" t="s">
        <v>311</v>
      </c>
      <c r="AB27" s="982" t="s">
        <v>259</v>
      </c>
      <c r="AC27" s="982" t="s">
        <v>260</v>
      </c>
      <c r="AD27" s="982" t="s">
        <v>261</v>
      </c>
      <c r="AE27" s="984" t="s">
        <v>753</v>
      </c>
      <c r="AF27" s="982" t="s">
        <v>262</v>
      </c>
      <c r="AJ27" s="890"/>
      <c r="AK27" s="890"/>
      <c r="AL27" s="890"/>
      <c r="AM27" s="890"/>
      <c r="AN27" s="890"/>
      <c r="AP27" s="890"/>
      <c r="AS27" s="890"/>
    </row>
    <row r="28" spans="1:46" x14ac:dyDescent="0.25">
      <c r="B28" s="890"/>
      <c r="D28" s="890"/>
      <c r="E28" s="1129"/>
      <c r="F28" s="890"/>
      <c r="H28" s="890"/>
      <c r="K28" s="890"/>
      <c r="R28" s="1428" t="s">
        <v>263</v>
      </c>
      <c r="S28" s="1470">
        <f>U28*S40</f>
        <v>7984.6153846153829</v>
      </c>
      <c r="T28" s="1471">
        <f>U28*U40</f>
        <v>2395.384615384618</v>
      </c>
      <c r="U28" s="1472">
        <f>$Z$1</f>
        <v>10380</v>
      </c>
      <c r="V28" s="966">
        <f>SUM(AP5:AP13)</f>
        <v>495.55671447196863</v>
      </c>
      <c r="W28" s="967">
        <f>SUM(H37:H38)</f>
        <v>138</v>
      </c>
      <c r="Z28" s="1086"/>
      <c r="AA28" s="987"/>
      <c r="AB28" s="985">
        <f>AA25*$S$40</f>
        <v>0.76923076923076905</v>
      </c>
      <c r="AC28" s="985">
        <f>AA25-AB28</f>
        <v>0.23076923076923095</v>
      </c>
      <c r="AD28" s="989">
        <f>AA25*(1/3)</f>
        <v>0.33333333333333331</v>
      </c>
      <c r="AE28" s="987"/>
      <c r="AF28" s="1088">
        <f>SUM(AB28:AD28)</f>
        <v>1.3333333333333333</v>
      </c>
      <c r="AJ28" s="890"/>
      <c r="AK28" s="890"/>
      <c r="AL28" s="890"/>
      <c r="AM28" s="890"/>
      <c r="AN28" s="890"/>
      <c r="AP28" s="890"/>
      <c r="AS28" s="890"/>
    </row>
    <row r="29" spans="1:46" x14ac:dyDescent="0.25">
      <c r="B29" s="890"/>
      <c r="D29" s="890"/>
      <c r="E29" s="1129"/>
      <c r="F29" s="890"/>
      <c r="H29" s="890"/>
      <c r="K29" s="890"/>
      <c r="R29" s="1428" t="s">
        <v>264</v>
      </c>
      <c r="S29" s="947"/>
      <c r="T29" s="1473">
        <f>U28*(1/3)</f>
        <v>3460</v>
      </c>
      <c r="U29" s="1470">
        <f>T29</f>
        <v>3460</v>
      </c>
      <c r="V29" s="966"/>
      <c r="W29" s="967"/>
      <c r="Z29" s="1086"/>
      <c r="AA29" s="991"/>
      <c r="AB29" s="1089">
        <f>AB28/$AF$28</f>
        <v>0.57692307692307687</v>
      </c>
      <c r="AC29" s="1089">
        <f>AC28/$AF$28</f>
        <v>0.17307692307692321</v>
      </c>
      <c r="AD29" s="1089">
        <f>AD28/$AF$28</f>
        <v>0.25</v>
      </c>
      <c r="AE29" s="991"/>
      <c r="AF29" s="1089">
        <f>AF28/$AF$28</f>
        <v>1</v>
      </c>
      <c r="AJ29" s="890"/>
      <c r="AK29" s="890"/>
      <c r="AL29" s="890"/>
      <c r="AM29" s="890"/>
      <c r="AN29" s="890"/>
      <c r="AP29" s="890"/>
      <c r="AS29" s="890"/>
    </row>
    <row r="30" spans="1:46" x14ac:dyDescent="0.25">
      <c r="B30" s="890"/>
      <c r="D30" s="890"/>
      <c r="E30" s="1129"/>
      <c r="F30" s="890"/>
      <c r="H30" s="890"/>
      <c r="K30" s="890"/>
      <c r="R30" s="1428" t="s">
        <v>265</v>
      </c>
      <c r="S30" s="1474">
        <f>U30*S40</f>
        <v>769.23076923076906</v>
      </c>
      <c r="T30" s="967">
        <f>(U30*U40)+(U30*(1/3))</f>
        <v>564.10256410256432</v>
      </c>
      <c r="U30" s="1475">
        <f>$AB$1</f>
        <v>1000</v>
      </c>
      <c r="V30" s="972"/>
      <c r="W30" s="973"/>
      <c r="Z30" s="982" t="s">
        <v>266</v>
      </c>
      <c r="AA30" s="994">
        <f>V35/(S32/R1)</f>
        <v>8.395405809257533E-4</v>
      </c>
      <c r="AB30" s="1090">
        <f>S35/(S32)</f>
        <v>3.3701221915648401E-2</v>
      </c>
      <c r="AC30" s="1091">
        <f>T35/T32</f>
        <v>1.0300878394258636E-2</v>
      </c>
      <c r="AD30" s="1091">
        <f>T35/T32</f>
        <v>1.0300878394258636E-2</v>
      </c>
      <c r="AE30" s="995">
        <f>W35/U32</f>
        <v>1.7735061511423548E-4</v>
      </c>
      <c r="AF30" s="1092">
        <f>SUMPRODUCT(AB30:AD30,AB29:AD29)+AE30</f>
        <v>2.3978427194790045E-2</v>
      </c>
      <c r="AJ30" s="890"/>
      <c r="AK30" s="890"/>
      <c r="AL30" s="890"/>
      <c r="AM30" s="890"/>
      <c r="AN30" s="890"/>
      <c r="AP30" s="890"/>
      <c r="AS30" s="890"/>
    </row>
    <row r="31" spans="1:46" x14ac:dyDescent="0.25">
      <c r="B31" s="890"/>
      <c r="D31" s="890"/>
      <c r="E31" s="1129"/>
      <c r="F31" s="890"/>
      <c r="H31" s="890"/>
      <c r="K31" s="890"/>
      <c r="R31" s="1428" t="s">
        <v>267</v>
      </c>
      <c r="S31" s="947"/>
      <c r="T31" s="1473"/>
      <c r="U31" s="1476"/>
      <c r="V31" s="966"/>
      <c r="W31" s="967"/>
      <c r="AJ31" s="890"/>
      <c r="AK31" s="890"/>
      <c r="AL31" s="890"/>
      <c r="AM31" s="890"/>
      <c r="AN31" s="890"/>
      <c r="AP31" s="890"/>
      <c r="AS31" s="890"/>
    </row>
    <row r="32" spans="1:46" x14ac:dyDescent="0.25">
      <c r="B32" s="890"/>
      <c r="D32" s="890"/>
      <c r="E32" s="1129"/>
      <c r="F32" s="890"/>
      <c r="H32" s="890"/>
      <c r="K32" s="890"/>
      <c r="R32" s="1428" t="s">
        <v>257</v>
      </c>
      <c r="S32" s="1476">
        <f>S28+S30</f>
        <v>8753.8461538461524</v>
      </c>
      <c r="T32" s="1473">
        <f>SUM(T28:T30)</f>
        <v>6419.4871794871824</v>
      </c>
      <c r="U32" s="1477">
        <f>S32+T32</f>
        <v>15173.333333333336</v>
      </c>
      <c r="V32" s="966"/>
      <c r="W32" s="967">
        <f>SUM(W28:W30)</f>
        <v>138</v>
      </c>
      <c r="AJ32" s="890"/>
      <c r="AK32" s="890"/>
      <c r="AL32" s="890"/>
      <c r="AM32" s="890"/>
      <c r="AN32" s="890"/>
      <c r="AP32" s="890"/>
      <c r="AS32" s="890"/>
    </row>
    <row r="33" spans="2:23" ht="30" x14ac:dyDescent="0.25">
      <c r="B33" s="890"/>
      <c r="D33" s="890"/>
      <c r="E33" s="1129"/>
      <c r="F33" s="890"/>
      <c r="H33" s="890"/>
      <c r="K33" s="890"/>
      <c r="R33" s="1478" t="s">
        <v>268</v>
      </c>
      <c r="S33" s="947"/>
      <c r="T33" s="951"/>
      <c r="U33" s="947"/>
      <c r="V33" s="959"/>
      <c r="W33" s="960"/>
    </row>
    <row r="34" spans="2:23" x14ac:dyDescent="0.25">
      <c r="B34" s="890"/>
      <c r="D34" s="890"/>
      <c r="E34" s="1129"/>
      <c r="F34" s="890"/>
      <c r="H34" s="890"/>
      <c r="K34" s="890"/>
      <c r="R34" s="1428" t="s">
        <v>269</v>
      </c>
      <c r="S34" s="947"/>
      <c r="T34" s="1473"/>
      <c r="U34" s="947"/>
      <c r="V34" s="959"/>
      <c r="W34" s="960"/>
    </row>
    <row r="35" spans="2:23" ht="15.75" x14ac:dyDescent="0.25">
      <c r="B35" s="1781" t="s">
        <v>625</v>
      </c>
      <c r="C35" s="1782"/>
      <c r="D35" s="1781"/>
      <c r="E35" s="1781"/>
      <c r="F35" s="1781"/>
      <c r="G35" s="1001"/>
      <c r="H35" s="1434"/>
      <c r="I35" s="1010"/>
      <c r="J35" s="1010"/>
      <c r="K35" s="1009"/>
      <c r="L35" s="1010"/>
      <c r="R35" s="977" t="s">
        <v>249</v>
      </c>
      <c r="S35" s="978">
        <f>$L$5</f>
        <v>295.01531184621444</v>
      </c>
      <c r="T35" s="979">
        <f>SUM(L6:L24)</f>
        <v>66.126356789399821</v>
      </c>
      <c r="U35" s="1136">
        <f>S35+T35+V35+W35</f>
        <v>376.28895522092728</v>
      </c>
      <c r="V35" s="978">
        <f>SUM(AT6:AT19)</f>
        <v>12.456286585313</v>
      </c>
      <c r="W35" s="979" cm="1">
        <f t="array" ref="W35:W36">L37:L38</f>
        <v>2.6910000000000003</v>
      </c>
    </row>
    <row r="36" spans="2:23" ht="31.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1043"/>
      <c r="S36" s="952"/>
      <c r="T36" s="1043"/>
      <c r="U36" s="952"/>
      <c r="V36" s="952"/>
      <c r="W36" s="1043">
        <v>0.22424999999999998</v>
      </c>
    </row>
    <row r="37" spans="2:23" x14ac:dyDescent="0.25">
      <c r="B37" s="1005" t="s">
        <v>176</v>
      </c>
      <c r="C37" s="1006" t="s">
        <v>14</v>
      </c>
      <c r="D37" s="1007">
        <v>1</v>
      </c>
      <c r="E37" s="1005">
        <f>$AD$1</f>
        <v>69</v>
      </c>
      <c r="F37" s="1005">
        <f>D37*E37</f>
        <v>69</v>
      </c>
      <c r="H37" s="1005">
        <f>F37</f>
        <v>69</v>
      </c>
      <c r="I37" s="1005">
        <f>VLOOKUP(B37,All_Ingredients!$A$1:$F$161,6,FALSE())</f>
        <v>1</v>
      </c>
      <c r="J37" s="1005">
        <f>VLOOKUP(B37,All_Ingredients!$A$1:$J$161,10,FALSE())</f>
        <v>39</v>
      </c>
      <c r="K37" s="1005">
        <f>(H37/I37)/1000</f>
        <v>6.9000000000000006E-2</v>
      </c>
      <c r="L37" s="1005">
        <f t="shared" ref="L37" si="14">K37*J37</f>
        <v>2.6910000000000003</v>
      </c>
      <c r="R37" s="890"/>
      <c r="T37" s="890"/>
      <c r="W37" s="890"/>
    </row>
    <row r="38" spans="2:23" x14ac:dyDescent="0.25">
      <c r="B38" s="1005" t="s">
        <v>19</v>
      </c>
      <c r="C38" s="1006" t="s">
        <v>14</v>
      </c>
      <c r="D38" s="1007">
        <v>1</v>
      </c>
      <c r="E38" s="1005">
        <f>$AD$1</f>
        <v>69</v>
      </c>
      <c r="F38" s="1005">
        <f>D38*E38</f>
        <v>69</v>
      </c>
      <c r="H38" s="1005">
        <f>F38</f>
        <v>69</v>
      </c>
      <c r="I38" s="1005">
        <f>VLOOKUP(B38,All_Ingredients!$A$1:$F$161,6,FALSE())</f>
        <v>0.8</v>
      </c>
      <c r="J38" s="1005">
        <f>VLOOKUP(B38,All_Ingredients!$A$1:$J$161,10,FALSE())</f>
        <v>2.6</v>
      </c>
      <c r="K38" s="1005">
        <f>(H38/I38)/1000</f>
        <v>8.6249999999999993E-2</v>
      </c>
      <c r="L38" s="1005">
        <f t="shared" ref="L38" si="15">K38*J38</f>
        <v>0.22424999999999998</v>
      </c>
      <c r="R38" s="890"/>
      <c r="T38" s="890"/>
      <c r="W38" s="890"/>
    </row>
    <row r="39" spans="2:23" x14ac:dyDescent="0.25">
      <c r="B39" s="890"/>
      <c r="D39" s="890"/>
      <c r="E39" s="1129"/>
      <c r="F39" s="890"/>
      <c r="H39" s="890"/>
      <c r="K39" s="890"/>
      <c r="R39" s="890"/>
      <c r="T39" s="890"/>
      <c r="W39" s="890"/>
    </row>
    <row r="40" spans="2:23" ht="26.25" x14ac:dyDescent="0.25">
      <c r="B40" s="890"/>
      <c r="D40" s="890"/>
      <c r="E40" s="1129"/>
      <c r="F40" s="890"/>
      <c r="H40" s="890"/>
      <c r="K40" s="890"/>
      <c r="R40" s="1011" t="s">
        <v>270</v>
      </c>
      <c r="S40" s="1012">
        <v>0.76923076923076905</v>
      </c>
      <c r="T40" s="1011" t="s">
        <v>271</v>
      </c>
      <c r="U40" s="1013">
        <v>0.230769230769231</v>
      </c>
      <c r="V40" s="1014">
        <f>S40+U40</f>
        <v>1</v>
      </c>
      <c r="W40" s="890"/>
    </row>
    <row r="41" spans="2:23" x14ac:dyDescent="0.25">
      <c r="B41" s="890"/>
      <c r="D41" s="890"/>
      <c r="E41" s="1129"/>
      <c r="F41" s="890"/>
      <c r="H41" s="890"/>
      <c r="K41" s="890"/>
      <c r="R41" s="890"/>
      <c r="T41" s="890"/>
      <c r="U41" s="123"/>
      <c r="W41" s="890"/>
    </row>
    <row r="42" spans="2:23" x14ac:dyDescent="0.25">
      <c r="B42" s="890"/>
      <c r="D42" s="890"/>
      <c r="E42" s="1129"/>
      <c r="F42" s="890"/>
      <c r="H42" s="890"/>
      <c r="K42" s="890"/>
      <c r="R42" s="890"/>
      <c r="T42" s="890"/>
      <c r="W42" s="890"/>
    </row>
    <row r="43" spans="2:23" ht="26.25" x14ac:dyDescent="0.25">
      <c r="B43" s="890"/>
      <c r="D43" s="890"/>
      <c r="E43" s="1129"/>
      <c r="F43" s="890"/>
      <c r="H43" s="890"/>
      <c r="K43" s="890"/>
      <c r="Q43" s="1015" t="s">
        <v>272</v>
      </c>
      <c r="R43" s="1011" t="s">
        <v>273</v>
      </c>
      <c r="S43" s="1015" t="s">
        <v>274</v>
      </c>
      <c r="T43" s="1011" t="s">
        <v>275</v>
      </c>
      <c r="U43" s="1015" t="s">
        <v>276</v>
      </c>
      <c r="V43" s="1015" t="s">
        <v>277</v>
      </c>
      <c r="W43" s="1011" t="s">
        <v>278</v>
      </c>
    </row>
    <row r="44" spans="2:23" x14ac:dyDescent="0.25">
      <c r="B44" s="890"/>
      <c r="D44" s="890"/>
      <c r="E44" s="1129"/>
      <c r="F44" s="890"/>
      <c r="H44" s="890"/>
      <c r="K44" s="890"/>
      <c r="Q44" s="1023">
        <v>17728</v>
      </c>
      <c r="R44" s="1017">
        <f>D51</f>
        <v>10000</v>
      </c>
      <c r="S44" s="1024">
        <v>0.40899999999999997</v>
      </c>
      <c r="T44" s="1025">
        <v>0.59099999999999997</v>
      </c>
      <c r="U44" s="1096">
        <f>R44*S44</f>
        <v>4089.9999999999995</v>
      </c>
      <c r="V44" s="1021">
        <f>R44*T44</f>
        <v>5910</v>
      </c>
      <c r="W44" s="1026">
        <f>Q44-U44</f>
        <v>13638</v>
      </c>
    </row>
    <row r="45" spans="2:23" x14ac:dyDescent="0.25">
      <c r="B45" s="890" t="s">
        <v>309</v>
      </c>
      <c r="D45" s="890"/>
      <c r="E45" s="1129"/>
      <c r="F45" s="890"/>
      <c r="H45" s="890"/>
      <c r="K45" s="890"/>
      <c r="R45" s="890"/>
      <c r="T45" s="890"/>
      <c r="W45" s="890"/>
    </row>
    <row r="50" spans="1:10" x14ac:dyDescent="0.25">
      <c r="B50" s="961"/>
      <c r="C50" s="962" t="s">
        <v>233</v>
      </c>
      <c r="D50" s="961" t="s">
        <v>279</v>
      </c>
      <c r="E50" s="249"/>
      <c r="F50" s="80"/>
      <c r="G50" s="962" t="s">
        <v>280</v>
      </c>
      <c r="H50" s="961" t="s">
        <v>233</v>
      </c>
      <c r="I50" s="962" t="s">
        <v>281</v>
      </c>
      <c r="J50" s="962" t="s">
        <v>282</v>
      </c>
    </row>
    <row r="51" spans="1:10" x14ac:dyDescent="0.25">
      <c r="B51" s="1027" t="s">
        <v>283</v>
      </c>
      <c r="C51" s="1028">
        <f>10/$K$1</f>
        <v>10.204081632653061</v>
      </c>
      <c r="D51" s="1029">
        <f>$C$1*10</f>
        <v>10000</v>
      </c>
      <c r="E51" s="135"/>
      <c r="F51" s="80"/>
      <c r="G51" s="1033" t="s">
        <v>283</v>
      </c>
      <c r="H51" s="1122">
        <f>I51/$D$5</f>
        <v>10</v>
      </c>
      <c r="I51" s="1028">
        <f>J51/$R$1</f>
        <v>23115.254237288136</v>
      </c>
      <c r="J51" s="1028">
        <f>$W$44</f>
        <v>13638</v>
      </c>
    </row>
    <row r="52" spans="1:10" x14ac:dyDescent="0.25">
      <c r="B52" s="958" t="s">
        <v>262</v>
      </c>
      <c r="C52" s="1099">
        <f>$I$1</f>
        <v>6.5504971219256971</v>
      </c>
      <c r="D52" s="1100">
        <f>$E$1</f>
        <v>6419.4871794871824</v>
      </c>
      <c r="E52" s="80"/>
      <c r="F52" s="80"/>
      <c r="G52" s="962" t="s">
        <v>262</v>
      </c>
      <c r="H52" s="1052">
        <f>I52/$D$5</f>
        <v>6.4187169334551637</v>
      </c>
      <c r="I52" s="1021">
        <f>J52/$R$1</f>
        <v>14837.027379400259</v>
      </c>
      <c r="J52" s="1030">
        <f>$S$32</f>
        <v>8753.8461538461524</v>
      </c>
    </row>
    <row r="53" spans="1:10" x14ac:dyDescent="0.25">
      <c r="B53" s="958" t="s">
        <v>284</v>
      </c>
      <c r="C53" s="1101">
        <f>MIN(C52, C51)</f>
        <v>6.5504971219256971</v>
      </c>
      <c r="D53" s="1100">
        <f>(C53*$K$1)*$C$1</f>
        <v>6419.4871794871824</v>
      </c>
      <c r="E53" s="80"/>
      <c r="F53" s="80"/>
      <c r="G53" s="962" t="s">
        <v>284</v>
      </c>
      <c r="H53" s="1035">
        <f>MIN(H52,H51)</f>
        <v>6.4187169334551637</v>
      </c>
      <c r="I53" s="1021">
        <f>J53/$R$1</f>
        <v>14837.027379400259</v>
      </c>
      <c r="J53" s="1021">
        <f>MIN(J52,J51)</f>
        <v>8753.8461538461524</v>
      </c>
    </row>
    <row r="54" spans="1:10" x14ac:dyDescent="0.25">
      <c r="B54" s="958" t="s">
        <v>285</v>
      </c>
      <c r="C54" s="1101">
        <f>MIN(MAX(C52-C53,0),C51)</f>
        <v>0</v>
      </c>
      <c r="D54" s="1100">
        <f>(C54*$K$1)*$C$1</f>
        <v>0</v>
      </c>
      <c r="E54" s="80"/>
      <c r="F54" s="80"/>
      <c r="G54" s="962" t="s">
        <v>285</v>
      </c>
      <c r="H54" s="1035">
        <f>MIN(MAX(H52-H53),H51)</f>
        <v>0</v>
      </c>
      <c r="I54" s="1021">
        <f>J54/$R$1</f>
        <v>0</v>
      </c>
      <c r="J54" s="1021">
        <f>MIN(MAX(J52-J53),J51)</f>
        <v>0</v>
      </c>
    </row>
    <row r="55" spans="1:10" x14ac:dyDescent="0.25">
      <c r="B55" s="958" t="s">
        <v>286</v>
      </c>
      <c r="C55" s="1101">
        <f>MIN(MAX(C52-C53-C54,0),C51)</f>
        <v>0</v>
      </c>
      <c r="D55" s="1100">
        <f>(C55*$K$1)*$C$1</f>
        <v>0</v>
      </c>
      <c r="E55" s="80"/>
      <c r="F55" s="80"/>
      <c r="G55" s="962" t="s">
        <v>286</v>
      </c>
      <c r="H55" s="1479">
        <f>MIN(MAX(H52-H53-H54),H51)</f>
        <v>0</v>
      </c>
      <c r="I55" s="1021">
        <f>J55/$R$1</f>
        <v>0</v>
      </c>
      <c r="J55" s="1021">
        <f>MIN(MAX(J52-J53-J54),J51)</f>
        <v>0</v>
      </c>
    </row>
    <row r="56" spans="1:10" x14ac:dyDescent="0.25">
      <c r="B56" s="890"/>
      <c r="D56" s="890"/>
      <c r="E56" s="1129"/>
      <c r="F56" s="890"/>
      <c r="H56" s="890"/>
    </row>
    <row r="57" spans="1:10" x14ac:dyDescent="0.25">
      <c r="B57" s="890"/>
      <c r="D57" s="890"/>
      <c r="E57" s="1129"/>
      <c r="F57" s="890"/>
      <c r="H57" s="890"/>
    </row>
    <row r="58" spans="1:10" x14ac:dyDescent="0.25">
      <c r="B58" s="890"/>
      <c r="D58" s="890"/>
      <c r="E58" s="1129"/>
      <c r="F58" s="890"/>
      <c r="H58" s="890"/>
    </row>
    <row r="59" spans="1:10" x14ac:dyDescent="0.25">
      <c r="B59" s="890"/>
      <c r="D59" s="890"/>
      <c r="E59" s="1129"/>
      <c r="F59" s="890"/>
      <c r="H59" s="890"/>
    </row>
    <row r="60" spans="1:10" x14ac:dyDescent="0.25">
      <c r="B60" s="890"/>
      <c r="D60" s="890"/>
      <c r="E60" s="1129"/>
      <c r="F60" s="890"/>
      <c r="H60" s="890"/>
    </row>
    <row r="61" spans="1:10" x14ac:dyDescent="0.25">
      <c r="B61" s="890"/>
      <c r="D61" s="890"/>
      <c r="E61" s="1129"/>
      <c r="F61" s="890"/>
      <c r="H61" s="890"/>
    </row>
    <row r="62" spans="1:10" x14ac:dyDescent="0.25">
      <c r="A62" s="1036"/>
      <c r="B62" s="1776" t="str">
        <f>" دجاج تشانجيزي 1 / " &amp; COUNTIF($C$53:$C$55, "&gt;0")</f>
        <v xml:space="preserve"> دجاج تشانجيزي 1 / 1</v>
      </c>
      <c r="C62" s="1777"/>
      <c r="D62" s="1778"/>
      <c r="E62" s="1778"/>
      <c r="F62" s="1778"/>
      <c r="G62" s="1777"/>
      <c r="H62" s="1778"/>
    </row>
    <row r="63" spans="1:10" x14ac:dyDescent="0.25">
      <c r="A63" s="1036"/>
      <c r="B63" s="1776" t="str">
        <f>" Changezi Chicken 1 / " &amp; COUNTIF($C$53:$C$55, "&gt;0")</f>
        <v xml:space="preserve"> Changezi Chicken 1 / 1</v>
      </c>
      <c r="C63" s="1777"/>
      <c r="D63" s="1778"/>
      <c r="E63" s="1778"/>
      <c r="F63" s="1778"/>
      <c r="G63" s="1777"/>
      <c r="H63" s="1778"/>
    </row>
    <row r="64" spans="1:10" ht="38.25" x14ac:dyDescent="0.2">
      <c r="A64" s="1350" t="s">
        <v>864</v>
      </c>
      <c r="B64" s="1104" t="s">
        <v>241</v>
      </c>
      <c r="C64" s="934" t="s">
        <v>242</v>
      </c>
      <c r="D64" s="1104" t="s">
        <v>231</v>
      </c>
      <c r="E64" s="936" t="s">
        <v>234</v>
      </c>
      <c r="F64" s="936" t="s">
        <v>243</v>
      </c>
      <c r="G64" s="1104" t="s">
        <v>244</v>
      </c>
      <c r="H64" s="936" t="s">
        <v>245</v>
      </c>
    </row>
    <row r="65" spans="1:8" x14ac:dyDescent="0.2">
      <c r="A65" s="937" t="s">
        <v>872</v>
      </c>
      <c r="B65" s="938" t="str">
        <f t="shared" ref="B65:D83" si="16">B5</f>
        <v>Chicken - دجاج</v>
      </c>
      <c r="C65" s="938" t="str">
        <f t="shared" si="16"/>
        <v>gm</v>
      </c>
      <c r="D65" s="1127">
        <f t="shared" si="16"/>
        <v>2311.5254237288136</v>
      </c>
      <c r="E65" s="941">
        <f>H53</f>
        <v>6.4187169334551637</v>
      </c>
      <c r="F65" s="1166">
        <f t="shared" ref="F65:F85" si="17">F5</f>
        <v>1</v>
      </c>
      <c r="G65" s="940">
        <f t="shared" ref="G65:G83" si="18">D65*E65</f>
        <v>14837.027379400259</v>
      </c>
      <c r="H65" s="1039">
        <f t="shared" ref="H65:H83" si="19">G65*F65</f>
        <v>14837.027379400259</v>
      </c>
    </row>
    <row r="66" spans="1:8" x14ac:dyDescent="0.25">
      <c r="A66" s="949" t="s">
        <v>866</v>
      </c>
      <c r="B66" s="938" t="str">
        <f t="shared" si="16"/>
        <v>Onion - بصل</v>
      </c>
      <c r="C66" s="938" t="str">
        <f t="shared" si="16"/>
        <v>gm</v>
      </c>
      <c r="D66" s="938">
        <f t="shared" si="16"/>
        <v>200</v>
      </c>
      <c r="E66" s="941">
        <f t="shared" ref="E66:E85" si="20">$C$53</f>
        <v>6.5504971219256971</v>
      </c>
      <c r="F66" s="1166">
        <f t="shared" si="17"/>
        <v>0.95</v>
      </c>
      <c r="G66" s="940">
        <f t="shared" si="18"/>
        <v>1310.0994243851394</v>
      </c>
      <c r="H66" s="1039">
        <f t="shared" si="19"/>
        <v>1244.5944531658824</v>
      </c>
    </row>
    <row r="67" spans="1:8" x14ac:dyDescent="0.25">
      <c r="A67" s="949" t="s">
        <v>870</v>
      </c>
      <c r="B67" s="938" t="str">
        <f t="shared" si="16"/>
        <v>Tomato - طماطم</v>
      </c>
      <c r="C67" s="938" t="str">
        <f t="shared" si="16"/>
        <v>gm</v>
      </c>
      <c r="D67" s="938">
        <f t="shared" si="16"/>
        <v>450</v>
      </c>
      <c r="E67" s="941">
        <f t="shared" si="20"/>
        <v>6.5504971219256971</v>
      </c>
      <c r="F67" s="1166">
        <f t="shared" si="17"/>
        <v>1</v>
      </c>
      <c r="G67" s="940">
        <f t="shared" si="18"/>
        <v>2947.7237048665638</v>
      </c>
      <c r="H67" s="1039">
        <f t="shared" si="19"/>
        <v>2947.7237048665638</v>
      </c>
    </row>
    <row r="68" spans="1:8" x14ac:dyDescent="0.25">
      <c r="A68" s="949" t="s">
        <v>867</v>
      </c>
      <c r="B68" s="938" t="str">
        <f t="shared" si="16"/>
        <v>Ginger - زنجبيل</v>
      </c>
      <c r="C68" s="938" t="str">
        <f t="shared" si="16"/>
        <v>gm</v>
      </c>
      <c r="D68" s="938">
        <f t="shared" si="16"/>
        <v>20</v>
      </c>
      <c r="E68" s="941">
        <f t="shared" si="20"/>
        <v>6.5504971219256971</v>
      </c>
      <c r="F68" s="1166">
        <f t="shared" si="17"/>
        <v>0.9</v>
      </c>
      <c r="G68" s="940">
        <f t="shared" si="18"/>
        <v>131.00994243851395</v>
      </c>
      <c r="H68" s="1039">
        <f t="shared" si="19"/>
        <v>117.90894819466256</v>
      </c>
    </row>
    <row r="69" spans="1:8" x14ac:dyDescent="0.25">
      <c r="A69" s="949" t="s">
        <v>868</v>
      </c>
      <c r="B69" s="938" t="str">
        <f t="shared" si="16"/>
        <v>Garlic - ثوم مقشر</v>
      </c>
      <c r="C69" s="938" t="str">
        <f t="shared" si="16"/>
        <v>gm</v>
      </c>
      <c r="D69" s="938">
        <f t="shared" si="16"/>
        <v>20</v>
      </c>
      <c r="E69" s="941">
        <f t="shared" si="20"/>
        <v>6.5504971219256971</v>
      </c>
      <c r="F69" s="1166">
        <f t="shared" si="17"/>
        <v>0.9</v>
      </c>
      <c r="G69" s="940">
        <f t="shared" si="18"/>
        <v>131.00994243851395</v>
      </c>
      <c r="H69" s="1039">
        <f t="shared" si="19"/>
        <v>117.90894819466256</v>
      </c>
    </row>
    <row r="70" spans="1:8" x14ac:dyDescent="0.25">
      <c r="A70" s="949" t="s">
        <v>884</v>
      </c>
      <c r="B70" s="938" t="str">
        <f t="shared" si="16"/>
        <v>Green Chilli Pepper - فلفل أخضر حار</v>
      </c>
      <c r="C70" s="938" t="str">
        <f t="shared" si="16"/>
        <v>gm</v>
      </c>
      <c r="D70" s="938">
        <f t="shared" si="16"/>
        <v>10</v>
      </c>
      <c r="E70" s="941">
        <f t="shared" si="20"/>
        <v>6.5504971219256971</v>
      </c>
      <c r="F70" s="1166">
        <f t="shared" si="17"/>
        <v>0.75</v>
      </c>
      <c r="G70" s="940">
        <f t="shared" si="18"/>
        <v>65.504971219256973</v>
      </c>
      <c r="H70" s="1039">
        <f t="shared" si="19"/>
        <v>49.128728414442733</v>
      </c>
    </row>
    <row r="71" spans="1:8" x14ac:dyDescent="0.25">
      <c r="A71" s="949"/>
      <c r="B71" s="938" t="str">
        <f t="shared" si="16"/>
        <v>Cashew Nut - كاجو</v>
      </c>
      <c r="C71" s="938" t="str">
        <f t="shared" si="16"/>
        <v>gm</v>
      </c>
      <c r="D71" s="938">
        <f t="shared" si="16"/>
        <v>25</v>
      </c>
      <c r="E71" s="941">
        <f t="shared" si="20"/>
        <v>6.5504971219256971</v>
      </c>
      <c r="F71" s="1166">
        <f t="shared" si="17"/>
        <v>1</v>
      </c>
      <c r="G71" s="940">
        <f t="shared" si="18"/>
        <v>163.76242804814243</v>
      </c>
      <c r="H71" s="1039">
        <f t="shared" si="19"/>
        <v>163.76242804814243</v>
      </c>
    </row>
    <row r="72" spans="1:8" ht="25.5" x14ac:dyDescent="0.25">
      <c r="A72" s="949"/>
      <c r="B72" s="938" t="str">
        <f t="shared" si="16"/>
        <v>Red Chilli Powder - شطة حمراء مطحونة</v>
      </c>
      <c r="C72" s="938" t="str">
        <f t="shared" si="16"/>
        <v>gm</v>
      </c>
      <c r="D72" s="938">
        <f t="shared" si="16"/>
        <v>3</v>
      </c>
      <c r="E72" s="941">
        <f t="shared" si="20"/>
        <v>6.5504971219256971</v>
      </c>
      <c r="F72" s="1166">
        <f t="shared" si="17"/>
        <v>0.9</v>
      </c>
      <c r="G72" s="940">
        <f t="shared" si="18"/>
        <v>19.65149136577709</v>
      </c>
      <c r="H72" s="1039">
        <f t="shared" si="19"/>
        <v>17.686342229199383</v>
      </c>
    </row>
    <row r="73" spans="1:8" x14ac:dyDescent="0.25">
      <c r="A73" s="949"/>
      <c r="B73" s="938" t="str">
        <f t="shared" si="16"/>
        <v>Yogurt - زبادي</v>
      </c>
      <c r="C73" s="938" t="str">
        <f t="shared" si="16"/>
        <v>gm</v>
      </c>
      <c r="D73" s="938">
        <f t="shared" si="16"/>
        <v>300</v>
      </c>
      <c r="E73" s="941">
        <f t="shared" si="20"/>
        <v>6.5504971219256971</v>
      </c>
      <c r="F73" s="1166">
        <f t="shared" si="17"/>
        <v>0.75</v>
      </c>
      <c r="G73" s="940">
        <f t="shared" si="18"/>
        <v>1965.1491365777092</v>
      </c>
      <c r="H73" s="1039">
        <f t="shared" si="19"/>
        <v>1473.8618524332819</v>
      </c>
    </row>
    <row r="74" spans="1:8" x14ac:dyDescent="0.25">
      <c r="A74" s="949"/>
      <c r="B74" s="938" t="str">
        <f t="shared" si="16"/>
        <v>Curry Powder - كاري بودرة</v>
      </c>
      <c r="C74" s="938" t="str">
        <f t="shared" si="16"/>
        <v>gm</v>
      </c>
      <c r="D74" s="938">
        <f t="shared" si="16"/>
        <v>10</v>
      </c>
      <c r="E74" s="941">
        <f t="shared" si="20"/>
        <v>6.5504971219256971</v>
      </c>
      <c r="F74" s="1166">
        <f t="shared" si="17"/>
        <v>0.75</v>
      </c>
      <c r="G74" s="940">
        <f t="shared" si="18"/>
        <v>65.504971219256973</v>
      </c>
      <c r="H74" s="1039">
        <f t="shared" si="19"/>
        <v>49.128728414442733</v>
      </c>
    </row>
    <row r="75" spans="1:8" x14ac:dyDescent="0.25">
      <c r="A75" s="949"/>
      <c r="B75" s="938" t="str">
        <f t="shared" si="16"/>
        <v>Cumin Powder - كمون مطحون</v>
      </c>
      <c r="C75" s="938" t="str">
        <f t="shared" si="16"/>
        <v>gm</v>
      </c>
      <c r="D75" s="938">
        <f t="shared" si="16"/>
        <v>10</v>
      </c>
      <c r="E75" s="941">
        <f t="shared" si="20"/>
        <v>6.5504971219256971</v>
      </c>
      <c r="F75" s="1166">
        <f t="shared" si="17"/>
        <v>0.75</v>
      </c>
      <c r="G75" s="940">
        <f t="shared" si="18"/>
        <v>65.504971219256973</v>
      </c>
      <c r="H75" s="1039">
        <f t="shared" si="19"/>
        <v>49.128728414442733</v>
      </c>
    </row>
    <row r="76" spans="1:8" x14ac:dyDescent="0.25">
      <c r="A76" s="949"/>
      <c r="B76" s="938" t="str">
        <f t="shared" si="16"/>
        <v>Coriander Powder - كزبرة مطحونة</v>
      </c>
      <c r="C76" s="938" t="str">
        <f t="shared" si="16"/>
        <v>gm</v>
      </c>
      <c r="D76" s="938">
        <f t="shared" si="16"/>
        <v>10</v>
      </c>
      <c r="E76" s="941">
        <f t="shared" si="20"/>
        <v>6.5504971219256971</v>
      </c>
      <c r="F76" s="1166">
        <f t="shared" si="17"/>
        <v>0.75</v>
      </c>
      <c r="G76" s="940">
        <f t="shared" si="18"/>
        <v>65.504971219256973</v>
      </c>
      <c r="H76" s="1039">
        <f t="shared" si="19"/>
        <v>49.128728414442733</v>
      </c>
    </row>
    <row r="77" spans="1:8" x14ac:dyDescent="0.25">
      <c r="A77" s="949" t="s">
        <v>869</v>
      </c>
      <c r="B77" s="938" t="str">
        <f t="shared" si="16"/>
        <v>Coriander Leaves - كزبرة خضراء</v>
      </c>
      <c r="C77" s="938" t="str">
        <f t="shared" si="16"/>
        <v>gm</v>
      </c>
      <c r="D77" s="938">
        <f t="shared" si="16"/>
        <v>5</v>
      </c>
      <c r="E77" s="941">
        <f t="shared" si="20"/>
        <v>6.5504971219256971</v>
      </c>
      <c r="F77" s="1166">
        <f t="shared" si="17"/>
        <v>1</v>
      </c>
      <c r="G77" s="940">
        <f t="shared" si="18"/>
        <v>32.752485609628486</v>
      </c>
      <c r="H77" s="1039">
        <f t="shared" si="19"/>
        <v>32.752485609628486</v>
      </c>
    </row>
    <row r="78" spans="1:8" ht="25.5" x14ac:dyDescent="0.25">
      <c r="A78" s="949"/>
      <c r="B78" s="938" t="str">
        <f t="shared" si="16"/>
        <v>Saffron yellow color powder - لون صفار زعفران بودر</v>
      </c>
      <c r="C78" s="938" t="str">
        <f t="shared" si="16"/>
        <v>gm</v>
      </c>
      <c r="D78" s="938">
        <f t="shared" si="16"/>
        <v>2</v>
      </c>
      <c r="E78" s="941">
        <f t="shared" si="20"/>
        <v>6.5504971219256971</v>
      </c>
      <c r="F78" s="1166">
        <f t="shared" si="17"/>
        <v>0.9</v>
      </c>
      <c r="G78" s="940">
        <f t="shared" si="18"/>
        <v>13.100994243851394</v>
      </c>
      <c r="H78" s="1039">
        <f t="shared" si="19"/>
        <v>11.790894819466255</v>
      </c>
    </row>
    <row r="79" spans="1:8" x14ac:dyDescent="0.25">
      <c r="A79" s="949"/>
      <c r="B79" s="938" t="str">
        <f t="shared" si="16"/>
        <v>Orange Color - لون برتقالي</v>
      </c>
      <c r="C79" s="938" t="str">
        <f t="shared" si="16"/>
        <v>gm</v>
      </c>
      <c r="D79" s="938">
        <f t="shared" si="16"/>
        <v>1</v>
      </c>
      <c r="E79" s="941">
        <f t="shared" si="20"/>
        <v>6.5504971219256971</v>
      </c>
      <c r="F79" s="1166">
        <f t="shared" si="17"/>
        <v>1</v>
      </c>
      <c r="G79" s="940">
        <f t="shared" si="18"/>
        <v>6.5504971219256971</v>
      </c>
      <c r="H79" s="1039">
        <f t="shared" si="19"/>
        <v>6.5504971219256971</v>
      </c>
    </row>
    <row r="80" spans="1:8" x14ac:dyDescent="0.25">
      <c r="A80" s="949"/>
      <c r="B80" s="938" t="str">
        <f t="shared" si="16"/>
        <v>Charcoal - فحم</v>
      </c>
      <c r="C80" s="938" t="str">
        <f t="shared" si="16"/>
        <v>gm</v>
      </c>
      <c r="D80" s="938">
        <f t="shared" si="16"/>
        <v>10</v>
      </c>
      <c r="E80" s="941">
        <f t="shared" si="20"/>
        <v>6.5504971219256971</v>
      </c>
      <c r="F80" s="1166">
        <f t="shared" si="17"/>
        <v>0.5</v>
      </c>
      <c r="G80" s="940">
        <f t="shared" si="18"/>
        <v>65.504971219256973</v>
      </c>
      <c r="H80" s="1039">
        <f t="shared" si="19"/>
        <v>32.752485609628486</v>
      </c>
    </row>
    <row r="81" spans="1:8" x14ac:dyDescent="0.25">
      <c r="A81" s="949"/>
      <c r="B81" s="938" t="str">
        <f t="shared" si="16"/>
        <v>Salt - ملح</v>
      </c>
      <c r="C81" s="938" t="str">
        <f t="shared" si="16"/>
        <v>gm</v>
      </c>
      <c r="D81" s="938">
        <f t="shared" si="16"/>
        <v>11</v>
      </c>
      <c r="E81" s="941">
        <f t="shared" si="20"/>
        <v>6.5504971219256971</v>
      </c>
      <c r="F81" s="1166">
        <f t="shared" si="17"/>
        <v>0.75</v>
      </c>
      <c r="G81" s="940">
        <f t="shared" si="18"/>
        <v>72.055468341182674</v>
      </c>
      <c r="H81" s="1039">
        <f t="shared" si="19"/>
        <v>54.041601255887002</v>
      </c>
    </row>
    <row r="82" spans="1:8" x14ac:dyDescent="0.25">
      <c r="A82" s="949"/>
      <c r="B82" s="938" t="str">
        <f t="shared" si="16"/>
        <v>Butter - زبدة</v>
      </c>
      <c r="C82" s="938" t="str">
        <f t="shared" si="16"/>
        <v>gm</v>
      </c>
      <c r="D82" s="938">
        <f t="shared" si="16"/>
        <v>40</v>
      </c>
      <c r="E82" s="941">
        <f t="shared" si="20"/>
        <v>6.5504971219256971</v>
      </c>
      <c r="F82" s="1166">
        <f t="shared" si="17"/>
        <v>0.9</v>
      </c>
      <c r="G82" s="940">
        <f t="shared" si="18"/>
        <v>262.01988487702789</v>
      </c>
      <c r="H82" s="1039">
        <f t="shared" si="19"/>
        <v>235.81789638932511</v>
      </c>
    </row>
    <row r="83" spans="1:8" x14ac:dyDescent="0.25">
      <c r="A83" s="949"/>
      <c r="B83" s="938" t="str">
        <f t="shared" si="16"/>
        <v>Cooking Cream - كريمة طبخ</v>
      </c>
      <c r="C83" s="938" t="str">
        <f t="shared" si="16"/>
        <v>ml</v>
      </c>
      <c r="D83" s="938">
        <f t="shared" si="16"/>
        <v>250</v>
      </c>
      <c r="E83" s="941">
        <f t="shared" si="20"/>
        <v>6.5504971219256971</v>
      </c>
      <c r="F83" s="1166">
        <f t="shared" si="17"/>
        <v>1</v>
      </c>
      <c r="G83" s="940">
        <f t="shared" si="18"/>
        <v>1637.6242804814242</v>
      </c>
      <c r="H83" s="1039">
        <f t="shared" si="19"/>
        <v>1637.6242804814242</v>
      </c>
    </row>
    <row r="84" spans="1:8" x14ac:dyDescent="0.25">
      <c r="A84" s="949"/>
      <c r="B84" s="938" t="str">
        <f t="shared" ref="B84:D84" si="21">B24</f>
        <v>Kasuri Methi - ورق حلبة مجففة</v>
      </c>
      <c r="C84" s="938" t="str">
        <f t="shared" si="21"/>
        <v>gm</v>
      </c>
      <c r="D84" s="938">
        <f t="shared" si="21"/>
        <v>2</v>
      </c>
      <c r="E84" s="941">
        <f t="shared" si="20"/>
        <v>6.5504971219256971</v>
      </c>
      <c r="F84" s="1166">
        <f t="shared" si="17"/>
        <v>1</v>
      </c>
      <c r="G84" s="940">
        <f t="shared" ref="G84:G85" si="22">D84*E84</f>
        <v>13.100994243851394</v>
      </c>
      <c r="H84" s="1039">
        <f t="shared" ref="H84:H85" si="23">G84*F84</f>
        <v>13.100994243851394</v>
      </c>
    </row>
    <row r="85" spans="1:8" x14ac:dyDescent="0.25">
      <c r="A85" s="949"/>
      <c r="B85" s="938" t="str">
        <f t="shared" ref="B85:D85" si="24">B25</f>
        <v>Corn Starch - نشا ذرة</v>
      </c>
      <c r="C85" s="938" t="str">
        <f t="shared" si="24"/>
        <v>gm</v>
      </c>
      <c r="D85" s="938">
        <f t="shared" si="24"/>
        <v>20</v>
      </c>
      <c r="E85" s="941">
        <f t="shared" si="20"/>
        <v>6.5504971219256971</v>
      </c>
      <c r="F85" s="1166">
        <f t="shared" si="17"/>
        <v>0.75</v>
      </c>
      <c r="G85" s="940">
        <f t="shared" si="22"/>
        <v>131.00994243851395</v>
      </c>
      <c r="H85" s="1039">
        <f t="shared" si="23"/>
        <v>98.257456828885466</v>
      </c>
    </row>
    <row r="86" spans="1:8" ht="18" x14ac:dyDescent="0.25">
      <c r="A86" s="1070"/>
      <c r="B86" s="1041" t="s">
        <v>287</v>
      </c>
      <c r="C86" s="1042" t="s">
        <v>273</v>
      </c>
      <c r="D86" s="1043"/>
      <c r="E86" s="1044" t="s">
        <v>288</v>
      </c>
      <c r="F86" s="1043"/>
      <c r="G86" s="1045" t="s">
        <v>264</v>
      </c>
      <c r="H86" s="1046" t="s">
        <v>661</v>
      </c>
    </row>
    <row r="87" spans="1:8" ht="20.25" x14ac:dyDescent="0.3">
      <c r="A87" s="1070"/>
      <c r="B87" s="1047">
        <f>$J$53</f>
        <v>8753.8461538461524</v>
      </c>
      <c r="C87" s="1048">
        <f>E87+G87</f>
        <v>6419.4871794871824</v>
      </c>
      <c r="D87" s="1049"/>
      <c r="E87" s="1047">
        <f>$D$53*$S$44</f>
        <v>2625.5702564102576</v>
      </c>
      <c r="F87" s="1050"/>
      <c r="G87" s="1048">
        <f>$D$53*$T$44</f>
        <v>3793.9169230769248</v>
      </c>
      <c r="H87" s="1047">
        <f>B87+E87</f>
        <v>11379.41641025641</v>
      </c>
    </row>
    <row r="88" spans="1:8" x14ac:dyDescent="0.25">
      <c r="B88" s="80"/>
      <c r="D88" s="890"/>
      <c r="E88" s="73"/>
      <c r="F88" s="80"/>
      <c r="H88" s="890"/>
    </row>
    <row r="89" spans="1:8" x14ac:dyDescent="0.25">
      <c r="A89" s="1036"/>
      <c r="B89" s="1776" t="str">
        <f>" دجاج تشانجيزي 2 / " &amp; COUNTIF($C$53:$C$55, "&gt;0")</f>
        <v xml:space="preserve"> دجاج تشانجيزي 2 / 1</v>
      </c>
      <c r="C89" s="1777"/>
      <c r="D89" s="1778"/>
      <c r="E89" s="1778"/>
      <c r="F89" s="1778"/>
      <c r="G89" s="1777"/>
      <c r="H89" s="1778"/>
    </row>
    <row r="90" spans="1:8" x14ac:dyDescent="0.25">
      <c r="A90" s="1036"/>
      <c r="B90" s="1776" t="str">
        <f>" Changezi Chicken 2 / " &amp; COUNTIF($C$53:$C$55, "&gt;0")</f>
        <v xml:space="preserve"> Changezi Chicken 2 / 1</v>
      </c>
      <c r="C90" s="1777"/>
      <c r="D90" s="1778"/>
      <c r="E90" s="1778"/>
      <c r="F90" s="1778"/>
      <c r="G90" s="1777"/>
      <c r="H90" s="1778"/>
    </row>
    <row r="91" spans="1:8" ht="38.25" x14ac:dyDescent="0.2">
      <c r="A91" s="1350" t="s">
        <v>864</v>
      </c>
      <c r="B91" s="1104" t="s">
        <v>241</v>
      </c>
      <c r="C91" s="934" t="s">
        <v>242</v>
      </c>
      <c r="D91" s="1104" t="s">
        <v>231</v>
      </c>
      <c r="E91" s="936" t="s">
        <v>234</v>
      </c>
      <c r="F91" s="936" t="s">
        <v>243</v>
      </c>
      <c r="G91" s="1104" t="s">
        <v>244</v>
      </c>
      <c r="H91" s="936" t="s">
        <v>245</v>
      </c>
    </row>
    <row r="92" spans="1:8" x14ac:dyDescent="0.2">
      <c r="A92" s="937" t="s">
        <v>872</v>
      </c>
      <c r="B92" s="938" t="str">
        <f t="shared" ref="B92:D112" si="25">B5</f>
        <v>Chicken - دجاج</v>
      </c>
      <c r="C92" s="938" t="str">
        <f t="shared" si="25"/>
        <v>gm</v>
      </c>
      <c r="D92" s="1127">
        <f t="shared" si="25"/>
        <v>2311.5254237288136</v>
      </c>
      <c r="E92" s="1040">
        <f>$H$54</f>
        <v>0</v>
      </c>
      <c r="F92" s="1166">
        <f t="shared" ref="F92:F112" si="26">F5</f>
        <v>1</v>
      </c>
      <c r="G92" s="940">
        <f t="shared" ref="G92:G110" si="27">D92*E92</f>
        <v>0</v>
      </c>
      <c r="H92" s="1039">
        <f t="shared" ref="H92:H110" si="28">G92*F92</f>
        <v>0</v>
      </c>
    </row>
    <row r="93" spans="1:8" x14ac:dyDescent="0.25">
      <c r="A93" s="949" t="s">
        <v>866</v>
      </c>
      <c r="B93" s="938" t="str">
        <f t="shared" si="25"/>
        <v>Onion - بصل</v>
      </c>
      <c r="C93" s="938" t="str">
        <f t="shared" si="25"/>
        <v>gm</v>
      </c>
      <c r="D93" s="938">
        <f t="shared" si="25"/>
        <v>200</v>
      </c>
      <c r="E93" s="1040">
        <f t="shared" ref="E93:E112" si="29">$C$54</f>
        <v>0</v>
      </c>
      <c r="F93" s="1166">
        <f t="shared" si="26"/>
        <v>0.95</v>
      </c>
      <c r="G93" s="940">
        <f t="shared" si="27"/>
        <v>0</v>
      </c>
      <c r="H93" s="1039">
        <f t="shared" si="28"/>
        <v>0</v>
      </c>
    </row>
    <row r="94" spans="1:8" x14ac:dyDescent="0.25">
      <c r="A94" s="949" t="s">
        <v>870</v>
      </c>
      <c r="B94" s="938" t="str">
        <f t="shared" si="25"/>
        <v>Tomato - طماطم</v>
      </c>
      <c r="C94" s="938" t="str">
        <f t="shared" si="25"/>
        <v>gm</v>
      </c>
      <c r="D94" s="938">
        <f t="shared" si="25"/>
        <v>450</v>
      </c>
      <c r="E94" s="1040">
        <f t="shared" si="29"/>
        <v>0</v>
      </c>
      <c r="F94" s="1166">
        <f t="shared" si="26"/>
        <v>1</v>
      </c>
      <c r="G94" s="940">
        <f t="shared" si="27"/>
        <v>0</v>
      </c>
      <c r="H94" s="1039">
        <f t="shared" si="28"/>
        <v>0</v>
      </c>
    </row>
    <row r="95" spans="1:8" x14ac:dyDescent="0.25">
      <c r="A95" s="949" t="s">
        <v>867</v>
      </c>
      <c r="B95" s="938" t="str">
        <f t="shared" si="25"/>
        <v>Ginger - زنجبيل</v>
      </c>
      <c r="C95" s="938" t="str">
        <f t="shared" si="25"/>
        <v>gm</v>
      </c>
      <c r="D95" s="938">
        <f t="shared" si="25"/>
        <v>20</v>
      </c>
      <c r="E95" s="1040">
        <f t="shared" si="29"/>
        <v>0</v>
      </c>
      <c r="F95" s="1166">
        <f t="shared" si="26"/>
        <v>0.9</v>
      </c>
      <c r="G95" s="940">
        <f t="shared" si="27"/>
        <v>0</v>
      </c>
      <c r="H95" s="1039">
        <f t="shared" si="28"/>
        <v>0</v>
      </c>
    </row>
    <row r="96" spans="1:8" x14ac:dyDescent="0.25">
      <c r="A96" s="949" t="s">
        <v>868</v>
      </c>
      <c r="B96" s="938" t="str">
        <f t="shared" si="25"/>
        <v>Garlic - ثوم مقشر</v>
      </c>
      <c r="C96" s="938" t="str">
        <f t="shared" si="25"/>
        <v>gm</v>
      </c>
      <c r="D96" s="938">
        <f t="shared" si="25"/>
        <v>20</v>
      </c>
      <c r="E96" s="1040">
        <f t="shared" si="29"/>
        <v>0</v>
      </c>
      <c r="F96" s="1166">
        <f t="shared" si="26"/>
        <v>0.9</v>
      </c>
      <c r="G96" s="940">
        <f t="shared" si="27"/>
        <v>0</v>
      </c>
      <c r="H96" s="1039">
        <f t="shared" si="28"/>
        <v>0</v>
      </c>
    </row>
    <row r="97" spans="1:8" x14ac:dyDescent="0.25">
      <c r="A97" s="949" t="s">
        <v>884</v>
      </c>
      <c r="B97" s="938" t="str">
        <f t="shared" si="25"/>
        <v>Green Chilli Pepper - فلفل أخضر حار</v>
      </c>
      <c r="C97" s="938" t="str">
        <f t="shared" si="25"/>
        <v>gm</v>
      </c>
      <c r="D97" s="938">
        <f t="shared" si="25"/>
        <v>10</v>
      </c>
      <c r="E97" s="1040">
        <f t="shared" si="29"/>
        <v>0</v>
      </c>
      <c r="F97" s="1166">
        <f t="shared" si="26"/>
        <v>0.75</v>
      </c>
      <c r="G97" s="940">
        <f t="shared" si="27"/>
        <v>0</v>
      </c>
      <c r="H97" s="1039">
        <f t="shared" si="28"/>
        <v>0</v>
      </c>
    </row>
    <row r="98" spans="1:8" x14ac:dyDescent="0.25">
      <c r="A98" s="949"/>
      <c r="B98" s="938" t="str">
        <f t="shared" si="25"/>
        <v>Cashew Nut - كاجو</v>
      </c>
      <c r="C98" s="938" t="str">
        <f t="shared" si="25"/>
        <v>gm</v>
      </c>
      <c r="D98" s="938">
        <f t="shared" si="25"/>
        <v>25</v>
      </c>
      <c r="E98" s="1040">
        <f t="shared" si="29"/>
        <v>0</v>
      </c>
      <c r="F98" s="1166">
        <f t="shared" si="26"/>
        <v>1</v>
      </c>
      <c r="G98" s="940">
        <f t="shared" si="27"/>
        <v>0</v>
      </c>
      <c r="H98" s="1039">
        <f t="shared" si="28"/>
        <v>0</v>
      </c>
    </row>
    <row r="99" spans="1:8" ht="25.5" x14ac:dyDescent="0.25">
      <c r="A99" s="949"/>
      <c r="B99" s="938" t="str">
        <f t="shared" si="25"/>
        <v>Red Chilli Powder - شطة حمراء مطحونة</v>
      </c>
      <c r="C99" s="938" t="str">
        <f t="shared" si="25"/>
        <v>gm</v>
      </c>
      <c r="D99" s="938">
        <f t="shared" si="25"/>
        <v>3</v>
      </c>
      <c r="E99" s="1040">
        <f t="shared" si="29"/>
        <v>0</v>
      </c>
      <c r="F99" s="1166">
        <f t="shared" si="26"/>
        <v>0.9</v>
      </c>
      <c r="G99" s="940">
        <f t="shared" si="27"/>
        <v>0</v>
      </c>
      <c r="H99" s="1039">
        <f t="shared" si="28"/>
        <v>0</v>
      </c>
    </row>
    <row r="100" spans="1:8" x14ac:dyDescent="0.25">
      <c r="A100" s="949"/>
      <c r="B100" s="938" t="str">
        <f t="shared" si="25"/>
        <v>Yogurt - زبادي</v>
      </c>
      <c r="C100" s="938" t="str">
        <f t="shared" si="25"/>
        <v>gm</v>
      </c>
      <c r="D100" s="938">
        <f t="shared" si="25"/>
        <v>300</v>
      </c>
      <c r="E100" s="1040">
        <f t="shared" si="29"/>
        <v>0</v>
      </c>
      <c r="F100" s="1166">
        <f t="shared" si="26"/>
        <v>0.75</v>
      </c>
      <c r="G100" s="940">
        <f t="shared" si="27"/>
        <v>0</v>
      </c>
      <c r="H100" s="1039">
        <f t="shared" si="28"/>
        <v>0</v>
      </c>
    </row>
    <row r="101" spans="1:8" x14ac:dyDescent="0.25">
      <c r="A101" s="949"/>
      <c r="B101" s="938" t="str">
        <f t="shared" si="25"/>
        <v>Curry Powder - كاري بودرة</v>
      </c>
      <c r="C101" s="938" t="str">
        <f t="shared" si="25"/>
        <v>gm</v>
      </c>
      <c r="D101" s="938">
        <f t="shared" si="25"/>
        <v>10</v>
      </c>
      <c r="E101" s="1040">
        <f t="shared" si="29"/>
        <v>0</v>
      </c>
      <c r="F101" s="1166">
        <f t="shared" si="26"/>
        <v>0.75</v>
      </c>
      <c r="G101" s="940">
        <f t="shared" si="27"/>
        <v>0</v>
      </c>
      <c r="H101" s="1039">
        <f t="shared" si="28"/>
        <v>0</v>
      </c>
    </row>
    <row r="102" spans="1:8" x14ac:dyDescent="0.25">
      <c r="A102" s="949"/>
      <c r="B102" s="938" t="str">
        <f t="shared" si="25"/>
        <v>Cumin Powder - كمون مطحون</v>
      </c>
      <c r="C102" s="938" t="str">
        <f t="shared" si="25"/>
        <v>gm</v>
      </c>
      <c r="D102" s="938">
        <f t="shared" si="25"/>
        <v>10</v>
      </c>
      <c r="E102" s="1040">
        <f t="shared" si="29"/>
        <v>0</v>
      </c>
      <c r="F102" s="1166">
        <f t="shared" si="26"/>
        <v>0.75</v>
      </c>
      <c r="G102" s="940">
        <f t="shared" si="27"/>
        <v>0</v>
      </c>
      <c r="H102" s="1039">
        <f t="shared" si="28"/>
        <v>0</v>
      </c>
    </row>
    <row r="103" spans="1:8" x14ac:dyDescent="0.25">
      <c r="A103" s="949"/>
      <c r="B103" s="938" t="str">
        <f t="shared" si="25"/>
        <v>Coriander Powder - كزبرة مطحونة</v>
      </c>
      <c r="C103" s="938" t="str">
        <f t="shared" si="25"/>
        <v>gm</v>
      </c>
      <c r="D103" s="938">
        <f t="shared" si="25"/>
        <v>10</v>
      </c>
      <c r="E103" s="1040">
        <f t="shared" si="29"/>
        <v>0</v>
      </c>
      <c r="F103" s="1166">
        <f t="shared" si="26"/>
        <v>0.75</v>
      </c>
      <c r="G103" s="940">
        <f t="shared" si="27"/>
        <v>0</v>
      </c>
      <c r="H103" s="1039">
        <f t="shared" si="28"/>
        <v>0</v>
      </c>
    </row>
    <row r="104" spans="1:8" x14ac:dyDescent="0.25">
      <c r="A104" s="949" t="s">
        <v>869</v>
      </c>
      <c r="B104" s="938" t="str">
        <f t="shared" si="25"/>
        <v>Coriander Leaves - كزبرة خضراء</v>
      </c>
      <c r="C104" s="938" t="str">
        <f t="shared" si="25"/>
        <v>gm</v>
      </c>
      <c r="D104" s="938">
        <f t="shared" si="25"/>
        <v>5</v>
      </c>
      <c r="E104" s="1040">
        <f t="shared" si="29"/>
        <v>0</v>
      </c>
      <c r="F104" s="1166">
        <f t="shared" si="26"/>
        <v>1</v>
      </c>
      <c r="G104" s="940">
        <f t="shared" si="27"/>
        <v>0</v>
      </c>
      <c r="H104" s="1039">
        <f t="shared" si="28"/>
        <v>0</v>
      </c>
    </row>
    <row r="105" spans="1:8" ht="25.5" x14ac:dyDescent="0.25">
      <c r="A105" s="949"/>
      <c r="B105" s="938" t="str">
        <f t="shared" si="25"/>
        <v>Saffron yellow color powder - لون صفار زعفران بودر</v>
      </c>
      <c r="C105" s="938" t="str">
        <f t="shared" si="25"/>
        <v>gm</v>
      </c>
      <c r="D105" s="938">
        <f t="shared" si="25"/>
        <v>2</v>
      </c>
      <c r="E105" s="1040">
        <f t="shared" si="29"/>
        <v>0</v>
      </c>
      <c r="F105" s="1166">
        <f t="shared" si="26"/>
        <v>0.9</v>
      </c>
      <c r="G105" s="940">
        <f t="shared" si="27"/>
        <v>0</v>
      </c>
      <c r="H105" s="1039">
        <f t="shared" si="28"/>
        <v>0</v>
      </c>
    </row>
    <row r="106" spans="1:8" x14ac:dyDescent="0.25">
      <c r="A106" s="949"/>
      <c r="B106" s="938" t="str">
        <f t="shared" si="25"/>
        <v>Orange Color - لون برتقالي</v>
      </c>
      <c r="C106" s="938" t="str">
        <f t="shared" si="25"/>
        <v>gm</v>
      </c>
      <c r="D106" s="938">
        <f t="shared" si="25"/>
        <v>1</v>
      </c>
      <c r="E106" s="1040">
        <f t="shared" si="29"/>
        <v>0</v>
      </c>
      <c r="F106" s="1166">
        <f t="shared" si="26"/>
        <v>1</v>
      </c>
      <c r="G106" s="940">
        <f t="shared" si="27"/>
        <v>0</v>
      </c>
      <c r="H106" s="1039">
        <f t="shared" si="28"/>
        <v>0</v>
      </c>
    </row>
    <row r="107" spans="1:8" x14ac:dyDescent="0.25">
      <c r="A107" s="949"/>
      <c r="B107" s="938" t="str">
        <f t="shared" si="25"/>
        <v>Charcoal - فحم</v>
      </c>
      <c r="C107" s="938" t="str">
        <f t="shared" si="25"/>
        <v>gm</v>
      </c>
      <c r="D107" s="938">
        <f t="shared" si="25"/>
        <v>10</v>
      </c>
      <c r="E107" s="1040">
        <f t="shared" si="29"/>
        <v>0</v>
      </c>
      <c r="F107" s="1166">
        <f t="shared" si="26"/>
        <v>0.5</v>
      </c>
      <c r="G107" s="940">
        <f t="shared" si="27"/>
        <v>0</v>
      </c>
      <c r="H107" s="1039">
        <f t="shared" si="28"/>
        <v>0</v>
      </c>
    </row>
    <row r="108" spans="1:8" x14ac:dyDescent="0.25">
      <c r="A108" s="949"/>
      <c r="B108" s="938" t="str">
        <f t="shared" si="25"/>
        <v>Salt - ملح</v>
      </c>
      <c r="C108" s="938" t="str">
        <f t="shared" si="25"/>
        <v>gm</v>
      </c>
      <c r="D108" s="938">
        <f t="shared" si="25"/>
        <v>11</v>
      </c>
      <c r="E108" s="1040">
        <f t="shared" si="29"/>
        <v>0</v>
      </c>
      <c r="F108" s="1166">
        <f t="shared" si="26"/>
        <v>0.75</v>
      </c>
      <c r="G108" s="940">
        <f t="shared" si="27"/>
        <v>0</v>
      </c>
      <c r="H108" s="1039">
        <f t="shared" si="28"/>
        <v>0</v>
      </c>
    </row>
    <row r="109" spans="1:8" x14ac:dyDescent="0.25">
      <c r="A109" s="949"/>
      <c r="B109" s="938" t="str">
        <f t="shared" si="25"/>
        <v>Butter - زبدة</v>
      </c>
      <c r="C109" s="938" t="str">
        <f t="shared" si="25"/>
        <v>gm</v>
      </c>
      <c r="D109" s="938">
        <f t="shared" si="25"/>
        <v>40</v>
      </c>
      <c r="E109" s="1040">
        <f t="shared" si="29"/>
        <v>0</v>
      </c>
      <c r="F109" s="1166">
        <f t="shared" si="26"/>
        <v>0.9</v>
      </c>
      <c r="G109" s="940">
        <f t="shared" si="27"/>
        <v>0</v>
      </c>
      <c r="H109" s="1039">
        <f t="shared" si="28"/>
        <v>0</v>
      </c>
    </row>
    <row r="110" spans="1:8" x14ac:dyDescent="0.25">
      <c r="A110" s="949"/>
      <c r="B110" s="938" t="str">
        <f t="shared" si="25"/>
        <v>Cooking Cream - كريمة طبخ</v>
      </c>
      <c r="C110" s="938" t="str">
        <f t="shared" si="25"/>
        <v>ml</v>
      </c>
      <c r="D110" s="938">
        <f t="shared" si="25"/>
        <v>250</v>
      </c>
      <c r="E110" s="1040">
        <f t="shared" si="29"/>
        <v>0</v>
      </c>
      <c r="F110" s="1166">
        <f t="shared" si="26"/>
        <v>1</v>
      </c>
      <c r="G110" s="940">
        <f t="shared" si="27"/>
        <v>0</v>
      </c>
      <c r="H110" s="1039">
        <f t="shared" si="28"/>
        <v>0</v>
      </c>
    </row>
    <row r="111" spans="1:8" x14ac:dyDescent="0.25">
      <c r="A111" s="949"/>
      <c r="B111" s="938" t="str">
        <f t="shared" si="25"/>
        <v>Kasuri Methi - ورق حلبة مجففة</v>
      </c>
      <c r="C111" s="938" t="str">
        <f t="shared" si="25"/>
        <v>gm</v>
      </c>
      <c r="D111" s="938">
        <f t="shared" si="25"/>
        <v>2</v>
      </c>
      <c r="E111" s="1040">
        <f t="shared" si="29"/>
        <v>0</v>
      </c>
      <c r="F111" s="1166">
        <f t="shared" si="26"/>
        <v>1</v>
      </c>
      <c r="G111" s="940">
        <f t="shared" ref="G111:G112" si="30">D111*E111</f>
        <v>0</v>
      </c>
      <c r="H111" s="1039">
        <f t="shared" ref="H111:H112" si="31">G111*F111</f>
        <v>0</v>
      </c>
    </row>
    <row r="112" spans="1:8" x14ac:dyDescent="0.25">
      <c r="A112" s="949"/>
      <c r="B112" s="938" t="str">
        <f t="shared" si="25"/>
        <v>Corn Starch - نشا ذرة</v>
      </c>
      <c r="C112" s="938" t="str">
        <f t="shared" si="25"/>
        <v>gm</v>
      </c>
      <c r="D112" s="938">
        <f t="shared" si="25"/>
        <v>20</v>
      </c>
      <c r="E112" s="1040">
        <f t="shared" si="29"/>
        <v>0</v>
      </c>
      <c r="F112" s="1166">
        <f t="shared" si="26"/>
        <v>0.75</v>
      </c>
      <c r="G112" s="940">
        <f t="shared" si="30"/>
        <v>0</v>
      </c>
      <c r="H112" s="1039">
        <f t="shared" si="31"/>
        <v>0</v>
      </c>
    </row>
    <row r="113" spans="1:8" ht="18" x14ac:dyDescent="0.25">
      <c r="A113" s="1070"/>
      <c r="B113" s="1041" t="s">
        <v>287</v>
      </c>
      <c r="C113" s="1042" t="s">
        <v>273</v>
      </c>
      <c r="D113" s="1043"/>
      <c r="E113" s="1044" t="s">
        <v>288</v>
      </c>
      <c r="F113" s="1043"/>
      <c r="G113" s="1045" t="s">
        <v>264</v>
      </c>
      <c r="H113" s="1046" t="s">
        <v>661</v>
      </c>
    </row>
    <row r="114" spans="1:8" ht="20.25" x14ac:dyDescent="0.3">
      <c r="A114" s="1070"/>
      <c r="B114" s="1047">
        <f>$J$54</f>
        <v>0</v>
      </c>
      <c r="C114" s="1048">
        <f>E114+G114</f>
        <v>0</v>
      </c>
      <c r="D114" s="1049"/>
      <c r="E114" s="1047">
        <f>$D$54*$S$44</f>
        <v>0</v>
      </c>
      <c r="F114" s="1050"/>
      <c r="G114" s="1048">
        <f>$D$54*$T$44</f>
        <v>0</v>
      </c>
      <c r="H114" s="1047">
        <f>B114+E114</f>
        <v>0</v>
      </c>
    </row>
    <row r="115" spans="1:8" x14ac:dyDescent="0.25">
      <c r="B115" s="890"/>
      <c r="D115" s="890"/>
      <c r="E115" s="1129"/>
      <c r="F115" s="890"/>
      <c r="H115" s="890"/>
    </row>
    <row r="116" spans="1:8" x14ac:dyDescent="0.25">
      <c r="B116" s="890"/>
      <c r="D116" s="890"/>
      <c r="E116" s="1129"/>
      <c r="F116" s="890"/>
      <c r="H116" s="890"/>
    </row>
    <row r="117" spans="1:8" x14ac:dyDescent="0.25">
      <c r="A117" s="1036"/>
      <c r="B117" s="1776" t="str">
        <f>" دجاج تشانجيزي 3 / " &amp; COUNTIF($C$53:$C$55, "&gt;0")</f>
        <v xml:space="preserve"> دجاج تشانجيزي 3 / 1</v>
      </c>
      <c r="C117" s="1777"/>
      <c r="D117" s="1778"/>
      <c r="E117" s="1778"/>
      <c r="F117" s="1778"/>
      <c r="G117" s="1777"/>
      <c r="H117" s="1778"/>
    </row>
    <row r="118" spans="1:8" x14ac:dyDescent="0.25">
      <c r="A118" s="1036"/>
      <c r="B118" s="1776" t="str">
        <f>" Changezi Chicken 3 / " &amp; COUNTIF($C$53:$C$55, "&gt;0")</f>
        <v xml:space="preserve"> Changezi Chicken 3 / 1</v>
      </c>
      <c r="C118" s="1777"/>
      <c r="D118" s="1778"/>
      <c r="E118" s="1778"/>
      <c r="F118" s="1778"/>
      <c r="G118" s="1777"/>
      <c r="H118" s="1778"/>
    </row>
    <row r="119" spans="1:8" ht="38.25" x14ac:dyDescent="0.2">
      <c r="A119" s="1350" t="s">
        <v>864</v>
      </c>
      <c r="B119" s="1104" t="s">
        <v>241</v>
      </c>
      <c r="C119" s="934" t="s">
        <v>242</v>
      </c>
      <c r="D119" s="1104" t="s">
        <v>231</v>
      </c>
      <c r="E119" s="936" t="s">
        <v>234</v>
      </c>
      <c r="F119" s="936" t="s">
        <v>243</v>
      </c>
      <c r="G119" s="1104" t="s">
        <v>244</v>
      </c>
      <c r="H119" s="936" t="s">
        <v>245</v>
      </c>
    </row>
    <row r="120" spans="1:8" x14ac:dyDescent="0.2">
      <c r="A120" s="937" t="s">
        <v>872</v>
      </c>
      <c r="B120" s="938" t="str">
        <f>B5</f>
        <v>Chicken - دجاج</v>
      </c>
      <c r="C120" s="938" t="str">
        <f>C5</f>
        <v>gm</v>
      </c>
      <c r="D120" s="938">
        <f>D5</f>
        <v>2311.5254237288136</v>
      </c>
      <c r="E120" s="1040">
        <f>$H$55</f>
        <v>0</v>
      </c>
      <c r="F120" s="1166">
        <f>F5</f>
        <v>1</v>
      </c>
      <c r="G120" s="944">
        <f t="shared" ref="G120:G138" si="32">D120*E120</f>
        <v>0</v>
      </c>
      <c r="H120" s="1051">
        <f t="shared" ref="H120:H138" si="33">G120*F120</f>
        <v>0</v>
      </c>
    </row>
    <row r="121" spans="1:8" x14ac:dyDescent="0.25">
      <c r="A121" s="949" t="s">
        <v>866</v>
      </c>
      <c r="B121" s="938" t="str">
        <f t="shared" ref="B121:D121" si="34">B6</f>
        <v>Onion - بصل</v>
      </c>
      <c r="C121" s="938" t="str">
        <f t="shared" si="34"/>
        <v>gm</v>
      </c>
      <c r="D121" s="938">
        <f t="shared" si="34"/>
        <v>200</v>
      </c>
      <c r="E121" s="1040">
        <f>$C$55</f>
        <v>0</v>
      </c>
      <c r="F121" s="1166">
        <f t="shared" ref="F121:F140" si="35">F6</f>
        <v>0.95</v>
      </c>
      <c r="G121" s="944">
        <f t="shared" si="32"/>
        <v>0</v>
      </c>
      <c r="H121" s="1051">
        <f t="shared" si="33"/>
        <v>0</v>
      </c>
    </row>
    <row r="122" spans="1:8" x14ac:dyDescent="0.25">
      <c r="A122" s="949" t="s">
        <v>870</v>
      </c>
      <c r="B122" s="938" t="str">
        <f t="shared" ref="B122:D122" si="36">B7</f>
        <v>Tomato - طماطم</v>
      </c>
      <c r="C122" s="938" t="str">
        <f t="shared" si="36"/>
        <v>gm</v>
      </c>
      <c r="D122" s="938">
        <f t="shared" si="36"/>
        <v>450</v>
      </c>
      <c r="E122" s="1040">
        <f t="shared" ref="E122:E140" si="37">$C$55</f>
        <v>0</v>
      </c>
      <c r="F122" s="1166">
        <f t="shared" si="35"/>
        <v>1</v>
      </c>
      <c r="G122" s="944">
        <f t="shared" si="32"/>
        <v>0</v>
      </c>
      <c r="H122" s="1051">
        <f t="shared" si="33"/>
        <v>0</v>
      </c>
    </row>
    <row r="123" spans="1:8" x14ac:dyDescent="0.25">
      <c r="A123" s="949" t="s">
        <v>867</v>
      </c>
      <c r="B123" s="938" t="str">
        <f t="shared" ref="B123:D123" si="38">B8</f>
        <v>Ginger - زنجبيل</v>
      </c>
      <c r="C123" s="938" t="str">
        <f t="shared" si="38"/>
        <v>gm</v>
      </c>
      <c r="D123" s="938">
        <f t="shared" si="38"/>
        <v>20</v>
      </c>
      <c r="E123" s="1040">
        <f t="shared" si="37"/>
        <v>0</v>
      </c>
      <c r="F123" s="1166">
        <f t="shared" si="35"/>
        <v>0.9</v>
      </c>
      <c r="G123" s="944">
        <f t="shared" si="32"/>
        <v>0</v>
      </c>
      <c r="H123" s="1051">
        <f t="shared" si="33"/>
        <v>0</v>
      </c>
    </row>
    <row r="124" spans="1:8" x14ac:dyDescent="0.25">
      <c r="A124" s="949" t="s">
        <v>868</v>
      </c>
      <c r="B124" s="938" t="str">
        <f t="shared" ref="B124:D124" si="39">B9</f>
        <v>Garlic - ثوم مقشر</v>
      </c>
      <c r="C124" s="938" t="str">
        <f t="shared" si="39"/>
        <v>gm</v>
      </c>
      <c r="D124" s="938">
        <f t="shared" si="39"/>
        <v>20</v>
      </c>
      <c r="E124" s="1040">
        <f t="shared" si="37"/>
        <v>0</v>
      </c>
      <c r="F124" s="1166">
        <f t="shared" si="35"/>
        <v>0.9</v>
      </c>
      <c r="G124" s="944">
        <f t="shared" si="32"/>
        <v>0</v>
      </c>
      <c r="H124" s="1051">
        <f t="shared" si="33"/>
        <v>0</v>
      </c>
    </row>
    <row r="125" spans="1:8" x14ac:dyDescent="0.25">
      <c r="A125" s="949" t="s">
        <v>884</v>
      </c>
      <c r="B125" s="938" t="str">
        <f t="shared" ref="B125:D125" si="40">B10</f>
        <v>Green Chilli Pepper - فلفل أخضر حار</v>
      </c>
      <c r="C125" s="938" t="str">
        <f t="shared" si="40"/>
        <v>gm</v>
      </c>
      <c r="D125" s="938">
        <f t="shared" si="40"/>
        <v>10</v>
      </c>
      <c r="E125" s="1040">
        <f t="shared" si="37"/>
        <v>0</v>
      </c>
      <c r="F125" s="1166">
        <f t="shared" si="35"/>
        <v>0.75</v>
      </c>
      <c r="G125" s="944">
        <f t="shared" si="32"/>
        <v>0</v>
      </c>
      <c r="H125" s="1051">
        <f t="shared" si="33"/>
        <v>0</v>
      </c>
    </row>
    <row r="126" spans="1:8" x14ac:dyDescent="0.25">
      <c r="A126" s="949"/>
      <c r="B126" s="938" t="str">
        <f t="shared" ref="B126:D126" si="41">B11</f>
        <v>Cashew Nut - كاجو</v>
      </c>
      <c r="C126" s="938" t="str">
        <f t="shared" si="41"/>
        <v>gm</v>
      </c>
      <c r="D126" s="938">
        <f t="shared" si="41"/>
        <v>25</v>
      </c>
      <c r="E126" s="1040">
        <f t="shared" si="37"/>
        <v>0</v>
      </c>
      <c r="F126" s="1166">
        <f t="shared" si="35"/>
        <v>1</v>
      </c>
      <c r="G126" s="944">
        <f t="shared" si="32"/>
        <v>0</v>
      </c>
      <c r="H126" s="1051">
        <f t="shared" si="33"/>
        <v>0</v>
      </c>
    </row>
    <row r="127" spans="1:8" ht="25.5" x14ac:dyDescent="0.25">
      <c r="A127" s="949"/>
      <c r="B127" s="938" t="str">
        <f t="shared" ref="B127:D127" si="42">B12</f>
        <v>Red Chilli Powder - شطة حمراء مطحونة</v>
      </c>
      <c r="C127" s="938" t="str">
        <f t="shared" si="42"/>
        <v>gm</v>
      </c>
      <c r="D127" s="938">
        <f t="shared" si="42"/>
        <v>3</v>
      </c>
      <c r="E127" s="1040">
        <f t="shared" si="37"/>
        <v>0</v>
      </c>
      <c r="F127" s="1166">
        <f t="shared" si="35"/>
        <v>0.9</v>
      </c>
      <c r="G127" s="944">
        <f t="shared" si="32"/>
        <v>0</v>
      </c>
      <c r="H127" s="1051">
        <f t="shared" si="33"/>
        <v>0</v>
      </c>
    </row>
    <row r="128" spans="1:8" x14ac:dyDescent="0.25">
      <c r="A128" s="949"/>
      <c r="B128" s="938" t="str">
        <f t="shared" ref="B128:D128" si="43">B13</f>
        <v>Yogurt - زبادي</v>
      </c>
      <c r="C128" s="938" t="str">
        <f t="shared" si="43"/>
        <v>gm</v>
      </c>
      <c r="D128" s="938">
        <f t="shared" si="43"/>
        <v>300</v>
      </c>
      <c r="E128" s="1040">
        <f t="shared" si="37"/>
        <v>0</v>
      </c>
      <c r="F128" s="1166">
        <f t="shared" si="35"/>
        <v>0.75</v>
      </c>
      <c r="G128" s="944">
        <f t="shared" si="32"/>
        <v>0</v>
      </c>
      <c r="H128" s="1051">
        <f t="shared" si="33"/>
        <v>0</v>
      </c>
    </row>
    <row r="129" spans="1:8" x14ac:dyDescent="0.25">
      <c r="A129" s="949"/>
      <c r="B129" s="938" t="str">
        <f t="shared" ref="B129:D129" si="44">B14</f>
        <v>Curry Powder - كاري بودرة</v>
      </c>
      <c r="C129" s="938" t="str">
        <f t="shared" si="44"/>
        <v>gm</v>
      </c>
      <c r="D129" s="938">
        <f t="shared" si="44"/>
        <v>10</v>
      </c>
      <c r="E129" s="1040">
        <f t="shared" si="37"/>
        <v>0</v>
      </c>
      <c r="F129" s="1166">
        <f t="shared" si="35"/>
        <v>0.75</v>
      </c>
      <c r="G129" s="944">
        <f t="shared" si="32"/>
        <v>0</v>
      </c>
      <c r="H129" s="1051">
        <f t="shared" si="33"/>
        <v>0</v>
      </c>
    </row>
    <row r="130" spans="1:8" x14ac:dyDescent="0.25">
      <c r="A130" s="949"/>
      <c r="B130" s="938" t="str">
        <f t="shared" ref="B130:D130" si="45">B15</f>
        <v>Cumin Powder - كمون مطحون</v>
      </c>
      <c r="C130" s="938" t="str">
        <f t="shared" si="45"/>
        <v>gm</v>
      </c>
      <c r="D130" s="938">
        <f t="shared" si="45"/>
        <v>10</v>
      </c>
      <c r="E130" s="1040">
        <f t="shared" si="37"/>
        <v>0</v>
      </c>
      <c r="F130" s="1166">
        <f t="shared" si="35"/>
        <v>0.75</v>
      </c>
      <c r="G130" s="944">
        <f t="shared" si="32"/>
        <v>0</v>
      </c>
      <c r="H130" s="1051">
        <f t="shared" si="33"/>
        <v>0</v>
      </c>
    </row>
    <row r="131" spans="1:8" x14ac:dyDescent="0.25">
      <c r="A131" s="949"/>
      <c r="B131" s="938" t="str">
        <f t="shared" ref="B131:D131" si="46">B16</f>
        <v>Coriander Powder - كزبرة مطحونة</v>
      </c>
      <c r="C131" s="938" t="str">
        <f t="shared" si="46"/>
        <v>gm</v>
      </c>
      <c r="D131" s="938">
        <f t="shared" si="46"/>
        <v>10</v>
      </c>
      <c r="E131" s="1040">
        <f t="shared" si="37"/>
        <v>0</v>
      </c>
      <c r="F131" s="1166">
        <f t="shared" si="35"/>
        <v>0.75</v>
      </c>
      <c r="G131" s="944">
        <f t="shared" si="32"/>
        <v>0</v>
      </c>
      <c r="H131" s="1051">
        <f t="shared" si="33"/>
        <v>0</v>
      </c>
    </row>
    <row r="132" spans="1:8" x14ac:dyDescent="0.25">
      <c r="A132" s="949" t="s">
        <v>869</v>
      </c>
      <c r="B132" s="938" t="str">
        <f t="shared" ref="B132:D132" si="47">B17</f>
        <v>Coriander Leaves - كزبرة خضراء</v>
      </c>
      <c r="C132" s="938" t="str">
        <f t="shared" si="47"/>
        <v>gm</v>
      </c>
      <c r="D132" s="938">
        <f t="shared" si="47"/>
        <v>5</v>
      </c>
      <c r="E132" s="1040">
        <f t="shared" si="37"/>
        <v>0</v>
      </c>
      <c r="F132" s="1166">
        <f t="shared" si="35"/>
        <v>1</v>
      </c>
      <c r="G132" s="944">
        <f t="shared" si="32"/>
        <v>0</v>
      </c>
      <c r="H132" s="1051">
        <f t="shared" si="33"/>
        <v>0</v>
      </c>
    </row>
    <row r="133" spans="1:8" ht="25.5" x14ac:dyDescent="0.25">
      <c r="A133" s="949"/>
      <c r="B133" s="938" t="str">
        <f t="shared" ref="B133:D133" si="48">B18</f>
        <v>Saffron yellow color powder - لون صفار زعفران بودر</v>
      </c>
      <c r="C133" s="938" t="str">
        <f t="shared" si="48"/>
        <v>gm</v>
      </c>
      <c r="D133" s="938">
        <f t="shared" si="48"/>
        <v>2</v>
      </c>
      <c r="E133" s="1040">
        <f t="shared" si="37"/>
        <v>0</v>
      </c>
      <c r="F133" s="1166">
        <f t="shared" si="35"/>
        <v>0.9</v>
      </c>
      <c r="G133" s="944">
        <f t="shared" si="32"/>
        <v>0</v>
      </c>
      <c r="H133" s="1051">
        <f t="shared" si="33"/>
        <v>0</v>
      </c>
    </row>
    <row r="134" spans="1:8" x14ac:dyDescent="0.25">
      <c r="A134" s="949"/>
      <c r="B134" s="938" t="str">
        <f t="shared" ref="B134:D134" si="49">B19</f>
        <v>Orange Color - لون برتقالي</v>
      </c>
      <c r="C134" s="938" t="str">
        <f t="shared" si="49"/>
        <v>gm</v>
      </c>
      <c r="D134" s="938">
        <f t="shared" si="49"/>
        <v>1</v>
      </c>
      <c r="E134" s="1040">
        <f t="shared" si="37"/>
        <v>0</v>
      </c>
      <c r="F134" s="1166">
        <f t="shared" si="35"/>
        <v>1</v>
      </c>
      <c r="G134" s="944">
        <f t="shared" si="32"/>
        <v>0</v>
      </c>
      <c r="H134" s="1051">
        <f t="shared" si="33"/>
        <v>0</v>
      </c>
    </row>
    <row r="135" spans="1:8" x14ac:dyDescent="0.25">
      <c r="A135" s="949"/>
      <c r="B135" s="938" t="str">
        <f t="shared" ref="B135:D135" si="50">B20</f>
        <v>Charcoal - فحم</v>
      </c>
      <c r="C135" s="938" t="str">
        <f t="shared" si="50"/>
        <v>gm</v>
      </c>
      <c r="D135" s="938">
        <f t="shared" si="50"/>
        <v>10</v>
      </c>
      <c r="E135" s="1040">
        <f t="shared" si="37"/>
        <v>0</v>
      </c>
      <c r="F135" s="1166">
        <f t="shared" si="35"/>
        <v>0.5</v>
      </c>
      <c r="G135" s="944">
        <f t="shared" si="32"/>
        <v>0</v>
      </c>
      <c r="H135" s="1051">
        <f t="shared" si="33"/>
        <v>0</v>
      </c>
    </row>
    <row r="136" spans="1:8" x14ac:dyDescent="0.25">
      <c r="A136" s="949"/>
      <c r="B136" s="938" t="str">
        <f t="shared" ref="B136:D136" si="51">B21</f>
        <v>Salt - ملح</v>
      </c>
      <c r="C136" s="938" t="str">
        <f t="shared" si="51"/>
        <v>gm</v>
      </c>
      <c r="D136" s="938">
        <f t="shared" si="51"/>
        <v>11</v>
      </c>
      <c r="E136" s="1040">
        <f t="shared" si="37"/>
        <v>0</v>
      </c>
      <c r="F136" s="1166">
        <f t="shared" si="35"/>
        <v>0.75</v>
      </c>
      <c r="G136" s="944">
        <f t="shared" si="32"/>
        <v>0</v>
      </c>
      <c r="H136" s="1051">
        <f t="shared" si="33"/>
        <v>0</v>
      </c>
    </row>
    <row r="137" spans="1:8" x14ac:dyDescent="0.25">
      <c r="A137" s="949"/>
      <c r="B137" s="938" t="str">
        <f t="shared" ref="B137:D137" si="52">B22</f>
        <v>Butter - زبدة</v>
      </c>
      <c r="C137" s="938" t="str">
        <f t="shared" si="52"/>
        <v>gm</v>
      </c>
      <c r="D137" s="938">
        <f t="shared" si="52"/>
        <v>40</v>
      </c>
      <c r="E137" s="1040">
        <f t="shared" si="37"/>
        <v>0</v>
      </c>
      <c r="F137" s="1166">
        <f t="shared" si="35"/>
        <v>0.9</v>
      </c>
      <c r="G137" s="944">
        <f t="shared" si="32"/>
        <v>0</v>
      </c>
      <c r="H137" s="1051">
        <f t="shared" si="33"/>
        <v>0</v>
      </c>
    </row>
    <row r="138" spans="1:8" x14ac:dyDescent="0.25">
      <c r="A138" s="949"/>
      <c r="B138" s="938" t="str">
        <f t="shared" ref="B138:D138" si="53">B23</f>
        <v>Cooking Cream - كريمة طبخ</v>
      </c>
      <c r="C138" s="938" t="str">
        <f t="shared" si="53"/>
        <v>ml</v>
      </c>
      <c r="D138" s="938">
        <f t="shared" si="53"/>
        <v>250</v>
      </c>
      <c r="E138" s="1040">
        <f t="shared" si="37"/>
        <v>0</v>
      </c>
      <c r="F138" s="1166">
        <f t="shared" si="35"/>
        <v>1</v>
      </c>
      <c r="G138" s="944">
        <f t="shared" si="32"/>
        <v>0</v>
      </c>
      <c r="H138" s="1051">
        <f t="shared" si="33"/>
        <v>0</v>
      </c>
    </row>
    <row r="139" spans="1:8" x14ac:dyDescent="0.25">
      <c r="A139" s="949"/>
      <c r="B139" s="938" t="str">
        <f t="shared" ref="B139:D139" si="54">B24</f>
        <v>Kasuri Methi - ورق حلبة مجففة</v>
      </c>
      <c r="C139" s="938" t="str">
        <f t="shared" si="54"/>
        <v>gm</v>
      </c>
      <c r="D139" s="938">
        <f t="shared" si="54"/>
        <v>2</v>
      </c>
      <c r="E139" s="1040">
        <f t="shared" si="37"/>
        <v>0</v>
      </c>
      <c r="F139" s="1166">
        <f t="shared" si="35"/>
        <v>1</v>
      </c>
      <c r="G139" s="944">
        <f t="shared" ref="G139:G140" si="55">D139*E139</f>
        <v>0</v>
      </c>
      <c r="H139" s="1051">
        <f t="shared" ref="H139:H140" si="56">G139*F139</f>
        <v>0</v>
      </c>
    </row>
    <row r="140" spans="1:8" x14ac:dyDescent="0.25">
      <c r="A140" s="949"/>
      <c r="B140" s="938" t="str">
        <f t="shared" ref="B140:D140" si="57">B25</f>
        <v>Corn Starch - نشا ذرة</v>
      </c>
      <c r="C140" s="938" t="str">
        <f t="shared" si="57"/>
        <v>gm</v>
      </c>
      <c r="D140" s="938">
        <f t="shared" si="57"/>
        <v>20</v>
      </c>
      <c r="E140" s="1040">
        <f t="shared" si="37"/>
        <v>0</v>
      </c>
      <c r="F140" s="1166">
        <f t="shared" si="35"/>
        <v>0.75</v>
      </c>
      <c r="G140" s="944">
        <f t="shared" si="55"/>
        <v>0</v>
      </c>
      <c r="H140" s="1051">
        <f t="shared" si="56"/>
        <v>0</v>
      </c>
    </row>
    <row r="141" spans="1:8" ht="18" x14ac:dyDescent="0.25">
      <c r="A141" s="1070"/>
      <c r="B141" s="1041" t="s">
        <v>287</v>
      </c>
      <c r="C141" s="1042" t="s">
        <v>273</v>
      </c>
      <c r="D141" s="1043"/>
      <c r="E141" s="1044" t="s">
        <v>288</v>
      </c>
      <c r="F141" s="1043"/>
      <c r="G141" s="1045" t="s">
        <v>264</v>
      </c>
      <c r="H141" s="1046" t="s">
        <v>661</v>
      </c>
    </row>
    <row r="142" spans="1:8" ht="20.25" x14ac:dyDescent="0.3">
      <c r="A142" s="1070"/>
      <c r="B142" s="1047">
        <f>$J$55</f>
        <v>0</v>
      </c>
      <c r="C142" s="1048">
        <f>E142+G142</f>
        <v>0</v>
      </c>
      <c r="D142" s="1049"/>
      <c r="E142" s="1047">
        <f>$D$55*$S$44</f>
        <v>0</v>
      </c>
      <c r="F142" s="1050"/>
      <c r="G142" s="1048">
        <f>$D$55*$T$44</f>
        <v>0</v>
      </c>
      <c r="H142" s="1047">
        <f>B142+E142</f>
        <v>0</v>
      </c>
    </row>
  </sheetData>
  <mergeCells count="14">
    <mergeCell ref="B117:H117"/>
    <mergeCell ref="B118:H118"/>
    <mergeCell ref="AK2:AM2"/>
    <mergeCell ref="B90:H90"/>
    <mergeCell ref="L2:L3"/>
    <mergeCell ref="B2:J3"/>
    <mergeCell ref="AE2:AG3"/>
    <mergeCell ref="B89:H89"/>
    <mergeCell ref="R26:U26"/>
    <mergeCell ref="R25:U25"/>
    <mergeCell ref="B62:H62"/>
    <mergeCell ref="B63:H63"/>
    <mergeCell ref="K2:K3"/>
    <mergeCell ref="B35:F35"/>
  </mergeCells>
  <printOptions horizontalCentered="1"/>
  <pageMargins left="0.4" right="0.4" top="1" bottom="0.5" header="0.3" footer="0.511811023622047"/>
  <pageSetup paperSize="9" scale="69" orientation="landscape" r:id="rId1"/>
  <headerFooter>
    <oddHeader>&amp;C&amp;B&amp;16Changezi Chicken</oddHeader>
  </headerFooter>
  <rowBreaks count="1" manualBreakCount="1">
    <brk id="88" max="15" man="1"/>
  </rowBreaks>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rgb="FF7C7C7C"/>
    <pageSetUpPr fitToPage="1"/>
  </sheetPr>
  <dimension ref="A1:AE120"/>
  <sheetViews>
    <sheetView topLeftCell="A24" zoomScale="25" zoomScaleNormal="25" workbookViewId="0">
      <selection activeCell="Q44" sqref="Q44"/>
    </sheetView>
  </sheetViews>
  <sheetFormatPr defaultColWidth="12.5" defaultRowHeight="15" x14ac:dyDescent="0.25"/>
  <cols>
    <col min="1" max="1" width="14.75" style="1" bestFit="1" customWidth="1"/>
    <col min="2" max="2" width="25.75" bestFit="1" customWidth="1"/>
    <col min="3" max="3" width="16" bestFit="1" customWidth="1"/>
    <col min="4" max="4" width="25.25" bestFit="1" customWidth="1"/>
    <col min="5" max="5" width="25" bestFit="1" customWidth="1"/>
    <col min="6" max="6" width="23.625" bestFit="1" customWidth="1"/>
    <col min="7" max="7" width="20.25" bestFit="1" customWidth="1"/>
    <col min="8" max="8" width="23.625" bestFit="1" customWidth="1"/>
    <col min="9" max="9" width="17.875" bestFit="1" customWidth="1"/>
    <col min="10" max="10" width="17.75" bestFit="1" customWidth="1"/>
    <col min="11" max="11" width="25.25" bestFit="1" customWidth="1"/>
    <col min="12" max="12" width="10.25" bestFit="1" customWidth="1"/>
    <col min="13" max="14" width="3.25" customWidth="1"/>
    <col min="15" max="15" width="14.625" bestFit="1" customWidth="1"/>
    <col min="16" max="16" width="3.625" bestFit="1" customWidth="1"/>
    <col min="17" max="17" width="18.375" bestFit="1" customWidth="1"/>
    <col min="18" max="18" width="22.375" bestFit="1" customWidth="1"/>
    <col min="19" max="19" width="23.375" bestFit="1" customWidth="1"/>
    <col min="20" max="20" width="24.625" bestFit="1" customWidth="1"/>
    <col min="21" max="21" width="9.625" bestFit="1" customWidth="1"/>
    <col min="22" max="22" width="10.25" bestFit="1" customWidth="1"/>
    <col min="23" max="23" width="22.125" bestFit="1" customWidth="1"/>
    <col min="25" max="25" width="6.625" bestFit="1" customWidth="1"/>
    <col min="26" max="26" width="9.5" bestFit="1" customWidth="1"/>
    <col min="27" max="27" width="11.125" bestFit="1" customWidth="1"/>
    <col min="28" max="28" width="11.75" bestFit="1" customWidth="1"/>
    <col min="29" max="29" width="13" bestFit="1" customWidth="1"/>
    <col min="30" max="30" width="9.875" bestFit="1" customWidth="1"/>
    <col min="31" max="31" width="6.75" bestFit="1" customWidth="1"/>
  </cols>
  <sheetData>
    <row r="1" spans="1:31" ht="25.5" x14ac:dyDescent="0.25">
      <c r="B1" s="913" t="s">
        <v>231</v>
      </c>
      <c r="C1" s="914">
        <v>1000</v>
      </c>
      <c r="D1" s="915" t="s">
        <v>232</v>
      </c>
      <c r="E1" s="941">
        <f>T32</f>
        <v>13924.307692307695</v>
      </c>
      <c r="F1" s="913" t="s">
        <v>233</v>
      </c>
      <c r="G1" s="944">
        <f>E1/C1</f>
        <v>13.924307692307694</v>
      </c>
      <c r="H1" s="913" t="s">
        <v>234</v>
      </c>
      <c r="I1" s="1143">
        <f>G1/K1</f>
        <v>14.208477237048667</v>
      </c>
      <c r="J1" s="919" t="s">
        <v>235</v>
      </c>
      <c r="K1" s="1208">
        <f>9.8/10</f>
        <v>0.98000000000000009</v>
      </c>
      <c r="L1" s="80"/>
      <c r="M1" s="70"/>
      <c r="N1" s="922"/>
      <c r="O1" s="923" t="s">
        <v>236</v>
      </c>
      <c r="P1" s="914" t="s">
        <v>289</v>
      </c>
      <c r="Q1" s="924" t="s">
        <v>238</v>
      </c>
      <c r="R1" s="914">
        <v>0.51</v>
      </c>
      <c r="S1" s="830"/>
      <c r="T1" s="830"/>
      <c r="W1" s="830"/>
      <c r="Y1" s="923" t="s">
        <v>444</v>
      </c>
      <c r="Z1" s="925">
        <v>14960</v>
      </c>
      <c r="AA1" s="923" t="s">
        <v>544</v>
      </c>
      <c r="AB1" s="925">
        <v>0</v>
      </c>
      <c r="AC1" s="923" t="s">
        <v>537</v>
      </c>
      <c r="AD1" s="925">
        <v>101</v>
      </c>
      <c r="AE1" s="168"/>
    </row>
    <row r="2" spans="1:31" x14ac:dyDescent="0.25">
      <c r="A2" s="860"/>
      <c r="B2" s="1784" t="s">
        <v>106</v>
      </c>
      <c r="C2" s="1787"/>
      <c r="D2" s="1788"/>
      <c r="E2" s="1788"/>
      <c r="F2" s="1788"/>
      <c r="G2" s="1787"/>
      <c r="H2" s="1788"/>
      <c r="I2" s="1787"/>
      <c r="J2" s="1787"/>
      <c r="K2" s="1788"/>
      <c r="L2" s="187"/>
      <c r="M2" s="80"/>
      <c r="N2" s="80"/>
      <c r="O2" s="80"/>
      <c r="P2" s="80"/>
      <c r="Q2" s="80"/>
      <c r="R2" s="80"/>
      <c r="S2" s="830"/>
      <c r="T2" s="830"/>
      <c r="W2" s="830"/>
      <c r="AE2" s="1795"/>
    </row>
    <row r="3" spans="1:31" x14ac:dyDescent="0.25">
      <c r="A3" s="860"/>
      <c r="B3" s="1785"/>
      <c r="C3" s="1796"/>
      <c r="D3" s="1785"/>
      <c r="E3" s="1785"/>
      <c r="F3" s="1785"/>
      <c r="G3" s="1796"/>
      <c r="H3" s="1785"/>
      <c r="I3" s="1796"/>
      <c r="J3" s="1796"/>
      <c r="K3" s="1831"/>
      <c r="L3" s="187"/>
      <c r="M3" s="80"/>
      <c r="N3" s="80"/>
      <c r="O3" s="80"/>
      <c r="P3" s="80"/>
      <c r="Q3" s="80"/>
      <c r="R3" s="80"/>
      <c r="S3" s="830"/>
      <c r="T3" s="830"/>
      <c r="W3" s="830"/>
      <c r="AE3" s="1796"/>
    </row>
    <row r="4" spans="1:31" ht="30" x14ac:dyDescent="0.2">
      <c r="A4" s="1350" t="s">
        <v>864</v>
      </c>
      <c r="B4" s="923" t="s">
        <v>241</v>
      </c>
      <c r="C4" s="934" t="s">
        <v>242</v>
      </c>
      <c r="D4" s="923" t="s">
        <v>231</v>
      </c>
      <c r="E4" s="936" t="s">
        <v>234</v>
      </c>
      <c r="F4" s="935" t="s">
        <v>243</v>
      </c>
      <c r="G4" s="923" t="s">
        <v>244</v>
      </c>
      <c r="H4" s="1104" t="s">
        <v>334</v>
      </c>
      <c r="I4" s="923" t="s">
        <v>246</v>
      </c>
      <c r="J4" s="923" t="s">
        <v>247</v>
      </c>
      <c r="K4" s="923" t="s">
        <v>248</v>
      </c>
      <c r="L4" s="923" t="s">
        <v>249</v>
      </c>
      <c r="M4" s="80"/>
      <c r="N4" s="80"/>
      <c r="O4" s="80"/>
      <c r="P4" s="80"/>
      <c r="R4" s="830"/>
      <c r="S4" s="830"/>
      <c r="T4" s="830"/>
      <c r="W4" s="830"/>
      <c r="AA4" s="169"/>
      <c r="AB4" s="171"/>
      <c r="AE4" s="169"/>
    </row>
    <row r="5" spans="1:31" ht="28.5" x14ac:dyDescent="0.2">
      <c r="A5" s="937" t="s">
        <v>872</v>
      </c>
      <c r="B5" s="1068" t="s">
        <v>223</v>
      </c>
      <c r="C5" s="939" t="s">
        <v>14</v>
      </c>
      <c r="D5" s="944">
        <f>I51/10</f>
        <v>1620.7254901960785</v>
      </c>
      <c r="E5" s="941">
        <f>H52</f>
        <v>13.922223535444433</v>
      </c>
      <c r="F5" s="948">
        <v>1</v>
      </c>
      <c r="G5" s="944">
        <f t="shared" ref="G5:G17" si="0">D5*E5</f>
        <v>22564.102564102559</v>
      </c>
      <c r="H5" s="943">
        <f t="shared" ref="H5:H17" si="1">G5*F5</f>
        <v>22564.102564102559</v>
      </c>
      <c r="I5" s="914">
        <f>VLOOKUP(B5,All_Ingredients!$A$1:$F$161,6,FALSE())</f>
        <v>0.55000000000000004</v>
      </c>
      <c r="J5" s="940">
        <f>VLOOKUP(B5,All_Ingredients!$A$1:$J$161,10,FALSE())</f>
        <v>14.361111111111111</v>
      </c>
      <c r="K5" s="945">
        <f t="shared" ref="K5" si="2">(H5/I5)/1000</f>
        <v>41.025641025641015</v>
      </c>
      <c r="L5" s="945">
        <f t="shared" ref="L5" si="3">K5*J5</f>
        <v>589.17378917378903</v>
      </c>
      <c r="M5" s="80"/>
      <c r="N5" s="80"/>
      <c r="O5" s="80"/>
      <c r="P5" s="80"/>
      <c r="R5" s="830"/>
      <c r="S5" s="830"/>
      <c r="T5" s="830"/>
      <c r="W5" s="830"/>
      <c r="AA5" s="73"/>
      <c r="AB5" s="89"/>
      <c r="AE5" s="91"/>
    </row>
    <row r="6" spans="1:31" x14ac:dyDescent="0.25">
      <c r="A6" s="1117" t="s">
        <v>881</v>
      </c>
      <c r="B6" s="1130" t="s">
        <v>12</v>
      </c>
      <c r="C6" s="947" t="s">
        <v>14</v>
      </c>
      <c r="D6" s="914">
        <v>300</v>
      </c>
      <c r="E6" s="944">
        <f t="shared" ref="E6:E17" si="4">$I$1</f>
        <v>14.208477237048667</v>
      </c>
      <c r="F6" s="948">
        <v>1</v>
      </c>
      <c r="G6" s="944">
        <f t="shared" si="0"/>
        <v>4262.5431711146002</v>
      </c>
      <c r="H6" s="943">
        <f t="shared" si="1"/>
        <v>4262.5431711146002</v>
      </c>
      <c r="I6" s="914">
        <f>VLOOKUP(B6,All_Ingredients!$A$1:$F$161,6,FALSE())</f>
        <v>0.9</v>
      </c>
      <c r="J6" s="940">
        <f>VLOOKUP(B6,All_Ingredients!$A$1:$J$161,10,FALSE())</f>
        <v>3</v>
      </c>
      <c r="K6" s="945">
        <f t="shared" ref="K6:K17" si="5">(H6/I6)/1000</f>
        <v>4.7361590790162227</v>
      </c>
      <c r="L6" s="945">
        <f t="shared" ref="L6:L17" si="6">K6*J6</f>
        <v>14.208477237048669</v>
      </c>
      <c r="R6" s="830"/>
      <c r="S6" s="830"/>
      <c r="T6" s="830"/>
      <c r="W6" s="830"/>
    </row>
    <row r="7" spans="1:31" x14ac:dyDescent="0.25">
      <c r="A7" s="1117" t="s">
        <v>868</v>
      </c>
      <c r="B7" s="1130" t="s">
        <v>706</v>
      </c>
      <c r="C7" s="947" t="s">
        <v>14</v>
      </c>
      <c r="D7" s="914">
        <v>25</v>
      </c>
      <c r="E7" s="944">
        <f t="shared" si="4"/>
        <v>14.208477237048667</v>
      </c>
      <c r="F7" s="948">
        <v>1</v>
      </c>
      <c r="G7" s="944">
        <f t="shared" si="0"/>
        <v>355.21193092621667</v>
      </c>
      <c r="H7" s="943">
        <f t="shared" si="1"/>
        <v>355.21193092621667</v>
      </c>
      <c r="I7" s="914">
        <f>VLOOKUP(B7,All_Ingredients!$A$1:$F$161,6,FALSE())</f>
        <v>1</v>
      </c>
      <c r="J7" s="940">
        <f>VLOOKUP(B7,All_Ingredients!$A$1:$J$161,10,FALSE())</f>
        <v>10.5</v>
      </c>
      <c r="K7" s="945">
        <f t="shared" si="5"/>
        <v>0.35521193092621667</v>
      </c>
      <c r="L7" s="945">
        <f t="shared" si="6"/>
        <v>3.7297252747252752</v>
      </c>
      <c r="R7" s="830"/>
      <c r="S7" s="830"/>
      <c r="T7" s="830"/>
      <c r="W7" s="830"/>
    </row>
    <row r="8" spans="1:31" x14ac:dyDescent="0.25">
      <c r="A8" s="1117" t="s">
        <v>870</v>
      </c>
      <c r="B8" s="1130" t="s">
        <v>17</v>
      </c>
      <c r="C8" s="947" t="s">
        <v>14</v>
      </c>
      <c r="D8" s="914">
        <v>400</v>
      </c>
      <c r="E8" s="944">
        <f t="shared" si="4"/>
        <v>14.208477237048667</v>
      </c>
      <c r="F8" s="948">
        <v>1</v>
      </c>
      <c r="G8" s="944">
        <f t="shared" si="0"/>
        <v>5683.3908948194667</v>
      </c>
      <c r="H8" s="943">
        <f t="shared" si="1"/>
        <v>5683.3908948194667</v>
      </c>
      <c r="I8" s="914">
        <f>VLOOKUP(B8,All_Ingredients!$A$1:$F$161,6,FALSE())</f>
        <v>0.98</v>
      </c>
      <c r="J8" s="940">
        <f>VLOOKUP(B8,All_Ingredients!$A$1:$J$161,10,FALSE())</f>
        <v>3.5</v>
      </c>
      <c r="K8" s="945">
        <f t="shared" si="5"/>
        <v>5.7993784641014967</v>
      </c>
      <c r="L8" s="945">
        <f t="shared" si="6"/>
        <v>20.29782462435524</v>
      </c>
      <c r="R8" s="830"/>
      <c r="S8" s="830"/>
      <c r="T8" s="830"/>
      <c r="W8" s="830"/>
    </row>
    <row r="9" spans="1:31" x14ac:dyDescent="0.25">
      <c r="A9" s="1117"/>
      <c r="B9" s="1130" t="s">
        <v>678</v>
      </c>
      <c r="C9" s="947" t="s">
        <v>14</v>
      </c>
      <c r="D9" s="914">
        <v>250</v>
      </c>
      <c r="E9" s="944">
        <f t="shared" si="4"/>
        <v>14.208477237048667</v>
      </c>
      <c r="F9" s="948">
        <v>1</v>
      </c>
      <c r="G9" s="944">
        <f t="shared" si="0"/>
        <v>3552.119309262167</v>
      </c>
      <c r="H9" s="943">
        <f t="shared" si="1"/>
        <v>3552.119309262167</v>
      </c>
      <c r="I9" s="914">
        <f>VLOOKUP(B9,All_Ingredients!$A$1:$F$161,6,FALSE())</f>
        <v>1</v>
      </c>
      <c r="J9" s="940">
        <f>VLOOKUP(B9,All_Ingredients!$A$1:$J$161,10,FALSE())</f>
        <v>8.1520833333333336</v>
      </c>
      <c r="K9" s="945">
        <f t="shared" si="5"/>
        <v>3.5521193092621668</v>
      </c>
      <c r="L9" s="945">
        <f t="shared" si="6"/>
        <v>28.957172619047622</v>
      </c>
      <c r="R9" s="830"/>
      <c r="S9" s="830"/>
      <c r="T9" s="830"/>
      <c r="W9" s="830"/>
    </row>
    <row r="10" spans="1:31" ht="28.5" x14ac:dyDescent="0.25">
      <c r="A10" s="1117"/>
      <c r="B10" s="1130" t="s">
        <v>99</v>
      </c>
      <c r="C10" s="947" t="s">
        <v>14</v>
      </c>
      <c r="D10" s="914">
        <v>6</v>
      </c>
      <c r="E10" s="944">
        <f t="shared" si="4"/>
        <v>14.208477237048667</v>
      </c>
      <c r="F10" s="948">
        <v>0.75</v>
      </c>
      <c r="G10" s="944">
        <f t="shared" si="0"/>
        <v>85.250863422291999</v>
      </c>
      <c r="H10" s="943">
        <f t="shared" si="1"/>
        <v>63.938147566718996</v>
      </c>
      <c r="I10" s="914">
        <f>VLOOKUP(B10,All_Ingredients!$A$1:$F$161,6,FALSE())</f>
        <v>1</v>
      </c>
      <c r="J10" s="940">
        <f>VLOOKUP(B10,All_Ingredients!$A$1:$J$161,10,FALSE())</f>
        <v>31</v>
      </c>
      <c r="K10" s="945">
        <f t="shared" si="5"/>
        <v>6.3938147566718992E-2</v>
      </c>
      <c r="L10" s="945">
        <f t="shared" si="6"/>
        <v>1.9820825745682888</v>
      </c>
      <c r="R10" s="830"/>
      <c r="S10" s="830"/>
      <c r="T10" s="830"/>
      <c r="W10" s="830"/>
    </row>
    <row r="11" spans="1:31" x14ac:dyDescent="0.25">
      <c r="A11" s="1117"/>
      <c r="B11" s="1130" t="s">
        <v>105</v>
      </c>
      <c r="C11" s="947" t="s">
        <v>14</v>
      </c>
      <c r="D11" s="914">
        <v>10</v>
      </c>
      <c r="E11" s="944">
        <f t="shared" si="4"/>
        <v>14.208477237048667</v>
      </c>
      <c r="F11" s="948">
        <v>0.75</v>
      </c>
      <c r="G11" s="944">
        <f t="shared" si="0"/>
        <v>142.08477237048666</v>
      </c>
      <c r="H11" s="943">
        <f t="shared" si="1"/>
        <v>106.56357927786499</v>
      </c>
      <c r="I11" s="914">
        <f>VLOOKUP(B11,All_Ingredients!$A$1:$F$161,6,FALSE())</f>
        <v>1</v>
      </c>
      <c r="J11" s="940">
        <f>VLOOKUP(B11,All_Ingredients!$A$1:$J$161,10,FALSE())</f>
        <v>15</v>
      </c>
      <c r="K11" s="945">
        <f t="shared" si="5"/>
        <v>0.10656357927786499</v>
      </c>
      <c r="L11" s="945">
        <f t="shared" si="6"/>
        <v>1.5984536891679748</v>
      </c>
      <c r="R11" s="830"/>
      <c r="S11" s="830"/>
      <c r="T11" s="830"/>
      <c r="W11" s="830"/>
    </row>
    <row r="12" spans="1:31" ht="28.5" x14ac:dyDescent="0.25">
      <c r="A12" s="1117"/>
      <c r="B12" s="1130" t="s">
        <v>107</v>
      </c>
      <c r="C12" s="947" t="s">
        <v>14</v>
      </c>
      <c r="D12" s="914">
        <v>15</v>
      </c>
      <c r="E12" s="944">
        <f t="shared" si="4"/>
        <v>14.208477237048667</v>
      </c>
      <c r="F12" s="948">
        <v>0.75</v>
      </c>
      <c r="G12" s="944">
        <f t="shared" si="0"/>
        <v>213.12715855573001</v>
      </c>
      <c r="H12" s="943">
        <f t="shared" si="1"/>
        <v>159.8453689167975</v>
      </c>
      <c r="I12" s="914">
        <f>VLOOKUP(B12,All_Ingredients!$A$1:$F$161,6,FALSE())</f>
        <v>1</v>
      </c>
      <c r="J12" s="940">
        <f>VLOOKUP(B12,All_Ingredients!$A$1:$J$161,10,FALSE())</f>
        <v>8</v>
      </c>
      <c r="K12" s="945">
        <f t="shared" si="5"/>
        <v>0.15984536891679749</v>
      </c>
      <c r="L12" s="945">
        <f t="shared" si="6"/>
        <v>1.2787629513343799</v>
      </c>
      <c r="R12" s="830"/>
      <c r="S12" s="830"/>
      <c r="T12" s="830"/>
      <c r="W12" s="830"/>
    </row>
    <row r="13" spans="1:31" ht="28.5" x14ac:dyDescent="0.25">
      <c r="A13" s="1117"/>
      <c r="B13" s="1130" t="s">
        <v>122</v>
      </c>
      <c r="C13" s="947" t="s">
        <v>14</v>
      </c>
      <c r="D13" s="914">
        <v>10</v>
      </c>
      <c r="E13" s="944">
        <f t="shared" si="4"/>
        <v>14.208477237048667</v>
      </c>
      <c r="F13" s="948">
        <v>0.75</v>
      </c>
      <c r="G13" s="944">
        <f t="shared" si="0"/>
        <v>142.08477237048666</v>
      </c>
      <c r="H13" s="943">
        <f t="shared" si="1"/>
        <v>106.56357927786499</v>
      </c>
      <c r="I13" s="914">
        <f>VLOOKUP(B13,All_Ingredients!$A$1:$F$161,6,FALSE())</f>
        <v>1</v>
      </c>
      <c r="J13" s="940">
        <f>VLOOKUP(B13,All_Ingredients!$A$1:$J$161,10,FALSE())</f>
        <v>14</v>
      </c>
      <c r="K13" s="945">
        <f t="shared" si="5"/>
        <v>0.10656357927786499</v>
      </c>
      <c r="L13" s="945">
        <f t="shared" si="6"/>
        <v>1.4918901098901098</v>
      </c>
      <c r="R13" s="830"/>
      <c r="S13" s="830"/>
      <c r="T13" s="830"/>
      <c r="W13" s="830"/>
    </row>
    <row r="14" spans="1:31" x14ac:dyDescent="0.25">
      <c r="A14" s="1117"/>
      <c r="B14" s="1130" t="s">
        <v>139</v>
      </c>
      <c r="C14" s="947" t="s">
        <v>14</v>
      </c>
      <c r="D14" s="914">
        <v>6</v>
      </c>
      <c r="E14" s="944">
        <f t="shared" si="4"/>
        <v>14.208477237048667</v>
      </c>
      <c r="F14" s="948">
        <v>1</v>
      </c>
      <c r="G14" s="944">
        <f t="shared" si="0"/>
        <v>85.250863422291999</v>
      </c>
      <c r="H14" s="943">
        <f t="shared" si="1"/>
        <v>85.250863422291999</v>
      </c>
      <c r="I14" s="914">
        <f>VLOOKUP(B14,All_Ingredients!$A$1:$F$161,6,FALSE())</f>
        <v>1</v>
      </c>
      <c r="J14" s="940">
        <f>VLOOKUP(B14,All_Ingredients!$A$1:$J$161,10,FALSE())</f>
        <v>15.277777777777779</v>
      </c>
      <c r="K14" s="945">
        <f t="shared" si="5"/>
        <v>8.5250863422292003E-2</v>
      </c>
      <c r="L14" s="945">
        <f t="shared" si="6"/>
        <v>1.3024437467294612</v>
      </c>
      <c r="R14" s="830"/>
      <c r="S14" s="830"/>
      <c r="T14" s="830"/>
      <c r="W14" s="830"/>
    </row>
    <row r="15" spans="1:31" x14ac:dyDescent="0.25">
      <c r="A15" s="1117"/>
      <c r="B15" s="1130" t="s">
        <v>93</v>
      </c>
      <c r="C15" s="947" t="s">
        <v>14</v>
      </c>
      <c r="D15" s="914">
        <v>5</v>
      </c>
      <c r="E15" s="944">
        <f t="shared" si="4"/>
        <v>14.208477237048667</v>
      </c>
      <c r="F15" s="948">
        <v>1</v>
      </c>
      <c r="G15" s="944">
        <f t="shared" si="0"/>
        <v>71.04238618524333</v>
      </c>
      <c r="H15" s="943">
        <f t="shared" si="1"/>
        <v>71.04238618524333</v>
      </c>
      <c r="I15" s="914">
        <f>VLOOKUP(B15,All_Ingredients!$A$1:$F$161,6,FALSE())</f>
        <v>1</v>
      </c>
      <c r="J15" s="940">
        <f>VLOOKUP(B15,All_Ingredients!$A$1:$J$161,10,FALSE())</f>
        <v>0.74</v>
      </c>
      <c r="K15" s="945">
        <f t="shared" si="5"/>
        <v>7.1042386185243334E-2</v>
      </c>
      <c r="L15" s="945">
        <f t="shared" si="6"/>
        <v>5.2571365777080069E-2</v>
      </c>
      <c r="R15" s="830"/>
      <c r="S15" s="830"/>
      <c r="T15" s="830"/>
      <c r="W15" s="830"/>
    </row>
    <row r="16" spans="1:31" x14ac:dyDescent="0.25">
      <c r="A16" s="1117"/>
      <c r="B16" s="960" t="s">
        <v>152</v>
      </c>
      <c r="C16" s="947" t="s">
        <v>14</v>
      </c>
      <c r="D16" s="914">
        <v>40</v>
      </c>
      <c r="E16" s="944">
        <f t="shared" si="4"/>
        <v>14.208477237048667</v>
      </c>
      <c r="F16" s="948">
        <v>1</v>
      </c>
      <c r="G16" s="944">
        <f t="shared" si="0"/>
        <v>568.33908948194664</v>
      </c>
      <c r="H16" s="943">
        <f t="shared" si="1"/>
        <v>568.33908948194664</v>
      </c>
      <c r="I16" s="914">
        <f>VLOOKUP(B16,All_Ingredients!$A$1:$F$161,6,FALSE())</f>
        <v>1</v>
      </c>
      <c r="J16" s="940">
        <f>VLOOKUP(B16,All_Ingredients!$A$1:$J$161,10,FALSE())</f>
        <v>30</v>
      </c>
      <c r="K16" s="945">
        <f t="shared" si="5"/>
        <v>0.56833908948194667</v>
      </c>
      <c r="L16" s="945">
        <f t="shared" si="6"/>
        <v>17.050172684458399</v>
      </c>
      <c r="R16" s="830"/>
      <c r="S16" s="830"/>
      <c r="T16" s="830"/>
      <c r="W16" s="830"/>
    </row>
    <row r="17" spans="1:31" x14ac:dyDescent="0.25">
      <c r="A17" s="1117"/>
      <c r="B17" s="960" t="s">
        <v>219</v>
      </c>
      <c r="C17" s="947" t="s">
        <v>14</v>
      </c>
      <c r="D17" s="914">
        <v>400</v>
      </c>
      <c r="E17" s="944">
        <f t="shared" si="4"/>
        <v>14.208477237048667</v>
      </c>
      <c r="F17" s="948">
        <v>1</v>
      </c>
      <c r="G17" s="944">
        <f t="shared" si="0"/>
        <v>5683.3908948194667</v>
      </c>
      <c r="H17" s="943">
        <f t="shared" si="1"/>
        <v>5683.3908948194667</v>
      </c>
      <c r="I17" s="914">
        <f>VLOOKUP(B17,All_Ingredients!$A$1:$F$161,6,FALSE())</f>
        <v>1</v>
      </c>
      <c r="J17" s="940">
        <f>VLOOKUP(B17,All_Ingredients!$A$1:$J$161,10,FALSE())</f>
        <v>7.1875</v>
      </c>
      <c r="K17" s="945">
        <f t="shared" si="5"/>
        <v>5.6833908948194667</v>
      </c>
      <c r="L17" s="945">
        <f t="shared" si="6"/>
        <v>40.849372056514916</v>
      </c>
      <c r="R17" s="830"/>
      <c r="S17" s="830"/>
      <c r="T17" s="830"/>
      <c r="W17" s="830"/>
    </row>
    <row r="18" spans="1:31" x14ac:dyDescent="0.25">
      <c r="B18" s="80"/>
      <c r="D18" s="830"/>
      <c r="E18" s="80"/>
      <c r="F18" s="80"/>
      <c r="H18" s="830"/>
      <c r="K18" s="830"/>
      <c r="L18" s="144"/>
      <c r="R18" s="830"/>
      <c r="S18" s="830"/>
      <c r="T18" s="830"/>
      <c r="W18" s="830"/>
    </row>
    <row r="19" spans="1:31" ht="29.25" x14ac:dyDescent="0.25">
      <c r="B19" s="830"/>
      <c r="D19" s="830"/>
      <c r="E19" s="830"/>
      <c r="F19" s="830"/>
      <c r="H19" s="830"/>
      <c r="K19" s="830"/>
      <c r="L19" s="144"/>
      <c r="R19" s="830"/>
      <c r="S19" s="830" t="s">
        <v>411</v>
      </c>
      <c r="T19" s="830"/>
      <c r="W19" s="830"/>
    </row>
    <row r="20" spans="1:31" x14ac:dyDescent="0.25">
      <c r="B20" s="830"/>
      <c r="D20" s="830"/>
      <c r="E20" s="830"/>
      <c r="F20" s="830"/>
      <c r="H20" s="830"/>
      <c r="K20" s="830"/>
      <c r="L20" s="144"/>
      <c r="R20" s="1141"/>
      <c r="S20" s="830"/>
      <c r="T20" s="830"/>
      <c r="W20" s="830"/>
    </row>
    <row r="21" spans="1:31" x14ac:dyDescent="0.25">
      <c r="B21" s="830"/>
      <c r="D21" s="830"/>
      <c r="E21" s="830"/>
      <c r="F21" s="830"/>
      <c r="H21" s="830"/>
      <c r="K21" s="830"/>
      <c r="L21" s="144"/>
      <c r="R21" s="830"/>
      <c r="S21" s="830"/>
      <c r="T21" s="830"/>
      <c r="W21" s="830"/>
    </row>
    <row r="22" spans="1:31" x14ac:dyDescent="0.25">
      <c r="B22" s="830"/>
      <c r="D22" s="830"/>
      <c r="E22" s="830"/>
      <c r="F22" s="830"/>
      <c r="H22" s="830"/>
      <c r="K22" s="830"/>
      <c r="L22" s="144"/>
      <c r="R22" s="830"/>
      <c r="S22" s="830"/>
      <c r="T22" s="830"/>
      <c r="W22" s="830"/>
    </row>
    <row r="23" spans="1:31" x14ac:dyDescent="0.25">
      <c r="B23" s="830"/>
      <c r="D23" s="830"/>
      <c r="E23" s="830"/>
      <c r="F23" s="830"/>
      <c r="H23" s="830"/>
      <c r="K23" s="830"/>
      <c r="L23" s="144"/>
      <c r="R23" s="830"/>
      <c r="S23" s="830"/>
      <c r="T23" s="830"/>
      <c r="W23" s="830"/>
    </row>
    <row r="24" spans="1:31" x14ac:dyDescent="0.25">
      <c r="B24" s="830"/>
      <c r="D24" s="830"/>
      <c r="E24" s="830"/>
      <c r="F24" s="830"/>
      <c r="H24" s="830"/>
      <c r="K24" s="830"/>
      <c r="L24" s="144"/>
      <c r="R24" s="830"/>
      <c r="S24" s="830"/>
      <c r="T24" s="830"/>
      <c r="W24" s="830"/>
      <c r="Z24" s="630"/>
    </row>
    <row r="25" spans="1:31" x14ac:dyDescent="0.25">
      <c r="B25" s="80"/>
      <c r="D25" s="830"/>
      <c r="E25" s="80"/>
      <c r="F25" s="80"/>
      <c r="H25" s="830"/>
      <c r="K25" s="830"/>
      <c r="L25" s="144"/>
      <c r="R25" s="1859" t="s">
        <v>412</v>
      </c>
      <c r="S25" s="1788"/>
      <c r="T25" s="1788"/>
      <c r="U25" s="1787"/>
      <c r="V25" s="959"/>
      <c r="W25" s="830"/>
      <c r="Z25" s="982" t="s">
        <v>252</v>
      </c>
      <c r="AA25" s="989">
        <v>1</v>
      </c>
      <c r="AB25" s="982" t="s">
        <v>249</v>
      </c>
      <c r="AC25" s="985">
        <f>(AA25*(17/10))*AE30</f>
        <v>4.8314869628734491E-2</v>
      </c>
      <c r="AD25" s="14"/>
    </row>
    <row r="26" spans="1:31" x14ac:dyDescent="0.25">
      <c r="B26" s="80"/>
      <c r="D26" s="830"/>
      <c r="E26" s="80"/>
      <c r="F26" s="80"/>
      <c r="H26" s="830"/>
      <c r="K26" s="830"/>
      <c r="L26" s="144"/>
      <c r="R26" s="1859" t="s">
        <v>413</v>
      </c>
      <c r="S26" s="1788"/>
      <c r="T26" s="1788"/>
      <c r="U26" s="1787"/>
      <c r="V26" s="959"/>
      <c r="W26" s="830"/>
      <c r="Z26" s="14"/>
      <c r="AA26" s="14"/>
      <c r="AB26" s="14"/>
      <c r="AC26" s="14"/>
      <c r="AD26" s="14"/>
    </row>
    <row r="27" spans="1:31" x14ac:dyDescent="0.25">
      <c r="B27" s="830"/>
      <c r="D27" s="830"/>
      <c r="E27" s="830"/>
      <c r="F27" s="830"/>
      <c r="H27" s="830"/>
      <c r="K27" s="830"/>
      <c r="R27" s="961" t="s">
        <v>254</v>
      </c>
      <c r="S27" s="961" t="s">
        <v>292</v>
      </c>
      <c r="T27" s="961" t="s">
        <v>256</v>
      </c>
      <c r="U27" s="962" t="s">
        <v>257</v>
      </c>
      <c r="V27" s="962" t="s">
        <v>753</v>
      </c>
      <c r="W27" s="830"/>
      <c r="Z27" s="982" t="s">
        <v>258</v>
      </c>
      <c r="AA27" s="982" t="s">
        <v>259</v>
      </c>
      <c r="AB27" s="982" t="s">
        <v>260</v>
      </c>
      <c r="AC27" s="982" t="s">
        <v>261</v>
      </c>
      <c r="AD27" s="984" t="s">
        <v>753</v>
      </c>
      <c r="AE27" s="982" t="s">
        <v>262</v>
      </c>
    </row>
    <row r="28" spans="1:31" x14ac:dyDescent="0.25">
      <c r="B28" s="830"/>
      <c r="D28" s="830"/>
      <c r="E28" s="830"/>
      <c r="F28" s="830"/>
      <c r="H28" s="830"/>
      <c r="K28" s="830"/>
      <c r="R28" s="961" t="s">
        <v>263</v>
      </c>
      <c r="S28" s="1132">
        <f>U28*S40</f>
        <v>11507.692307692305</v>
      </c>
      <c r="T28" s="1132">
        <f>U28*U40</f>
        <v>3452.307692307696</v>
      </c>
      <c r="U28" s="1391">
        <f>$Z$1</f>
        <v>14960</v>
      </c>
      <c r="V28" s="966">
        <f>SUM(F37:F38)</f>
        <v>108.07</v>
      </c>
      <c r="W28" s="830"/>
      <c r="Z28" s="1086"/>
      <c r="AA28" s="985">
        <f>AA25*$S$40</f>
        <v>0.76923076923076905</v>
      </c>
      <c r="AB28" s="985">
        <f>AA25*$U$40</f>
        <v>0.230769230769231</v>
      </c>
      <c r="AC28" s="989">
        <f>AA25*0.7</f>
        <v>0.7</v>
      </c>
      <c r="AD28" s="987"/>
      <c r="AE28" s="1088">
        <f>SUM(AA28:AC28)</f>
        <v>1.7</v>
      </c>
    </row>
    <row r="29" spans="1:31" x14ac:dyDescent="0.25">
      <c r="B29" s="830"/>
      <c r="D29" s="830"/>
      <c r="E29" s="830"/>
      <c r="F29" s="830"/>
      <c r="H29" s="830"/>
      <c r="K29" s="830"/>
      <c r="R29" s="961" t="s">
        <v>264</v>
      </c>
      <c r="S29" s="960"/>
      <c r="T29" s="967">
        <f>U28*0.7</f>
        <v>10472</v>
      </c>
      <c r="U29" s="966"/>
      <c r="V29" s="966"/>
      <c r="W29" s="830"/>
      <c r="Z29" s="1086"/>
      <c r="AA29" s="1089">
        <f>AA28/$AE$28</f>
        <v>0.45248868778280532</v>
      </c>
      <c r="AB29" s="1089">
        <f>AB28/$AE$28</f>
        <v>0.13574660633484176</v>
      </c>
      <c r="AC29" s="1089">
        <f>AC28/$AE$28</f>
        <v>0.41176470588235292</v>
      </c>
      <c r="AD29" s="991"/>
      <c r="AE29" s="1089">
        <f>AE28/$AE$28</f>
        <v>1</v>
      </c>
    </row>
    <row r="30" spans="1:31" x14ac:dyDescent="0.25">
      <c r="B30" s="830"/>
      <c r="D30" s="830"/>
      <c r="E30" s="830"/>
      <c r="F30" s="830"/>
      <c r="H30" s="830"/>
      <c r="K30" s="830"/>
      <c r="R30" s="961" t="s">
        <v>265</v>
      </c>
      <c r="S30" s="1610">
        <f>U30*S40</f>
        <v>0</v>
      </c>
      <c r="T30" s="1610">
        <f>(U30*U40)+(U30*0.7)</f>
        <v>0</v>
      </c>
      <c r="U30" s="1393">
        <f>$AB$1</f>
        <v>0</v>
      </c>
      <c r="V30" s="972"/>
      <c r="W30" s="830"/>
      <c r="Z30" s="982" t="s">
        <v>266</v>
      </c>
      <c r="AA30" s="1090">
        <f>S35/(S32)</f>
        <v>5.1198257080610023E-2</v>
      </c>
      <c r="AB30" s="1091">
        <f>T35/T32</f>
        <v>9.5372029883381924E-3</v>
      </c>
      <c r="AC30" s="1091">
        <f>T35/T32</f>
        <v>9.5372029883381924E-3</v>
      </c>
      <c r="AD30" s="995">
        <f>V35/U32</f>
        <v>3.215286011566289E-5</v>
      </c>
      <c r="AE30" s="1092">
        <f>SUMPRODUCT(AA30:AC30,AA29:AC29)+AD30</f>
        <v>2.8420511546314409E-2</v>
      </c>
    </row>
    <row r="31" spans="1:31" x14ac:dyDescent="0.25">
      <c r="B31" s="80"/>
      <c r="D31" s="830"/>
      <c r="E31" s="80"/>
      <c r="F31" s="80"/>
      <c r="H31" s="830"/>
      <c r="K31" s="830"/>
      <c r="R31" s="961" t="s">
        <v>267</v>
      </c>
      <c r="S31" s="960"/>
      <c r="T31" s="967"/>
      <c r="U31" s="966"/>
      <c r="V31" s="966"/>
      <c r="W31" s="830"/>
    </row>
    <row r="32" spans="1:31" x14ac:dyDescent="0.25">
      <c r="B32" s="80"/>
      <c r="D32" s="830"/>
      <c r="E32" s="80"/>
      <c r="F32" s="80"/>
      <c r="H32" s="830"/>
      <c r="K32" s="830"/>
      <c r="R32" s="961" t="s">
        <v>257</v>
      </c>
      <c r="S32" s="967">
        <f>SUM(S28:S30)</f>
        <v>11507.692307692305</v>
      </c>
      <c r="T32" s="967">
        <f>SUM(T28:T30)</f>
        <v>13924.307692307695</v>
      </c>
      <c r="U32" s="966">
        <f>SUM(S32:T32)</f>
        <v>25432</v>
      </c>
      <c r="V32" s="966">
        <f>SUM(V28:V30)</f>
        <v>108.07</v>
      </c>
      <c r="W32" s="830"/>
    </row>
    <row r="33" spans="2:23" ht="30" x14ac:dyDescent="0.25">
      <c r="B33" s="80"/>
      <c r="D33" s="830"/>
      <c r="E33" s="80"/>
      <c r="F33" s="80"/>
      <c r="H33" s="830"/>
      <c r="K33" s="830"/>
      <c r="R33" s="976" t="s">
        <v>268</v>
      </c>
      <c r="S33" s="960"/>
      <c r="T33" s="960"/>
      <c r="U33" s="959"/>
      <c r="V33" s="959"/>
      <c r="W33" s="830"/>
    </row>
    <row r="34" spans="2:23" x14ac:dyDescent="0.25">
      <c r="B34" s="80"/>
      <c r="D34" s="830"/>
      <c r="E34" s="80"/>
      <c r="F34" s="80"/>
      <c r="H34" s="830"/>
      <c r="K34" s="830"/>
      <c r="R34" s="961" t="s">
        <v>269</v>
      </c>
      <c r="S34" s="960"/>
      <c r="T34" s="967"/>
      <c r="U34" s="959"/>
      <c r="V34" s="959"/>
      <c r="W34" s="830"/>
    </row>
    <row r="35" spans="2:23" ht="15.75" x14ac:dyDescent="0.25">
      <c r="B35" s="1845" t="s">
        <v>651</v>
      </c>
      <c r="C35" s="1846"/>
      <c r="D35" s="1845"/>
      <c r="E35" s="1845"/>
      <c r="F35" s="1845"/>
      <c r="G35" s="439"/>
      <c r="H35" s="1609"/>
      <c r="I35" s="1010"/>
      <c r="J35" s="1010"/>
      <c r="K35" s="1009"/>
      <c r="L35" s="1010"/>
      <c r="R35" s="977" t="s">
        <v>249</v>
      </c>
      <c r="S35" s="979">
        <f>$L$5</f>
        <v>589.17378917378903</v>
      </c>
      <c r="T35" s="979">
        <f>SUM(L6:L17)</f>
        <v>132.79894893361742</v>
      </c>
      <c r="U35" s="1136">
        <f>S35+T35+V35</f>
        <v>722.79044964586808</v>
      </c>
      <c r="V35" s="1136">
        <f>SUM(L37:L38)</f>
        <v>0.81771153846153855</v>
      </c>
      <c r="W35" s="830"/>
    </row>
    <row r="36" spans="2:23" ht="31.5" x14ac:dyDescent="0.25">
      <c r="B36" s="1004" t="s">
        <v>241</v>
      </c>
      <c r="C36" s="1004" t="s">
        <v>316</v>
      </c>
      <c r="D36" s="1002" t="s">
        <v>610</v>
      </c>
      <c r="E36" s="1002" t="s">
        <v>611</v>
      </c>
      <c r="F36" s="1002" t="s">
        <v>612</v>
      </c>
      <c r="G36" s="441"/>
      <c r="H36" s="1002" t="s">
        <v>612</v>
      </c>
      <c r="I36" s="1002" t="s">
        <v>246</v>
      </c>
      <c r="J36" s="1002" t="s">
        <v>247</v>
      </c>
      <c r="K36" s="1002" t="s">
        <v>248</v>
      </c>
      <c r="L36" s="1002" t="s">
        <v>249</v>
      </c>
      <c r="R36" s="830"/>
      <c r="S36" s="830"/>
      <c r="T36" s="830"/>
      <c r="W36" s="830"/>
    </row>
    <row r="37" spans="2:23" x14ac:dyDescent="0.25">
      <c r="B37" s="1005" t="s">
        <v>666</v>
      </c>
      <c r="C37" s="1006" t="s">
        <v>14</v>
      </c>
      <c r="D37" s="1007">
        <v>7.0000000000000007E-2</v>
      </c>
      <c r="E37" s="1005">
        <f>$AD$1</f>
        <v>101</v>
      </c>
      <c r="F37" s="1005">
        <f>D37*E37</f>
        <v>7.07</v>
      </c>
      <c r="G37" s="435"/>
      <c r="H37" s="1005">
        <f>F37</f>
        <v>7.07</v>
      </c>
      <c r="I37" s="1005">
        <f>VLOOKUP(B37,All_Ingredients!$A$1:$F$161,6,FALSE())</f>
        <v>0.65</v>
      </c>
      <c r="J37" s="1005">
        <f>VLOOKUP(B37,All_Ingredients!$A$1:$J$161,10,FALSE())</f>
        <v>45</v>
      </c>
      <c r="K37" s="1005">
        <f>(H37/I37)/1000</f>
        <v>1.0876923076923077E-2</v>
      </c>
      <c r="L37" s="1005">
        <f>K37*J37</f>
        <v>0.4894615384615385</v>
      </c>
      <c r="R37" s="830"/>
      <c r="S37" s="830"/>
      <c r="T37" s="830"/>
      <c r="W37" s="830"/>
    </row>
    <row r="38" spans="2:23" x14ac:dyDescent="0.25">
      <c r="B38" s="1005" t="s">
        <v>19</v>
      </c>
      <c r="C38" s="1006" t="s">
        <v>14</v>
      </c>
      <c r="D38" s="1007">
        <v>1</v>
      </c>
      <c r="E38" s="1005">
        <f>$AD$1</f>
        <v>101</v>
      </c>
      <c r="F38" s="1005">
        <f>D38*E38</f>
        <v>101</v>
      </c>
      <c r="H38" s="1005">
        <f>F38</f>
        <v>101</v>
      </c>
      <c r="I38" s="1005">
        <f>VLOOKUP(B38,All_Ingredients!$A$1:$F$161,6,FALSE())</f>
        <v>0.8</v>
      </c>
      <c r="J38" s="1005">
        <f>VLOOKUP(B38,All_Ingredients!$A$1:$J$161,10,FALSE())</f>
        <v>2.6</v>
      </c>
      <c r="K38" s="1005">
        <f>(H38/I38)/1000</f>
        <v>0.12625</v>
      </c>
      <c r="L38" s="1005">
        <f>K38*J38</f>
        <v>0.32825000000000004</v>
      </c>
      <c r="R38" s="830"/>
      <c r="S38" s="830"/>
      <c r="T38" s="830"/>
      <c r="W38" s="830"/>
    </row>
    <row r="39" spans="2:23" x14ac:dyDescent="0.25">
      <c r="B39" s="830"/>
      <c r="D39" s="830"/>
      <c r="E39" s="830"/>
      <c r="F39" s="830"/>
      <c r="H39" s="830"/>
      <c r="K39" s="830"/>
      <c r="R39" s="830"/>
      <c r="S39" s="830"/>
      <c r="T39" s="830"/>
      <c r="W39" s="830"/>
    </row>
    <row r="40" spans="2:23" ht="26.25" x14ac:dyDescent="0.25">
      <c r="B40" s="830"/>
      <c r="D40" s="830"/>
      <c r="E40" s="830"/>
      <c r="F40" s="830"/>
      <c r="H40" s="830"/>
      <c r="K40" s="830"/>
      <c r="Q40" s="14"/>
      <c r="R40" s="1011" t="s">
        <v>270</v>
      </c>
      <c r="S40" s="1611">
        <v>0.76923076923076905</v>
      </c>
      <c r="T40" s="1011" t="s">
        <v>271</v>
      </c>
      <c r="U40" s="1612">
        <v>0.230769230769231</v>
      </c>
      <c r="V40" s="1014">
        <f>S40+U40</f>
        <v>1</v>
      </c>
      <c r="W40" s="890"/>
    </row>
    <row r="41" spans="2:23" x14ac:dyDescent="0.25">
      <c r="B41" s="830"/>
      <c r="D41" s="830"/>
      <c r="E41" s="830"/>
      <c r="F41" s="830"/>
      <c r="H41" s="830"/>
      <c r="K41" s="830"/>
      <c r="Q41" s="14"/>
      <c r="R41" s="890"/>
      <c r="S41" s="890"/>
      <c r="T41" s="890"/>
      <c r="U41" s="123"/>
      <c r="V41" s="14"/>
      <c r="W41" s="890"/>
    </row>
    <row r="42" spans="2:23" x14ac:dyDescent="0.25">
      <c r="B42" s="830"/>
      <c r="D42" s="830"/>
      <c r="E42" s="830"/>
      <c r="F42" s="830"/>
      <c r="H42" s="830"/>
      <c r="K42" s="830"/>
      <c r="Q42" s="14"/>
      <c r="R42" s="890"/>
      <c r="S42" s="890"/>
      <c r="T42" s="890"/>
      <c r="U42" s="14"/>
      <c r="V42" s="14"/>
      <c r="W42" s="890"/>
    </row>
    <row r="43" spans="2:23" ht="26.25" x14ac:dyDescent="0.25">
      <c r="B43" s="830"/>
      <c r="D43" s="830"/>
      <c r="E43" s="830"/>
      <c r="F43" s="830"/>
      <c r="H43" s="830"/>
      <c r="K43" s="830"/>
      <c r="Q43" s="1015" t="s">
        <v>272</v>
      </c>
      <c r="R43" s="1011" t="s">
        <v>273</v>
      </c>
      <c r="S43" s="1011" t="s">
        <v>274</v>
      </c>
      <c r="T43" s="1011" t="s">
        <v>275</v>
      </c>
      <c r="U43" s="1015" t="s">
        <v>276</v>
      </c>
      <c r="V43" s="1015" t="s">
        <v>277</v>
      </c>
      <c r="W43" s="1011" t="s">
        <v>278</v>
      </c>
    </row>
    <row r="44" spans="2:23" x14ac:dyDescent="0.25">
      <c r="B44" s="830"/>
      <c r="D44" s="830"/>
      <c r="E44" s="830"/>
      <c r="F44" s="830"/>
      <c r="H44" s="830"/>
      <c r="K44" s="830"/>
      <c r="Q44" s="1023">
        <v>10745</v>
      </c>
      <c r="R44" s="1017">
        <f>D51</f>
        <v>10000</v>
      </c>
      <c r="S44" s="1025">
        <v>0.24793000000000001</v>
      </c>
      <c r="T44" s="1025">
        <v>0.75207000000000002</v>
      </c>
      <c r="U44" s="1096">
        <f>R44*S44</f>
        <v>2479.3000000000002</v>
      </c>
      <c r="V44" s="1021">
        <f>R44*T44</f>
        <v>7520.7</v>
      </c>
      <c r="W44" s="1026">
        <f>Q44-U44</f>
        <v>8265.7000000000007</v>
      </c>
    </row>
    <row r="50" spans="1:11" x14ac:dyDescent="0.25">
      <c r="B50" s="961"/>
      <c r="C50" s="962" t="s">
        <v>233</v>
      </c>
      <c r="D50" s="961" t="s">
        <v>279</v>
      </c>
      <c r="E50" s="80"/>
      <c r="F50" s="80"/>
      <c r="G50" s="962" t="s">
        <v>280</v>
      </c>
      <c r="H50" s="961" t="s">
        <v>233</v>
      </c>
      <c r="I50" s="962" t="s">
        <v>281</v>
      </c>
      <c r="J50" s="962" t="s">
        <v>282</v>
      </c>
      <c r="K50" s="830"/>
    </row>
    <row r="51" spans="1:11" x14ac:dyDescent="0.25">
      <c r="B51" s="1027" t="s">
        <v>283</v>
      </c>
      <c r="C51" s="1028">
        <f>10/$K$1</f>
        <v>10.204081632653061</v>
      </c>
      <c r="D51" s="1029">
        <f>$C$1*10</f>
        <v>10000</v>
      </c>
      <c r="E51" s="135"/>
      <c r="F51" s="80"/>
      <c r="G51" s="1033" t="s">
        <v>283</v>
      </c>
      <c r="H51" s="1122">
        <f>I51/$D$5</f>
        <v>10</v>
      </c>
      <c r="I51" s="1028">
        <f>J51/$R$1</f>
        <v>16207.254901960785</v>
      </c>
      <c r="J51" s="1028">
        <f>$W$44</f>
        <v>8265.7000000000007</v>
      </c>
      <c r="K51" s="830"/>
    </row>
    <row r="52" spans="1:11" x14ac:dyDescent="0.25">
      <c r="B52" s="958" t="s">
        <v>262</v>
      </c>
      <c r="C52" s="1099">
        <f>$I$1</f>
        <v>14.208477237048667</v>
      </c>
      <c r="D52" s="1100">
        <f>$E$1</f>
        <v>13924.307692307695</v>
      </c>
      <c r="E52" s="80"/>
      <c r="F52" s="80"/>
      <c r="G52" s="962" t="s">
        <v>262</v>
      </c>
      <c r="H52" s="1052">
        <f>I52/$D$5</f>
        <v>13.922223535444433</v>
      </c>
      <c r="I52" s="1021">
        <f>J52/$R$1</f>
        <v>22564.102564102559</v>
      </c>
      <c r="J52" s="1030">
        <f>$S$32</f>
        <v>11507.692307692305</v>
      </c>
      <c r="K52" s="830"/>
    </row>
    <row r="53" spans="1:11" x14ac:dyDescent="0.25">
      <c r="B53" s="958" t="s">
        <v>284</v>
      </c>
      <c r="C53" s="1101">
        <f>MIN(C52, C51)</f>
        <v>10.204081632653061</v>
      </c>
      <c r="D53" s="1100">
        <f>(C53*$K$1)*$C$1</f>
        <v>10000</v>
      </c>
      <c r="E53" s="80"/>
      <c r="F53" s="80"/>
      <c r="G53" s="962" t="s">
        <v>284</v>
      </c>
      <c r="H53" s="1035">
        <f>MIN(H52,H51)</f>
        <v>10</v>
      </c>
      <c r="I53" s="1021">
        <f>J53/$R$1</f>
        <v>16207.254901960785</v>
      </c>
      <c r="J53" s="1021">
        <f>MIN(J52,J51)</f>
        <v>8265.7000000000007</v>
      </c>
      <c r="K53" s="830"/>
    </row>
    <row r="54" spans="1:11" x14ac:dyDescent="0.25">
      <c r="B54" s="958" t="s">
        <v>285</v>
      </c>
      <c r="C54" s="1101">
        <f>MIN(MAX(C52-C53,0),C51)</f>
        <v>4.0043956043956062</v>
      </c>
      <c r="D54" s="1100">
        <f>(C54*$K$1)*$C$1</f>
        <v>3924.3076923076947</v>
      </c>
      <c r="E54" s="80"/>
      <c r="F54" s="80"/>
      <c r="G54" s="962" t="s">
        <v>285</v>
      </c>
      <c r="H54" s="1035">
        <f>MIN(MAX(H52-H53),H51)</f>
        <v>3.9222235354444326</v>
      </c>
      <c r="I54" s="1021">
        <f>J54/$R$1</f>
        <v>6356.8476621417731</v>
      </c>
      <c r="J54" s="1021">
        <f>MIN(MAX(J52-J53),J51)</f>
        <v>3241.9923076923042</v>
      </c>
      <c r="K54" s="83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30"/>
    </row>
    <row r="56" spans="1:11" x14ac:dyDescent="0.25">
      <c r="B56" s="830"/>
      <c r="D56" s="830"/>
      <c r="E56" s="830"/>
      <c r="F56" s="830"/>
      <c r="H56" s="830"/>
      <c r="K56" s="830"/>
    </row>
    <row r="57" spans="1:11" x14ac:dyDescent="0.25">
      <c r="B57" s="830"/>
      <c r="D57" s="830"/>
      <c r="E57" s="830"/>
      <c r="F57" s="830"/>
      <c r="H57" s="830"/>
      <c r="K57" s="830"/>
    </row>
    <row r="58" spans="1:11" x14ac:dyDescent="0.25">
      <c r="B58" s="830"/>
      <c r="D58" s="830"/>
      <c r="E58" s="830"/>
      <c r="F58" s="830"/>
      <c r="H58" s="830"/>
      <c r="K58" s="830"/>
    </row>
    <row r="59" spans="1:11" x14ac:dyDescent="0.25">
      <c r="B59" s="830"/>
      <c r="D59" s="830"/>
      <c r="E59" s="830"/>
      <c r="F59" s="830"/>
      <c r="H59" s="830"/>
      <c r="K59" s="830"/>
    </row>
    <row r="60" spans="1:11" x14ac:dyDescent="0.25">
      <c r="B60" s="830"/>
      <c r="D60" s="830"/>
      <c r="E60" s="830"/>
      <c r="F60" s="830"/>
      <c r="H60" s="830"/>
      <c r="K60" s="830"/>
    </row>
    <row r="61" spans="1:11" x14ac:dyDescent="0.25">
      <c r="B61" s="830"/>
      <c r="D61" s="830"/>
      <c r="E61" s="830"/>
      <c r="F61" s="830"/>
      <c r="H61" s="830"/>
      <c r="K61" s="830"/>
    </row>
    <row r="62" spans="1:11" x14ac:dyDescent="0.25">
      <c r="A62" s="1124"/>
      <c r="B62" s="1776" t="str">
        <f>"فاصوليا لحم 1 / " &amp; COUNTIF($C$53:$C$55, "&gt;0")</f>
        <v>فاصوليا لحم 1 / 2</v>
      </c>
      <c r="C62" s="1777"/>
      <c r="D62" s="1778"/>
      <c r="E62" s="1778"/>
      <c r="F62" s="1778"/>
      <c r="G62" s="1777"/>
      <c r="H62" s="1778"/>
      <c r="K62" s="830"/>
    </row>
    <row r="63" spans="1:11" x14ac:dyDescent="0.25">
      <c r="A63" s="1124"/>
      <c r="B63" s="1842" t="str">
        <f>"Lahm Fasooliya 1 / " &amp; COUNTIF($C$53:$C$55, "&gt;0")</f>
        <v>Lahm Fasooliya 1 / 2</v>
      </c>
      <c r="C63" s="1843"/>
      <c r="D63" s="1844"/>
      <c r="E63" s="1844"/>
      <c r="F63" s="1844"/>
      <c r="G63" s="1843"/>
      <c r="H63" s="1844"/>
      <c r="K63" s="830"/>
    </row>
    <row r="64" spans="1:11" ht="38.25" x14ac:dyDescent="0.2">
      <c r="A64" s="1350" t="s">
        <v>864</v>
      </c>
      <c r="B64" s="1104" t="s">
        <v>241</v>
      </c>
      <c r="C64" s="934" t="s">
        <v>242</v>
      </c>
      <c r="D64" s="1104" t="s">
        <v>231</v>
      </c>
      <c r="E64" s="936" t="s">
        <v>234</v>
      </c>
      <c r="F64" s="936" t="s">
        <v>243</v>
      </c>
      <c r="G64" s="1104" t="s">
        <v>244</v>
      </c>
      <c r="H64" s="936" t="s">
        <v>245</v>
      </c>
      <c r="K64" s="830"/>
    </row>
    <row r="65" spans="1:11" ht="28.5" x14ac:dyDescent="0.2">
      <c r="A65" s="937" t="s">
        <v>872</v>
      </c>
      <c r="B65" s="1130" t="str">
        <f t="shared" ref="B65:D77" si="7">B5</f>
        <v>Indian Meat Alana  - لحم هندى ألانا</v>
      </c>
      <c r="C65" s="1252" t="str">
        <f t="shared" si="7"/>
        <v>gm</v>
      </c>
      <c r="D65" s="1426">
        <f t="shared" si="7"/>
        <v>1620.7254901960785</v>
      </c>
      <c r="E65" s="1040">
        <f>H53</f>
        <v>10</v>
      </c>
      <c r="F65" s="948">
        <f t="shared" ref="F65:F77" si="8">F5</f>
        <v>1</v>
      </c>
      <c r="G65" s="940">
        <f t="shared" ref="G65:G77" si="9">D65*E65</f>
        <v>16207.254901960785</v>
      </c>
      <c r="H65" s="943">
        <f t="shared" ref="H65:H77" si="10">G65*F65</f>
        <v>16207.254901960785</v>
      </c>
      <c r="K65" s="830"/>
    </row>
    <row r="66" spans="1:11" x14ac:dyDescent="0.25">
      <c r="A66" s="1114" t="s">
        <v>881</v>
      </c>
      <c r="B66" s="1130" t="str">
        <f t="shared" si="7"/>
        <v>Onion - بصل</v>
      </c>
      <c r="C66" s="1252" t="str">
        <f t="shared" si="7"/>
        <v>gm</v>
      </c>
      <c r="D66" s="1130">
        <f t="shared" si="7"/>
        <v>300</v>
      </c>
      <c r="E66" s="1040">
        <f t="shared" ref="E66:E77" si="11">$C$53</f>
        <v>10.204081632653061</v>
      </c>
      <c r="F66" s="948">
        <f t="shared" si="8"/>
        <v>1</v>
      </c>
      <c r="G66" s="940">
        <f t="shared" si="9"/>
        <v>3061.2244897959181</v>
      </c>
      <c r="H66" s="943">
        <f t="shared" si="10"/>
        <v>3061.2244897959181</v>
      </c>
      <c r="K66" s="830"/>
    </row>
    <row r="67" spans="1:11" x14ac:dyDescent="0.25">
      <c r="A67" s="1114" t="s">
        <v>868</v>
      </c>
      <c r="B67" s="1130" t="str">
        <f t="shared" si="7"/>
        <v>Garlic - ثوم مقشر</v>
      </c>
      <c r="C67" s="1252" t="str">
        <f t="shared" si="7"/>
        <v>gm</v>
      </c>
      <c r="D67" s="1130">
        <f t="shared" si="7"/>
        <v>25</v>
      </c>
      <c r="E67" s="1040">
        <f t="shared" si="11"/>
        <v>10.204081632653061</v>
      </c>
      <c r="F67" s="948">
        <f t="shared" si="8"/>
        <v>1</v>
      </c>
      <c r="G67" s="940">
        <f t="shared" si="9"/>
        <v>255.10204081632654</v>
      </c>
      <c r="H67" s="943">
        <f t="shared" si="10"/>
        <v>255.10204081632654</v>
      </c>
      <c r="K67" s="830"/>
    </row>
    <row r="68" spans="1:11" x14ac:dyDescent="0.25">
      <c r="A68" s="1114" t="s">
        <v>870</v>
      </c>
      <c r="B68" s="1130" t="str">
        <f t="shared" si="7"/>
        <v>Tomato - طماطم</v>
      </c>
      <c r="C68" s="1252" t="str">
        <f t="shared" si="7"/>
        <v>gm</v>
      </c>
      <c r="D68" s="1130">
        <f t="shared" si="7"/>
        <v>400</v>
      </c>
      <c r="E68" s="1040">
        <f t="shared" si="11"/>
        <v>10.204081632653061</v>
      </c>
      <c r="F68" s="948">
        <f t="shared" si="8"/>
        <v>1</v>
      </c>
      <c r="G68" s="940">
        <f t="shared" si="9"/>
        <v>4081.6326530612246</v>
      </c>
      <c r="H68" s="943">
        <f t="shared" si="10"/>
        <v>4081.6326530612246</v>
      </c>
      <c r="K68" s="830"/>
    </row>
    <row r="69" spans="1:11" x14ac:dyDescent="0.25">
      <c r="A69" s="1114"/>
      <c r="B69" s="1130" t="str">
        <f t="shared" si="7"/>
        <v>Tomato Paste - صلصة طماطم</v>
      </c>
      <c r="C69" s="1252" t="str">
        <f t="shared" si="7"/>
        <v>gm</v>
      </c>
      <c r="D69" s="1130">
        <f t="shared" si="7"/>
        <v>250</v>
      </c>
      <c r="E69" s="1040">
        <f t="shared" si="11"/>
        <v>10.204081632653061</v>
      </c>
      <c r="F69" s="948">
        <f t="shared" si="8"/>
        <v>1</v>
      </c>
      <c r="G69" s="940">
        <f t="shared" si="9"/>
        <v>2551.0204081632651</v>
      </c>
      <c r="H69" s="943">
        <f t="shared" si="10"/>
        <v>2551.0204081632651</v>
      </c>
      <c r="K69" s="830"/>
    </row>
    <row r="70" spans="1:11" ht="28.5" x14ac:dyDescent="0.25">
      <c r="A70" s="1114"/>
      <c r="B70" s="1130" t="str">
        <f t="shared" si="7"/>
        <v>Black Pepper Powder - فلفل أسود مطحون</v>
      </c>
      <c r="C70" s="1252" t="str">
        <f t="shared" si="7"/>
        <v>gm</v>
      </c>
      <c r="D70" s="1130">
        <f t="shared" si="7"/>
        <v>6</v>
      </c>
      <c r="E70" s="1040">
        <f t="shared" si="11"/>
        <v>10.204081632653061</v>
      </c>
      <c r="F70" s="948">
        <f t="shared" si="8"/>
        <v>0.75</v>
      </c>
      <c r="G70" s="940">
        <f t="shared" si="9"/>
        <v>61.224489795918366</v>
      </c>
      <c r="H70" s="943">
        <f t="shared" si="10"/>
        <v>45.918367346938773</v>
      </c>
      <c r="K70" s="830"/>
    </row>
    <row r="71" spans="1:11" x14ac:dyDescent="0.25">
      <c r="A71" s="1114"/>
      <c r="B71" s="1130" t="str">
        <f t="shared" si="7"/>
        <v>Cumin Powder - كمون مطحون</v>
      </c>
      <c r="C71" s="1252" t="str">
        <f t="shared" si="7"/>
        <v>gm</v>
      </c>
      <c r="D71" s="1130">
        <f t="shared" si="7"/>
        <v>10</v>
      </c>
      <c r="E71" s="1040">
        <f t="shared" si="11"/>
        <v>10.204081632653061</v>
      </c>
      <c r="F71" s="948">
        <f t="shared" si="8"/>
        <v>0.75</v>
      </c>
      <c r="G71" s="940">
        <f t="shared" si="9"/>
        <v>102.0408163265306</v>
      </c>
      <c r="H71" s="943">
        <f t="shared" si="10"/>
        <v>76.530612244897952</v>
      </c>
      <c r="K71" s="830"/>
    </row>
    <row r="72" spans="1:11" ht="28.5" x14ac:dyDescent="0.25">
      <c r="A72" s="1114"/>
      <c r="B72" s="1130" t="str">
        <f t="shared" si="7"/>
        <v>Coriander Powder - كزبرة مطحونة</v>
      </c>
      <c r="C72" s="1252" t="str">
        <f t="shared" si="7"/>
        <v>gm</v>
      </c>
      <c r="D72" s="1130">
        <f t="shared" si="7"/>
        <v>15</v>
      </c>
      <c r="E72" s="1040">
        <f t="shared" si="11"/>
        <v>10.204081632653061</v>
      </c>
      <c r="F72" s="948">
        <f t="shared" si="8"/>
        <v>0.75</v>
      </c>
      <c r="G72" s="940">
        <f t="shared" si="9"/>
        <v>153.0612244897959</v>
      </c>
      <c r="H72" s="943">
        <f t="shared" si="10"/>
        <v>114.79591836734693</v>
      </c>
      <c r="K72" s="830"/>
    </row>
    <row r="73" spans="1:11" ht="28.5" x14ac:dyDescent="0.25">
      <c r="A73" s="1114"/>
      <c r="B73" s="1130" t="str">
        <f t="shared" si="7"/>
        <v>Cinnamon Powder - قرفة مطحونة</v>
      </c>
      <c r="C73" s="1252" t="str">
        <f t="shared" si="7"/>
        <v>gm</v>
      </c>
      <c r="D73" s="1130">
        <f t="shared" si="7"/>
        <v>10</v>
      </c>
      <c r="E73" s="1040">
        <f t="shared" si="11"/>
        <v>10.204081632653061</v>
      </c>
      <c r="F73" s="948">
        <f t="shared" si="8"/>
        <v>0.75</v>
      </c>
      <c r="G73" s="940">
        <f t="shared" si="9"/>
        <v>102.0408163265306</v>
      </c>
      <c r="H73" s="943">
        <f t="shared" si="10"/>
        <v>76.530612244897952</v>
      </c>
      <c r="K73" s="830"/>
    </row>
    <row r="74" spans="1:11" x14ac:dyDescent="0.25">
      <c r="A74" s="1114"/>
      <c r="B74" s="1130" t="str">
        <f t="shared" si="7"/>
        <v>Maggi Cubes - مكعبات ماجي</v>
      </c>
      <c r="C74" s="1252" t="str">
        <f t="shared" si="7"/>
        <v>gm</v>
      </c>
      <c r="D74" s="1130">
        <f t="shared" si="7"/>
        <v>6</v>
      </c>
      <c r="E74" s="1040">
        <f t="shared" si="11"/>
        <v>10.204081632653061</v>
      </c>
      <c r="F74" s="948">
        <f t="shared" si="8"/>
        <v>1</v>
      </c>
      <c r="G74" s="940">
        <f t="shared" si="9"/>
        <v>61.224489795918366</v>
      </c>
      <c r="H74" s="943">
        <f t="shared" si="10"/>
        <v>61.224489795918366</v>
      </c>
      <c r="K74" s="830"/>
    </row>
    <row r="75" spans="1:11" x14ac:dyDescent="0.25">
      <c r="A75" s="1114"/>
      <c r="B75" s="1130" t="str">
        <f t="shared" si="7"/>
        <v>Salt - ملح</v>
      </c>
      <c r="C75" s="1252" t="str">
        <f t="shared" si="7"/>
        <v>gm</v>
      </c>
      <c r="D75" s="1130">
        <f t="shared" si="7"/>
        <v>5</v>
      </c>
      <c r="E75" s="1040">
        <f t="shared" si="11"/>
        <v>10.204081632653061</v>
      </c>
      <c r="F75" s="948">
        <f t="shared" si="8"/>
        <v>1</v>
      </c>
      <c r="G75" s="940">
        <f t="shared" si="9"/>
        <v>51.020408163265301</v>
      </c>
      <c r="H75" s="943">
        <f t="shared" si="10"/>
        <v>51.020408163265301</v>
      </c>
      <c r="K75" s="830"/>
    </row>
    <row r="76" spans="1:11" x14ac:dyDescent="0.25">
      <c r="A76" s="1114"/>
      <c r="B76" s="1130" t="str">
        <f t="shared" si="7"/>
        <v>Butter - زبدة</v>
      </c>
      <c r="C76" s="1252" t="str">
        <f t="shared" si="7"/>
        <v>gm</v>
      </c>
      <c r="D76" s="1130">
        <f t="shared" si="7"/>
        <v>40</v>
      </c>
      <c r="E76" s="1040">
        <f t="shared" si="11"/>
        <v>10.204081632653061</v>
      </c>
      <c r="F76" s="948">
        <f t="shared" si="8"/>
        <v>1</v>
      </c>
      <c r="G76" s="940">
        <f t="shared" si="9"/>
        <v>408.16326530612241</v>
      </c>
      <c r="H76" s="943">
        <f t="shared" si="10"/>
        <v>408.16326530612241</v>
      </c>
      <c r="K76" s="830"/>
    </row>
    <row r="77" spans="1:11" x14ac:dyDescent="0.25">
      <c r="A77" s="1114"/>
      <c r="B77" s="1130" t="str">
        <f t="shared" si="7"/>
        <v>White Beans - فاصوليا بيضاء</v>
      </c>
      <c r="C77" s="1252" t="str">
        <f t="shared" si="7"/>
        <v>gm</v>
      </c>
      <c r="D77" s="1130">
        <f t="shared" si="7"/>
        <v>400</v>
      </c>
      <c r="E77" s="1040">
        <f t="shared" si="11"/>
        <v>10.204081632653061</v>
      </c>
      <c r="F77" s="948">
        <f t="shared" si="8"/>
        <v>1</v>
      </c>
      <c r="G77" s="940">
        <f t="shared" si="9"/>
        <v>4081.6326530612246</v>
      </c>
      <c r="H77" s="943">
        <f t="shared" si="10"/>
        <v>4081.6326530612246</v>
      </c>
      <c r="K77" s="830"/>
    </row>
    <row r="78" spans="1:11" ht="18" x14ac:dyDescent="0.25">
      <c r="A78" s="1065"/>
      <c r="B78" s="1041" t="s">
        <v>287</v>
      </c>
      <c r="C78" s="1042" t="s">
        <v>273</v>
      </c>
      <c r="D78" s="1043"/>
      <c r="E78" s="1044" t="s">
        <v>288</v>
      </c>
      <c r="F78" s="1043"/>
      <c r="G78" s="1045" t="s">
        <v>264</v>
      </c>
      <c r="H78" s="1046" t="s">
        <v>661</v>
      </c>
      <c r="K78" s="830"/>
    </row>
    <row r="79" spans="1:11" ht="20.25" x14ac:dyDescent="0.3">
      <c r="A79" s="1065"/>
      <c r="B79" s="1047">
        <f>$J$53</f>
        <v>8265.7000000000007</v>
      </c>
      <c r="C79" s="1048">
        <f>E79+G79</f>
        <v>10000</v>
      </c>
      <c r="D79" s="1049"/>
      <c r="E79" s="1047">
        <f>$D$53*$S$44</f>
        <v>2479.3000000000002</v>
      </c>
      <c r="F79" s="1050"/>
      <c r="G79" s="1048">
        <f>$D$53*$T$44</f>
        <v>7520.7</v>
      </c>
      <c r="H79" s="1047">
        <f>B79+E79</f>
        <v>10745</v>
      </c>
      <c r="K79" s="830"/>
    </row>
    <row r="80" spans="1:11" x14ac:dyDescent="0.25">
      <c r="B80" s="80"/>
      <c r="C80" s="80"/>
      <c r="D80" s="80"/>
      <c r="E80" s="80"/>
      <c r="F80" s="80"/>
      <c r="G80" s="80"/>
      <c r="H80" s="80"/>
      <c r="K80" s="830"/>
    </row>
    <row r="81" spans="1:11" x14ac:dyDescent="0.25">
      <c r="B81" s="80"/>
      <c r="C81" s="80"/>
      <c r="D81" s="80"/>
      <c r="E81" s="80"/>
      <c r="F81" s="80"/>
      <c r="G81" s="80"/>
      <c r="H81" s="80"/>
      <c r="K81" s="830"/>
    </row>
    <row r="82" spans="1:11" x14ac:dyDescent="0.25">
      <c r="B82" s="80"/>
      <c r="C82" s="80"/>
      <c r="D82" s="80"/>
      <c r="E82" s="80"/>
      <c r="F82" s="80"/>
      <c r="G82" s="80"/>
      <c r="H82" s="80"/>
      <c r="K82" s="830"/>
    </row>
    <row r="83" spans="1:11" x14ac:dyDescent="0.25">
      <c r="B83" s="80"/>
      <c r="C83" s="80"/>
      <c r="D83" s="80"/>
      <c r="E83" s="80"/>
      <c r="F83" s="80"/>
      <c r="G83" s="80"/>
      <c r="H83" s="80"/>
      <c r="K83" s="830"/>
    </row>
    <row r="84" spans="1:11" x14ac:dyDescent="0.25">
      <c r="A84" s="1124"/>
      <c r="B84" s="1776" t="str">
        <f>"فاصوليا لحم 2 / " &amp; COUNTIF($C$53:$C$55, "&gt;0")</f>
        <v>فاصوليا لحم 2 / 2</v>
      </c>
      <c r="C84" s="1777"/>
      <c r="D84" s="1778"/>
      <c r="E84" s="1778"/>
      <c r="F84" s="1778"/>
      <c r="G84" s="1777"/>
      <c r="H84" s="1778"/>
      <c r="K84" s="830"/>
    </row>
    <row r="85" spans="1:11" x14ac:dyDescent="0.25">
      <c r="A85" s="1124"/>
      <c r="B85" s="1842" t="str">
        <f>"Lahm Fasooliya 2 / " &amp; COUNTIF($C$53:$C$55, "&gt;0")</f>
        <v>Lahm Fasooliya 2 / 2</v>
      </c>
      <c r="C85" s="1843"/>
      <c r="D85" s="1844"/>
      <c r="E85" s="1844"/>
      <c r="F85" s="1844"/>
      <c r="G85" s="1843"/>
      <c r="H85" s="1844"/>
      <c r="K85" s="830"/>
    </row>
    <row r="86" spans="1:11" ht="38.25" x14ac:dyDescent="0.2">
      <c r="A86" s="1350" t="s">
        <v>864</v>
      </c>
      <c r="B86" s="1104" t="s">
        <v>241</v>
      </c>
      <c r="C86" s="934" t="s">
        <v>242</v>
      </c>
      <c r="D86" s="1104" t="s">
        <v>231</v>
      </c>
      <c r="E86" s="936" t="s">
        <v>234</v>
      </c>
      <c r="F86" s="936" t="s">
        <v>243</v>
      </c>
      <c r="G86" s="1104" t="s">
        <v>244</v>
      </c>
      <c r="H86" s="936" t="s">
        <v>245</v>
      </c>
      <c r="K86" s="830"/>
    </row>
    <row r="87" spans="1:11" ht="28.5" x14ac:dyDescent="0.2">
      <c r="A87" s="937" t="s">
        <v>872</v>
      </c>
      <c r="B87" s="1130" t="str">
        <f t="shared" ref="B87:D99" si="12">B5</f>
        <v>Indian Meat Alana  - لحم هندى ألانا</v>
      </c>
      <c r="C87" s="1252" t="str">
        <f t="shared" si="12"/>
        <v>gm</v>
      </c>
      <c r="D87" s="1426">
        <f t="shared" si="12"/>
        <v>1620.7254901960785</v>
      </c>
      <c r="E87" s="1040">
        <f>H54</f>
        <v>3.9222235354444326</v>
      </c>
      <c r="F87" s="948">
        <f t="shared" ref="F87:F99" si="13">F5</f>
        <v>1</v>
      </c>
      <c r="G87" s="940">
        <f t="shared" ref="G87:G99" si="14">D87*E87</f>
        <v>6356.847662141774</v>
      </c>
      <c r="H87" s="943">
        <f t="shared" ref="H87:H99" si="15">G87*F87</f>
        <v>6356.847662141774</v>
      </c>
      <c r="K87" s="830"/>
    </row>
    <row r="88" spans="1:11" x14ac:dyDescent="0.25">
      <c r="A88" s="1114" t="s">
        <v>881</v>
      </c>
      <c r="B88" s="1130" t="str">
        <f t="shared" si="12"/>
        <v>Onion - بصل</v>
      </c>
      <c r="C88" s="1252" t="str">
        <f t="shared" si="12"/>
        <v>gm</v>
      </c>
      <c r="D88" s="1130">
        <f t="shared" si="12"/>
        <v>300</v>
      </c>
      <c r="E88" s="1040">
        <f t="shared" ref="E88:E99" si="16">$C$54</f>
        <v>4.0043956043956062</v>
      </c>
      <c r="F88" s="948">
        <f t="shared" si="13"/>
        <v>1</v>
      </c>
      <c r="G88" s="940">
        <f t="shared" si="14"/>
        <v>1201.3186813186819</v>
      </c>
      <c r="H88" s="943">
        <f t="shared" si="15"/>
        <v>1201.3186813186819</v>
      </c>
      <c r="K88" s="830"/>
    </row>
    <row r="89" spans="1:11" x14ac:dyDescent="0.25">
      <c r="A89" s="1114" t="s">
        <v>868</v>
      </c>
      <c r="B89" s="1130" t="str">
        <f t="shared" si="12"/>
        <v>Garlic - ثوم مقشر</v>
      </c>
      <c r="C89" s="1252" t="str">
        <f t="shared" si="12"/>
        <v>gm</v>
      </c>
      <c r="D89" s="1130">
        <f t="shared" si="12"/>
        <v>25</v>
      </c>
      <c r="E89" s="1040">
        <f t="shared" si="16"/>
        <v>4.0043956043956062</v>
      </c>
      <c r="F89" s="948">
        <f t="shared" si="13"/>
        <v>1</v>
      </c>
      <c r="G89" s="940">
        <f t="shared" si="14"/>
        <v>100.10989010989016</v>
      </c>
      <c r="H89" s="943">
        <f t="shared" si="15"/>
        <v>100.10989010989016</v>
      </c>
      <c r="K89" s="830"/>
    </row>
    <row r="90" spans="1:11" x14ac:dyDescent="0.25">
      <c r="A90" s="1114" t="s">
        <v>870</v>
      </c>
      <c r="B90" s="1130" t="str">
        <f t="shared" si="12"/>
        <v>Tomato - طماطم</v>
      </c>
      <c r="C90" s="1252" t="str">
        <f t="shared" si="12"/>
        <v>gm</v>
      </c>
      <c r="D90" s="1130">
        <f t="shared" si="12"/>
        <v>400</v>
      </c>
      <c r="E90" s="1040">
        <f t="shared" si="16"/>
        <v>4.0043956043956062</v>
      </c>
      <c r="F90" s="948">
        <f t="shared" si="13"/>
        <v>1</v>
      </c>
      <c r="G90" s="940">
        <f t="shared" si="14"/>
        <v>1601.7582417582425</v>
      </c>
      <c r="H90" s="943">
        <f t="shared" si="15"/>
        <v>1601.7582417582425</v>
      </c>
      <c r="K90" s="830"/>
    </row>
    <row r="91" spans="1:11" x14ac:dyDescent="0.25">
      <c r="A91" s="1114"/>
      <c r="B91" s="1130" t="str">
        <f t="shared" si="12"/>
        <v>Tomato Paste - صلصة طماطم</v>
      </c>
      <c r="C91" s="1252" t="str">
        <f t="shared" si="12"/>
        <v>gm</v>
      </c>
      <c r="D91" s="1130">
        <f t="shared" si="12"/>
        <v>250</v>
      </c>
      <c r="E91" s="1040">
        <f t="shared" si="16"/>
        <v>4.0043956043956062</v>
      </c>
      <c r="F91" s="948">
        <f t="shared" si="13"/>
        <v>1</v>
      </c>
      <c r="G91" s="940">
        <f t="shared" si="14"/>
        <v>1001.0989010989016</v>
      </c>
      <c r="H91" s="943">
        <f t="shared" si="15"/>
        <v>1001.0989010989016</v>
      </c>
      <c r="K91" s="830"/>
    </row>
    <row r="92" spans="1:11" ht="28.5" x14ac:dyDescent="0.25">
      <c r="A92" s="1114"/>
      <c r="B92" s="1130" t="str">
        <f t="shared" si="12"/>
        <v>Black Pepper Powder - فلفل أسود مطحون</v>
      </c>
      <c r="C92" s="1252" t="str">
        <f t="shared" si="12"/>
        <v>gm</v>
      </c>
      <c r="D92" s="1130">
        <f t="shared" si="12"/>
        <v>6</v>
      </c>
      <c r="E92" s="1040">
        <f t="shared" si="16"/>
        <v>4.0043956043956062</v>
      </c>
      <c r="F92" s="948">
        <f t="shared" si="13"/>
        <v>0.75</v>
      </c>
      <c r="G92" s="940">
        <f t="shared" si="14"/>
        <v>24.026373626373637</v>
      </c>
      <c r="H92" s="943">
        <f t="shared" si="15"/>
        <v>18.019780219780227</v>
      </c>
      <c r="K92" s="830"/>
    </row>
    <row r="93" spans="1:11" x14ac:dyDescent="0.25">
      <c r="A93" s="1114"/>
      <c r="B93" s="1130" t="str">
        <f t="shared" si="12"/>
        <v>Cumin Powder - كمون مطحون</v>
      </c>
      <c r="C93" s="1252" t="str">
        <f t="shared" si="12"/>
        <v>gm</v>
      </c>
      <c r="D93" s="1130">
        <f t="shared" si="12"/>
        <v>10</v>
      </c>
      <c r="E93" s="1040">
        <f t="shared" si="16"/>
        <v>4.0043956043956062</v>
      </c>
      <c r="F93" s="948">
        <f t="shared" si="13"/>
        <v>0.75</v>
      </c>
      <c r="G93" s="940">
        <f t="shared" si="14"/>
        <v>40.043956043956058</v>
      </c>
      <c r="H93" s="943">
        <f t="shared" si="15"/>
        <v>30.032967032967044</v>
      </c>
      <c r="K93" s="830"/>
    </row>
    <row r="94" spans="1:11" ht="28.5" x14ac:dyDescent="0.25">
      <c r="A94" s="1114"/>
      <c r="B94" s="1130" t="str">
        <f t="shared" si="12"/>
        <v>Coriander Powder - كزبرة مطحونة</v>
      </c>
      <c r="C94" s="1252" t="str">
        <f t="shared" si="12"/>
        <v>gm</v>
      </c>
      <c r="D94" s="1130">
        <f t="shared" si="12"/>
        <v>15</v>
      </c>
      <c r="E94" s="1040">
        <f t="shared" si="16"/>
        <v>4.0043956043956062</v>
      </c>
      <c r="F94" s="948">
        <f t="shared" si="13"/>
        <v>0.75</v>
      </c>
      <c r="G94" s="940">
        <f t="shared" si="14"/>
        <v>60.065934065934094</v>
      </c>
      <c r="H94" s="943">
        <f t="shared" si="15"/>
        <v>45.049450549450569</v>
      </c>
      <c r="K94" s="830"/>
    </row>
    <row r="95" spans="1:11" ht="28.5" x14ac:dyDescent="0.25">
      <c r="A95" s="1114"/>
      <c r="B95" s="1130" t="str">
        <f t="shared" si="12"/>
        <v>Cinnamon Powder - قرفة مطحونة</v>
      </c>
      <c r="C95" s="1252" t="str">
        <f t="shared" si="12"/>
        <v>gm</v>
      </c>
      <c r="D95" s="1130">
        <f t="shared" si="12"/>
        <v>10</v>
      </c>
      <c r="E95" s="1040">
        <f t="shared" si="16"/>
        <v>4.0043956043956062</v>
      </c>
      <c r="F95" s="948">
        <f t="shared" si="13"/>
        <v>0.75</v>
      </c>
      <c r="G95" s="940">
        <f t="shared" si="14"/>
        <v>40.043956043956058</v>
      </c>
      <c r="H95" s="943">
        <f t="shared" si="15"/>
        <v>30.032967032967044</v>
      </c>
      <c r="K95" s="830"/>
    </row>
    <row r="96" spans="1:11" x14ac:dyDescent="0.25">
      <c r="A96" s="1114"/>
      <c r="B96" s="1130" t="str">
        <f t="shared" si="12"/>
        <v>Maggi Cubes - مكعبات ماجي</v>
      </c>
      <c r="C96" s="1252" t="str">
        <f t="shared" si="12"/>
        <v>gm</v>
      </c>
      <c r="D96" s="1130">
        <f t="shared" si="12"/>
        <v>6</v>
      </c>
      <c r="E96" s="1040">
        <f t="shared" si="16"/>
        <v>4.0043956043956062</v>
      </c>
      <c r="F96" s="948">
        <f t="shared" si="13"/>
        <v>1</v>
      </c>
      <c r="G96" s="940">
        <f t="shared" si="14"/>
        <v>24.026373626373637</v>
      </c>
      <c r="H96" s="943">
        <f t="shared" si="15"/>
        <v>24.026373626373637</v>
      </c>
      <c r="K96" s="830"/>
    </row>
    <row r="97" spans="1:11" x14ac:dyDescent="0.25">
      <c r="A97" s="1114"/>
      <c r="B97" s="1130" t="str">
        <f t="shared" si="12"/>
        <v>Salt - ملح</v>
      </c>
      <c r="C97" s="1252" t="str">
        <f t="shared" si="12"/>
        <v>gm</v>
      </c>
      <c r="D97" s="1130">
        <f t="shared" si="12"/>
        <v>5</v>
      </c>
      <c r="E97" s="1040">
        <f t="shared" si="16"/>
        <v>4.0043956043956062</v>
      </c>
      <c r="F97" s="948">
        <f t="shared" si="13"/>
        <v>1</v>
      </c>
      <c r="G97" s="940">
        <f t="shared" si="14"/>
        <v>20.021978021978029</v>
      </c>
      <c r="H97" s="943">
        <f t="shared" si="15"/>
        <v>20.021978021978029</v>
      </c>
      <c r="K97" s="830"/>
    </row>
    <row r="98" spans="1:11" x14ac:dyDescent="0.25">
      <c r="A98" s="1114"/>
      <c r="B98" s="1130" t="str">
        <f t="shared" si="12"/>
        <v>Butter - زبدة</v>
      </c>
      <c r="C98" s="1252" t="str">
        <f t="shared" si="12"/>
        <v>gm</v>
      </c>
      <c r="D98" s="1130">
        <f t="shared" si="12"/>
        <v>40</v>
      </c>
      <c r="E98" s="1040">
        <f t="shared" si="16"/>
        <v>4.0043956043956062</v>
      </c>
      <c r="F98" s="948">
        <f t="shared" si="13"/>
        <v>1</v>
      </c>
      <c r="G98" s="940">
        <f t="shared" si="14"/>
        <v>160.17582417582423</v>
      </c>
      <c r="H98" s="943">
        <f t="shared" si="15"/>
        <v>160.17582417582423</v>
      </c>
      <c r="K98" s="830"/>
    </row>
    <row r="99" spans="1:11" x14ac:dyDescent="0.25">
      <c r="A99" s="1114"/>
      <c r="B99" s="1130" t="str">
        <f t="shared" si="12"/>
        <v>White Beans - فاصوليا بيضاء</v>
      </c>
      <c r="C99" s="1252" t="str">
        <f t="shared" si="12"/>
        <v>gm</v>
      </c>
      <c r="D99" s="1130">
        <f t="shared" si="12"/>
        <v>400</v>
      </c>
      <c r="E99" s="1040">
        <f t="shared" si="16"/>
        <v>4.0043956043956062</v>
      </c>
      <c r="F99" s="948">
        <f t="shared" si="13"/>
        <v>1</v>
      </c>
      <c r="G99" s="940">
        <f t="shared" si="14"/>
        <v>1601.7582417582425</v>
      </c>
      <c r="H99" s="943">
        <f t="shared" si="15"/>
        <v>1601.7582417582425</v>
      </c>
      <c r="K99" s="830"/>
    </row>
    <row r="100" spans="1:11" ht="18" x14ac:dyDescent="0.25">
      <c r="A100" s="1065"/>
      <c r="B100" s="1041" t="s">
        <v>287</v>
      </c>
      <c r="C100" s="1042" t="s">
        <v>273</v>
      </c>
      <c r="D100" s="1043"/>
      <c r="E100" s="1044" t="s">
        <v>288</v>
      </c>
      <c r="F100" s="1043"/>
      <c r="G100" s="1045" t="s">
        <v>264</v>
      </c>
      <c r="H100" s="1046" t="s">
        <v>661</v>
      </c>
      <c r="K100" s="830"/>
    </row>
    <row r="101" spans="1:11" ht="20.25" x14ac:dyDescent="0.3">
      <c r="A101" s="1065"/>
      <c r="B101" s="1047">
        <f>$J$54</f>
        <v>3241.9923076923042</v>
      </c>
      <c r="C101" s="1048">
        <f>E101+G101</f>
        <v>3924.3076923076951</v>
      </c>
      <c r="D101" s="1049"/>
      <c r="E101" s="1047">
        <f>$D$54*$S$44</f>
        <v>972.95360615384675</v>
      </c>
      <c r="F101" s="1050"/>
      <c r="G101" s="1048">
        <f>$D$54*$T$44</f>
        <v>2951.3540861538481</v>
      </c>
      <c r="H101" s="1047">
        <f>B101+E101</f>
        <v>4214.9459138461507</v>
      </c>
      <c r="K101" s="830"/>
    </row>
    <row r="102" spans="1:11" x14ac:dyDescent="0.25">
      <c r="B102" s="960"/>
      <c r="C102" s="959"/>
      <c r="D102" s="960"/>
      <c r="E102" s="960"/>
      <c r="F102" s="960"/>
      <c r="G102" s="959"/>
      <c r="H102" s="960"/>
      <c r="K102" s="830"/>
    </row>
    <row r="103" spans="1:11" x14ac:dyDescent="0.25">
      <c r="A103" s="1123"/>
      <c r="B103" s="1776" t="str">
        <f>"فاصوليا لحم 3 / " &amp; COUNTIF($C$53:$C$55, "&gt;0")</f>
        <v>فاصوليا لحم 3 / 2</v>
      </c>
      <c r="C103" s="1777"/>
      <c r="D103" s="1778"/>
      <c r="E103" s="1778"/>
      <c r="F103" s="1778"/>
      <c r="G103" s="1777"/>
      <c r="H103" s="1778"/>
      <c r="K103" s="830"/>
    </row>
    <row r="104" spans="1:11" x14ac:dyDescent="0.25">
      <c r="A104" s="1123"/>
      <c r="B104" s="1842" t="str">
        <f>"Lahm Fasooliya 3 / " &amp; COUNTIF($C$53:$C$55, "&gt;0")</f>
        <v>Lahm Fasooliya 3 / 2</v>
      </c>
      <c r="C104" s="1843"/>
      <c r="D104" s="1844"/>
      <c r="E104" s="1844"/>
      <c r="F104" s="1844"/>
      <c r="G104" s="1843"/>
      <c r="H104" s="1844"/>
      <c r="K104" s="830"/>
    </row>
    <row r="105" spans="1:11" ht="38.25" x14ac:dyDescent="0.2">
      <c r="A105" s="1350" t="s">
        <v>864</v>
      </c>
      <c r="B105" s="1104" t="s">
        <v>241</v>
      </c>
      <c r="C105" s="934" t="s">
        <v>242</v>
      </c>
      <c r="D105" s="1104" t="s">
        <v>231</v>
      </c>
      <c r="E105" s="936" t="s">
        <v>234</v>
      </c>
      <c r="F105" s="936" t="s">
        <v>243</v>
      </c>
      <c r="G105" s="1104" t="s">
        <v>244</v>
      </c>
      <c r="H105" s="936" t="s">
        <v>245</v>
      </c>
      <c r="K105" s="830"/>
    </row>
    <row r="106" spans="1:11" ht="28.5" x14ac:dyDescent="0.2">
      <c r="A106" s="937" t="s">
        <v>872</v>
      </c>
      <c r="B106" s="1130" t="str">
        <f t="shared" ref="B106:D118" si="17">B5</f>
        <v>Indian Meat Alana  - لحم هندى ألانا</v>
      </c>
      <c r="C106" s="1252" t="str">
        <f t="shared" si="17"/>
        <v>gm</v>
      </c>
      <c r="D106" s="1130">
        <f t="shared" si="17"/>
        <v>1620.7254901960785</v>
      </c>
      <c r="E106" s="1040">
        <f>H55</f>
        <v>0</v>
      </c>
      <c r="F106" s="948">
        <f>F5</f>
        <v>1</v>
      </c>
      <c r="G106" s="940">
        <f t="shared" ref="G106:G118" si="18">D106*E106</f>
        <v>0</v>
      </c>
      <c r="H106" s="943">
        <f t="shared" ref="H106:H118" si="19">G106*F106</f>
        <v>0</v>
      </c>
      <c r="K106" s="830"/>
    </row>
    <row r="107" spans="1:11" x14ac:dyDescent="0.25">
      <c r="A107" s="1114" t="s">
        <v>881</v>
      </c>
      <c r="B107" s="1130" t="str">
        <f t="shared" si="17"/>
        <v>Onion - بصل</v>
      </c>
      <c r="C107" s="1252" t="str">
        <f t="shared" si="17"/>
        <v>gm</v>
      </c>
      <c r="D107" s="1130">
        <f t="shared" si="17"/>
        <v>300</v>
      </c>
      <c r="E107" s="1040">
        <f t="shared" ref="E107:E118" si="20">$C$55</f>
        <v>0</v>
      </c>
      <c r="F107" s="948">
        <f t="shared" ref="F107:F118" si="21">F6</f>
        <v>1</v>
      </c>
      <c r="G107" s="940">
        <f t="shared" si="18"/>
        <v>0</v>
      </c>
      <c r="H107" s="943">
        <f t="shared" si="19"/>
        <v>0</v>
      </c>
      <c r="K107" s="830"/>
    </row>
    <row r="108" spans="1:11" x14ac:dyDescent="0.25">
      <c r="A108" s="1114" t="s">
        <v>868</v>
      </c>
      <c r="B108" s="1130" t="str">
        <f t="shared" si="17"/>
        <v>Garlic - ثوم مقشر</v>
      </c>
      <c r="C108" s="1252" t="str">
        <f t="shared" si="17"/>
        <v>gm</v>
      </c>
      <c r="D108" s="1130">
        <f t="shared" si="17"/>
        <v>25</v>
      </c>
      <c r="E108" s="1040">
        <f t="shared" si="20"/>
        <v>0</v>
      </c>
      <c r="F108" s="948">
        <f t="shared" si="21"/>
        <v>1</v>
      </c>
      <c r="G108" s="940">
        <f t="shared" si="18"/>
        <v>0</v>
      </c>
      <c r="H108" s="943">
        <f t="shared" si="19"/>
        <v>0</v>
      </c>
      <c r="K108" s="830"/>
    </row>
    <row r="109" spans="1:11" x14ac:dyDescent="0.25">
      <c r="A109" s="1114" t="s">
        <v>870</v>
      </c>
      <c r="B109" s="1130" t="str">
        <f t="shared" si="17"/>
        <v>Tomato - طماطم</v>
      </c>
      <c r="C109" s="1252" t="str">
        <f t="shared" si="17"/>
        <v>gm</v>
      </c>
      <c r="D109" s="1130">
        <f t="shared" si="17"/>
        <v>400</v>
      </c>
      <c r="E109" s="1040">
        <f t="shared" si="20"/>
        <v>0</v>
      </c>
      <c r="F109" s="948">
        <f t="shared" si="21"/>
        <v>1</v>
      </c>
      <c r="G109" s="940">
        <f t="shared" si="18"/>
        <v>0</v>
      </c>
      <c r="H109" s="943">
        <f t="shared" si="19"/>
        <v>0</v>
      </c>
      <c r="K109" s="830"/>
    </row>
    <row r="110" spans="1:11" x14ac:dyDescent="0.25">
      <c r="A110" s="1114"/>
      <c r="B110" s="1130" t="str">
        <f t="shared" si="17"/>
        <v>Tomato Paste - صلصة طماطم</v>
      </c>
      <c r="C110" s="1252" t="str">
        <f t="shared" si="17"/>
        <v>gm</v>
      </c>
      <c r="D110" s="1130">
        <f t="shared" si="17"/>
        <v>250</v>
      </c>
      <c r="E110" s="1040">
        <f t="shared" si="20"/>
        <v>0</v>
      </c>
      <c r="F110" s="948">
        <f t="shared" si="21"/>
        <v>1</v>
      </c>
      <c r="G110" s="940">
        <f t="shared" si="18"/>
        <v>0</v>
      </c>
      <c r="H110" s="943">
        <f t="shared" si="19"/>
        <v>0</v>
      </c>
      <c r="K110" s="830"/>
    </row>
    <row r="111" spans="1:11" ht="28.5" x14ac:dyDescent="0.25">
      <c r="A111" s="1114"/>
      <c r="B111" s="1130" t="str">
        <f t="shared" si="17"/>
        <v>Black Pepper Powder - فلفل أسود مطحون</v>
      </c>
      <c r="C111" s="1252" t="str">
        <f t="shared" si="17"/>
        <v>gm</v>
      </c>
      <c r="D111" s="1130">
        <f t="shared" si="17"/>
        <v>6</v>
      </c>
      <c r="E111" s="1040">
        <f t="shared" si="20"/>
        <v>0</v>
      </c>
      <c r="F111" s="948">
        <f t="shared" si="21"/>
        <v>0.75</v>
      </c>
      <c r="G111" s="940">
        <f t="shared" si="18"/>
        <v>0</v>
      </c>
      <c r="H111" s="943">
        <f t="shared" si="19"/>
        <v>0</v>
      </c>
      <c r="K111" s="830"/>
    </row>
    <row r="112" spans="1:11" x14ac:dyDescent="0.25">
      <c r="A112" s="1114"/>
      <c r="B112" s="1130" t="str">
        <f t="shared" si="17"/>
        <v>Cumin Powder - كمون مطحون</v>
      </c>
      <c r="C112" s="1252" t="str">
        <f t="shared" si="17"/>
        <v>gm</v>
      </c>
      <c r="D112" s="1130">
        <f t="shared" si="17"/>
        <v>10</v>
      </c>
      <c r="E112" s="1040">
        <f t="shared" si="20"/>
        <v>0</v>
      </c>
      <c r="F112" s="948">
        <f t="shared" si="21"/>
        <v>0.75</v>
      </c>
      <c r="G112" s="940">
        <f t="shared" si="18"/>
        <v>0</v>
      </c>
      <c r="H112" s="943">
        <f t="shared" si="19"/>
        <v>0</v>
      </c>
      <c r="K112" s="830"/>
    </row>
    <row r="113" spans="1:8" ht="28.5" x14ac:dyDescent="0.25">
      <c r="A113" s="1114"/>
      <c r="B113" s="1130" t="str">
        <f t="shared" si="17"/>
        <v>Coriander Powder - كزبرة مطحونة</v>
      </c>
      <c r="C113" s="1252" t="str">
        <f t="shared" si="17"/>
        <v>gm</v>
      </c>
      <c r="D113" s="1130">
        <f t="shared" si="17"/>
        <v>15</v>
      </c>
      <c r="E113" s="1040">
        <f t="shared" si="20"/>
        <v>0</v>
      </c>
      <c r="F113" s="948">
        <f t="shared" si="21"/>
        <v>0.75</v>
      </c>
      <c r="G113" s="940">
        <f t="shared" si="18"/>
        <v>0</v>
      </c>
      <c r="H113" s="943">
        <f t="shared" si="19"/>
        <v>0</v>
      </c>
    </row>
    <row r="114" spans="1:8" ht="28.5" x14ac:dyDescent="0.25">
      <c r="A114" s="1114"/>
      <c r="B114" s="1130" t="str">
        <f t="shared" si="17"/>
        <v>Cinnamon Powder - قرفة مطحونة</v>
      </c>
      <c r="C114" s="1252" t="str">
        <f t="shared" si="17"/>
        <v>gm</v>
      </c>
      <c r="D114" s="1130">
        <f t="shared" si="17"/>
        <v>10</v>
      </c>
      <c r="E114" s="1040">
        <f t="shared" si="20"/>
        <v>0</v>
      </c>
      <c r="F114" s="948">
        <f t="shared" si="21"/>
        <v>0.75</v>
      </c>
      <c r="G114" s="940">
        <f t="shared" si="18"/>
        <v>0</v>
      </c>
      <c r="H114" s="943">
        <f t="shared" si="19"/>
        <v>0</v>
      </c>
    </row>
    <row r="115" spans="1:8" x14ac:dyDescent="0.25">
      <c r="A115" s="1114"/>
      <c r="B115" s="1130" t="str">
        <f t="shared" si="17"/>
        <v>Maggi Cubes - مكعبات ماجي</v>
      </c>
      <c r="C115" s="1252" t="str">
        <f t="shared" si="17"/>
        <v>gm</v>
      </c>
      <c r="D115" s="1130">
        <f t="shared" si="17"/>
        <v>6</v>
      </c>
      <c r="E115" s="1040">
        <f t="shared" si="20"/>
        <v>0</v>
      </c>
      <c r="F115" s="948">
        <f t="shared" si="21"/>
        <v>1</v>
      </c>
      <c r="G115" s="940">
        <f t="shared" si="18"/>
        <v>0</v>
      </c>
      <c r="H115" s="943">
        <f t="shared" si="19"/>
        <v>0</v>
      </c>
    </row>
    <row r="116" spans="1:8" x14ac:dyDescent="0.25">
      <c r="A116" s="1114"/>
      <c r="B116" s="1130" t="str">
        <f t="shared" si="17"/>
        <v>Salt - ملح</v>
      </c>
      <c r="C116" s="1252" t="str">
        <f t="shared" si="17"/>
        <v>gm</v>
      </c>
      <c r="D116" s="1130">
        <f t="shared" si="17"/>
        <v>5</v>
      </c>
      <c r="E116" s="1040">
        <f t="shared" si="20"/>
        <v>0</v>
      </c>
      <c r="F116" s="948">
        <f t="shared" si="21"/>
        <v>1</v>
      </c>
      <c r="G116" s="940">
        <f t="shared" si="18"/>
        <v>0</v>
      </c>
      <c r="H116" s="943">
        <f t="shared" si="19"/>
        <v>0</v>
      </c>
    </row>
    <row r="117" spans="1:8" x14ac:dyDescent="0.25">
      <c r="A117" s="1114"/>
      <c r="B117" s="1130" t="str">
        <f t="shared" si="17"/>
        <v>Butter - زبدة</v>
      </c>
      <c r="C117" s="1252" t="str">
        <f t="shared" si="17"/>
        <v>gm</v>
      </c>
      <c r="D117" s="1130">
        <f t="shared" si="17"/>
        <v>40</v>
      </c>
      <c r="E117" s="1040">
        <f t="shared" si="20"/>
        <v>0</v>
      </c>
      <c r="F117" s="948">
        <f t="shared" si="21"/>
        <v>1</v>
      </c>
      <c r="G117" s="940">
        <f t="shared" si="18"/>
        <v>0</v>
      </c>
      <c r="H117" s="943">
        <f t="shared" si="19"/>
        <v>0</v>
      </c>
    </row>
    <row r="118" spans="1:8" x14ac:dyDescent="0.25">
      <c r="A118" s="1114"/>
      <c r="B118" s="1130" t="str">
        <f t="shared" si="17"/>
        <v>White Beans - فاصوليا بيضاء</v>
      </c>
      <c r="C118" s="1252" t="str">
        <f t="shared" si="17"/>
        <v>gm</v>
      </c>
      <c r="D118" s="1130">
        <f t="shared" si="17"/>
        <v>400</v>
      </c>
      <c r="E118" s="1040">
        <f t="shared" si="20"/>
        <v>0</v>
      </c>
      <c r="F118" s="948">
        <f t="shared" si="21"/>
        <v>1</v>
      </c>
      <c r="G118" s="940">
        <f t="shared" si="18"/>
        <v>0</v>
      </c>
      <c r="H118" s="943">
        <f t="shared" si="19"/>
        <v>0</v>
      </c>
    </row>
    <row r="119" spans="1:8" ht="18" x14ac:dyDescent="0.25">
      <c r="A119" s="1065"/>
      <c r="B119" s="1041" t="s">
        <v>287</v>
      </c>
      <c r="C119" s="1042" t="s">
        <v>273</v>
      </c>
      <c r="D119" s="1043"/>
      <c r="E119" s="1044" t="s">
        <v>288</v>
      </c>
      <c r="F119" s="1043"/>
      <c r="G119" s="1045" t="s">
        <v>264</v>
      </c>
      <c r="H119" s="1046" t="s">
        <v>661</v>
      </c>
    </row>
    <row r="120" spans="1:8" ht="20.25" x14ac:dyDescent="0.3">
      <c r="A120" s="1065"/>
      <c r="B120" s="1047">
        <f>$J$55</f>
        <v>0</v>
      </c>
      <c r="C120" s="1048">
        <f>E120+G120</f>
        <v>0</v>
      </c>
      <c r="D120" s="1049"/>
      <c r="E120" s="1047">
        <f>$D$55*$S$44</f>
        <v>0</v>
      </c>
      <c r="F120" s="1050"/>
      <c r="G120" s="1048">
        <f>$D$55*$T$44</f>
        <v>0</v>
      </c>
      <c r="H120" s="1047">
        <f>B120+E120</f>
        <v>0</v>
      </c>
    </row>
  </sheetData>
  <mergeCells count="11">
    <mergeCell ref="B103:H103"/>
    <mergeCell ref="B104:H104"/>
    <mergeCell ref="B85:H85"/>
    <mergeCell ref="AE2:AE3"/>
    <mergeCell ref="B84:H84"/>
    <mergeCell ref="R26:U26"/>
    <mergeCell ref="R25:U25"/>
    <mergeCell ref="B62:H62"/>
    <mergeCell ref="B2:K3"/>
    <mergeCell ref="B63:H63"/>
    <mergeCell ref="B35:F35"/>
  </mergeCells>
  <printOptions horizontalCentered="1"/>
  <pageMargins left="0.4" right="0.4" top="1" bottom="0.5" header="0.3" footer="0.511811023622047"/>
  <pageSetup paperSize="9" scale="47" fitToHeight="0" orientation="landscape"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6" tint="-0.249977111117893"/>
    <pageSetUpPr fitToPage="1"/>
  </sheetPr>
  <dimension ref="A1:AT99"/>
  <sheetViews>
    <sheetView topLeftCell="L12" zoomScale="70" zoomScaleNormal="70" workbookViewId="0">
      <selection activeCell="H28" sqref="H28:AB29"/>
    </sheetView>
  </sheetViews>
  <sheetFormatPr defaultColWidth="12.5" defaultRowHeight="15" x14ac:dyDescent="0.25"/>
  <cols>
    <col min="1" max="1" width="16.75" style="1" bestFit="1" customWidth="1"/>
    <col min="2" max="2" width="25.875" customWidth="1"/>
    <col min="3" max="3" width="16.375" bestFit="1" customWidth="1"/>
    <col min="4" max="4" width="33.75" bestFit="1" customWidth="1"/>
    <col min="5" max="5" width="23.875" bestFit="1" customWidth="1"/>
    <col min="6" max="6" width="43.875" bestFit="1" customWidth="1"/>
    <col min="7" max="7" width="20.625" bestFit="1" customWidth="1"/>
    <col min="8" max="8" width="43.875" bestFit="1" customWidth="1"/>
    <col min="9" max="9" width="18.375" bestFit="1" customWidth="1"/>
    <col min="10" max="10" width="18" bestFit="1" customWidth="1"/>
    <col min="11" max="11" width="28.125" bestFit="1" customWidth="1"/>
    <col min="12" max="12" width="12.75" bestFit="1" customWidth="1"/>
    <col min="13" max="14" width="4.75" customWidth="1"/>
    <col min="15" max="15" width="17.25" bestFit="1" customWidth="1"/>
    <col min="16" max="16" width="5.125" bestFit="1" customWidth="1"/>
    <col min="17" max="17" width="18.375" bestFit="1" customWidth="1"/>
    <col min="18" max="18" width="23" bestFit="1" customWidth="1"/>
    <col min="19" max="19" width="10.125" bestFit="1" customWidth="1"/>
    <col min="20" max="20" width="24" bestFit="1" customWidth="1"/>
    <col min="21" max="21" width="11.25" bestFit="1" customWidth="1"/>
    <col min="22" max="22" width="12.125" bestFit="1" customWidth="1"/>
    <col min="23" max="23" width="25.875" customWidth="1"/>
    <col min="25" max="25" width="7.75" bestFit="1" customWidth="1"/>
    <col min="26" max="26" width="11.25" bestFit="1" customWidth="1"/>
    <col min="27" max="27" width="13.125" bestFit="1" customWidth="1"/>
    <col min="28" max="28" width="13.5" bestFit="1" customWidth="1"/>
    <col min="29" max="29" width="11.25" bestFit="1" customWidth="1"/>
    <col min="30" max="30" width="8.5" bestFit="1" customWidth="1"/>
    <col min="35" max="35" width="12.75" bestFit="1" customWidth="1"/>
    <col min="36" max="36" width="24.375" bestFit="1" customWidth="1"/>
    <col min="37" max="37" width="6.5" bestFit="1" customWidth="1"/>
    <col min="38" max="38" width="24.375" bestFit="1" customWidth="1"/>
    <col min="39" max="39" width="23.875" bestFit="1" customWidth="1"/>
    <col min="40" max="40" width="18.125" bestFit="1" customWidth="1"/>
    <col min="41" max="41" width="14.375" bestFit="1" customWidth="1"/>
    <col min="42" max="42" width="21" bestFit="1" customWidth="1"/>
    <col min="43" max="44" width="17.625" bestFit="1" customWidth="1"/>
    <col min="45" max="45" width="24.375" bestFit="1" customWidth="1"/>
    <col min="46" max="46" width="6" bestFit="1" customWidth="1"/>
  </cols>
  <sheetData>
    <row r="1" spans="1:46" ht="25.5" x14ac:dyDescent="0.25">
      <c r="B1" s="913" t="s">
        <v>231</v>
      </c>
      <c r="C1" s="914">
        <v>1000</v>
      </c>
      <c r="D1" s="915" t="s">
        <v>232</v>
      </c>
      <c r="E1" s="941">
        <f>T32</f>
        <v>12256</v>
      </c>
      <c r="F1" s="913" t="s">
        <v>233</v>
      </c>
      <c r="G1" s="914">
        <f>(E1/C1)</f>
        <v>12.256</v>
      </c>
      <c r="H1" s="913" t="s">
        <v>234</v>
      </c>
      <c r="I1" s="1040">
        <f>(G1/K1)</f>
        <v>12.506122448979593</v>
      </c>
      <c r="J1" s="919" t="s">
        <v>235</v>
      </c>
      <c r="K1" s="914">
        <v>0.98</v>
      </c>
      <c r="L1" s="80"/>
      <c r="M1" s="70"/>
      <c r="N1" s="71"/>
      <c r="O1" s="72" t="s">
        <v>236</v>
      </c>
      <c r="P1" s="73" t="s">
        <v>298</v>
      </c>
      <c r="Q1" s="74" t="s">
        <v>238</v>
      </c>
      <c r="R1" s="73">
        <v>0.54</v>
      </c>
      <c r="T1" s="830"/>
      <c r="W1" s="830"/>
      <c r="Y1" s="72" t="s">
        <v>444</v>
      </c>
      <c r="Z1" s="422">
        <v>30140</v>
      </c>
      <c r="AA1" s="72" t="s">
        <v>544</v>
      </c>
      <c r="AB1" s="422">
        <v>500</v>
      </c>
      <c r="AC1" s="72" t="s">
        <v>537</v>
      </c>
      <c r="AD1" s="422">
        <v>220</v>
      </c>
      <c r="AE1" s="168"/>
      <c r="AF1" s="170"/>
      <c r="AG1" s="73"/>
      <c r="AI1" s="1"/>
      <c r="AJ1" s="926" t="s">
        <v>250</v>
      </c>
      <c r="AK1" s="926">
        <v>10000</v>
      </c>
      <c r="AL1" s="927" t="s">
        <v>494</v>
      </c>
      <c r="AM1" s="928">
        <f>$S$32</f>
        <v>30640</v>
      </c>
      <c r="AN1" s="926" t="s">
        <v>239</v>
      </c>
      <c r="AO1" s="929">
        <f>(($S$32)/$R$1)/$AK$1</f>
        <v>5.674074074074074</v>
      </c>
      <c r="AP1" s="76"/>
      <c r="AQ1" s="89"/>
      <c r="AR1" s="89"/>
      <c r="AS1" s="891"/>
      <c r="AT1" s="89"/>
    </row>
    <row r="2" spans="1:46" ht="15.75" x14ac:dyDescent="0.25">
      <c r="A2" s="860"/>
      <c r="B2" s="921"/>
      <c r="C2" s="921"/>
      <c r="D2" s="921"/>
      <c r="E2" s="921"/>
      <c r="F2" s="1833" t="s">
        <v>787</v>
      </c>
      <c r="G2" s="1787"/>
      <c r="H2" s="921"/>
      <c r="I2" s="921"/>
      <c r="J2" s="921"/>
      <c r="K2" s="921"/>
      <c r="L2" s="187"/>
      <c r="M2" s="80"/>
      <c r="N2" s="80"/>
      <c r="O2" s="80"/>
      <c r="P2" s="80"/>
      <c r="Q2" s="80"/>
      <c r="R2" s="80"/>
      <c r="T2" s="830"/>
      <c r="W2" s="830"/>
      <c r="AC2" s="79"/>
      <c r="AD2" s="79"/>
      <c r="AE2" s="1795"/>
      <c r="AF2" s="1796"/>
      <c r="AG2" s="1796"/>
      <c r="AI2" s="1"/>
      <c r="AJ2" s="930"/>
      <c r="AK2" s="1783" t="s">
        <v>790</v>
      </c>
      <c r="AL2" s="1783"/>
      <c r="AM2" s="1783"/>
      <c r="AN2" s="931"/>
      <c r="AO2" s="930"/>
      <c r="AP2" s="81"/>
      <c r="AS2" s="830"/>
    </row>
    <row r="3" spans="1:46" ht="15.75" x14ac:dyDescent="0.25">
      <c r="A3" s="860"/>
      <c r="B3" s="78"/>
      <c r="C3" s="78"/>
      <c r="D3" s="78"/>
      <c r="E3" s="78"/>
      <c r="F3" s="1785"/>
      <c r="G3" s="1796"/>
      <c r="H3" s="78"/>
      <c r="I3" s="78"/>
      <c r="J3" s="78"/>
      <c r="K3" s="78"/>
      <c r="L3" s="187"/>
      <c r="M3" s="80"/>
      <c r="N3" s="80"/>
      <c r="O3" s="80"/>
      <c r="P3" s="80"/>
      <c r="Q3" s="80"/>
      <c r="R3" s="80"/>
      <c r="T3" s="830"/>
      <c r="W3" s="830"/>
      <c r="AC3" s="79"/>
      <c r="AD3" s="79"/>
      <c r="AE3" s="1796"/>
      <c r="AF3" s="1796"/>
      <c r="AG3" s="1796"/>
      <c r="AI3" s="1"/>
      <c r="AJ3" s="81"/>
      <c r="AK3" s="81"/>
      <c r="AL3" s="82"/>
      <c r="AM3" s="82"/>
      <c r="AN3" s="82"/>
      <c r="AO3" s="81"/>
      <c r="AP3" s="81"/>
      <c r="AS3" s="830"/>
    </row>
    <row r="4" spans="1:46" ht="38.25" x14ac:dyDescent="0.25">
      <c r="A4" s="1350" t="s">
        <v>864</v>
      </c>
      <c r="B4" s="923" t="s">
        <v>241</v>
      </c>
      <c r="C4" s="934" t="s">
        <v>242</v>
      </c>
      <c r="D4" s="923" t="s">
        <v>231</v>
      </c>
      <c r="E4" s="935" t="s">
        <v>234</v>
      </c>
      <c r="F4" s="935" t="s">
        <v>243</v>
      </c>
      <c r="G4" s="923" t="s">
        <v>244</v>
      </c>
      <c r="H4" s="936" t="s">
        <v>334</v>
      </c>
      <c r="I4" s="923" t="s">
        <v>246</v>
      </c>
      <c r="J4" s="923" t="s">
        <v>247</v>
      </c>
      <c r="K4" s="923" t="s">
        <v>248</v>
      </c>
      <c r="L4" s="923" t="s">
        <v>249</v>
      </c>
      <c r="M4" s="80"/>
      <c r="N4" s="80"/>
      <c r="O4" s="80"/>
      <c r="P4" s="80"/>
      <c r="R4" s="830"/>
      <c r="T4" s="830"/>
      <c r="W4" s="830"/>
      <c r="AA4" s="169"/>
      <c r="AB4" s="171"/>
      <c r="AC4" s="169"/>
      <c r="AD4" s="169"/>
      <c r="AE4" s="169"/>
      <c r="AI4" s="1114"/>
      <c r="AJ4" s="926" t="s">
        <v>241</v>
      </c>
      <c r="AK4" s="926" t="s">
        <v>242</v>
      </c>
      <c r="AL4" s="926" t="s">
        <v>250</v>
      </c>
      <c r="AM4" s="926" t="s">
        <v>234</v>
      </c>
      <c r="AN4" s="926" t="s">
        <v>243</v>
      </c>
      <c r="AO4" s="926" t="s">
        <v>244</v>
      </c>
      <c r="AP4" s="926" t="s">
        <v>245</v>
      </c>
      <c r="AQ4" s="923" t="s">
        <v>246</v>
      </c>
      <c r="AR4" s="923" t="s">
        <v>247</v>
      </c>
      <c r="AS4" s="923" t="s">
        <v>248</v>
      </c>
      <c r="AT4" s="923" t="s">
        <v>249</v>
      </c>
    </row>
    <row r="5" spans="1:46" x14ac:dyDescent="0.25">
      <c r="A5" s="1114" t="s">
        <v>873</v>
      </c>
      <c r="B5" s="1115" t="s">
        <v>225</v>
      </c>
      <c r="C5" s="939" t="s">
        <v>14</v>
      </c>
      <c r="D5" s="944">
        <f>I51/10</f>
        <v>4629.6296296296296</v>
      </c>
      <c r="E5" s="941">
        <f>H52</f>
        <v>12.256</v>
      </c>
      <c r="F5" s="948">
        <v>1</v>
      </c>
      <c r="G5" s="940">
        <f t="shared" ref="G5:G17" si="0">D5*E5</f>
        <v>56740.740740740745</v>
      </c>
      <c r="H5" s="943">
        <f t="shared" ref="H5:H17" si="1">G5*F5</f>
        <v>56740.740740740745</v>
      </c>
      <c r="I5" s="914">
        <f>VLOOKUP(B5,All_Ingredients!$A$1:$F$161,6,FALSE())</f>
        <v>0.47</v>
      </c>
      <c r="J5" s="940">
        <f>VLOOKUP(B5,All_Ingredients!$A$1:$J$161,10,FALSE())</f>
        <v>12</v>
      </c>
      <c r="K5" s="945">
        <f t="shared" ref="K5" si="2">(H5/I5)/1000</f>
        <v>120.7249802994484</v>
      </c>
      <c r="L5" s="945">
        <f t="shared" ref="L5" si="3">K5*J5</f>
        <v>1448.6997635933808</v>
      </c>
      <c r="M5" s="80"/>
      <c r="N5" s="80"/>
      <c r="O5" s="80"/>
      <c r="P5" s="80"/>
      <c r="R5" s="830"/>
      <c r="T5" s="830"/>
      <c r="W5" s="830"/>
      <c r="AA5" s="73"/>
      <c r="AB5" s="89"/>
      <c r="AC5" s="172"/>
      <c r="AD5" s="90"/>
      <c r="AE5" s="91"/>
      <c r="AI5" s="1114"/>
      <c r="AJ5" s="1118" t="s">
        <v>225</v>
      </c>
      <c r="AK5" s="951" t="s">
        <v>227</v>
      </c>
      <c r="AL5" s="951">
        <v>10</v>
      </c>
      <c r="AM5" s="918">
        <f>$AO$1</f>
        <v>5.674074074074074</v>
      </c>
      <c r="AN5" s="948">
        <v>1</v>
      </c>
      <c r="AO5" s="940">
        <f>AL5*AM5</f>
        <v>56.74074074074074</v>
      </c>
      <c r="AP5" s="943">
        <f>AN5*AO5</f>
        <v>56.74074074074074</v>
      </c>
      <c r="AQ5" s="952"/>
      <c r="AR5" s="953"/>
      <c r="AS5" s="954"/>
      <c r="AT5" s="955"/>
    </row>
    <row r="6" spans="1:46" x14ac:dyDescent="0.25">
      <c r="A6" s="1117" t="s">
        <v>881</v>
      </c>
      <c r="B6" s="1115" t="s">
        <v>12</v>
      </c>
      <c r="C6" s="947" t="s">
        <v>14</v>
      </c>
      <c r="D6" s="914">
        <v>250</v>
      </c>
      <c r="E6" s="1040">
        <f t="shared" ref="E6:E17" si="4">$I$1</f>
        <v>12.506122448979593</v>
      </c>
      <c r="F6" s="948">
        <v>1</v>
      </c>
      <c r="G6" s="940">
        <f t="shared" si="0"/>
        <v>3126.5306122448983</v>
      </c>
      <c r="H6" s="943">
        <f t="shared" si="1"/>
        <v>3126.5306122448983</v>
      </c>
      <c r="I6" s="914">
        <f>VLOOKUP(B6,All_Ingredients!$A$1:$F$161,6,FALSE())</f>
        <v>0.9</v>
      </c>
      <c r="J6" s="940">
        <f>VLOOKUP(B6,All_Ingredients!$A$1:$J$161,10,FALSE())</f>
        <v>3</v>
      </c>
      <c r="K6" s="945">
        <f t="shared" ref="K6:K17" si="5">(H6/I6)/1000</f>
        <v>3.4739229024943317</v>
      </c>
      <c r="L6" s="945">
        <f t="shared" ref="L6:L17" si="6">K6*J6</f>
        <v>10.421768707482995</v>
      </c>
      <c r="R6" s="830"/>
      <c r="T6" s="830"/>
      <c r="W6" s="830"/>
      <c r="AI6" s="1114" t="s">
        <v>55</v>
      </c>
      <c r="AJ6" s="1118" t="s">
        <v>54</v>
      </c>
      <c r="AK6" s="951" t="s">
        <v>14</v>
      </c>
      <c r="AL6" s="951">
        <v>200</v>
      </c>
      <c r="AM6" s="918">
        <f t="shared" ref="AM6:AM13" si="7">$AO$1</f>
        <v>5.674074074074074</v>
      </c>
      <c r="AN6" s="948">
        <v>1</v>
      </c>
      <c r="AO6" s="940">
        <f t="shared" ref="AO6:AO13" si="8">AL6*AM6</f>
        <v>1134.8148148148148</v>
      </c>
      <c r="AP6" s="943">
        <f t="shared" ref="AP6:AP13" si="9">AN6*AO6</f>
        <v>1134.8148148148148</v>
      </c>
      <c r="AQ6" s="955">
        <f>VLOOKUP(AJ6,Marination_Ordering!$A:$J,6,FALSE)</f>
        <v>0.87</v>
      </c>
      <c r="AR6" s="955">
        <f>VLOOKUP(AJ6,Marination_Ordering!$A:$J,10,FALSE)</f>
        <v>7</v>
      </c>
      <c r="AS6" s="954">
        <f>AP6/AQ6</f>
        <v>1304.3848446147297</v>
      </c>
      <c r="AT6" s="955">
        <f>AR6*(AS6/1000)</f>
        <v>9.1306939123031086</v>
      </c>
    </row>
    <row r="7" spans="1:46" x14ac:dyDescent="0.25">
      <c r="A7" s="1117" t="s">
        <v>868</v>
      </c>
      <c r="B7" s="1115" t="s">
        <v>706</v>
      </c>
      <c r="C7" s="947" t="s">
        <v>14</v>
      </c>
      <c r="D7" s="914">
        <v>20</v>
      </c>
      <c r="E7" s="1040">
        <f t="shared" si="4"/>
        <v>12.506122448979593</v>
      </c>
      <c r="F7" s="948">
        <v>1</v>
      </c>
      <c r="G7" s="940">
        <f t="shared" si="0"/>
        <v>250.12244897959187</v>
      </c>
      <c r="H7" s="943">
        <f t="shared" si="1"/>
        <v>250.12244897959187</v>
      </c>
      <c r="I7" s="914">
        <f>VLOOKUP(B7,All_Ingredients!$A$1:$F$161,6,FALSE())</f>
        <v>1</v>
      </c>
      <c r="J7" s="940">
        <f>VLOOKUP(B7,All_Ingredients!$A$1:$J$161,10,FALSE())</f>
        <v>10.5</v>
      </c>
      <c r="K7" s="945">
        <f t="shared" si="5"/>
        <v>0.25012244897959185</v>
      </c>
      <c r="L7" s="945">
        <f t="shared" si="6"/>
        <v>2.6262857142857143</v>
      </c>
      <c r="R7" s="830"/>
      <c r="T7" s="830"/>
      <c r="W7" s="830"/>
      <c r="AI7" s="1114" t="s">
        <v>13</v>
      </c>
      <c r="AJ7" s="1115" t="s">
        <v>706</v>
      </c>
      <c r="AK7" s="951" t="s">
        <v>14</v>
      </c>
      <c r="AL7" s="951">
        <v>150</v>
      </c>
      <c r="AM7" s="918">
        <f t="shared" si="7"/>
        <v>5.674074074074074</v>
      </c>
      <c r="AN7" s="948">
        <v>1</v>
      </c>
      <c r="AO7" s="940">
        <f t="shared" si="8"/>
        <v>851.11111111111109</v>
      </c>
      <c r="AP7" s="943">
        <f t="shared" si="9"/>
        <v>851.11111111111109</v>
      </c>
      <c r="AQ7" s="955">
        <f>VLOOKUP(AJ7,Marination_Ordering!$A:$J,6,FALSE)</f>
        <v>1</v>
      </c>
      <c r="AR7" s="955">
        <f>VLOOKUP(AJ7,Marination_Ordering!$A:$J,10,FALSE)</f>
        <v>10.5</v>
      </c>
      <c r="AS7" s="954">
        <f t="shared" ref="AS7:AS13" si="10">AP7/AQ7</f>
        <v>851.11111111111109</v>
      </c>
      <c r="AT7" s="955">
        <f t="shared" ref="AT7:AT13" si="11">AR7*(AS7/1000)</f>
        <v>8.9366666666666656</v>
      </c>
    </row>
    <row r="8" spans="1:46" x14ac:dyDescent="0.25">
      <c r="A8" s="1117"/>
      <c r="B8" s="1115" t="s">
        <v>110</v>
      </c>
      <c r="C8" s="947" t="s">
        <v>14</v>
      </c>
      <c r="D8" s="914">
        <v>5</v>
      </c>
      <c r="E8" s="1040">
        <f t="shared" si="4"/>
        <v>12.506122448979593</v>
      </c>
      <c r="F8" s="948">
        <v>0.75</v>
      </c>
      <c r="G8" s="940">
        <f t="shared" si="0"/>
        <v>62.530612244897966</v>
      </c>
      <c r="H8" s="943">
        <f t="shared" si="1"/>
        <v>46.897959183673478</v>
      </c>
      <c r="I8" s="914">
        <f>VLOOKUP(B8,All_Ingredients!$A$1:$F$161,6,FALSE())</f>
        <v>1</v>
      </c>
      <c r="J8" s="940">
        <f>VLOOKUP(B8,All_Ingredients!$A$1:$J$161,10,FALSE())</f>
        <v>64.243759177679877</v>
      </c>
      <c r="K8" s="945">
        <f t="shared" si="5"/>
        <v>4.6897959183673475E-2</v>
      </c>
      <c r="L8" s="945">
        <f t="shared" si="6"/>
        <v>3.0129011957205791</v>
      </c>
      <c r="R8" s="830"/>
      <c r="T8" s="830"/>
      <c r="W8" s="830"/>
      <c r="AI8" s="1114" t="s">
        <v>204</v>
      </c>
      <c r="AJ8" s="1118" t="s">
        <v>212</v>
      </c>
      <c r="AK8" s="951" t="s">
        <v>160</v>
      </c>
      <c r="AL8" s="951">
        <v>450</v>
      </c>
      <c r="AM8" s="918">
        <f t="shared" si="7"/>
        <v>5.674074074074074</v>
      </c>
      <c r="AN8" s="948">
        <v>1</v>
      </c>
      <c r="AO8" s="940">
        <f t="shared" si="8"/>
        <v>2553.3333333333335</v>
      </c>
      <c r="AP8" s="943">
        <f t="shared" si="9"/>
        <v>2553.3333333333335</v>
      </c>
      <c r="AQ8" s="955">
        <f>VLOOKUP(AJ8,Marination_Ordering!$A:$J,6,FALSE)</f>
        <v>1</v>
      </c>
      <c r="AR8" s="955">
        <f>VLOOKUP(AJ8,Marination_Ordering!$A:$J,10,FALSE)</f>
        <v>5</v>
      </c>
      <c r="AS8" s="954">
        <f t="shared" si="10"/>
        <v>2553.3333333333335</v>
      </c>
      <c r="AT8" s="955">
        <f t="shared" si="11"/>
        <v>12.766666666666669</v>
      </c>
    </row>
    <row r="9" spans="1:46" x14ac:dyDescent="0.25">
      <c r="A9" s="1117"/>
      <c r="B9" s="1115" t="s">
        <v>166</v>
      </c>
      <c r="C9" s="947" t="s">
        <v>160</v>
      </c>
      <c r="D9" s="914">
        <v>600</v>
      </c>
      <c r="E9" s="1040">
        <f t="shared" si="4"/>
        <v>12.506122448979593</v>
      </c>
      <c r="F9" s="948">
        <v>1</v>
      </c>
      <c r="G9" s="940">
        <f t="shared" si="0"/>
        <v>7503.6734693877552</v>
      </c>
      <c r="H9" s="943">
        <f t="shared" si="1"/>
        <v>7503.6734693877552</v>
      </c>
      <c r="I9" s="914">
        <f>VLOOKUP(B9,All_Ingredients!$A$1:$F$161,6,FALSE())</f>
        <v>1</v>
      </c>
      <c r="J9" s="940">
        <f>VLOOKUP(B9,All_Ingredients!$A$1:$J$161,10,FALSE())</f>
        <v>12.666666666666666</v>
      </c>
      <c r="K9" s="945">
        <f t="shared" si="5"/>
        <v>7.5036734693877554</v>
      </c>
      <c r="L9" s="945">
        <f t="shared" si="6"/>
        <v>95.046530612244894</v>
      </c>
      <c r="R9" s="830"/>
      <c r="T9" s="830"/>
      <c r="W9" s="830"/>
      <c r="AI9" s="1114" t="s">
        <v>204</v>
      </c>
      <c r="AJ9" s="1118" t="s">
        <v>208</v>
      </c>
      <c r="AK9" s="951" t="s">
        <v>160</v>
      </c>
      <c r="AL9" s="951">
        <v>100</v>
      </c>
      <c r="AM9" s="918">
        <f t="shared" si="7"/>
        <v>5.674074074074074</v>
      </c>
      <c r="AN9" s="948">
        <v>1</v>
      </c>
      <c r="AO9" s="940">
        <f t="shared" si="8"/>
        <v>567.40740740740739</v>
      </c>
      <c r="AP9" s="943">
        <f t="shared" si="9"/>
        <v>567.40740740740739</v>
      </c>
      <c r="AQ9" s="955">
        <f>VLOOKUP(AJ9,Marination_Ordering!$A:$J,6,FALSE)</f>
        <v>1</v>
      </c>
      <c r="AR9" s="955">
        <f>VLOOKUP(AJ9,Marination_Ordering!$A:$J,10,FALSE)</f>
        <v>2.1621621621621623</v>
      </c>
      <c r="AS9" s="954">
        <f t="shared" si="10"/>
        <v>567.40740740740739</v>
      </c>
      <c r="AT9" s="955">
        <f t="shared" si="11"/>
        <v>1.2268268268268268</v>
      </c>
    </row>
    <row r="10" spans="1:46" x14ac:dyDescent="0.25">
      <c r="A10" s="1117"/>
      <c r="B10" s="1115" t="s">
        <v>93</v>
      </c>
      <c r="C10" s="947" t="s">
        <v>14</v>
      </c>
      <c r="D10" s="914">
        <v>11</v>
      </c>
      <c r="E10" s="1040">
        <f t="shared" si="4"/>
        <v>12.506122448979593</v>
      </c>
      <c r="F10" s="948">
        <v>1</v>
      </c>
      <c r="G10" s="940">
        <f t="shared" si="0"/>
        <v>137.56734693877553</v>
      </c>
      <c r="H10" s="943">
        <f t="shared" si="1"/>
        <v>137.56734693877553</v>
      </c>
      <c r="I10" s="914">
        <f>VLOOKUP(B10,All_Ingredients!$A$1:$F$161,6,FALSE())</f>
        <v>1</v>
      </c>
      <c r="J10" s="940">
        <f>VLOOKUP(B10,All_Ingredients!$A$1:$J$161,10,FALSE())</f>
        <v>0.74</v>
      </c>
      <c r="K10" s="945">
        <f t="shared" si="5"/>
        <v>0.13756734693877554</v>
      </c>
      <c r="L10" s="945">
        <f t="shared" si="6"/>
        <v>0.10179983673469389</v>
      </c>
      <c r="R10" s="830"/>
      <c r="T10" s="830"/>
      <c r="W10" s="830"/>
      <c r="AI10" s="1114" t="s">
        <v>94</v>
      </c>
      <c r="AJ10" s="1118" t="s">
        <v>93</v>
      </c>
      <c r="AK10" s="951" t="s">
        <v>14</v>
      </c>
      <c r="AL10" s="951">
        <v>2</v>
      </c>
      <c r="AM10" s="918">
        <f t="shared" si="7"/>
        <v>5.674074074074074</v>
      </c>
      <c r="AN10" s="948">
        <v>1</v>
      </c>
      <c r="AO10" s="940">
        <f t="shared" si="8"/>
        <v>11.348148148148148</v>
      </c>
      <c r="AP10" s="943">
        <f t="shared" si="9"/>
        <v>11.348148148148148</v>
      </c>
      <c r="AQ10" s="955">
        <f>VLOOKUP(AJ10,Marination_Ordering!$A:$J,6,FALSE)</f>
        <v>1</v>
      </c>
      <c r="AR10" s="955">
        <f>VLOOKUP(AJ10,Marination_Ordering!$A:$J,10,FALSE)</f>
        <v>0.74</v>
      </c>
      <c r="AS10" s="954">
        <f t="shared" si="10"/>
        <v>11.348148148148148</v>
      </c>
      <c r="AT10" s="955">
        <f t="shared" si="11"/>
        <v>8.3976296296296299E-3</v>
      </c>
    </row>
    <row r="11" spans="1:46" ht="25.5" x14ac:dyDescent="0.25">
      <c r="A11" s="1117"/>
      <c r="B11" s="1115" t="s">
        <v>99</v>
      </c>
      <c r="C11" s="947" t="s">
        <v>14</v>
      </c>
      <c r="D11" s="914">
        <v>5</v>
      </c>
      <c r="E11" s="1040">
        <f t="shared" si="4"/>
        <v>12.506122448979593</v>
      </c>
      <c r="F11" s="948">
        <v>1</v>
      </c>
      <c r="G11" s="940">
        <f t="shared" si="0"/>
        <v>62.530612244897966</v>
      </c>
      <c r="H11" s="943">
        <f t="shared" si="1"/>
        <v>62.530612244897966</v>
      </c>
      <c r="I11" s="914">
        <f>VLOOKUP(B11,All_Ingredients!$A$1:$F$161,6,FALSE())</f>
        <v>1</v>
      </c>
      <c r="J11" s="940">
        <f>VLOOKUP(B11,All_Ingredients!$A$1:$J$161,10,FALSE())</f>
        <v>31</v>
      </c>
      <c r="K11" s="945">
        <f t="shared" si="5"/>
        <v>6.2530612244897962E-2</v>
      </c>
      <c r="L11" s="945">
        <f t="shared" si="6"/>
        <v>1.9384489795918369</v>
      </c>
      <c r="R11" s="830"/>
      <c r="T11" s="830"/>
      <c r="W11" s="830"/>
      <c r="AI11" s="1114" t="s">
        <v>94</v>
      </c>
      <c r="AJ11" s="1118" t="s">
        <v>99</v>
      </c>
      <c r="AK11" s="951" t="s">
        <v>14</v>
      </c>
      <c r="AL11" s="951">
        <v>4</v>
      </c>
      <c r="AM11" s="918">
        <f t="shared" si="7"/>
        <v>5.674074074074074</v>
      </c>
      <c r="AN11" s="948">
        <v>1</v>
      </c>
      <c r="AO11" s="940">
        <f t="shared" si="8"/>
        <v>22.696296296296296</v>
      </c>
      <c r="AP11" s="943">
        <f t="shared" si="9"/>
        <v>22.696296296296296</v>
      </c>
      <c r="AQ11" s="955">
        <f>VLOOKUP(AJ11,Marination_Ordering!$A:$J,6,FALSE)</f>
        <v>1</v>
      </c>
      <c r="AR11" s="955">
        <f>VLOOKUP(AJ11,Marination_Ordering!$A:$J,10,FALSE)</f>
        <v>31</v>
      </c>
      <c r="AS11" s="954">
        <f t="shared" si="10"/>
        <v>22.696296296296296</v>
      </c>
      <c r="AT11" s="955">
        <f t="shared" si="11"/>
        <v>0.7035851851851852</v>
      </c>
    </row>
    <row r="12" spans="1:46" x14ac:dyDescent="0.25">
      <c r="A12" s="1117"/>
      <c r="B12" s="1115" t="s">
        <v>187</v>
      </c>
      <c r="C12" s="947" t="s">
        <v>14</v>
      </c>
      <c r="D12" s="914">
        <v>100</v>
      </c>
      <c r="E12" s="1040">
        <f t="shared" si="4"/>
        <v>12.506122448979593</v>
      </c>
      <c r="F12" s="948">
        <v>0.75</v>
      </c>
      <c r="G12" s="940">
        <f t="shared" si="0"/>
        <v>1250.6122448979593</v>
      </c>
      <c r="H12" s="943">
        <f t="shared" si="1"/>
        <v>937.9591836734694</v>
      </c>
      <c r="I12" s="914">
        <f>VLOOKUP(B12,All_Ingredients!$A$1:$F$161,6,FALSE())</f>
        <v>0.9</v>
      </c>
      <c r="J12" s="940">
        <f>VLOOKUP(B12,All_Ingredients!$A$1:$J$161,10,FALSE())</f>
        <v>2.3199999999999998</v>
      </c>
      <c r="K12" s="945">
        <f t="shared" si="5"/>
        <v>1.0421768707482992</v>
      </c>
      <c r="L12" s="945">
        <f t="shared" si="6"/>
        <v>2.417850340136054</v>
      </c>
      <c r="R12" s="830"/>
      <c r="T12" s="830"/>
      <c r="W12" s="830"/>
      <c r="AI12" s="1114" t="s">
        <v>94</v>
      </c>
      <c r="AJ12" s="1118" t="s">
        <v>105</v>
      </c>
      <c r="AK12" s="951" t="s">
        <v>14</v>
      </c>
      <c r="AL12" s="951">
        <v>35</v>
      </c>
      <c r="AM12" s="918">
        <f t="shared" si="7"/>
        <v>5.674074074074074</v>
      </c>
      <c r="AN12" s="948">
        <v>1</v>
      </c>
      <c r="AO12" s="940">
        <f t="shared" si="8"/>
        <v>198.59259259259258</v>
      </c>
      <c r="AP12" s="943">
        <f t="shared" si="9"/>
        <v>198.59259259259258</v>
      </c>
      <c r="AQ12" s="955">
        <f>VLOOKUP(AJ12,Marination_Ordering!$A:$J,6,FALSE)</f>
        <v>1</v>
      </c>
      <c r="AR12" s="955">
        <f>VLOOKUP(AJ12,Marination_Ordering!$A:$J,10,FALSE)</f>
        <v>15</v>
      </c>
      <c r="AS12" s="954">
        <f t="shared" si="10"/>
        <v>198.59259259259258</v>
      </c>
      <c r="AT12" s="955">
        <f t="shared" si="11"/>
        <v>2.9788888888888887</v>
      </c>
    </row>
    <row r="13" spans="1:46" x14ac:dyDescent="0.25">
      <c r="A13" s="1117"/>
      <c r="B13" s="1115" t="s">
        <v>152</v>
      </c>
      <c r="C13" s="947" t="s">
        <v>14</v>
      </c>
      <c r="D13" s="914">
        <v>50</v>
      </c>
      <c r="E13" s="1040">
        <f t="shared" si="4"/>
        <v>12.506122448979593</v>
      </c>
      <c r="F13" s="948">
        <v>0.75</v>
      </c>
      <c r="G13" s="940">
        <f t="shared" si="0"/>
        <v>625.30612244897964</v>
      </c>
      <c r="H13" s="943">
        <f t="shared" si="1"/>
        <v>468.9795918367347</v>
      </c>
      <c r="I13" s="914">
        <f>VLOOKUP(B13,All_Ingredients!$A$1:$F$161,6,FALSE())</f>
        <v>1</v>
      </c>
      <c r="J13" s="940">
        <f>VLOOKUP(B13,All_Ingredients!$A$1:$J$161,10,FALSE())</f>
        <v>30</v>
      </c>
      <c r="K13" s="945">
        <f t="shared" si="5"/>
        <v>0.46897959183673471</v>
      </c>
      <c r="L13" s="945">
        <f t="shared" si="6"/>
        <v>14.069387755102042</v>
      </c>
      <c r="R13" s="830"/>
      <c r="T13" s="830"/>
      <c r="W13" s="830"/>
      <c r="AI13" s="1114" t="s">
        <v>190</v>
      </c>
      <c r="AJ13" s="1118" t="s">
        <v>202</v>
      </c>
      <c r="AK13" s="951" t="s">
        <v>14</v>
      </c>
      <c r="AL13" s="951">
        <v>250</v>
      </c>
      <c r="AM13" s="918">
        <f t="shared" si="7"/>
        <v>5.674074074074074</v>
      </c>
      <c r="AN13" s="948">
        <v>1</v>
      </c>
      <c r="AO13" s="940">
        <f t="shared" si="8"/>
        <v>1418.5185185185185</v>
      </c>
      <c r="AP13" s="943">
        <f t="shared" si="9"/>
        <v>1418.5185185185185</v>
      </c>
      <c r="AQ13" s="955">
        <f>VLOOKUP(AJ13,Marination_Ordering!$A:$J,6,FALSE)</f>
        <v>1</v>
      </c>
      <c r="AR13" s="955">
        <f>VLOOKUP(AJ13,Marination_Ordering!$A:$J,10,FALSE)</f>
        <v>11.243386243386244</v>
      </c>
      <c r="AS13" s="954">
        <f t="shared" si="10"/>
        <v>1418.5185185185185</v>
      </c>
      <c r="AT13" s="955">
        <f t="shared" si="11"/>
        <v>15.948951597099745</v>
      </c>
    </row>
    <row r="14" spans="1:46" x14ac:dyDescent="0.25">
      <c r="A14" s="1117"/>
      <c r="B14" s="1115" t="s">
        <v>214</v>
      </c>
      <c r="C14" s="947" t="s">
        <v>14</v>
      </c>
      <c r="D14" s="914">
        <v>2</v>
      </c>
      <c r="E14" s="1040">
        <f t="shared" si="4"/>
        <v>12.506122448979593</v>
      </c>
      <c r="F14" s="948">
        <v>0.75</v>
      </c>
      <c r="G14" s="940">
        <f t="shared" si="0"/>
        <v>25.012244897959185</v>
      </c>
      <c r="H14" s="943">
        <f t="shared" si="1"/>
        <v>18.759183673469387</v>
      </c>
      <c r="I14" s="914">
        <f>VLOOKUP(B14,All_Ingredients!$A$1:$F$161,6,FALSE())</f>
        <v>1</v>
      </c>
      <c r="J14" s="940">
        <f>VLOOKUP(B14,All_Ingredients!$A$1:$J$161,10,FALSE())</f>
        <v>35</v>
      </c>
      <c r="K14" s="945">
        <f t="shared" si="5"/>
        <v>1.8759183673469387E-2</v>
      </c>
      <c r="L14" s="945">
        <f t="shared" si="6"/>
        <v>0.65657142857142858</v>
      </c>
      <c r="R14" s="830"/>
      <c r="T14" s="830"/>
      <c r="W14" s="830"/>
      <c r="AJ14" s="830"/>
      <c r="AK14" s="830"/>
      <c r="AL14" s="830"/>
      <c r="AM14" s="830"/>
      <c r="AN14" s="830"/>
      <c r="AP14" s="830"/>
      <c r="AS14" s="830"/>
    </row>
    <row r="15" spans="1:46" x14ac:dyDescent="0.25">
      <c r="A15" s="1117"/>
      <c r="B15" s="1352" t="s">
        <v>139</v>
      </c>
      <c r="C15" s="947" t="s">
        <v>14</v>
      </c>
      <c r="D15" s="914">
        <v>10</v>
      </c>
      <c r="E15" s="1040">
        <f t="shared" si="4"/>
        <v>12.506122448979593</v>
      </c>
      <c r="F15" s="948">
        <v>0.9</v>
      </c>
      <c r="G15" s="940">
        <f t="shared" si="0"/>
        <v>125.06122448979593</v>
      </c>
      <c r="H15" s="943">
        <f t="shared" si="1"/>
        <v>112.55510204081634</v>
      </c>
      <c r="I15" s="914">
        <f>VLOOKUP(B15,All_Ingredients!$A$1:$F$161,6,FALSE())</f>
        <v>1</v>
      </c>
      <c r="J15" s="940">
        <f>VLOOKUP(B15,All_Ingredients!$A$1:$J$161,10,FALSE())</f>
        <v>15.277777777777779</v>
      </c>
      <c r="K15" s="945">
        <f t="shared" si="5"/>
        <v>0.11255510204081634</v>
      </c>
      <c r="L15" s="945">
        <f t="shared" si="6"/>
        <v>1.7195918367346943</v>
      </c>
      <c r="R15" s="830"/>
      <c r="T15" s="830"/>
      <c r="W15" s="830"/>
      <c r="AJ15" s="830"/>
      <c r="AK15" s="830"/>
      <c r="AL15" s="830"/>
      <c r="AM15" s="830"/>
      <c r="AN15" s="830"/>
      <c r="AP15" s="830"/>
      <c r="AS15" s="830"/>
    </row>
    <row r="16" spans="1:46" x14ac:dyDescent="0.25">
      <c r="A16" s="1117"/>
      <c r="B16" s="1115" t="s">
        <v>183</v>
      </c>
      <c r="C16" s="947" t="s">
        <v>14</v>
      </c>
      <c r="D16" s="914">
        <v>35</v>
      </c>
      <c r="E16" s="1040">
        <f t="shared" si="4"/>
        <v>12.506122448979593</v>
      </c>
      <c r="F16" s="948">
        <v>1</v>
      </c>
      <c r="G16" s="940">
        <f t="shared" si="0"/>
        <v>437.71428571428572</v>
      </c>
      <c r="H16" s="943">
        <f t="shared" si="1"/>
        <v>437.71428571428572</v>
      </c>
      <c r="I16" s="914">
        <f>VLOOKUP(B16,All_Ingredients!$A$1:$F$161,6,FALSE())</f>
        <v>1</v>
      </c>
      <c r="J16" s="940">
        <f>VLOOKUP(B16,All_Ingredients!$A$1:$J$161,10,FALSE())</f>
        <v>17</v>
      </c>
      <c r="K16" s="945">
        <f t="shared" si="5"/>
        <v>0.43771428571428572</v>
      </c>
      <c r="L16" s="945">
        <f t="shared" si="6"/>
        <v>7.4411428571428573</v>
      </c>
      <c r="R16" s="830"/>
      <c r="T16" s="830"/>
      <c r="W16" s="830"/>
      <c r="AJ16" s="830"/>
      <c r="AK16" s="830"/>
      <c r="AL16" s="830"/>
      <c r="AM16" s="830"/>
      <c r="AN16" s="830"/>
      <c r="AP16" s="830"/>
      <c r="AS16" s="830"/>
    </row>
    <row r="17" spans="1:30" ht="28.5" x14ac:dyDescent="0.25">
      <c r="A17" s="1117"/>
      <c r="B17" s="1068" t="s">
        <v>799</v>
      </c>
      <c r="C17" s="947" t="s">
        <v>14</v>
      </c>
      <c r="D17" s="914">
        <v>1</v>
      </c>
      <c r="E17" s="1040">
        <f t="shared" si="4"/>
        <v>12.506122448979593</v>
      </c>
      <c r="F17" s="948">
        <v>1</v>
      </c>
      <c r="G17" s="940">
        <f t="shared" si="0"/>
        <v>12.506122448979593</v>
      </c>
      <c r="H17" s="943">
        <f t="shared" si="1"/>
        <v>12.506122448979593</v>
      </c>
      <c r="I17" s="914">
        <f>VLOOKUP(B17,All_Ingredients!$A$1:$F$161,6,FALSE())</f>
        <v>1</v>
      </c>
      <c r="J17" s="940">
        <f>VLOOKUP(B17,All_Ingredients!$A$1:$J$161,10,FALSE())</f>
        <v>22.5</v>
      </c>
      <c r="K17" s="945">
        <f t="shared" si="5"/>
        <v>1.2506122448979593E-2</v>
      </c>
      <c r="L17" s="945">
        <f t="shared" si="6"/>
        <v>0.28138775510204084</v>
      </c>
      <c r="R17" s="830"/>
      <c r="T17" s="830"/>
      <c r="W17" s="830"/>
    </row>
    <row r="18" spans="1:30" x14ac:dyDescent="0.25">
      <c r="B18" s="88"/>
      <c r="D18" s="830"/>
      <c r="E18" s="891"/>
      <c r="F18" s="80"/>
      <c r="H18" s="830"/>
      <c r="K18" s="830"/>
      <c r="L18" s="144"/>
      <c r="R18" s="830"/>
      <c r="T18" s="830"/>
      <c r="W18" s="830"/>
    </row>
    <row r="19" spans="1:30" x14ac:dyDescent="0.25">
      <c r="B19" s="830"/>
      <c r="D19" s="830"/>
      <c r="E19" s="830"/>
      <c r="F19" s="830"/>
      <c r="H19" s="830"/>
      <c r="K19" s="830"/>
      <c r="L19" s="144"/>
      <c r="R19" s="830"/>
      <c r="T19" s="830"/>
      <c r="W19" s="830"/>
    </row>
    <row r="20" spans="1:30" x14ac:dyDescent="0.25">
      <c r="B20" s="830"/>
      <c r="D20" s="830"/>
      <c r="E20" s="830"/>
      <c r="F20" s="830"/>
      <c r="H20" s="830"/>
      <c r="K20" s="830"/>
      <c r="L20" s="144"/>
      <c r="R20" s="830"/>
      <c r="T20" s="830"/>
      <c r="W20" s="830"/>
    </row>
    <row r="21" spans="1:30" x14ac:dyDescent="0.25">
      <c r="B21" s="830"/>
      <c r="D21" s="830"/>
      <c r="E21" s="830"/>
      <c r="F21" s="830"/>
      <c r="H21" s="830"/>
      <c r="K21" s="830"/>
      <c r="L21" s="144"/>
      <c r="R21" s="830"/>
      <c r="T21" s="830"/>
      <c r="W21" s="830"/>
    </row>
    <row r="22" spans="1:30" x14ac:dyDescent="0.25">
      <c r="B22" s="830"/>
      <c r="D22" s="830"/>
      <c r="E22" s="830"/>
      <c r="F22" s="830"/>
      <c r="H22" s="830"/>
      <c r="K22" s="830"/>
      <c r="L22" s="144"/>
      <c r="R22" s="830"/>
      <c r="T22" s="830"/>
      <c r="W22" s="830"/>
    </row>
    <row r="23" spans="1:30" x14ac:dyDescent="0.25">
      <c r="B23" s="830"/>
      <c r="D23" s="830"/>
      <c r="E23" s="830"/>
      <c r="F23" s="830"/>
      <c r="H23" s="830"/>
      <c r="K23" s="830"/>
      <c r="L23" s="144"/>
      <c r="R23" s="830"/>
      <c r="T23" s="830"/>
      <c r="W23" s="830"/>
    </row>
    <row r="24" spans="1:30" x14ac:dyDescent="0.25">
      <c r="B24" s="830"/>
      <c r="D24" s="830"/>
      <c r="E24" s="830"/>
      <c r="F24" s="830"/>
      <c r="H24" s="830"/>
      <c r="K24" s="830"/>
      <c r="L24" s="144"/>
      <c r="R24" s="830"/>
      <c r="T24" s="830"/>
      <c r="W24" s="830"/>
      <c r="Z24" s="630"/>
    </row>
    <row r="25" spans="1:30" x14ac:dyDescent="0.25">
      <c r="B25" s="80"/>
      <c r="D25" s="830"/>
      <c r="E25" s="80"/>
      <c r="F25" s="80"/>
      <c r="H25" s="830"/>
      <c r="K25" s="830"/>
      <c r="L25" s="144"/>
      <c r="R25" s="1859" t="s">
        <v>790</v>
      </c>
      <c r="S25" s="1858"/>
      <c r="T25" s="1861"/>
      <c r="U25" s="1858"/>
      <c r="V25" s="1269"/>
      <c r="W25" s="830"/>
      <c r="Z25" s="96" t="s">
        <v>252</v>
      </c>
      <c r="AA25" s="97">
        <v>1</v>
      </c>
      <c r="AB25" s="96" t="s">
        <v>249</v>
      </c>
      <c r="AC25" s="98">
        <f>AD30*AA25</f>
        <v>4.8078944649040257E-2</v>
      </c>
      <c r="AD25" s="14"/>
    </row>
    <row r="26" spans="1:30" x14ac:dyDescent="0.25">
      <c r="B26" s="80"/>
      <c r="D26" s="830"/>
      <c r="E26" s="80"/>
      <c r="F26" s="80"/>
      <c r="H26" s="830"/>
      <c r="K26" s="830"/>
      <c r="L26" s="144"/>
      <c r="R26" s="1786" t="s">
        <v>296</v>
      </c>
      <c r="S26" s="1787"/>
      <c r="T26" s="1788"/>
      <c r="U26" s="1787"/>
      <c r="V26" s="1269"/>
      <c r="W26" s="830"/>
      <c r="Z26" s="14"/>
      <c r="AA26" s="14"/>
      <c r="AB26" s="14"/>
      <c r="AC26" s="14"/>
      <c r="AD26" s="14"/>
    </row>
    <row r="27" spans="1:30" x14ac:dyDescent="0.25">
      <c r="B27" s="830"/>
      <c r="D27" s="830"/>
      <c r="E27" s="830"/>
      <c r="F27" s="830"/>
      <c r="H27" s="830"/>
      <c r="K27" s="830"/>
      <c r="R27" s="961" t="s">
        <v>254</v>
      </c>
      <c r="S27" s="962" t="s">
        <v>460</v>
      </c>
      <c r="T27" s="961" t="s">
        <v>256</v>
      </c>
      <c r="U27" s="962" t="s">
        <v>257</v>
      </c>
      <c r="V27" s="962" t="s">
        <v>753</v>
      </c>
      <c r="W27" s="830"/>
      <c r="Z27" s="982" t="s">
        <v>258</v>
      </c>
      <c r="AA27" s="982" t="s">
        <v>259</v>
      </c>
      <c r="AB27" s="982" t="s">
        <v>260</v>
      </c>
      <c r="AC27" s="984" t="s">
        <v>753</v>
      </c>
      <c r="AD27" s="982" t="s">
        <v>262</v>
      </c>
    </row>
    <row r="28" spans="1:30" x14ac:dyDescent="0.25">
      <c r="B28" s="830"/>
      <c r="D28" s="830"/>
      <c r="E28" s="830"/>
      <c r="F28" s="830"/>
      <c r="H28" s="830"/>
      <c r="K28" s="830"/>
      <c r="R28" s="961" t="s">
        <v>263</v>
      </c>
      <c r="S28" s="1391">
        <f>$Z$1</f>
        <v>30140</v>
      </c>
      <c r="T28" s="1392"/>
      <c r="U28" s="975">
        <f>S28/S40</f>
        <v>30140</v>
      </c>
      <c r="V28" s="966">
        <f>SUM(H37:H38)</f>
        <v>572</v>
      </c>
      <c r="W28" s="830"/>
      <c r="Z28" s="1086"/>
      <c r="AA28" s="985">
        <f>AA25*$S$40</f>
        <v>1</v>
      </c>
      <c r="AB28" s="985">
        <f>AA25*$U$40</f>
        <v>0</v>
      </c>
      <c r="AC28" s="987"/>
      <c r="AD28" s="1088">
        <f>SUM(AA28:AC28)</f>
        <v>1</v>
      </c>
    </row>
    <row r="29" spans="1:30" x14ac:dyDescent="0.25">
      <c r="B29" s="830"/>
      <c r="D29" s="830"/>
      <c r="E29" s="830"/>
      <c r="F29" s="830"/>
      <c r="H29" s="830"/>
      <c r="K29" s="830"/>
      <c r="R29" s="961" t="s">
        <v>264</v>
      </c>
      <c r="S29" s="959"/>
      <c r="T29" s="967">
        <f>S28*0.4</f>
        <v>12056</v>
      </c>
      <c r="U29" s="975">
        <f>T29</f>
        <v>12056</v>
      </c>
      <c r="V29" s="966"/>
      <c r="W29" s="830"/>
      <c r="Z29" s="1086"/>
      <c r="AA29" s="1089">
        <f>AA28/$AD$28</f>
        <v>1</v>
      </c>
      <c r="AB29" s="1089">
        <f>AB28/$AD$28</f>
        <v>0</v>
      </c>
      <c r="AC29" s="991"/>
      <c r="AD29" s="1089">
        <f>AD28/$AD$28</f>
        <v>1</v>
      </c>
    </row>
    <row r="30" spans="1:30" x14ac:dyDescent="0.25">
      <c r="B30" s="830"/>
      <c r="D30" s="830"/>
      <c r="E30" s="830"/>
      <c r="F30" s="830"/>
      <c r="H30" s="830"/>
      <c r="K30" s="830"/>
      <c r="R30" s="961" t="s">
        <v>265</v>
      </c>
      <c r="S30" s="1393">
        <f>$AB$1</f>
        <v>500</v>
      </c>
      <c r="T30" s="1132">
        <f>(S30*0.4)</f>
        <v>200</v>
      </c>
      <c r="U30" s="974">
        <f>S30/S40</f>
        <v>500</v>
      </c>
      <c r="V30" s="972"/>
      <c r="W30" s="830"/>
      <c r="Z30" s="982" t="s">
        <v>266</v>
      </c>
      <c r="AA30" s="1090">
        <f>S35/(S32)</f>
        <v>4.7281323877068564E-2</v>
      </c>
      <c r="AB30" s="1091">
        <f>T35/T32</f>
        <v>1.1401245677125476E-2</v>
      </c>
      <c r="AC30" s="995">
        <f>V35/U32</f>
        <v>7.9762077197169498E-4</v>
      </c>
      <c r="AD30" s="1092">
        <f>SUMPRODUCT(AA30:AB30,AA29:AB29)+AC30</f>
        <v>4.8078944649040257E-2</v>
      </c>
    </row>
    <row r="31" spans="1:30" x14ac:dyDescent="0.25">
      <c r="B31" s="80"/>
      <c r="D31" s="830"/>
      <c r="E31" s="80"/>
      <c r="F31" s="80"/>
      <c r="H31" s="830"/>
      <c r="K31" s="830"/>
      <c r="R31" s="961" t="s">
        <v>267</v>
      </c>
      <c r="S31" s="959"/>
      <c r="T31" s="967"/>
      <c r="U31" s="966"/>
      <c r="V31" s="966"/>
      <c r="W31" s="830"/>
    </row>
    <row r="32" spans="1:30" x14ac:dyDescent="0.25">
      <c r="B32" s="80"/>
      <c r="D32" s="830"/>
      <c r="E32" s="80"/>
      <c r="F32" s="80"/>
      <c r="H32" s="830"/>
      <c r="K32" s="830"/>
      <c r="R32" s="961" t="s">
        <v>257</v>
      </c>
      <c r="S32" s="966">
        <f>SUM(S28:S30)</f>
        <v>30640</v>
      </c>
      <c r="T32" s="967">
        <f>SUM(T28:T30)</f>
        <v>12256</v>
      </c>
      <c r="U32" s="966">
        <f>SUM(S32:T32)</f>
        <v>42896</v>
      </c>
      <c r="V32" s="966">
        <f>SUM(V28:V30)</f>
        <v>572</v>
      </c>
      <c r="W32" s="830"/>
    </row>
    <row r="33" spans="2:23" ht="30" x14ac:dyDescent="0.25">
      <c r="B33" s="80"/>
      <c r="D33" s="830"/>
      <c r="E33" s="80"/>
      <c r="F33" s="80"/>
      <c r="H33" s="830"/>
      <c r="K33" s="830"/>
      <c r="R33" s="976" t="s">
        <v>268</v>
      </c>
      <c r="S33" s="959"/>
      <c r="T33" s="960"/>
      <c r="U33" s="959"/>
      <c r="V33" s="959"/>
      <c r="W33" s="830"/>
    </row>
    <row r="34" spans="2:23" x14ac:dyDescent="0.25">
      <c r="B34" s="830"/>
      <c r="D34" s="830"/>
      <c r="E34" s="830"/>
      <c r="F34" s="830"/>
      <c r="H34" s="830"/>
      <c r="K34" s="830"/>
      <c r="R34" s="961" t="s">
        <v>269</v>
      </c>
      <c r="S34" s="959"/>
      <c r="T34" s="967"/>
      <c r="U34" s="959"/>
      <c r="V34" s="959"/>
      <c r="W34" s="830"/>
    </row>
    <row r="35" spans="2:23" ht="15.75" x14ac:dyDescent="0.25">
      <c r="B35" s="1845" t="s">
        <v>791</v>
      </c>
      <c r="C35" s="1846"/>
      <c r="D35" s="1845"/>
      <c r="E35" s="1845"/>
      <c r="F35" s="1845"/>
      <c r="G35" s="1001"/>
      <c r="H35" s="1434"/>
      <c r="I35" s="1010"/>
      <c r="J35" s="1010"/>
      <c r="K35" s="1009"/>
      <c r="L35" s="1010"/>
      <c r="R35" s="977" t="s">
        <v>249</v>
      </c>
      <c r="S35" s="978">
        <f>$L$5</f>
        <v>1448.6997635933808</v>
      </c>
      <c r="T35" s="979">
        <f>SUM(L6:L17)</f>
        <v>139.73366701884984</v>
      </c>
      <c r="U35" s="978">
        <f>S35+T35+V35</f>
        <v>1622.6481712467285</v>
      </c>
      <c r="V35" s="1136">
        <f>SUM(L37:L38)</f>
        <v>34.214740634497829</v>
      </c>
      <c r="W35" s="830"/>
    </row>
    <row r="36" spans="2:23" ht="15.75" x14ac:dyDescent="0.25">
      <c r="B36" s="1004" t="s">
        <v>241</v>
      </c>
      <c r="C36" s="1004" t="s">
        <v>316</v>
      </c>
      <c r="D36" s="1002" t="s">
        <v>610</v>
      </c>
      <c r="E36" s="1002" t="s">
        <v>611</v>
      </c>
      <c r="F36" s="1002" t="s">
        <v>612</v>
      </c>
      <c r="G36" s="1008"/>
      <c r="H36" s="1002" t="s">
        <v>612</v>
      </c>
      <c r="I36" s="1002" t="s">
        <v>246</v>
      </c>
      <c r="J36" s="1002" t="s">
        <v>247</v>
      </c>
      <c r="K36" s="1002" t="s">
        <v>248</v>
      </c>
      <c r="L36" s="1002" t="s">
        <v>249</v>
      </c>
      <c r="R36" s="830"/>
      <c r="T36" s="830"/>
      <c r="W36" s="830"/>
    </row>
    <row r="37" spans="2:23" x14ac:dyDescent="0.25">
      <c r="B37" s="1005" t="s">
        <v>68</v>
      </c>
      <c r="C37" s="1006" t="s">
        <v>14</v>
      </c>
      <c r="D37" s="1007">
        <v>0.35</v>
      </c>
      <c r="E37" s="1005">
        <f>$AD$1</f>
        <v>220</v>
      </c>
      <c r="F37" s="1005">
        <f>D37*E37</f>
        <v>77</v>
      </c>
      <c r="G37" s="437"/>
      <c r="H37" s="1005">
        <f>F37</f>
        <v>77</v>
      </c>
      <c r="I37" s="1005">
        <f>VLOOKUP(B37,All_Ingredients!$A$1:$F$161,6,FALSE())</f>
        <v>0.43</v>
      </c>
      <c r="J37" s="1005">
        <f>VLOOKUP(B37,All_Ingredients!$A$1:$J$161,10,FALSE())</f>
        <v>3.333333333333333</v>
      </c>
      <c r="K37" s="1005">
        <f>(H37/I37)/1000</f>
        <v>0.17906976744186048</v>
      </c>
      <c r="L37" s="1005">
        <f>K37*J37</f>
        <v>0.59689922480620161</v>
      </c>
      <c r="R37" s="830"/>
      <c r="T37" s="830"/>
      <c r="W37" s="830"/>
    </row>
    <row r="38" spans="2:23" ht="25.5" x14ac:dyDescent="0.25">
      <c r="B38" s="1005" t="s">
        <v>705</v>
      </c>
      <c r="C38" s="1006" t="s">
        <v>14</v>
      </c>
      <c r="D38" s="1007">
        <v>2.25</v>
      </c>
      <c r="E38" s="1005">
        <f>$AD$1</f>
        <v>220</v>
      </c>
      <c r="F38" s="1005">
        <f>D38*E38</f>
        <v>495</v>
      </c>
      <c r="G38" s="437"/>
      <c r="H38" s="1005">
        <f>F38</f>
        <v>495</v>
      </c>
      <c r="I38" s="1005">
        <f>VLOOKUP(B38,All_Ingredients!$A$1:$F$161,6,FALSE())</f>
        <v>1</v>
      </c>
      <c r="J38" s="1005">
        <f>VLOOKUP(B38,All_Ingredients!$A$1:$J$161,10,FALSE())</f>
        <v>67.91483113069016</v>
      </c>
      <c r="K38" s="1005">
        <f>(H38/I38)/1000</f>
        <v>0.495</v>
      </c>
      <c r="L38" s="1005">
        <f>K38*J38</f>
        <v>33.617841409691628</v>
      </c>
      <c r="R38" s="830"/>
      <c r="T38" s="830"/>
      <c r="W38" s="830"/>
    </row>
    <row r="39" spans="2:23" x14ac:dyDescent="0.25">
      <c r="B39" s="830"/>
      <c r="D39" s="830"/>
      <c r="E39" s="830"/>
      <c r="F39" s="830"/>
      <c r="H39" s="830"/>
      <c r="K39" s="830"/>
      <c r="R39" s="830"/>
      <c r="T39" s="830"/>
      <c r="W39" s="830"/>
    </row>
    <row r="40" spans="2:23" ht="23.25" x14ac:dyDescent="0.25">
      <c r="B40" s="830"/>
      <c r="D40" s="830"/>
      <c r="E40" s="830"/>
      <c r="F40" s="830"/>
      <c r="H40" s="830"/>
      <c r="K40" s="830"/>
      <c r="Q40" s="14"/>
      <c r="R40" s="251" t="s">
        <v>270</v>
      </c>
      <c r="S40" s="163">
        <v>1</v>
      </c>
      <c r="T40" s="252" t="s">
        <v>271</v>
      </c>
      <c r="U40" s="163">
        <v>0</v>
      </c>
      <c r="V40" s="122">
        <f>S40+U40</f>
        <v>1</v>
      </c>
      <c r="W40" s="890"/>
    </row>
    <row r="41" spans="2:23" x14ac:dyDescent="0.25">
      <c r="B41" s="830"/>
      <c r="D41" s="830"/>
      <c r="E41" s="830"/>
      <c r="F41" s="830"/>
      <c r="H41" s="830"/>
      <c r="K41" s="830"/>
      <c r="Q41" s="14"/>
      <c r="R41" s="890"/>
      <c r="S41" s="14"/>
      <c r="T41" s="890"/>
      <c r="U41" s="123"/>
      <c r="V41" s="14"/>
      <c r="W41" s="890"/>
    </row>
    <row r="42" spans="2:23" x14ac:dyDescent="0.25">
      <c r="B42" s="830"/>
      <c r="D42" s="830"/>
      <c r="E42" s="830"/>
      <c r="F42" s="830"/>
      <c r="H42" s="830"/>
      <c r="K42" s="830"/>
      <c r="Q42" s="14"/>
      <c r="R42" s="890"/>
      <c r="S42" s="14"/>
      <c r="T42" s="890"/>
      <c r="U42" s="14"/>
      <c r="V42" s="14"/>
      <c r="W42" s="890"/>
    </row>
    <row r="43" spans="2:23" ht="26.25" x14ac:dyDescent="0.25">
      <c r="B43" s="830"/>
      <c r="D43" s="830"/>
      <c r="E43" s="830"/>
      <c r="F43" s="830"/>
      <c r="H43" s="830"/>
      <c r="K43" s="830"/>
      <c r="Q43" s="1015" t="s">
        <v>272</v>
      </c>
      <c r="R43" s="1011" t="s">
        <v>273</v>
      </c>
      <c r="S43" s="1015" t="s">
        <v>274</v>
      </c>
      <c r="T43" s="1011" t="s">
        <v>275</v>
      </c>
      <c r="U43" s="1015" t="s">
        <v>276</v>
      </c>
      <c r="V43" s="1015" t="s">
        <v>277</v>
      </c>
      <c r="W43" s="1011" t="s">
        <v>278</v>
      </c>
    </row>
    <row r="44" spans="2:23" x14ac:dyDescent="0.25">
      <c r="B44" s="830"/>
      <c r="D44" s="830"/>
      <c r="E44" s="830"/>
      <c r="F44" s="830"/>
      <c r="H44" s="830"/>
      <c r="K44" s="830"/>
      <c r="Q44" s="1023">
        <v>25000</v>
      </c>
      <c r="R44" s="1017">
        <f>D51</f>
        <v>10000</v>
      </c>
      <c r="S44" s="1024">
        <v>0</v>
      </c>
      <c r="T44" s="1025">
        <v>1</v>
      </c>
      <c r="U44" s="1096">
        <f>R44*S44</f>
        <v>0</v>
      </c>
      <c r="V44" s="1021">
        <f>R44*T44</f>
        <v>10000</v>
      </c>
      <c r="W44" s="1026">
        <f>Q44-U44</f>
        <v>25000</v>
      </c>
    </row>
    <row r="50" spans="1:11" x14ac:dyDescent="0.25">
      <c r="B50" s="961"/>
      <c r="C50" s="962" t="s">
        <v>233</v>
      </c>
      <c r="D50" s="961" t="s">
        <v>279</v>
      </c>
      <c r="E50" s="830"/>
      <c r="F50" s="80"/>
      <c r="G50" s="962" t="s">
        <v>280</v>
      </c>
      <c r="H50" s="961" t="s">
        <v>233</v>
      </c>
      <c r="I50" s="962" t="s">
        <v>281</v>
      </c>
      <c r="J50" s="962" t="s">
        <v>282</v>
      </c>
      <c r="K50" s="73"/>
    </row>
    <row r="51" spans="1:11" x14ac:dyDescent="0.25">
      <c r="B51" s="1027" t="s">
        <v>283</v>
      </c>
      <c r="C51" s="1028">
        <f>10/$K$1</f>
        <v>10.204081632653061</v>
      </c>
      <c r="D51" s="1029">
        <f>$C$1*10</f>
        <v>10000</v>
      </c>
      <c r="E51" s="135"/>
      <c r="F51" s="80"/>
      <c r="G51" s="1033" t="s">
        <v>283</v>
      </c>
      <c r="H51" s="1122">
        <f>I51/$D$5</f>
        <v>10</v>
      </c>
      <c r="I51" s="1028">
        <f>J51/$R$1</f>
        <v>46296.296296296292</v>
      </c>
      <c r="J51" s="1028">
        <f>$W$44</f>
        <v>25000</v>
      </c>
      <c r="K51" s="830"/>
    </row>
    <row r="52" spans="1:11" x14ac:dyDescent="0.25">
      <c r="B52" s="958" t="s">
        <v>262</v>
      </c>
      <c r="C52" s="1099">
        <f>$I$1</f>
        <v>12.506122448979593</v>
      </c>
      <c r="D52" s="1100">
        <f>$E$1</f>
        <v>12256</v>
      </c>
      <c r="E52" s="80"/>
      <c r="F52" s="80"/>
      <c r="G52" s="962" t="s">
        <v>262</v>
      </c>
      <c r="H52" s="1052">
        <f>I52/$D$5</f>
        <v>12.256</v>
      </c>
      <c r="I52" s="1021">
        <f>J52/$R$1</f>
        <v>56740.740740740737</v>
      </c>
      <c r="J52" s="1030">
        <f>$S$32</f>
        <v>30640</v>
      </c>
      <c r="K52" s="830"/>
    </row>
    <row r="53" spans="1:11" x14ac:dyDescent="0.25">
      <c r="B53" s="958" t="s">
        <v>284</v>
      </c>
      <c r="C53" s="1101">
        <f>MIN(C52, C51)</f>
        <v>10.204081632653061</v>
      </c>
      <c r="D53" s="1613">
        <f>(C53*$K$1)*$C$1</f>
        <v>10000</v>
      </c>
      <c r="E53" s="80"/>
      <c r="F53" s="80"/>
      <c r="G53" s="962" t="s">
        <v>284</v>
      </c>
      <c r="H53" s="1035">
        <f>MIN(H52,H51)</f>
        <v>10</v>
      </c>
      <c r="I53" s="1021">
        <f>J53/$R$1</f>
        <v>46296.296296296292</v>
      </c>
      <c r="J53" s="1021">
        <f>MIN(J52,J51)</f>
        <v>25000</v>
      </c>
      <c r="K53" s="830"/>
    </row>
    <row r="54" spans="1:11" x14ac:dyDescent="0.25">
      <c r="B54" s="958" t="s">
        <v>285</v>
      </c>
      <c r="C54" s="1101">
        <f>MIN(MAX(C52-C53,0),C51)</f>
        <v>2.3020408163265316</v>
      </c>
      <c r="D54" s="1613">
        <f>(C54*$K$1)*$C$1</f>
        <v>2256.0000000000009</v>
      </c>
      <c r="E54" s="80"/>
      <c r="F54" s="80"/>
      <c r="G54" s="962" t="s">
        <v>285</v>
      </c>
      <c r="H54" s="1035">
        <f>MIN(MAX(H52-H53),H51)</f>
        <v>2.2560000000000002</v>
      </c>
      <c r="I54" s="1021">
        <f>J54/$R$1</f>
        <v>10444.444444444443</v>
      </c>
      <c r="J54" s="1021">
        <f>MIN(MAX(J52-J53),J51)</f>
        <v>5640</v>
      </c>
      <c r="K54" s="830"/>
    </row>
    <row r="55" spans="1:11" x14ac:dyDescent="0.25">
      <c r="B55" s="958" t="s">
        <v>286</v>
      </c>
      <c r="C55" s="1101">
        <f>MIN(MAX(C52-C53-C54,0),C51)</f>
        <v>0</v>
      </c>
      <c r="D55" s="1100">
        <f>(C55*$K$1)*$C$1</f>
        <v>0</v>
      </c>
      <c r="E55" s="80"/>
      <c r="F55" s="80"/>
      <c r="G55" s="962" t="s">
        <v>286</v>
      </c>
      <c r="H55" s="1035">
        <f>MIN(MAX(H52-H53-H54),H51)</f>
        <v>0</v>
      </c>
      <c r="I55" s="1021">
        <f>J55/$R$1</f>
        <v>0</v>
      </c>
      <c r="J55" s="1021">
        <f>MIN(MAX(J52-J53-J54),J51)</f>
        <v>0</v>
      </c>
      <c r="K55" s="830"/>
    </row>
    <row r="56" spans="1:11" x14ac:dyDescent="0.25">
      <c r="B56" s="830"/>
      <c r="D56" s="830"/>
      <c r="E56" s="830"/>
      <c r="F56" s="830"/>
      <c r="H56" s="830"/>
      <c r="K56" s="830"/>
    </row>
    <row r="57" spans="1:11" x14ac:dyDescent="0.25">
      <c r="B57" s="830"/>
      <c r="D57" s="830"/>
      <c r="E57" s="830"/>
      <c r="F57" s="830"/>
      <c r="H57" s="830"/>
      <c r="K57" s="830"/>
    </row>
    <row r="58" spans="1:11" x14ac:dyDescent="0.25">
      <c r="B58" s="830"/>
      <c r="D58" s="830"/>
      <c r="E58" s="830"/>
      <c r="F58" s="830"/>
      <c r="H58" s="830"/>
      <c r="K58" s="830"/>
    </row>
    <row r="59" spans="1:11" x14ac:dyDescent="0.25">
      <c r="B59" s="830"/>
      <c r="D59" s="830"/>
      <c r="E59" s="830"/>
      <c r="F59" s="830"/>
      <c r="H59" s="830"/>
      <c r="K59" s="830"/>
    </row>
    <row r="60" spans="1:11" x14ac:dyDescent="0.25">
      <c r="B60" s="830"/>
      <c r="D60" s="830"/>
      <c r="E60" s="830"/>
      <c r="F60" s="830"/>
      <c r="H60" s="830"/>
      <c r="K60" s="830"/>
    </row>
    <row r="61" spans="1:11" x14ac:dyDescent="0.25">
      <c r="B61" s="830"/>
      <c r="D61" s="830"/>
      <c r="E61" s="830"/>
      <c r="F61" s="830"/>
      <c r="H61" s="830"/>
      <c r="K61" s="830"/>
    </row>
    <row r="62" spans="1:11" x14ac:dyDescent="0.25">
      <c r="A62" s="1124"/>
      <c r="B62" s="1776" t="str">
        <f>"سمك بالسبانخ و الليمون 1 / " &amp; COUNTIF($C$53:$C$55, "&gt;0")</f>
        <v>سمك بالسبانخ و الليمون 1 / 2</v>
      </c>
      <c r="C62" s="1777"/>
      <c r="D62" s="1778"/>
      <c r="E62" s="1778"/>
      <c r="F62" s="1778"/>
      <c r="G62" s="1777"/>
      <c r="H62" s="1778"/>
      <c r="K62" s="830"/>
    </row>
    <row r="63" spans="1:11" x14ac:dyDescent="0.25">
      <c r="A63" s="1124"/>
      <c r="B63" s="1842" t="str">
        <f>"Lemon Fish 1 / " &amp; COUNTIF($C$53:$C$55, "&gt;0")</f>
        <v>Lemon Fish 1 / 2</v>
      </c>
      <c r="C63" s="1843"/>
      <c r="D63" s="1844"/>
      <c r="E63" s="1844"/>
      <c r="F63" s="1844"/>
      <c r="G63" s="1843"/>
      <c r="H63" s="1844"/>
      <c r="K63" s="830"/>
    </row>
    <row r="64" spans="1:11" ht="25.5" x14ac:dyDescent="0.2">
      <c r="A64" s="1350" t="s">
        <v>864</v>
      </c>
      <c r="B64" s="1104" t="s">
        <v>241</v>
      </c>
      <c r="C64" s="934" t="s">
        <v>242</v>
      </c>
      <c r="D64" s="1104" t="s">
        <v>231</v>
      </c>
      <c r="E64" s="936" t="s">
        <v>234</v>
      </c>
      <c r="F64" s="936" t="s">
        <v>243</v>
      </c>
      <c r="G64" s="1104" t="s">
        <v>244</v>
      </c>
      <c r="H64" s="936" t="s">
        <v>245</v>
      </c>
      <c r="K64" s="830"/>
    </row>
    <row r="65" spans="1:11" x14ac:dyDescent="0.25">
      <c r="A65" s="1114" t="s">
        <v>873</v>
      </c>
      <c r="B65" s="938" t="str">
        <f t="shared" ref="B65:D77" si="12">B5</f>
        <v>Fillet Fish - سمك فيليه</v>
      </c>
      <c r="C65" s="938" t="str">
        <f t="shared" si="12"/>
        <v>gm</v>
      </c>
      <c r="D65" s="1127">
        <f t="shared" si="12"/>
        <v>4629.6296296296296</v>
      </c>
      <c r="E65" s="1040">
        <f>H53</f>
        <v>10</v>
      </c>
      <c r="F65" s="948">
        <f t="shared" ref="F65:F77" si="13">F5</f>
        <v>1</v>
      </c>
      <c r="G65" s="940">
        <f t="shared" ref="G65:G77" si="14">D65*E65</f>
        <v>46296.296296296292</v>
      </c>
      <c r="H65" s="943">
        <f t="shared" ref="H65:H77" si="15">G65*F65</f>
        <v>46296.296296296292</v>
      </c>
      <c r="K65" s="830"/>
    </row>
    <row r="66" spans="1:11" x14ac:dyDescent="0.25">
      <c r="A66" s="1114" t="s">
        <v>881</v>
      </c>
      <c r="B66" s="938" t="str">
        <f t="shared" si="12"/>
        <v>Onion - بصل</v>
      </c>
      <c r="C66" s="938" t="str">
        <f t="shared" si="12"/>
        <v>gm</v>
      </c>
      <c r="D66" s="938">
        <f t="shared" si="12"/>
        <v>250</v>
      </c>
      <c r="E66" s="1040">
        <f t="shared" ref="E66:E77" si="16">$C$53</f>
        <v>10.204081632653061</v>
      </c>
      <c r="F66" s="948">
        <f t="shared" si="13"/>
        <v>1</v>
      </c>
      <c r="G66" s="940">
        <f t="shared" si="14"/>
        <v>2551.0204081632651</v>
      </c>
      <c r="H66" s="943">
        <f t="shared" si="15"/>
        <v>2551.0204081632651</v>
      </c>
      <c r="K66" s="830"/>
    </row>
    <row r="67" spans="1:11" x14ac:dyDescent="0.25">
      <c r="A67" s="1114" t="s">
        <v>868</v>
      </c>
      <c r="B67" s="938" t="str">
        <f t="shared" si="12"/>
        <v>Garlic - ثوم مقشر</v>
      </c>
      <c r="C67" s="938" t="str">
        <f t="shared" si="12"/>
        <v>gm</v>
      </c>
      <c r="D67" s="938">
        <f t="shared" si="12"/>
        <v>20</v>
      </c>
      <c r="E67" s="1040">
        <f t="shared" si="16"/>
        <v>10.204081632653061</v>
      </c>
      <c r="F67" s="948">
        <f t="shared" si="13"/>
        <v>1</v>
      </c>
      <c r="G67" s="940">
        <f t="shared" si="14"/>
        <v>204.08163265306121</v>
      </c>
      <c r="H67" s="943">
        <f t="shared" si="15"/>
        <v>204.08163265306121</v>
      </c>
      <c r="K67" s="830"/>
    </row>
    <row r="68" spans="1:11" x14ac:dyDescent="0.25">
      <c r="A68" s="1114"/>
      <c r="B68" s="938" t="str">
        <f t="shared" si="12"/>
        <v>Paprika Powder - بابريكا مطحون</v>
      </c>
      <c r="C68" s="938" t="str">
        <f t="shared" si="12"/>
        <v>gm</v>
      </c>
      <c r="D68" s="938">
        <f t="shared" si="12"/>
        <v>5</v>
      </c>
      <c r="E68" s="1040">
        <f t="shared" si="16"/>
        <v>10.204081632653061</v>
      </c>
      <c r="F68" s="948">
        <f t="shared" si="13"/>
        <v>0.75</v>
      </c>
      <c r="G68" s="940">
        <f t="shared" si="14"/>
        <v>51.020408163265301</v>
      </c>
      <c r="H68" s="943">
        <f t="shared" si="15"/>
        <v>38.265306122448976</v>
      </c>
      <c r="K68" s="830"/>
    </row>
    <row r="69" spans="1:11" x14ac:dyDescent="0.25">
      <c r="A69" s="1114"/>
      <c r="B69" s="938" t="str">
        <f t="shared" si="12"/>
        <v>Cooking Cream - كريمة طبخ</v>
      </c>
      <c r="C69" s="938" t="str">
        <f t="shared" si="12"/>
        <v>ml</v>
      </c>
      <c r="D69" s="938">
        <f t="shared" si="12"/>
        <v>600</v>
      </c>
      <c r="E69" s="1040">
        <f t="shared" si="16"/>
        <v>10.204081632653061</v>
      </c>
      <c r="F69" s="948">
        <f t="shared" si="13"/>
        <v>1</v>
      </c>
      <c r="G69" s="940">
        <f t="shared" si="14"/>
        <v>6122.4489795918362</v>
      </c>
      <c r="H69" s="943">
        <f t="shared" si="15"/>
        <v>6122.4489795918362</v>
      </c>
      <c r="K69" s="830"/>
    </row>
    <row r="70" spans="1:11" x14ac:dyDescent="0.25">
      <c r="A70" s="1114"/>
      <c r="B70" s="938" t="str">
        <f t="shared" si="12"/>
        <v>Salt - ملح</v>
      </c>
      <c r="C70" s="938" t="str">
        <f t="shared" si="12"/>
        <v>gm</v>
      </c>
      <c r="D70" s="938">
        <f t="shared" si="12"/>
        <v>11</v>
      </c>
      <c r="E70" s="1040">
        <f t="shared" si="16"/>
        <v>10.204081632653061</v>
      </c>
      <c r="F70" s="948">
        <f t="shared" si="13"/>
        <v>1</v>
      </c>
      <c r="G70" s="940">
        <f t="shared" si="14"/>
        <v>112.24489795918367</v>
      </c>
      <c r="H70" s="943">
        <f t="shared" si="15"/>
        <v>112.24489795918367</v>
      </c>
      <c r="K70" s="830"/>
    </row>
    <row r="71" spans="1:11" ht="25.5" x14ac:dyDescent="0.25">
      <c r="A71" s="1114"/>
      <c r="B71" s="938" t="str">
        <f t="shared" si="12"/>
        <v>Black Pepper Powder - فلفل أسود مطحون</v>
      </c>
      <c r="C71" s="938" t="str">
        <f t="shared" si="12"/>
        <v>gm</v>
      </c>
      <c r="D71" s="938">
        <f t="shared" si="12"/>
        <v>5</v>
      </c>
      <c r="E71" s="1040">
        <f t="shared" si="16"/>
        <v>10.204081632653061</v>
      </c>
      <c r="F71" s="948">
        <f t="shared" si="13"/>
        <v>1</v>
      </c>
      <c r="G71" s="940">
        <f t="shared" si="14"/>
        <v>51.020408163265301</v>
      </c>
      <c r="H71" s="943">
        <f t="shared" si="15"/>
        <v>51.020408163265301</v>
      </c>
      <c r="K71" s="830"/>
    </row>
    <row r="72" spans="1:11" x14ac:dyDescent="0.25">
      <c r="A72" s="1114"/>
      <c r="B72" s="938" t="str">
        <f t="shared" si="12"/>
        <v>Corn Starch - نشا ذرة</v>
      </c>
      <c r="C72" s="938" t="str">
        <f t="shared" si="12"/>
        <v>gm</v>
      </c>
      <c r="D72" s="938">
        <f t="shared" si="12"/>
        <v>100</v>
      </c>
      <c r="E72" s="1040">
        <f t="shared" si="16"/>
        <v>10.204081632653061</v>
      </c>
      <c r="F72" s="948">
        <f t="shared" si="13"/>
        <v>0.75</v>
      </c>
      <c r="G72" s="940">
        <f t="shared" si="14"/>
        <v>1020.4081632653061</v>
      </c>
      <c r="H72" s="943">
        <f t="shared" si="15"/>
        <v>765.30612244897964</v>
      </c>
      <c r="K72" s="830"/>
    </row>
    <row r="73" spans="1:11" x14ac:dyDescent="0.25">
      <c r="A73" s="1114"/>
      <c r="B73" s="938" t="str">
        <f t="shared" si="12"/>
        <v>Butter - زبدة</v>
      </c>
      <c r="C73" s="938" t="str">
        <f t="shared" si="12"/>
        <v>gm</v>
      </c>
      <c r="D73" s="938">
        <f t="shared" si="12"/>
        <v>50</v>
      </c>
      <c r="E73" s="1040">
        <f t="shared" si="16"/>
        <v>10.204081632653061</v>
      </c>
      <c r="F73" s="948">
        <f t="shared" si="13"/>
        <v>0.75</v>
      </c>
      <c r="G73" s="940">
        <f t="shared" si="14"/>
        <v>510.20408163265307</v>
      </c>
      <c r="H73" s="943">
        <f t="shared" si="15"/>
        <v>382.65306122448982</v>
      </c>
      <c r="K73" s="830"/>
    </row>
    <row r="74" spans="1:11" x14ac:dyDescent="0.25">
      <c r="A74" s="1114"/>
      <c r="B74" s="938" t="str">
        <f t="shared" si="12"/>
        <v>Orange Color - لون برتقالي</v>
      </c>
      <c r="C74" s="938" t="str">
        <f t="shared" si="12"/>
        <v>gm</v>
      </c>
      <c r="D74" s="938">
        <f t="shared" si="12"/>
        <v>2</v>
      </c>
      <c r="E74" s="1040">
        <f t="shared" si="16"/>
        <v>10.204081632653061</v>
      </c>
      <c r="F74" s="948">
        <f t="shared" si="13"/>
        <v>0.75</v>
      </c>
      <c r="G74" s="940">
        <f t="shared" si="14"/>
        <v>20.408163265306122</v>
      </c>
      <c r="H74" s="943">
        <f t="shared" si="15"/>
        <v>15.306122448979592</v>
      </c>
      <c r="K74" s="830"/>
    </row>
    <row r="75" spans="1:11" x14ac:dyDescent="0.25">
      <c r="A75" s="1114"/>
      <c r="B75" s="938" t="str">
        <f t="shared" si="12"/>
        <v>Maggi Cubes - مكعبات ماجي</v>
      </c>
      <c r="C75" s="938" t="str">
        <f t="shared" si="12"/>
        <v>gm</v>
      </c>
      <c r="D75" s="938">
        <f t="shared" si="12"/>
        <v>10</v>
      </c>
      <c r="E75" s="1040">
        <f t="shared" si="16"/>
        <v>10.204081632653061</v>
      </c>
      <c r="F75" s="948">
        <f t="shared" si="13"/>
        <v>0.9</v>
      </c>
      <c r="G75" s="940">
        <f t="shared" si="14"/>
        <v>102.0408163265306</v>
      </c>
      <c r="H75" s="943">
        <f t="shared" si="15"/>
        <v>91.836734693877546</v>
      </c>
      <c r="K75" s="830"/>
    </row>
    <row r="76" spans="1:11" x14ac:dyDescent="0.25">
      <c r="A76" s="1114"/>
      <c r="B76" s="938" t="str">
        <f t="shared" si="12"/>
        <v>Honey - عسل</v>
      </c>
      <c r="C76" s="938" t="str">
        <f t="shared" si="12"/>
        <v>gm</v>
      </c>
      <c r="D76" s="938">
        <f t="shared" si="12"/>
        <v>35</v>
      </c>
      <c r="E76" s="1040">
        <f t="shared" si="16"/>
        <v>10.204081632653061</v>
      </c>
      <c r="F76" s="948">
        <f t="shared" si="13"/>
        <v>1</v>
      </c>
      <c r="G76" s="940">
        <f t="shared" si="14"/>
        <v>357.14285714285711</v>
      </c>
      <c r="H76" s="943">
        <f t="shared" si="15"/>
        <v>357.14285714285711</v>
      </c>
      <c r="K76" s="830"/>
    </row>
    <row r="77" spans="1:11" ht="25.5" x14ac:dyDescent="0.25">
      <c r="A77" s="1114"/>
      <c r="B77" s="938" t="str">
        <f t="shared" si="12"/>
        <v>Saffron yellow color powder - لون صفار زعفران بودر</v>
      </c>
      <c r="C77" s="938" t="str">
        <f t="shared" si="12"/>
        <v>gm</v>
      </c>
      <c r="D77" s="938">
        <f t="shared" si="12"/>
        <v>1</v>
      </c>
      <c r="E77" s="1040">
        <f t="shared" si="16"/>
        <v>10.204081632653061</v>
      </c>
      <c r="F77" s="948">
        <f t="shared" si="13"/>
        <v>1</v>
      </c>
      <c r="G77" s="940">
        <f t="shared" si="14"/>
        <v>10.204081632653061</v>
      </c>
      <c r="H77" s="943">
        <f t="shared" si="15"/>
        <v>10.204081632653061</v>
      </c>
      <c r="K77" s="830"/>
    </row>
    <row r="78" spans="1:11" ht="18" x14ac:dyDescent="0.25">
      <c r="A78" s="1065"/>
      <c r="B78" s="1041" t="s">
        <v>287</v>
      </c>
      <c r="C78" s="1042" t="s">
        <v>273</v>
      </c>
      <c r="D78" s="1043"/>
      <c r="E78" s="1044" t="s">
        <v>288</v>
      </c>
      <c r="F78" s="1043"/>
      <c r="G78" s="1045" t="s">
        <v>264</v>
      </c>
      <c r="H78" s="1046" t="s">
        <v>661</v>
      </c>
      <c r="K78" s="830"/>
    </row>
    <row r="79" spans="1:11" ht="20.25" x14ac:dyDescent="0.3">
      <c r="A79" s="1065"/>
      <c r="B79" s="1047">
        <f>$J$53</f>
        <v>25000</v>
      </c>
      <c r="C79" s="1048">
        <f>E79+G79</f>
        <v>10000</v>
      </c>
      <c r="D79" s="1049"/>
      <c r="E79" s="1047">
        <f>$D$53*$S$44</f>
        <v>0</v>
      </c>
      <c r="F79" s="1050"/>
      <c r="G79" s="1048">
        <f>$D$53*$T$44</f>
        <v>10000</v>
      </c>
      <c r="H79" s="1047">
        <f>B79+E79</f>
        <v>25000</v>
      </c>
      <c r="K79" s="830"/>
    </row>
    <row r="80" spans="1:11" x14ac:dyDescent="0.25">
      <c r="B80" s="830"/>
      <c r="D80" s="830"/>
      <c r="E80" s="830"/>
      <c r="F80" s="830"/>
      <c r="H80" s="830"/>
      <c r="K80" s="830"/>
    </row>
    <row r="81" spans="1:11" x14ac:dyDescent="0.25">
      <c r="B81" s="830"/>
      <c r="D81" s="830"/>
      <c r="E81" s="830"/>
      <c r="F81" s="830"/>
      <c r="H81" s="830"/>
      <c r="K81" s="830"/>
    </row>
    <row r="82" spans="1:11" x14ac:dyDescent="0.25">
      <c r="A82" s="1124"/>
      <c r="B82" s="1776" t="str">
        <f>"سمك بالسبانخ و الليمون 2 / " &amp; COUNTIF($C$53:$C$55, "&gt;0")</f>
        <v>سمك بالسبانخ و الليمون 2 / 2</v>
      </c>
      <c r="C82" s="1777"/>
      <c r="D82" s="1778"/>
      <c r="E82" s="1778"/>
      <c r="F82" s="1778"/>
      <c r="G82" s="1777"/>
      <c r="H82" s="1778"/>
      <c r="K82" s="830"/>
    </row>
    <row r="83" spans="1:11" x14ac:dyDescent="0.25">
      <c r="A83" s="1124"/>
      <c r="B83" s="1842" t="str">
        <f>"Lemon Fish 2 / " &amp; COUNTIF($C$53:$C$55, "&gt;0")</f>
        <v>Lemon Fish 2 / 2</v>
      </c>
      <c r="C83" s="1843"/>
      <c r="D83" s="1844"/>
      <c r="E83" s="1844"/>
      <c r="F83" s="1844"/>
      <c r="G83" s="1843"/>
      <c r="H83" s="1844"/>
      <c r="K83" s="830"/>
    </row>
    <row r="84" spans="1:11" ht="25.5" x14ac:dyDescent="0.2">
      <c r="A84" s="1350" t="s">
        <v>864</v>
      </c>
      <c r="B84" s="1104" t="s">
        <v>241</v>
      </c>
      <c r="C84" s="934" t="s">
        <v>242</v>
      </c>
      <c r="D84" s="1104" t="s">
        <v>231</v>
      </c>
      <c r="E84" s="936" t="s">
        <v>234</v>
      </c>
      <c r="F84" s="936" t="s">
        <v>243</v>
      </c>
      <c r="G84" s="1104" t="s">
        <v>244</v>
      </c>
      <c r="H84" s="936" t="s">
        <v>245</v>
      </c>
      <c r="K84" s="830"/>
    </row>
    <row r="85" spans="1:11" x14ac:dyDescent="0.25">
      <c r="A85" s="1114" t="s">
        <v>873</v>
      </c>
      <c r="B85" s="938" t="str">
        <f t="shared" ref="B85:D97" si="17">B5</f>
        <v>Fillet Fish - سمك فيليه</v>
      </c>
      <c r="C85" s="938" t="str">
        <f t="shared" si="17"/>
        <v>gm</v>
      </c>
      <c r="D85" s="1127">
        <f t="shared" si="17"/>
        <v>4629.6296296296296</v>
      </c>
      <c r="E85" s="1040">
        <f>$H$54</f>
        <v>2.2560000000000002</v>
      </c>
      <c r="F85" s="948">
        <f>F5</f>
        <v>1</v>
      </c>
      <c r="G85" s="940">
        <f t="shared" ref="G85:G97" si="18">D85*E85</f>
        <v>10444.444444444445</v>
      </c>
      <c r="H85" s="943">
        <f t="shared" ref="H85:H97" si="19">G85*F85</f>
        <v>10444.444444444445</v>
      </c>
      <c r="K85" s="830"/>
    </row>
    <row r="86" spans="1:11" x14ac:dyDescent="0.25">
      <c r="A86" s="1114" t="s">
        <v>881</v>
      </c>
      <c r="B86" s="938" t="str">
        <f t="shared" si="17"/>
        <v>Onion - بصل</v>
      </c>
      <c r="C86" s="938" t="str">
        <f t="shared" si="17"/>
        <v>gm</v>
      </c>
      <c r="D86" s="1127">
        <f t="shared" si="17"/>
        <v>250</v>
      </c>
      <c r="E86" s="1040">
        <f t="shared" ref="E86:E97" si="20">$C$54</f>
        <v>2.3020408163265316</v>
      </c>
      <c r="F86" s="948">
        <f t="shared" ref="F86:F97" si="21">F6</f>
        <v>1</v>
      </c>
      <c r="G86" s="940">
        <f t="shared" si="18"/>
        <v>575.51020408163288</v>
      </c>
      <c r="H86" s="943">
        <f t="shared" si="19"/>
        <v>575.51020408163288</v>
      </c>
      <c r="K86" s="830"/>
    </row>
    <row r="87" spans="1:11" x14ac:dyDescent="0.25">
      <c r="A87" s="1114" t="s">
        <v>868</v>
      </c>
      <c r="B87" s="938" t="str">
        <f t="shared" si="17"/>
        <v>Garlic - ثوم مقشر</v>
      </c>
      <c r="C87" s="938" t="str">
        <f t="shared" si="17"/>
        <v>gm</v>
      </c>
      <c r="D87" s="1127">
        <f t="shared" si="17"/>
        <v>20</v>
      </c>
      <c r="E87" s="1040">
        <f t="shared" si="20"/>
        <v>2.3020408163265316</v>
      </c>
      <c r="F87" s="948">
        <f t="shared" si="21"/>
        <v>1</v>
      </c>
      <c r="G87" s="940">
        <f t="shared" si="18"/>
        <v>46.040816326530631</v>
      </c>
      <c r="H87" s="943">
        <f t="shared" si="19"/>
        <v>46.040816326530631</v>
      </c>
      <c r="K87" s="830"/>
    </row>
    <row r="88" spans="1:11" x14ac:dyDescent="0.25">
      <c r="A88" s="1114"/>
      <c r="B88" s="938" t="str">
        <f t="shared" si="17"/>
        <v>Paprika Powder - بابريكا مطحون</v>
      </c>
      <c r="C88" s="938" t="str">
        <f t="shared" si="17"/>
        <v>gm</v>
      </c>
      <c r="D88" s="1127">
        <f t="shared" si="17"/>
        <v>5</v>
      </c>
      <c r="E88" s="1040">
        <f t="shared" si="20"/>
        <v>2.3020408163265316</v>
      </c>
      <c r="F88" s="948">
        <f t="shared" si="21"/>
        <v>0.75</v>
      </c>
      <c r="G88" s="940">
        <f t="shared" si="18"/>
        <v>11.510204081632658</v>
      </c>
      <c r="H88" s="943">
        <f t="shared" si="19"/>
        <v>8.6326530612244934</v>
      </c>
      <c r="K88" s="830"/>
    </row>
    <row r="89" spans="1:11" x14ac:dyDescent="0.25">
      <c r="A89" s="1114"/>
      <c r="B89" s="938" t="str">
        <f t="shared" si="17"/>
        <v>Cooking Cream - كريمة طبخ</v>
      </c>
      <c r="C89" s="938" t="str">
        <f t="shared" si="17"/>
        <v>ml</v>
      </c>
      <c r="D89" s="1127">
        <f t="shared" si="17"/>
        <v>600</v>
      </c>
      <c r="E89" s="1040">
        <f t="shared" si="20"/>
        <v>2.3020408163265316</v>
      </c>
      <c r="F89" s="948">
        <f t="shared" si="21"/>
        <v>1</v>
      </c>
      <c r="G89" s="940">
        <f t="shared" si="18"/>
        <v>1381.224489795919</v>
      </c>
      <c r="H89" s="943">
        <f t="shared" si="19"/>
        <v>1381.224489795919</v>
      </c>
      <c r="K89" s="830"/>
    </row>
    <row r="90" spans="1:11" x14ac:dyDescent="0.25">
      <c r="A90" s="1114"/>
      <c r="B90" s="938" t="str">
        <f t="shared" si="17"/>
        <v>Salt - ملح</v>
      </c>
      <c r="C90" s="938" t="str">
        <f t="shared" si="17"/>
        <v>gm</v>
      </c>
      <c r="D90" s="1127">
        <f t="shared" si="17"/>
        <v>11</v>
      </c>
      <c r="E90" s="1040">
        <f t="shared" si="20"/>
        <v>2.3020408163265316</v>
      </c>
      <c r="F90" s="948">
        <f t="shared" si="21"/>
        <v>1</v>
      </c>
      <c r="G90" s="940">
        <f t="shared" si="18"/>
        <v>25.322448979591847</v>
      </c>
      <c r="H90" s="943">
        <f t="shared" si="19"/>
        <v>25.322448979591847</v>
      </c>
      <c r="K90" s="830"/>
    </row>
    <row r="91" spans="1:11" ht="25.5" x14ac:dyDescent="0.25">
      <c r="A91" s="1114"/>
      <c r="B91" s="938" t="str">
        <f t="shared" si="17"/>
        <v>Black Pepper Powder - فلفل أسود مطحون</v>
      </c>
      <c r="C91" s="938" t="str">
        <f t="shared" si="17"/>
        <v>gm</v>
      </c>
      <c r="D91" s="1127">
        <f t="shared" si="17"/>
        <v>5</v>
      </c>
      <c r="E91" s="1040">
        <f t="shared" si="20"/>
        <v>2.3020408163265316</v>
      </c>
      <c r="F91" s="948">
        <f t="shared" si="21"/>
        <v>1</v>
      </c>
      <c r="G91" s="940">
        <f t="shared" si="18"/>
        <v>11.510204081632658</v>
      </c>
      <c r="H91" s="943">
        <f t="shared" si="19"/>
        <v>11.510204081632658</v>
      </c>
      <c r="K91" s="830"/>
    </row>
    <row r="92" spans="1:11" x14ac:dyDescent="0.25">
      <c r="A92" s="1114"/>
      <c r="B92" s="938" t="str">
        <f t="shared" si="17"/>
        <v>Corn Starch - نشا ذرة</v>
      </c>
      <c r="C92" s="938" t="str">
        <f t="shared" si="17"/>
        <v>gm</v>
      </c>
      <c r="D92" s="1127">
        <f t="shared" si="17"/>
        <v>100</v>
      </c>
      <c r="E92" s="1040">
        <f t="shared" si="20"/>
        <v>2.3020408163265316</v>
      </c>
      <c r="F92" s="948">
        <f t="shared" si="21"/>
        <v>0.75</v>
      </c>
      <c r="G92" s="940">
        <f t="shared" si="18"/>
        <v>230.20408163265316</v>
      </c>
      <c r="H92" s="943">
        <f t="shared" si="19"/>
        <v>172.65306122448987</v>
      </c>
      <c r="K92" s="830"/>
    </row>
    <row r="93" spans="1:11" x14ac:dyDescent="0.25">
      <c r="A93" s="1114"/>
      <c r="B93" s="938" t="str">
        <f t="shared" si="17"/>
        <v>Butter - زبدة</v>
      </c>
      <c r="C93" s="938" t="str">
        <f t="shared" si="17"/>
        <v>gm</v>
      </c>
      <c r="D93" s="1127">
        <f t="shared" si="17"/>
        <v>50</v>
      </c>
      <c r="E93" s="1040">
        <f t="shared" si="20"/>
        <v>2.3020408163265316</v>
      </c>
      <c r="F93" s="948">
        <f t="shared" si="21"/>
        <v>0.75</v>
      </c>
      <c r="G93" s="940">
        <f t="shared" si="18"/>
        <v>115.10204081632658</v>
      </c>
      <c r="H93" s="943">
        <f t="shared" si="19"/>
        <v>86.326530612244937</v>
      </c>
      <c r="K93" s="830"/>
    </row>
    <row r="94" spans="1:11" x14ac:dyDescent="0.25">
      <c r="A94" s="1114"/>
      <c r="B94" s="938" t="str">
        <f t="shared" si="17"/>
        <v>Orange Color - لون برتقالي</v>
      </c>
      <c r="C94" s="938" t="str">
        <f t="shared" si="17"/>
        <v>gm</v>
      </c>
      <c r="D94" s="1127">
        <f t="shared" si="17"/>
        <v>2</v>
      </c>
      <c r="E94" s="1040">
        <f t="shared" si="20"/>
        <v>2.3020408163265316</v>
      </c>
      <c r="F94" s="948">
        <f t="shared" si="21"/>
        <v>0.75</v>
      </c>
      <c r="G94" s="940">
        <f t="shared" si="18"/>
        <v>4.6040816326530631</v>
      </c>
      <c r="H94" s="943">
        <f t="shared" si="19"/>
        <v>3.4530612244897974</v>
      </c>
      <c r="K94" s="830"/>
    </row>
    <row r="95" spans="1:11" x14ac:dyDescent="0.25">
      <c r="A95" s="1114"/>
      <c r="B95" s="938" t="str">
        <f t="shared" si="17"/>
        <v>Maggi Cubes - مكعبات ماجي</v>
      </c>
      <c r="C95" s="938" t="str">
        <f t="shared" si="17"/>
        <v>gm</v>
      </c>
      <c r="D95" s="1127">
        <f t="shared" si="17"/>
        <v>10</v>
      </c>
      <c r="E95" s="1040">
        <f t="shared" si="20"/>
        <v>2.3020408163265316</v>
      </c>
      <c r="F95" s="948">
        <f t="shared" si="21"/>
        <v>0.9</v>
      </c>
      <c r="G95" s="940">
        <f t="shared" si="18"/>
        <v>23.020408163265316</v>
      </c>
      <c r="H95" s="943">
        <f t="shared" si="19"/>
        <v>20.718367346938784</v>
      </c>
      <c r="K95" s="830"/>
    </row>
    <row r="96" spans="1:11" x14ac:dyDescent="0.25">
      <c r="A96" s="1114"/>
      <c r="B96" s="938" t="str">
        <f t="shared" si="17"/>
        <v>Honey - عسل</v>
      </c>
      <c r="C96" s="938" t="str">
        <f t="shared" si="17"/>
        <v>gm</v>
      </c>
      <c r="D96" s="1127">
        <f t="shared" si="17"/>
        <v>35</v>
      </c>
      <c r="E96" s="1040">
        <f t="shared" si="20"/>
        <v>2.3020408163265316</v>
      </c>
      <c r="F96" s="948">
        <f t="shared" si="21"/>
        <v>1</v>
      </c>
      <c r="G96" s="940">
        <f t="shared" si="18"/>
        <v>80.571428571428612</v>
      </c>
      <c r="H96" s="943">
        <f t="shared" si="19"/>
        <v>80.571428571428612</v>
      </c>
      <c r="K96" s="830"/>
    </row>
    <row r="97" spans="1:11" ht="25.5" x14ac:dyDescent="0.25">
      <c r="A97" s="1114"/>
      <c r="B97" s="938" t="str">
        <f t="shared" si="17"/>
        <v>Saffron yellow color powder - لون صفار زعفران بودر</v>
      </c>
      <c r="C97" s="938" t="str">
        <f t="shared" si="17"/>
        <v>gm</v>
      </c>
      <c r="D97" s="1127">
        <f t="shared" si="17"/>
        <v>1</v>
      </c>
      <c r="E97" s="1040">
        <f t="shared" si="20"/>
        <v>2.3020408163265316</v>
      </c>
      <c r="F97" s="948">
        <f t="shared" si="21"/>
        <v>1</v>
      </c>
      <c r="G97" s="940">
        <f t="shared" si="18"/>
        <v>2.3020408163265316</v>
      </c>
      <c r="H97" s="943">
        <f t="shared" si="19"/>
        <v>2.3020408163265316</v>
      </c>
      <c r="K97" s="830"/>
    </row>
    <row r="98" spans="1:11" ht="18" x14ac:dyDescent="0.25">
      <c r="A98" s="1065"/>
      <c r="B98" s="1041" t="s">
        <v>287</v>
      </c>
      <c r="C98" s="1042" t="s">
        <v>273</v>
      </c>
      <c r="D98" s="1043"/>
      <c r="E98" s="1044" t="s">
        <v>288</v>
      </c>
      <c r="F98" s="1043"/>
      <c r="G98" s="1045" t="s">
        <v>264</v>
      </c>
      <c r="H98" s="1046" t="s">
        <v>661</v>
      </c>
      <c r="K98" s="830"/>
    </row>
    <row r="99" spans="1:11" ht="20.25" x14ac:dyDescent="0.3">
      <c r="A99" s="1065"/>
      <c r="B99" s="1047">
        <f>$J$54</f>
        <v>5640</v>
      </c>
      <c r="C99" s="1048">
        <f>E99+G99</f>
        <v>2256.0000000000009</v>
      </c>
      <c r="D99" s="1049"/>
      <c r="E99" s="1047">
        <f>$D$54*$S$44</f>
        <v>0</v>
      </c>
      <c r="F99" s="1050"/>
      <c r="G99" s="1048">
        <f>$D$54*$T$44</f>
        <v>2256.0000000000009</v>
      </c>
      <c r="H99" s="1047">
        <f>B99+E99</f>
        <v>5640</v>
      </c>
      <c r="K99" s="830"/>
    </row>
  </sheetData>
  <mergeCells count="10">
    <mergeCell ref="AK2:AM2"/>
    <mergeCell ref="B82:H82"/>
    <mergeCell ref="B83:H83"/>
    <mergeCell ref="B63:H63"/>
    <mergeCell ref="AE2:AG3"/>
    <mergeCell ref="F2:G3"/>
    <mergeCell ref="R26:U26"/>
    <mergeCell ref="B62:H62"/>
    <mergeCell ref="R25:U25"/>
    <mergeCell ref="B35:F35"/>
  </mergeCells>
  <printOptions horizontalCentered="1"/>
  <pageMargins left="0.4" right="0.4" top="1" bottom="0.5" header="0.3" footer="0.511811023622047"/>
  <pageSetup paperSize="9" scale="38" orientation="landscape" r:id="rId1"/>
  <legacy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6" tint="-0.249977111117893"/>
    <pageSetUpPr fitToPage="1"/>
  </sheetPr>
  <dimension ref="A1:AG130"/>
  <sheetViews>
    <sheetView topLeftCell="P19" zoomScale="70" zoomScaleNormal="70" workbookViewId="0">
      <selection activeCell="P52" sqref="P51:T52"/>
    </sheetView>
  </sheetViews>
  <sheetFormatPr defaultColWidth="12.5" defaultRowHeight="15" x14ac:dyDescent="0.25"/>
  <cols>
    <col min="1" max="1" width="16.75" style="1" bestFit="1" customWidth="1"/>
    <col min="2" max="2" width="24.75" bestFit="1" customWidth="1"/>
    <col min="3" max="3" width="16.375" bestFit="1" customWidth="1"/>
    <col min="4" max="4" width="23.375" bestFit="1" customWidth="1"/>
    <col min="5" max="5" width="23.875" bestFit="1" customWidth="1"/>
    <col min="6" max="6" width="15.5" bestFit="1" customWidth="1"/>
    <col min="7" max="7" width="20.625" bestFit="1" customWidth="1"/>
    <col min="8" max="8" width="23.75" bestFit="1" customWidth="1"/>
    <col min="9" max="10" width="17.625" bestFit="1" customWidth="1"/>
    <col min="11" max="11" width="24.375" bestFit="1" customWidth="1"/>
    <col min="12" max="12" width="6.75" bestFit="1" customWidth="1"/>
    <col min="13" max="13" width="31.5" customWidth="1"/>
    <col min="15" max="15" width="17.25" bestFit="1" customWidth="1"/>
    <col min="17" max="17" width="16.875" bestFit="1" customWidth="1"/>
    <col min="18" max="18" width="25.125" bestFit="1" customWidth="1"/>
    <col min="19" max="19" width="10.5" bestFit="1" customWidth="1"/>
    <col min="20" max="20" width="24.625" bestFit="1" customWidth="1"/>
    <col min="21" max="21" width="11.25" bestFit="1" customWidth="1"/>
    <col min="22" max="22" width="12.125" bestFit="1" customWidth="1"/>
    <col min="23" max="23" width="24.375" bestFit="1" customWidth="1"/>
    <col min="25" max="25" width="7.75" bestFit="1" customWidth="1"/>
    <col min="26" max="26" width="11.25" bestFit="1" customWidth="1"/>
    <col min="27" max="27" width="7.5" bestFit="1" customWidth="1"/>
    <col min="28" max="28" width="13.5" bestFit="1" customWidth="1"/>
    <col min="29" max="29" width="13.375" bestFit="1" customWidth="1"/>
    <col min="30" max="30" width="4.75" bestFit="1" customWidth="1"/>
  </cols>
  <sheetData>
    <row r="1" spans="1:33" ht="25.5" x14ac:dyDescent="0.25">
      <c r="B1" s="843" t="s">
        <v>231</v>
      </c>
      <c r="C1" s="63">
        <v>1000</v>
      </c>
      <c r="D1" s="894" t="s">
        <v>232</v>
      </c>
      <c r="E1" s="84">
        <f>T32</f>
        <v>12256</v>
      </c>
      <c r="F1" s="62" t="s">
        <v>233</v>
      </c>
      <c r="G1" s="315">
        <f>(E1/C1)</f>
        <v>12.256</v>
      </c>
      <c r="H1" s="62" t="s">
        <v>234</v>
      </c>
      <c r="I1" s="167">
        <f>(G1/K1)</f>
        <v>12.506122448979593</v>
      </c>
      <c r="J1" s="68" t="s">
        <v>235</v>
      </c>
      <c r="K1" s="63">
        <v>0.98</v>
      </c>
      <c r="L1" s="80"/>
      <c r="M1" s="332"/>
      <c r="N1" s="71"/>
      <c r="O1" s="72" t="s">
        <v>236</v>
      </c>
      <c r="P1" s="80"/>
      <c r="Q1" s="74" t="s">
        <v>504</v>
      </c>
      <c r="R1" s="890">
        <v>2.5</v>
      </c>
      <c r="T1" s="830"/>
      <c r="W1" s="830"/>
      <c r="Y1" s="72" t="s">
        <v>444</v>
      </c>
      <c r="Z1" s="422">
        <v>30140</v>
      </c>
      <c r="AA1" s="72" t="s">
        <v>544</v>
      </c>
      <c r="AB1" s="422">
        <v>500</v>
      </c>
      <c r="AC1" s="72" t="s">
        <v>537</v>
      </c>
      <c r="AD1" s="422">
        <v>220</v>
      </c>
    </row>
    <row r="2" spans="1:33" ht="15.75" x14ac:dyDescent="0.25">
      <c r="A2" s="860"/>
      <c r="B2" s="78"/>
      <c r="C2" s="78"/>
      <c r="D2" s="78"/>
      <c r="E2" s="78"/>
      <c r="F2" s="1828" t="s">
        <v>414</v>
      </c>
      <c r="G2" s="1865"/>
      <c r="H2" s="78"/>
      <c r="I2" s="78"/>
      <c r="J2" s="78"/>
      <c r="K2" s="78"/>
      <c r="L2" s="187"/>
      <c r="M2" s="80"/>
      <c r="N2" s="80"/>
      <c r="O2" s="80"/>
      <c r="P2" s="80"/>
      <c r="Q2" s="80"/>
      <c r="R2" s="830"/>
      <c r="T2" s="830"/>
      <c r="W2" s="830"/>
      <c r="AE2" s="1772"/>
      <c r="AF2" s="1796"/>
      <c r="AG2" s="1796"/>
    </row>
    <row r="3" spans="1:33" ht="15.75" x14ac:dyDescent="0.25">
      <c r="A3" s="860"/>
      <c r="B3" s="78"/>
      <c r="C3" s="78"/>
      <c r="D3" s="78"/>
      <c r="E3" s="78"/>
      <c r="F3" s="1785"/>
      <c r="G3" s="1796"/>
      <c r="H3" s="78"/>
      <c r="I3" s="78"/>
      <c r="J3" s="78"/>
      <c r="K3" s="78"/>
      <c r="L3" s="187"/>
      <c r="M3" s="80"/>
      <c r="N3" s="80"/>
      <c r="O3" s="80"/>
      <c r="P3" s="80"/>
      <c r="Q3" s="80"/>
      <c r="R3" s="830"/>
      <c r="T3" s="830"/>
      <c r="W3" s="830"/>
      <c r="AE3" s="1796"/>
      <c r="AF3" s="1796"/>
      <c r="AG3" s="1796"/>
    </row>
    <row r="4" spans="1:33" ht="25.5" x14ac:dyDescent="0.2">
      <c r="A4" s="1350" t="s">
        <v>864</v>
      </c>
      <c r="B4" s="923" t="s">
        <v>241</v>
      </c>
      <c r="C4" s="934" t="s">
        <v>242</v>
      </c>
      <c r="D4" s="923" t="s">
        <v>231</v>
      </c>
      <c r="E4" s="935" t="s">
        <v>234</v>
      </c>
      <c r="F4" s="935" t="s">
        <v>243</v>
      </c>
      <c r="G4" s="923" t="s">
        <v>244</v>
      </c>
      <c r="H4" s="936" t="s">
        <v>334</v>
      </c>
      <c r="I4" s="923" t="s">
        <v>246</v>
      </c>
      <c r="J4" s="923" t="s">
        <v>247</v>
      </c>
      <c r="K4" s="923" t="s">
        <v>248</v>
      </c>
      <c r="L4" s="923" t="s">
        <v>249</v>
      </c>
      <c r="M4" s="80"/>
      <c r="N4" s="80"/>
      <c r="O4" s="80"/>
      <c r="R4" s="830"/>
      <c r="T4" s="830"/>
      <c r="W4" s="830"/>
    </row>
    <row r="5" spans="1:33" x14ac:dyDescent="0.2">
      <c r="A5" s="937"/>
      <c r="B5" s="914" t="s">
        <v>506</v>
      </c>
      <c r="C5" s="947" t="s">
        <v>14</v>
      </c>
      <c r="D5" s="1603">
        <f>I51/H51</f>
        <v>600</v>
      </c>
      <c r="E5" s="1040">
        <f>$I$1</f>
        <v>12.506122448979593</v>
      </c>
      <c r="F5" s="948">
        <v>1</v>
      </c>
      <c r="G5" s="940">
        <f>D5*E5</f>
        <v>7503.6734693877552</v>
      </c>
      <c r="H5" s="943">
        <f>G5*F5</f>
        <v>7503.6734693877552</v>
      </c>
      <c r="I5" s="914">
        <f>VLOOKUP(B5,All_Ingredients!$A$1:$F$161,6,FALSE())</f>
        <v>1</v>
      </c>
      <c r="J5" s="940">
        <f>VLOOKUP(B5,All_Ingredients!$A$1:$J$161,10,FALSE())</f>
        <v>8.7962962962962958</v>
      </c>
      <c r="K5" s="945">
        <f t="shared" ref="K5" si="0">(H5/I5)/1000</f>
        <v>7.5036734693877554</v>
      </c>
      <c r="L5" s="945">
        <f t="shared" ref="L5" si="1">K5*J5</f>
        <v>66.004535147392289</v>
      </c>
      <c r="M5" s="80"/>
      <c r="N5" s="80"/>
      <c r="O5" s="80"/>
      <c r="R5" s="830"/>
      <c r="T5" s="830"/>
      <c r="W5" s="830"/>
    </row>
    <row r="6" spans="1:33" x14ac:dyDescent="0.25">
      <c r="A6" s="1117" t="s">
        <v>869</v>
      </c>
      <c r="B6" s="938" t="s">
        <v>12</v>
      </c>
      <c r="C6" s="947" t="s">
        <v>14</v>
      </c>
      <c r="D6" s="914">
        <v>150</v>
      </c>
      <c r="E6" s="1040">
        <f t="shared" ref="E6:E21" si="2">$I$1</f>
        <v>12.506122448979593</v>
      </c>
      <c r="F6" s="948">
        <v>0.95</v>
      </c>
      <c r="G6" s="940">
        <f t="shared" ref="G6:G17" si="3">D6*E6</f>
        <v>1875.9183673469388</v>
      </c>
      <c r="H6" s="943">
        <f t="shared" ref="H6:H17" si="4">G6*F6</f>
        <v>1782.1224489795918</v>
      </c>
      <c r="I6" s="914">
        <f>VLOOKUP(B6,All_Ingredients!$A$1:$F$161,6,FALSE())</f>
        <v>0.9</v>
      </c>
      <c r="J6" s="940">
        <f>VLOOKUP(B6,All_Ingredients!$A$1:$J$161,10,FALSE())</f>
        <v>3</v>
      </c>
      <c r="K6" s="945">
        <f t="shared" ref="K6:K21" si="5">(H6/I6)/1000</f>
        <v>1.9801360544217688</v>
      </c>
      <c r="L6" s="945">
        <f t="shared" ref="L6:L21" si="6">K6*J6</f>
        <v>5.9404081632653067</v>
      </c>
      <c r="R6" s="830"/>
      <c r="T6" s="830"/>
      <c r="W6" s="830"/>
    </row>
    <row r="7" spans="1:33" x14ac:dyDescent="0.25">
      <c r="A7" s="1117" t="s">
        <v>868</v>
      </c>
      <c r="B7" s="938" t="s">
        <v>706</v>
      </c>
      <c r="C7" s="947" t="s">
        <v>14</v>
      </c>
      <c r="D7" s="914">
        <v>50</v>
      </c>
      <c r="E7" s="1040">
        <f t="shared" si="2"/>
        <v>12.506122448979593</v>
      </c>
      <c r="F7" s="948">
        <v>1</v>
      </c>
      <c r="G7" s="940">
        <f t="shared" si="3"/>
        <v>625.30612244897964</v>
      </c>
      <c r="H7" s="943">
        <f t="shared" si="4"/>
        <v>625.30612244897964</v>
      </c>
      <c r="I7" s="914">
        <f>VLOOKUP(B7,All_Ingredients!$A$1:$F$161,6,FALSE())</f>
        <v>1</v>
      </c>
      <c r="J7" s="940">
        <f>VLOOKUP(B7,All_Ingredients!$A$1:$J$161,10,FALSE())</f>
        <v>10.5</v>
      </c>
      <c r="K7" s="945">
        <f t="shared" si="5"/>
        <v>0.62530612244897965</v>
      </c>
      <c r="L7" s="945">
        <f t="shared" si="6"/>
        <v>6.5657142857142867</v>
      </c>
      <c r="R7" s="830"/>
      <c r="T7" s="830"/>
      <c r="W7" s="830"/>
    </row>
    <row r="8" spans="1:33" x14ac:dyDescent="0.25">
      <c r="A8" s="1117" t="s">
        <v>870</v>
      </c>
      <c r="B8" s="938" t="s">
        <v>17</v>
      </c>
      <c r="C8" s="947" t="s">
        <v>14</v>
      </c>
      <c r="D8" s="914">
        <v>250</v>
      </c>
      <c r="E8" s="1040">
        <f t="shared" si="2"/>
        <v>12.506122448979593</v>
      </c>
      <c r="F8" s="948">
        <v>1</v>
      </c>
      <c r="G8" s="940">
        <f t="shared" si="3"/>
        <v>3126.5306122448983</v>
      </c>
      <c r="H8" s="943">
        <f t="shared" si="4"/>
        <v>3126.5306122448983</v>
      </c>
      <c r="I8" s="914">
        <f>VLOOKUP(B8,All_Ingredients!$A$1:$F$161,6,FALSE())</f>
        <v>0.98</v>
      </c>
      <c r="J8" s="940">
        <f>VLOOKUP(B8,All_Ingredients!$A$1:$J$161,10,FALSE())</f>
        <v>3.5</v>
      </c>
      <c r="K8" s="945">
        <f t="shared" si="5"/>
        <v>3.19033735943357</v>
      </c>
      <c r="L8" s="945">
        <f t="shared" si="6"/>
        <v>11.166180758017495</v>
      </c>
      <c r="R8" s="830"/>
      <c r="T8" s="830"/>
      <c r="W8" s="830"/>
    </row>
    <row r="9" spans="1:33" x14ac:dyDescent="0.25">
      <c r="A9" s="1117"/>
      <c r="B9" s="938" t="s">
        <v>678</v>
      </c>
      <c r="C9" s="947" t="s">
        <v>14</v>
      </c>
      <c r="D9" s="1412">
        <v>300</v>
      </c>
      <c r="E9" s="1040">
        <f t="shared" si="2"/>
        <v>12.506122448979593</v>
      </c>
      <c r="F9" s="948">
        <v>1</v>
      </c>
      <c r="G9" s="940">
        <f t="shared" si="3"/>
        <v>3751.8367346938776</v>
      </c>
      <c r="H9" s="943">
        <f t="shared" si="4"/>
        <v>3751.8367346938776</v>
      </c>
      <c r="I9" s="914">
        <f>VLOOKUP(B9,All_Ingredients!$A$1:$F$161,6,FALSE())</f>
        <v>1</v>
      </c>
      <c r="J9" s="940">
        <f>VLOOKUP(B9,All_Ingredients!$A$1:$J$161,10,FALSE())</f>
        <v>8.1520833333333336</v>
      </c>
      <c r="K9" s="945">
        <f t="shared" si="5"/>
        <v>3.7518367346938777</v>
      </c>
      <c r="L9" s="945">
        <f t="shared" si="6"/>
        <v>30.585285714285718</v>
      </c>
      <c r="R9" s="830"/>
      <c r="T9" s="830"/>
      <c r="W9" s="830"/>
    </row>
    <row r="10" spans="1:33" x14ac:dyDescent="0.25">
      <c r="A10" s="1117"/>
      <c r="B10" s="938" t="s">
        <v>110</v>
      </c>
      <c r="C10" s="947" t="s">
        <v>14</v>
      </c>
      <c r="D10" s="914">
        <v>2</v>
      </c>
      <c r="E10" s="1040">
        <f t="shared" si="2"/>
        <v>12.506122448979593</v>
      </c>
      <c r="F10" s="948">
        <v>0.75</v>
      </c>
      <c r="G10" s="940">
        <f t="shared" si="3"/>
        <v>25.012244897959185</v>
      </c>
      <c r="H10" s="943">
        <f t="shared" si="4"/>
        <v>18.759183673469387</v>
      </c>
      <c r="I10" s="914">
        <f>VLOOKUP(B10,All_Ingredients!$A$1:$F$161,6,FALSE())</f>
        <v>1</v>
      </c>
      <c r="J10" s="940">
        <f>VLOOKUP(B10,All_Ingredients!$A$1:$J$161,10,FALSE())</f>
        <v>64.243759177679877</v>
      </c>
      <c r="K10" s="945">
        <f t="shared" si="5"/>
        <v>1.8759183673469387E-2</v>
      </c>
      <c r="L10" s="945">
        <f t="shared" si="6"/>
        <v>1.2051604782882315</v>
      </c>
      <c r="R10" s="830"/>
      <c r="T10" s="830"/>
      <c r="W10" s="830"/>
    </row>
    <row r="11" spans="1:33" x14ac:dyDescent="0.25">
      <c r="A11" s="1117"/>
      <c r="B11" s="938" t="s">
        <v>82</v>
      </c>
      <c r="C11" s="947" t="s">
        <v>14</v>
      </c>
      <c r="D11" s="938">
        <v>1</v>
      </c>
      <c r="E11" s="1040">
        <f t="shared" si="2"/>
        <v>12.506122448979593</v>
      </c>
      <c r="F11" s="948">
        <v>0.75</v>
      </c>
      <c r="G11" s="940">
        <f t="shared" si="3"/>
        <v>12.506122448979593</v>
      </c>
      <c r="H11" s="943">
        <f t="shared" si="4"/>
        <v>9.3795918367346935</v>
      </c>
      <c r="I11" s="914">
        <f>VLOOKUP(B11,All_Ingredients!$A$1:$F$161,6,FALSE())</f>
        <v>1</v>
      </c>
      <c r="J11" s="940">
        <f>VLOOKUP(B11,All_Ingredients!$A$1:$J$161,10,FALSE())</f>
        <v>147.88732394366198</v>
      </c>
      <c r="K11" s="945">
        <f t="shared" si="5"/>
        <v>9.3795918367346933E-3</v>
      </c>
      <c r="L11" s="945">
        <f t="shared" si="6"/>
        <v>1.387122736418511</v>
      </c>
      <c r="R11" s="830"/>
      <c r="T11" s="830"/>
      <c r="W11" s="830"/>
    </row>
    <row r="12" spans="1:33" x14ac:dyDescent="0.25">
      <c r="A12" s="1117"/>
      <c r="B12" s="938" t="s">
        <v>84</v>
      </c>
      <c r="C12" s="947" t="s">
        <v>14</v>
      </c>
      <c r="D12" s="938">
        <v>1</v>
      </c>
      <c r="E12" s="1040">
        <f t="shared" si="2"/>
        <v>12.506122448979593</v>
      </c>
      <c r="F12" s="948">
        <v>0.75</v>
      </c>
      <c r="G12" s="940">
        <f t="shared" si="3"/>
        <v>12.506122448979593</v>
      </c>
      <c r="H12" s="943">
        <f t="shared" si="4"/>
        <v>9.3795918367346935</v>
      </c>
      <c r="I12" s="914">
        <f>VLOOKUP(B12,All_Ingredients!$A$1:$F$161,6,FALSE())</f>
        <v>1</v>
      </c>
      <c r="J12" s="940">
        <f>VLOOKUP(B12,All_Ingredients!$A$1:$J$161,10,FALSE())</f>
        <v>140.84507042253523</v>
      </c>
      <c r="K12" s="945">
        <f t="shared" si="5"/>
        <v>9.3795918367346933E-3</v>
      </c>
      <c r="L12" s="945">
        <f t="shared" si="6"/>
        <v>1.3210692727795343</v>
      </c>
      <c r="R12" s="830"/>
      <c r="T12" s="830"/>
      <c r="W12" s="830"/>
    </row>
    <row r="13" spans="1:33" x14ac:dyDescent="0.25">
      <c r="A13" s="1117"/>
      <c r="B13" s="938" t="s">
        <v>93</v>
      </c>
      <c r="C13" s="947" t="s">
        <v>14</v>
      </c>
      <c r="D13" s="938">
        <v>11</v>
      </c>
      <c r="E13" s="1040">
        <f t="shared" si="2"/>
        <v>12.506122448979593</v>
      </c>
      <c r="F13" s="948">
        <v>0.75</v>
      </c>
      <c r="G13" s="940">
        <f t="shared" si="3"/>
        <v>137.56734693877553</v>
      </c>
      <c r="H13" s="943">
        <f t="shared" si="4"/>
        <v>103.17551020408165</v>
      </c>
      <c r="I13" s="914">
        <f>VLOOKUP(B13,All_Ingredients!$A$1:$F$161,6,FALSE())</f>
        <v>1</v>
      </c>
      <c r="J13" s="940">
        <f>VLOOKUP(B13,All_Ingredients!$A$1:$J$161,10,FALSE())</f>
        <v>0.74</v>
      </c>
      <c r="K13" s="945">
        <f t="shared" si="5"/>
        <v>0.10317551020408165</v>
      </c>
      <c r="L13" s="945">
        <f t="shared" si="6"/>
        <v>7.634987755102042E-2</v>
      </c>
      <c r="R13" s="830" t="s">
        <v>492</v>
      </c>
      <c r="T13" s="830"/>
      <c r="W13" s="830"/>
    </row>
    <row r="14" spans="1:33" x14ac:dyDescent="0.25">
      <c r="A14" s="1117"/>
      <c r="B14" s="938" t="s">
        <v>731</v>
      </c>
      <c r="C14" s="947" t="s">
        <v>14</v>
      </c>
      <c r="D14" s="938">
        <v>140</v>
      </c>
      <c r="E14" s="1040">
        <f t="shared" si="2"/>
        <v>12.506122448979593</v>
      </c>
      <c r="F14" s="948">
        <v>1</v>
      </c>
      <c r="G14" s="940">
        <f t="shared" si="3"/>
        <v>1750.8571428571429</v>
      </c>
      <c r="H14" s="943">
        <f t="shared" si="4"/>
        <v>1750.8571428571429</v>
      </c>
      <c r="I14" s="914">
        <f>VLOOKUP(B14,All_Ingredients!$A$1:$F$161,6,FALSE())</f>
        <v>1</v>
      </c>
      <c r="J14" s="940">
        <f>VLOOKUP(B14,All_Ingredients!$A$1:$J$161,10,FALSE())</f>
        <v>80</v>
      </c>
      <c r="K14" s="945">
        <f t="shared" si="5"/>
        <v>1.7508571428571429</v>
      </c>
      <c r="L14" s="945">
        <f t="shared" si="6"/>
        <v>140.06857142857143</v>
      </c>
      <c r="R14" s="830" t="s">
        <v>490</v>
      </c>
      <c r="T14" s="830"/>
      <c r="W14" s="830"/>
    </row>
    <row r="15" spans="1:33" x14ac:dyDescent="0.25">
      <c r="A15" s="1117"/>
      <c r="B15" s="938" t="s">
        <v>214</v>
      </c>
      <c r="C15" s="947" t="s">
        <v>14</v>
      </c>
      <c r="D15" s="914">
        <v>2</v>
      </c>
      <c r="E15" s="1040">
        <f t="shared" si="2"/>
        <v>12.506122448979593</v>
      </c>
      <c r="F15" s="948">
        <v>0.75</v>
      </c>
      <c r="G15" s="940">
        <f t="shared" si="3"/>
        <v>25.012244897959185</v>
      </c>
      <c r="H15" s="943">
        <f t="shared" si="4"/>
        <v>18.759183673469387</v>
      </c>
      <c r="I15" s="914">
        <f>VLOOKUP(B15,All_Ingredients!$A$1:$F$161,6,FALSE())</f>
        <v>1</v>
      </c>
      <c r="J15" s="940">
        <f>VLOOKUP(B15,All_Ingredients!$A$1:$J$161,10,FALSE())</f>
        <v>35</v>
      </c>
      <c r="K15" s="945">
        <f t="shared" si="5"/>
        <v>1.8759183673469387E-2</v>
      </c>
      <c r="L15" s="945">
        <f t="shared" si="6"/>
        <v>0.65657142857142858</v>
      </c>
      <c r="R15" s="830" t="s">
        <v>491</v>
      </c>
      <c r="T15" s="830"/>
      <c r="W15" s="830"/>
    </row>
    <row r="16" spans="1:33" x14ac:dyDescent="0.25">
      <c r="A16" s="1117"/>
      <c r="B16" s="938" t="s">
        <v>183</v>
      </c>
      <c r="C16" s="947" t="s">
        <v>14</v>
      </c>
      <c r="D16" s="938">
        <v>25</v>
      </c>
      <c r="E16" s="1040">
        <f t="shared" si="2"/>
        <v>12.506122448979593</v>
      </c>
      <c r="F16" s="948">
        <v>1</v>
      </c>
      <c r="G16" s="940">
        <f t="shared" si="3"/>
        <v>312.65306122448982</v>
      </c>
      <c r="H16" s="943">
        <f t="shared" si="4"/>
        <v>312.65306122448982</v>
      </c>
      <c r="I16" s="914">
        <f>VLOOKUP(B16,All_Ingredients!$A$1:$F$161,6,FALSE())</f>
        <v>1</v>
      </c>
      <c r="J16" s="940">
        <f>VLOOKUP(B16,All_Ingredients!$A$1:$J$161,10,FALSE())</f>
        <v>17</v>
      </c>
      <c r="K16" s="945">
        <f t="shared" si="5"/>
        <v>0.31265306122448983</v>
      </c>
      <c r="L16" s="945">
        <f t="shared" si="6"/>
        <v>5.3151020408163268</v>
      </c>
      <c r="R16" s="830"/>
      <c r="T16" s="830"/>
      <c r="W16" s="830"/>
    </row>
    <row r="17" spans="1:29" x14ac:dyDescent="0.25">
      <c r="A17" s="1117"/>
      <c r="B17" s="938" t="s">
        <v>198</v>
      </c>
      <c r="C17" s="1157" t="s">
        <v>160</v>
      </c>
      <c r="D17" s="938">
        <v>40</v>
      </c>
      <c r="E17" s="1040">
        <f t="shared" si="2"/>
        <v>12.506122448979593</v>
      </c>
      <c r="F17" s="948">
        <v>1</v>
      </c>
      <c r="G17" s="940">
        <f t="shared" si="3"/>
        <v>500.24489795918373</v>
      </c>
      <c r="H17" s="943">
        <f t="shared" si="4"/>
        <v>500.24489795918373</v>
      </c>
      <c r="I17" s="914">
        <f>VLOOKUP(B17,All_Ingredients!$A$1:$F$161,6,FALSE())</f>
        <v>1</v>
      </c>
      <c r="J17" s="940">
        <f>VLOOKUP(B17,All_Ingredients!$A$1:$J$161,10,FALSE())</f>
        <v>3.25</v>
      </c>
      <c r="K17" s="945">
        <f t="shared" si="5"/>
        <v>0.5002448979591837</v>
      </c>
      <c r="L17" s="945">
        <f t="shared" si="6"/>
        <v>1.6257959183673469</v>
      </c>
      <c r="R17" s="830"/>
      <c r="T17" s="830"/>
      <c r="W17" s="830"/>
    </row>
    <row r="18" spans="1:29" x14ac:dyDescent="0.25">
      <c r="A18" s="1117"/>
      <c r="B18" s="938" t="s">
        <v>152</v>
      </c>
      <c r="C18" s="947" t="s">
        <v>14</v>
      </c>
      <c r="D18" s="938">
        <v>30</v>
      </c>
      <c r="E18" s="1040">
        <f t="shared" si="2"/>
        <v>12.506122448979593</v>
      </c>
      <c r="F18" s="948">
        <v>1</v>
      </c>
      <c r="G18" s="940">
        <f>D18*E18</f>
        <v>375.18367346938777</v>
      </c>
      <c r="H18" s="943">
        <f>G18*F18</f>
        <v>375.18367346938777</v>
      </c>
      <c r="I18" s="914">
        <f>VLOOKUP(B18,All_Ingredients!$A$1:$F$161,6,FALSE())</f>
        <v>1</v>
      </c>
      <c r="J18" s="940">
        <f>VLOOKUP(B18,All_Ingredients!$A$1:$J$161,10,FALSE())</f>
        <v>30</v>
      </c>
      <c r="K18" s="945">
        <f t="shared" si="5"/>
        <v>0.37518367346938775</v>
      </c>
      <c r="L18" s="945">
        <f t="shared" si="6"/>
        <v>11.255510204081633</v>
      </c>
      <c r="R18" s="830"/>
      <c r="T18" s="830"/>
      <c r="W18" s="830"/>
    </row>
    <row r="19" spans="1:29" ht="25.5" x14ac:dyDescent="0.25">
      <c r="A19" s="1117"/>
      <c r="B19" s="938" t="s">
        <v>99</v>
      </c>
      <c r="C19" s="947" t="s">
        <v>14</v>
      </c>
      <c r="D19" s="938">
        <v>3</v>
      </c>
      <c r="E19" s="1040">
        <f t="shared" si="2"/>
        <v>12.506122448979593</v>
      </c>
      <c r="F19" s="948">
        <v>1</v>
      </c>
      <c r="G19" s="940">
        <f>D19*E19</f>
        <v>37.518367346938774</v>
      </c>
      <c r="H19" s="943">
        <f>G19*F19</f>
        <v>37.518367346938774</v>
      </c>
      <c r="I19" s="914">
        <f>VLOOKUP(B19,All_Ingredients!$A$1:$F$161,6,FALSE())</f>
        <v>1</v>
      </c>
      <c r="J19" s="940">
        <f>VLOOKUP(B19,All_Ingredients!$A$1:$J$161,10,FALSE())</f>
        <v>31</v>
      </c>
      <c r="K19" s="945">
        <f t="shared" si="5"/>
        <v>3.7518367346938773E-2</v>
      </c>
      <c r="L19" s="945">
        <f t="shared" si="6"/>
        <v>1.1630693877551019</v>
      </c>
      <c r="R19" s="830"/>
      <c r="T19" s="830"/>
      <c r="W19" s="830"/>
    </row>
    <row r="20" spans="1:29" x14ac:dyDescent="0.25">
      <c r="A20" s="1117"/>
      <c r="B20" s="938" t="s">
        <v>211</v>
      </c>
      <c r="C20" s="947" t="s">
        <v>14</v>
      </c>
      <c r="D20" s="938">
        <v>5</v>
      </c>
      <c r="E20" s="1040">
        <f t="shared" si="2"/>
        <v>12.506122448979593</v>
      </c>
      <c r="F20" s="948">
        <v>1</v>
      </c>
      <c r="G20" s="940">
        <f>D20*E20</f>
        <v>62.530612244897966</v>
      </c>
      <c r="H20" s="943">
        <f>G20*F20</f>
        <v>62.530612244897966</v>
      </c>
      <c r="I20" s="914">
        <f>VLOOKUP(B20,All_Ingredients!$A$1:$F$161,6,FALSE())</f>
        <v>1</v>
      </c>
      <c r="J20" s="940">
        <f>VLOOKUP(B20,All_Ingredients!$A$1:$J$161,10,FALSE())</f>
        <v>15.5</v>
      </c>
      <c r="K20" s="945">
        <f t="shared" si="5"/>
        <v>6.2530612244897962E-2</v>
      </c>
      <c r="L20" s="945">
        <f t="shared" si="6"/>
        <v>0.96922448979591846</v>
      </c>
      <c r="R20" s="830"/>
      <c r="T20" s="830"/>
      <c r="W20" s="830"/>
    </row>
    <row r="21" spans="1:29" x14ac:dyDescent="0.25">
      <c r="A21" s="1117"/>
      <c r="B21" s="938" t="s">
        <v>93</v>
      </c>
      <c r="C21" s="947" t="s">
        <v>14</v>
      </c>
      <c r="D21" s="938">
        <v>5</v>
      </c>
      <c r="E21" s="1040">
        <f t="shared" si="2"/>
        <v>12.506122448979593</v>
      </c>
      <c r="F21" s="948">
        <v>1</v>
      </c>
      <c r="G21" s="940">
        <f>D21*E21</f>
        <v>62.530612244897966</v>
      </c>
      <c r="H21" s="943">
        <f>G21*F21</f>
        <v>62.530612244897966</v>
      </c>
      <c r="I21" s="914">
        <f>VLOOKUP(B21,All_Ingredients!$A$1:$F$161,6,FALSE())</f>
        <v>1</v>
      </c>
      <c r="J21" s="940">
        <f>VLOOKUP(B21,All_Ingredients!$A$1:$J$161,10,FALSE())</f>
        <v>0.74</v>
      </c>
      <c r="K21" s="945">
        <f t="shared" si="5"/>
        <v>6.2530612244897962E-2</v>
      </c>
      <c r="L21" s="945">
        <f t="shared" si="6"/>
        <v>4.6272653061224495E-2</v>
      </c>
      <c r="R21" s="830"/>
      <c r="T21" s="830"/>
      <c r="W21" s="830"/>
    </row>
    <row r="22" spans="1:29" x14ac:dyDescent="0.25">
      <c r="B22" s="88"/>
      <c r="C22" s="89"/>
      <c r="D22" s="88"/>
      <c r="E22" s="302"/>
      <c r="F22" s="900"/>
      <c r="G22" s="92"/>
      <c r="H22" s="901"/>
      <c r="I22" s="73"/>
      <c r="J22" s="92"/>
      <c r="K22" s="87"/>
      <c r="L22" s="87"/>
      <c r="R22" s="830"/>
      <c r="T22" s="830"/>
      <c r="W22" s="830"/>
    </row>
    <row r="23" spans="1:29" x14ac:dyDescent="0.25">
      <c r="B23" s="88"/>
      <c r="C23" s="89"/>
      <c r="D23" s="88"/>
      <c r="E23" s="302"/>
      <c r="F23" s="900"/>
      <c r="G23" s="92"/>
      <c r="H23" s="901"/>
      <c r="I23" s="73"/>
      <c r="J23" s="92"/>
      <c r="K23" s="87"/>
      <c r="L23" s="87"/>
      <c r="R23" s="830"/>
      <c r="T23" s="830"/>
      <c r="W23" s="830"/>
    </row>
    <row r="24" spans="1:29" x14ac:dyDescent="0.25">
      <c r="B24" s="88"/>
      <c r="C24" s="89"/>
      <c r="D24" s="88"/>
      <c r="E24" s="302"/>
      <c r="F24" s="900"/>
      <c r="G24" s="92"/>
      <c r="H24" s="901"/>
      <c r="I24" s="73"/>
      <c r="J24" s="92"/>
      <c r="K24" s="87"/>
      <c r="L24" s="87"/>
      <c r="R24" s="830"/>
      <c r="T24" s="830"/>
      <c r="W24" s="830"/>
      <c r="Z24" s="630"/>
    </row>
    <row r="25" spans="1:29" x14ac:dyDescent="0.25">
      <c r="B25" s="830"/>
      <c r="D25" s="830"/>
      <c r="E25" s="80"/>
      <c r="F25" s="80"/>
      <c r="H25" s="830"/>
      <c r="K25" s="830"/>
      <c r="L25" s="144"/>
      <c r="R25" s="1869" t="s">
        <v>414</v>
      </c>
      <c r="S25" s="1850"/>
      <c r="T25" s="1870"/>
      <c r="U25" s="1850"/>
      <c r="W25" s="830"/>
      <c r="Z25" s="96" t="s">
        <v>252</v>
      </c>
      <c r="AA25" s="97">
        <v>1</v>
      </c>
      <c r="AB25" s="96" t="s">
        <v>249</v>
      </c>
      <c r="AC25" s="98">
        <f>AC30*AA25</f>
        <v>8.874604022520851E-3</v>
      </c>
    </row>
    <row r="26" spans="1:29" x14ac:dyDescent="0.25">
      <c r="B26" s="830"/>
      <c r="D26" s="830"/>
      <c r="E26" s="830"/>
      <c r="F26" s="830"/>
      <c r="H26" s="830"/>
      <c r="K26" s="830"/>
      <c r="L26" s="144"/>
      <c r="R26" s="1866" t="s">
        <v>356</v>
      </c>
      <c r="S26" s="1867"/>
      <c r="T26" s="1868"/>
      <c r="U26" s="1867"/>
      <c r="W26" s="830"/>
      <c r="Z26" s="14"/>
      <c r="AA26" s="14"/>
      <c r="AB26" s="14"/>
      <c r="AC26" s="14"/>
    </row>
    <row r="27" spans="1:29" x14ac:dyDescent="0.25">
      <c r="B27" s="830"/>
      <c r="D27" s="830"/>
      <c r="E27" s="830"/>
      <c r="F27" s="830"/>
      <c r="H27" s="830"/>
      <c r="K27" s="830"/>
      <c r="L27" s="144"/>
      <c r="R27" s="904" t="s">
        <v>254</v>
      </c>
      <c r="S27" s="101" t="s">
        <v>351</v>
      </c>
      <c r="T27" s="911" t="s">
        <v>256</v>
      </c>
      <c r="U27" s="101" t="s">
        <v>257</v>
      </c>
      <c r="W27" s="830"/>
      <c r="Z27" s="96" t="s">
        <v>258</v>
      </c>
      <c r="AA27" s="102" t="s">
        <v>351</v>
      </c>
      <c r="AB27" s="102" t="s">
        <v>260</v>
      </c>
      <c r="AC27" s="102" t="s">
        <v>262</v>
      </c>
    </row>
    <row r="28" spans="1:29" x14ac:dyDescent="0.25">
      <c r="B28" s="830"/>
      <c r="D28" s="830"/>
      <c r="E28" s="830"/>
      <c r="F28" s="830"/>
      <c r="H28" s="830"/>
      <c r="K28" s="830"/>
      <c r="L28" s="144"/>
      <c r="R28" s="907" t="s">
        <v>263</v>
      </c>
      <c r="S28" s="380">
        <f>U28*S40</f>
        <v>18084</v>
      </c>
      <c r="T28" s="1128">
        <f>U28*U40</f>
        <v>12056</v>
      </c>
      <c r="U28" s="667">
        <f>$Z$1</f>
        <v>30140</v>
      </c>
      <c r="W28" s="830"/>
      <c r="Z28" s="105"/>
      <c r="AA28" s="106">
        <f>AA25*$S$40</f>
        <v>0.6</v>
      </c>
      <c r="AB28" s="106">
        <f>AA25*$U$40</f>
        <v>0.4</v>
      </c>
      <c r="AC28" s="108">
        <f>SUM(AA28:AB28)</f>
        <v>1</v>
      </c>
    </row>
    <row r="29" spans="1:29" x14ac:dyDescent="0.25">
      <c r="B29" s="830"/>
      <c r="D29" s="830"/>
      <c r="E29" s="830"/>
      <c r="F29" s="830"/>
      <c r="H29" s="830"/>
      <c r="K29" s="830"/>
      <c r="L29" s="144"/>
      <c r="R29" s="907" t="s">
        <v>264</v>
      </c>
      <c r="S29" s="382"/>
      <c r="T29" s="1128"/>
      <c r="U29" s="104">
        <f>T29</f>
        <v>0</v>
      </c>
      <c r="W29" s="830"/>
      <c r="Z29" s="105"/>
      <c r="AA29" s="110">
        <f>AA28/$AC$28</f>
        <v>0.6</v>
      </c>
      <c r="AB29" s="110">
        <f>AB28/$AC$28</f>
        <v>0.4</v>
      </c>
      <c r="AC29" s="110">
        <f>AC28/$AC$28</f>
        <v>1</v>
      </c>
    </row>
    <row r="30" spans="1:29" x14ac:dyDescent="0.25">
      <c r="B30" s="830"/>
      <c r="D30" s="830"/>
      <c r="E30" s="830"/>
      <c r="F30" s="830"/>
      <c r="H30" s="830"/>
      <c r="K30" s="830"/>
      <c r="L30" s="144"/>
      <c r="R30" s="907" t="s">
        <v>265</v>
      </c>
      <c r="S30" s="382">
        <f>U30*S40</f>
        <v>300</v>
      </c>
      <c r="T30" s="1577">
        <f>U30*U40</f>
        <v>200</v>
      </c>
      <c r="U30" s="657">
        <f>$AB$1</f>
        <v>500</v>
      </c>
      <c r="W30" s="830"/>
      <c r="Z30" s="96" t="s">
        <v>266</v>
      </c>
      <c r="AA30" s="111">
        <f>S35/(S32)</f>
        <v>3.5903250188964475E-3</v>
      </c>
      <c r="AB30" s="112">
        <f>T35/T32</f>
        <v>1.6801022527957458E-2</v>
      </c>
      <c r="AC30" s="113">
        <f>SUMPRODUCT(AA30:AB30,AA29:AB29)</f>
        <v>8.874604022520851E-3</v>
      </c>
    </row>
    <row r="31" spans="1:29" x14ac:dyDescent="0.25">
      <c r="B31" s="830"/>
      <c r="D31" s="830"/>
      <c r="E31" s="830"/>
      <c r="F31" s="830"/>
      <c r="H31" s="830"/>
      <c r="K31" s="830"/>
      <c r="L31" s="144"/>
      <c r="R31" s="907" t="s">
        <v>267</v>
      </c>
      <c r="S31" s="109"/>
      <c r="T31" s="1111"/>
      <c r="U31" s="104"/>
      <c r="W31" s="830"/>
    </row>
    <row r="32" spans="1:29" x14ac:dyDescent="0.25">
      <c r="B32" s="80"/>
      <c r="D32" s="830"/>
      <c r="E32" s="80"/>
      <c r="F32" s="80"/>
      <c r="H32" s="830"/>
      <c r="K32" s="830"/>
      <c r="L32" s="144"/>
      <c r="R32" s="908" t="s">
        <v>257</v>
      </c>
      <c r="S32" s="104">
        <f>SUM(S28:S30)</f>
        <v>18384</v>
      </c>
      <c r="T32" s="1111">
        <f>SUM(T28:T30)</f>
        <v>12256</v>
      </c>
      <c r="U32" s="104">
        <f>SUM(U28:U30)</f>
        <v>30640</v>
      </c>
      <c r="W32" s="830"/>
    </row>
    <row r="33" spans="17:23" ht="30" x14ac:dyDescent="0.25">
      <c r="R33" s="804" t="s">
        <v>268</v>
      </c>
      <c r="S33" s="109"/>
      <c r="T33" s="1112"/>
      <c r="U33" s="109"/>
      <c r="W33" s="830"/>
    </row>
    <row r="34" spans="17:23" x14ac:dyDescent="0.25">
      <c r="R34" s="895" t="s">
        <v>269</v>
      </c>
      <c r="S34" s="109"/>
      <c r="T34" s="1111"/>
      <c r="U34" s="109"/>
      <c r="W34" s="830"/>
    </row>
    <row r="35" spans="17:23" x14ac:dyDescent="0.25">
      <c r="R35" s="909" t="s">
        <v>249</v>
      </c>
      <c r="S35" s="548">
        <f>$L$5</f>
        <v>66.004535147392289</v>
      </c>
      <c r="T35" s="1061">
        <f>SUM(L6:L17)</f>
        <v>205.91333210264662</v>
      </c>
      <c r="U35" s="548">
        <f>S35+T35</f>
        <v>271.91786725003891</v>
      </c>
      <c r="W35" s="830"/>
    </row>
    <row r="36" spans="17:23" x14ac:dyDescent="0.25">
      <c r="R36" s="830"/>
      <c r="T36" s="830"/>
      <c r="W36" s="830"/>
    </row>
    <row r="37" spans="17:23" x14ac:dyDescent="0.25">
      <c r="R37" s="830"/>
      <c r="T37" s="830"/>
      <c r="W37" s="830"/>
    </row>
    <row r="38" spans="17:23" x14ac:dyDescent="0.25">
      <c r="R38" s="830"/>
      <c r="T38" s="830"/>
      <c r="W38" s="830"/>
    </row>
    <row r="39" spans="17:23" x14ac:dyDescent="0.25">
      <c r="R39" s="830"/>
      <c r="T39" s="830"/>
      <c r="W39" s="830"/>
    </row>
    <row r="40" spans="17:23" ht="26.25" x14ac:dyDescent="0.25">
      <c r="Q40" s="14"/>
      <c r="R40" s="119" t="s">
        <v>270</v>
      </c>
      <c r="S40" s="120">
        <v>0.6</v>
      </c>
      <c r="T40" s="119" t="s">
        <v>271</v>
      </c>
      <c r="U40" s="121">
        <v>0.4</v>
      </c>
      <c r="V40" s="122">
        <f>S40+U40</f>
        <v>1</v>
      </c>
      <c r="W40" s="890"/>
    </row>
    <row r="41" spans="17:23" x14ac:dyDescent="0.25">
      <c r="Q41" s="14"/>
      <c r="R41" s="890"/>
      <c r="S41" s="14"/>
      <c r="T41" s="890"/>
      <c r="U41" s="123"/>
      <c r="V41" s="14"/>
      <c r="W41" s="890"/>
    </row>
    <row r="42" spans="17:23" x14ac:dyDescent="0.25">
      <c r="Q42" s="14"/>
      <c r="R42" s="890"/>
      <c r="S42" s="14"/>
      <c r="T42" s="890"/>
      <c r="U42" s="14"/>
      <c r="V42" s="14"/>
      <c r="W42" s="890"/>
    </row>
    <row r="43" spans="17:23" ht="26.25" x14ac:dyDescent="0.25">
      <c r="Q43" s="124" t="s">
        <v>272</v>
      </c>
      <c r="R43" s="119" t="s">
        <v>273</v>
      </c>
      <c r="S43" s="124" t="s">
        <v>274</v>
      </c>
      <c r="T43" s="119" t="s">
        <v>275</v>
      </c>
      <c r="U43" s="124" t="s">
        <v>276</v>
      </c>
      <c r="V43" s="124" t="s">
        <v>277</v>
      </c>
      <c r="W43" s="1113" t="s">
        <v>498</v>
      </c>
    </row>
    <row r="44" spans="17:23" x14ac:dyDescent="0.25">
      <c r="Q44" s="295">
        <v>25000</v>
      </c>
      <c r="R44" s="910">
        <f>D51</f>
        <v>10000</v>
      </c>
      <c r="S44" s="128">
        <v>1</v>
      </c>
      <c r="T44" s="912">
        <v>0</v>
      </c>
      <c r="U44" s="165">
        <f>R44*S44</f>
        <v>10000</v>
      </c>
      <c r="V44" s="129">
        <f>R44*T44</f>
        <v>0</v>
      </c>
      <c r="W44" s="1463">
        <f>Q44-U44</f>
        <v>15000</v>
      </c>
    </row>
    <row r="50" spans="1:11" x14ac:dyDescent="0.25">
      <c r="B50" s="893"/>
      <c r="C50" s="100" t="s">
        <v>233</v>
      </c>
      <c r="D50" s="904" t="s">
        <v>279</v>
      </c>
      <c r="E50" s="80"/>
      <c r="F50" s="80"/>
      <c r="G50" s="100" t="s">
        <v>280</v>
      </c>
      <c r="H50" s="904" t="s">
        <v>233</v>
      </c>
      <c r="I50" s="100" t="s">
        <v>497</v>
      </c>
      <c r="J50" s="100" t="s">
        <v>496</v>
      </c>
      <c r="K50" s="830"/>
    </row>
    <row r="51" spans="1:11" x14ac:dyDescent="0.25">
      <c r="B51" s="892" t="s">
        <v>283</v>
      </c>
      <c r="C51" s="133">
        <f>10/$K$1</f>
        <v>10.204081632653061</v>
      </c>
      <c r="D51" s="896">
        <f>$C$1*10</f>
        <v>10000</v>
      </c>
      <c r="E51" s="80"/>
      <c r="F51" s="80"/>
      <c r="G51" s="132" t="s">
        <v>283</v>
      </c>
      <c r="H51" s="1109">
        <v>10</v>
      </c>
      <c r="I51" s="133">
        <f>J51/$R$1</f>
        <v>6000</v>
      </c>
      <c r="J51" s="133">
        <f>$W$44</f>
        <v>15000</v>
      </c>
      <c r="K51" s="830"/>
    </row>
    <row r="52" spans="1:11" x14ac:dyDescent="0.25">
      <c r="B52" s="1107" t="s">
        <v>262</v>
      </c>
      <c r="C52" s="156">
        <f>$I$1</f>
        <v>12.506122448979593</v>
      </c>
      <c r="D52" s="1059">
        <f>$E$1</f>
        <v>12256</v>
      </c>
      <c r="E52" s="80"/>
      <c r="F52" s="80"/>
      <c r="G52" s="103" t="s">
        <v>262</v>
      </c>
      <c r="H52" s="899">
        <f>I52/$D$5</f>
        <v>12.256</v>
      </c>
      <c r="I52" s="129">
        <f>J52/$R$1</f>
        <v>7353.6</v>
      </c>
      <c r="J52" s="136">
        <f>$S$32</f>
        <v>18384</v>
      </c>
      <c r="K52" s="830"/>
    </row>
    <row r="53" spans="1:11" x14ac:dyDescent="0.25">
      <c r="B53" s="1107" t="s">
        <v>284</v>
      </c>
      <c r="C53" s="158">
        <f>MIN(C52, C51)</f>
        <v>10.204081632653061</v>
      </c>
      <c r="D53" s="1059">
        <f>(C53*$K$1)*$C$1</f>
        <v>10000</v>
      </c>
      <c r="E53" s="80"/>
      <c r="F53" s="80"/>
      <c r="G53" s="103" t="s">
        <v>284</v>
      </c>
      <c r="H53" s="905">
        <f>MIN(H52,H51)</f>
        <v>10</v>
      </c>
      <c r="I53" s="129">
        <f>J53/$R$1</f>
        <v>6000</v>
      </c>
      <c r="J53" s="129">
        <f>MIN(J52,J51)</f>
        <v>15000</v>
      </c>
      <c r="K53" s="830"/>
    </row>
    <row r="54" spans="1:11" x14ac:dyDescent="0.25">
      <c r="B54" s="1107" t="s">
        <v>285</v>
      </c>
      <c r="C54" s="158">
        <f>MIN(MAX(C52-C53,0),C51)</f>
        <v>2.3020408163265316</v>
      </c>
      <c r="D54" s="1059">
        <f>(C54*$K$1)*$C$1</f>
        <v>2256.0000000000009</v>
      </c>
      <c r="E54" s="80"/>
      <c r="F54" s="80"/>
      <c r="G54" s="103" t="s">
        <v>285</v>
      </c>
      <c r="H54" s="905">
        <f>MIN(MAX(H52-H53),H51)</f>
        <v>2.2560000000000002</v>
      </c>
      <c r="I54" s="129">
        <f>J54/$R$1</f>
        <v>1353.6</v>
      </c>
      <c r="J54" s="129">
        <f>MIN(MAX(J52-J53),J51)</f>
        <v>3384</v>
      </c>
      <c r="K54" s="830"/>
    </row>
    <row r="55" spans="1:11" x14ac:dyDescent="0.25">
      <c r="B55" s="1107" t="s">
        <v>286</v>
      </c>
      <c r="C55" s="158">
        <f>MIN(MAX(C52-C53-C54,0),C51)</f>
        <v>0</v>
      </c>
      <c r="D55" s="1059">
        <f>(C55*$K$1)*$C$1</f>
        <v>0</v>
      </c>
      <c r="E55" s="80"/>
      <c r="F55" s="80"/>
      <c r="G55" s="100" t="s">
        <v>286</v>
      </c>
      <c r="H55" s="905">
        <f>MIN(MAX(H52-H53-H54),H51)</f>
        <v>0</v>
      </c>
      <c r="I55" s="129">
        <f>J55/$R$1</f>
        <v>0</v>
      </c>
      <c r="J55" s="129">
        <f>MIN(MAX(J52-J53-J54),J51)</f>
        <v>0</v>
      </c>
      <c r="K55" s="830"/>
    </row>
    <row r="56" spans="1:11" x14ac:dyDescent="0.25">
      <c r="B56" s="830"/>
      <c r="D56" s="830"/>
      <c r="E56" s="830"/>
      <c r="F56" s="830"/>
      <c r="H56" s="830"/>
      <c r="K56" s="830"/>
    </row>
    <row r="57" spans="1:11" x14ac:dyDescent="0.25">
      <c r="B57" s="830"/>
      <c r="D57" s="830"/>
      <c r="E57" s="830"/>
      <c r="F57" s="830"/>
      <c r="H57" s="830"/>
      <c r="K57" s="830"/>
    </row>
    <row r="58" spans="1:11" x14ac:dyDescent="0.25">
      <c r="B58" s="830"/>
      <c r="D58" s="830"/>
      <c r="E58" s="830"/>
      <c r="F58" s="830"/>
      <c r="H58" s="830"/>
      <c r="K58" s="830"/>
    </row>
    <row r="59" spans="1:11" x14ac:dyDescent="0.25">
      <c r="B59" s="830"/>
      <c r="D59" s="830"/>
      <c r="E59" s="830"/>
      <c r="F59" s="830"/>
      <c r="H59" s="830"/>
      <c r="K59" s="830"/>
    </row>
    <row r="60" spans="1:11" x14ac:dyDescent="0.25">
      <c r="B60" s="830"/>
      <c r="D60" s="830"/>
      <c r="E60" s="830"/>
      <c r="F60" s="830"/>
      <c r="H60" s="830"/>
      <c r="K60" s="830"/>
    </row>
    <row r="61" spans="1:11" x14ac:dyDescent="0.25">
      <c r="B61" s="830"/>
      <c r="D61" s="830"/>
      <c r="E61" s="830"/>
      <c r="F61" s="830"/>
      <c r="H61" s="830"/>
      <c r="K61" s="830"/>
    </row>
    <row r="62" spans="1:11" ht="18" x14ac:dyDescent="0.25">
      <c r="A62" s="868"/>
      <c r="B62" s="1871" t="str">
        <f>"لسان العصفور 1 / " &amp; COUNTIF($C$53:$C$55, "&gt;0")</f>
        <v>لسان العصفور 1 / 2</v>
      </c>
      <c r="C62" s="1871"/>
      <c r="D62" s="1871"/>
      <c r="E62" s="1871"/>
      <c r="F62" s="1871"/>
      <c r="G62" s="1871"/>
      <c r="H62" s="1871"/>
      <c r="K62" s="830"/>
    </row>
    <row r="63" spans="1:11" ht="18" x14ac:dyDescent="0.25">
      <c r="A63" s="868"/>
      <c r="B63" s="1872" t="str">
        <f>"Orzo Pasta 1 / " &amp; COUNTIF($C$53:$C$55, "&gt;0")</f>
        <v>Orzo Pasta 1 / 2</v>
      </c>
      <c r="C63" s="1872"/>
      <c r="D63" s="1872"/>
      <c r="E63" s="1872"/>
      <c r="F63" s="1872"/>
      <c r="G63" s="1872"/>
      <c r="H63" s="1872"/>
      <c r="K63" s="830"/>
    </row>
    <row r="64" spans="1:11" ht="38.25" x14ac:dyDescent="0.2">
      <c r="A64" s="1350" t="s">
        <v>864</v>
      </c>
      <c r="B64" s="923" t="s">
        <v>241</v>
      </c>
      <c r="C64" s="934" t="s">
        <v>242</v>
      </c>
      <c r="D64" s="923" t="s">
        <v>231</v>
      </c>
      <c r="E64" s="936" t="s">
        <v>234</v>
      </c>
      <c r="F64" s="935" t="s">
        <v>243</v>
      </c>
      <c r="G64" s="923" t="s">
        <v>244</v>
      </c>
      <c r="H64" s="936" t="s">
        <v>245</v>
      </c>
      <c r="K64" s="830"/>
    </row>
    <row r="65" spans="1:11" x14ac:dyDescent="0.25">
      <c r="B65" s="938" t="str">
        <f t="shared" ref="B65:D81" si="7">B5</f>
        <v>Pasta Orzo - مكرونة لسان عصفور</v>
      </c>
      <c r="C65" s="938" t="str">
        <f t="shared" si="7"/>
        <v>gm</v>
      </c>
      <c r="D65" s="938">
        <f t="shared" si="7"/>
        <v>600</v>
      </c>
      <c r="E65" s="1040">
        <f>H53</f>
        <v>10</v>
      </c>
      <c r="F65" s="948">
        <f t="shared" ref="F65:F81" si="8">F5</f>
        <v>1</v>
      </c>
      <c r="G65" s="940">
        <f>D65*E65</f>
        <v>6000</v>
      </c>
      <c r="H65" s="943">
        <f>G65*F65</f>
        <v>6000</v>
      </c>
      <c r="K65" s="830"/>
    </row>
    <row r="66" spans="1:11" x14ac:dyDescent="0.25">
      <c r="A66" s="1" t="s">
        <v>869</v>
      </c>
      <c r="B66" s="938" t="str">
        <f t="shared" si="7"/>
        <v>Onion - بصل</v>
      </c>
      <c r="C66" s="938" t="str">
        <f t="shared" si="7"/>
        <v>gm</v>
      </c>
      <c r="D66" s="938">
        <f t="shared" si="7"/>
        <v>150</v>
      </c>
      <c r="E66" s="1040">
        <f>$C$53</f>
        <v>10.204081632653061</v>
      </c>
      <c r="F66" s="948">
        <f t="shared" si="8"/>
        <v>0.95</v>
      </c>
      <c r="G66" s="940">
        <f t="shared" ref="G66:G77" si="9">D66*E66</f>
        <v>1530.612244897959</v>
      </c>
      <c r="H66" s="943">
        <f t="shared" ref="H66:H77" si="10">G66*F66</f>
        <v>1454.081632653061</v>
      </c>
      <c r="K66" s="830"/>
    </row>
    <row r="67" spans="1:11" x14ac:dyDescent="0.25">
      <c r="A67" s="1" t="s">
        <v>868</v>
      </c>
      <c r="B67" s="938" t="str">
        <f t="shared" si="7"/>
        <v>Garlic - ثوم مقشر</v>
      </c>
      <c r="C67" s="938" t="str">
        <f t="shared" si="7"/>
        <v>gm</v>
      </c>
      <c r="D67" s="938">
        <f t="shared" si="7"/>
        <v>50</v>
      </c>
      <c r="E67" s="1040">
        <f t="shared" ref="E67:E81" si="11">$C$53</f>
        <v>10.204081632653061</v>
      </c>
      <c r="F67" s="948">
        <f t="shared" si="8"/>
        <v>1</v>
      </c>
      <c r="G67" s="940">
        <f t="shared" si="9"/>
        <v>510.20408163265307</v>
      </c>
      <c r="H67" s="943">
        <f t="shared" si="10"/>
        <v>510.20408163265307</v>
      </c>
      <c r="K67" s="830"/>
    </row>
    <row r="68" spans="1:11" x14ac:dyDescent="0.25">
      <c r="A68" s="1" t="s">
        <v>870</v>
      </c>
      <c r="B68" s="938" t="str">
        <f t="shared" si="7"/>
        <v>Tomato - طماطم</v>
      </c>
      <c r="C68" s="938" t="str">
        <f t="shared" si="7"/>
        <v>gm</v>
      </c>
      <c r="D68" s="938">
        <f t="shared" si="7"/>
        <v>250</v>
      </c>
      <c r="E68" s="1040">
        <f t="shared" si="11"/>
        <v>10.204081632653061</v>
      </c>
      <c r="F68" s="948">
        <f t="shared" si="8"/>
        <v>1</v>
      </c>
      <c r="G68" s="940">
        <f t="shared" si="9"/>
        <v>2551.0204081632651</v>
      </c>
      <c r="H68" s="943">
        <f t="shared" si="10"/>
        <v>2551.0204081632651</v>
      </c>
      <c r="K68" s="830"/>
    </row>
    <row r="69" spans="1:11" x14ac:dyDescent="0.25">
      <c r="B69" s="938" t="str">
        <f t="shared" si="7"/>
        <v>Tomato Paste - صلصة طماطم</v>
      </c>
      <c r="C69" s="938" t="str">
        <f t="shared" si="7"/>
        <v>gm</v>
      </c>
      <c r="D69" s="938">
        <f t="shared" si="7"/>
        <v>300</v>
      </c>
      <c r="E69" s="1040">
        <f t="shared" si="11"/>
        <v>10.204081632653061</v>
      </c>
      <c r="F69" s="948">
        <f t="shared" si="8"/>
        <v>1</v>
      </c>
      <c r="G69" s="940">
        <f t="shared" si="9"/>
        <v>3061.2244897959181</v>
      </c>
      <c r="H69" s="943">
        <f t="shared" si="10"/>
        <v>3061.2244897959181</v>
      </c>
      <c r="K69" s="830"/>
    </row>
    <row r="70" spans="1:11" x14ac:dyDescent="0.25">
      <c r="B70" s="938" t="str">
        <f t="shared" si="7"/>
        <v>Paprika Powder - بابريكا مطحون</v>
      </c>
      <c r="C70" s="938" t="str">
        <f t="shared" si="7"/>
        <v>gm</v>
      </c>
      <c r="D70" s="938">
        <f t="shared" si="7"/>
        <v>2</v>
      </c>
      <c r="E70" s="1040">
        <f t="shared" si="11"/>
        <v>10.204081632653061</v>
      </c>
      <c r="F70" s="948">
        <f t="shared" si="8"/>
        <v>0.75</v>
      </c>
      <c r="G70" s="940">
        <f t="shared" si="9"/>
        <v>20.408163265306122</v>
      </c>
      <c r="H70" s="943">
        <f t="shared" si="10"/>
        <v>15.306122448979592</v>
      </c>
      <c r="K70" s="830"/>
    </row>
    <row r="71" spans="1:11" x14ac:dyDescent="0.25">
      <c r="B71" s="938" t="str">
        <f t="shared" si="7"/>
        <v>Dry Oregano - أوريجانو مجفف</v>
      </c>
      <c r="C71" s="938" t="str">
        <f t="shared" si="7"/>
        <v>gm</v>
      </c>
      <c r="D71" s="938">
        <f t="shared" si="7"/>
        <v>1</v>
      </c>
      <c r="E71" s="1040">
        <f t="shared" si="11"/>
        <v>10.204081632653061</v>
      </c>
      <c r="F71" s="948">
        <f t="shared" si="8"/>
        <v>0.75</v>
      </c>
      <c r="G71" s="940">
        <f t="shared" si="9"/>
        <v>10.204081632653061</v>
      </c>
      <c r="H71" s="943">
        <f t="shared" si="10"/>
        <v>7.6530612244897958</v>
      </c>
      <c r="K71" s="830"/>
    </row>
    <row r="72" spans="1:11" x14ac:dyDescent="0.25">
      <c r="B72" s="938" t="str">
        <f t="shared" si="7"/>
        <v>Dry Basil - ريحان مجفف</v>
      </c>
      <c r="C72" s="938" t="str">
        <f t="shared" si="7"/>
        <v>gm</v>
      </c>
      <c r="D72" s="938">
        <f t="shared" si="7"/>
        <v>1</v>
      </c>
      <c r="E72" s="1040">
        <f t="shared" si="11"/>
        <v>10.204081632653061</v>
      </c>
      <c r="F72" s="948">
        <f t="shared" si="8"/>
        <v>0.75</v>
      </c>
      <c r="G72" s="940">
        <f t="shared" si="9"/>
        <v>10.204081632653061</v>
      </c>
      <c r="H72" s="943">
        <f t="shared" si="10"/>
        <v>7.6530612244897958</v>
      </c>
      <c r="K72" s="830"/>
    </row>
    <row r="73" spans="1:11" x14ac:dyDescent="0.25">
      <c r="B73" s="938" t="str">
        <f t="shared" si="7"/>
        <v>Salt - ملح</v>
      </c>
      <c r="C73" s="938" t="str">
        <f t="shared" si="7"/>
        <v>gm</v>
      </c>
      <c r="D73" s="938">
        <f t="shared" si="7"/>
        <v>11</v>
      </c>
      <c r="E73" s="1040">
        <f t="shared" si="11"/>
        <v>10.204081632653061</v>
      </c>
      <c r="F73" s="948">
        <f t="shared" si="8"/>
        <v>0.75</v>
      </c>
      <c r="G73" s="940">
        <f t="shared" si="9"/>
        <v>112.24489795918367</v>
      </c>
      <c r="H73" s="943">
        <f t="shared" si="10"/>
        <v>84.183673469387756</v>
      </c>
      <c r="K73" s="830"/>
    </row>
    <row r="74" spans="1:11" x14ac:dyDescent="0.25">
      <c r="B74" s="938" t="str">
        <f t="shared" si="7"/>
        <v>Fresh Baby Spinach - سبانخ هولندي</v>
      </c>
      <c r="C74" s="938" t="str">
        <f t="shared" si="7"/>
        <v>gm</v>
      </c>
      <c r="D74" s="938">
        <f t="shared" si="7"/>
        <v>140</v>
      </c>
      <c r="E74" s="1040">
        <f t="shared" si="11"/>
        <v>10.204081632653061</v>
      </c>
      <c r="F74" s="948">
        <f t="shared" si="8"/>
        <v>1</v>
      </c>
      <c r="G74" s="940">
        <f t="shared" si="9"/>
        <v>1428.5714285714284</v>
      </c>
      <c r="H74" s="943">
        <f t="shared" si="10"/>
        <v>1428.5714285714284</v>
      </c>
      <c r="K74" s="830"/>
    </row>
    <row r="75" spans="1:11" x14ac:dyDescent="0.25">
      <c r="B75" s="938" t="str">
        <f t="shared" si="7"/>
        <v>Orange Color - لون برتقالي</v>
      </c>
      <c r="C75" s="938" t="str">
        <f t="shared" si="7"/>
        <v>gm</v>
      </c>
      <c r="D75" s="938">
        <f t="shared" si="7"/>
        <v>2</v>
      </c>
      <c r="E75" s="1040">
        <f t="shared" si="11"/>
        <v>10.204081632653061</v>
      </c>
      <c r="F75" s="948">
        <f t="shared" si="8"/>
        <v>0.75</v>
      </c>
      <c r="G75" s="940">
        <f t="shared" si="9"/>
        <v>20.408163265306122</v>
      </c>
      <c r="H75" s="943">
        <f t="shared" si="10"/>
        <v>15.306122448979592</v>
      </c>
      <c r="K75" s="830"/>
    </row>
    <row r="76" spans="1:11" x14ac:dyDescent="0.25">
      <c r="B76" s="938" t="str">
        <f t="shared" si="7"/>
        <v>Honey - عسل</v>
      </c>
      <c r="C76" s="938" t="str">
        <f t="shared" si="7"/>
        <v>gm</v>
      </c>
      <c r="D76" s="938">
        <f t="shared" si="7"/>
        <v>25</v>
      </c>
      <c r="E76" s="1040">
        <f t="shared" si="11"/>
        <v>10.204081632653061</v>
      </c>
      <c r="F76" s="948">
        <f t="shared" si="8"/>
        <v>1</v>
      </c>
      <c r="G76" s="940">
        <f t="shared" si="9"/>
        <v>255.10204081632654</v>
      </c>
      <c r="H76" s="943">
        <f t="shared" si="10"/>
        <v>255.10204081632654</v>
      </c>
      <c r="K76" s="830"/>
    </row>
    <row r="77" spans="1:11" x14ac:dyDescent="0.25">
      <c r="B77" s="938" t="str">
        <f t="shared" si="7"/>
        <v>Tomato Ketchup - كاتشب طماطم</v>
      </c>
      <c r="C77" s="938" t="str">
        <f t="shared" si="7"/>
        <v>ml</v>
      </c>
      <c r="D77" s="938">
        <f t="shared" si="7"/>
        <v>40</v>
      </c>
      <c r="E77" s="1040">
        <f t="shared" si="11"/>
        <v>10.204081632653061</v>
      </c>
      <c r="F77" s="948">
        <f t="shared" si="8"/>
        <v>1</v>
      </c>
      <c r="G77" s="940">
        <f t="shared" si="9"/>
        <v>408.16326530612241</v>
      </c>
      <c r="H77" s="943">
        <f t="shared" si="10"/>
        <v>408.16326530612241</v>
      </c>
      <c r="K77" s="830"/>
    </row>
    <row r="78" spans="1:11" x14ac:dyDescent="0.25">
      <c r="B78" s="938" t="str">
        <f t="shared" si="7"/>
        <v>Butter - زبدة</v>
      </c>
      <c r="C78" s="938" t="str">
        <f t="shared" si="7"/>
        <v>gm</v>
      </c>
      <c r="D78" s="938">
        <f t="shared" si="7"/>
        <v>30</v>
      </c>
      <c r="E78" s="1040">
        <f t="shared" si="11"/>
        <v>10.204081632653061</v>
      </c>
      <c r="F78" s="948">
        <f t="shared" si="8"/>
        <v>1</v>
      </c>
      <c r="G78" s="940">
        <f>D78*E78</f>
        <v>306.12244897959181</v>
      </c>
      <c r="H78" s="943">
        <f>G78*F78</f>
        <v>306.12244897959181</v>
      </c>
      <c r="K78" s="830"/>
    </row>
    <row r="79" spans="1:11" ht="25.5" x14ac:dyDescent="0.25">
      <c r="B79" s="938" t="str">
        <f t="shared" si="7"/>
        <v>Black Pepper Powder - فلفل أسود مطحون</v>
      </c>
      <c r="C79" s="938" t="str">
        <f t="shared" si="7"/>
        <v>gm</v>
      </c>
      <c r="D79" s="938">
        <f t="shared" si="7"/>
        <v>3</v>
      </c>
      <c r="E79" s="1040">
        <f t="shared" si="11"/>
        <v>10.204081632653061</v>
      </c>
      <c r="F79" s="948">
        <f t="shared" si="8"/>
        <v>1</v>
      </c>
      <c r="G79" s="940">
        <f>D79*E79</f>
        <v>30.612244897959183</v>
      </c>
      <c r="H79" s="943">
        <f>G79*F79</f>
        <v>30.612244897959183</v>
      </c>
      <c r="K79" s="830"/>
    </row>
    <row r="80" spans="1:11" x14ac:dyDescent="0.25">
      <c r="B80" s="938" t="str">
        <f t="shared" si="7"/>
        <v>Olive Oil - زيت زيتون</v>
      </c>
      <c r="C80" s="938" t="str">
        <f t="shared" si="7"/>
        <v>gm</v>
      </c>
      <c r="D80" s="938">
        <f t="shared" si="7"/>
        <v>5</v>
      </c>
      <c r="E80" s="1040">
        <f t="shared" si="11"/>
        <v>10.204081632653061</v>
      </c>
      <c r="F80" s="948">
        <f t="shared" si="8"/>
        <v>1</v>
      </c>
      <c r="G80" s="940">
        <f>D80*E80</f>
        <v>51.020408163265301</v>
      </c>
      <c r="H80" s="943">
        <f>G80*F80</f>
        <v>51.020408163265301</v>
      </c>
      <c r="K80" s="830"/>
    </row>
    <row r="81" spans="1:11" x14ac:dyDescent="0.25">
      <c r="B81" s="938" t="str">
        <f t="shared" si="7"/>
        <v>Salt - ملح</v>
      </c>
      <c r="C81" s="938" t="str">
        <f t="shared" si="7"/>
        <v>gm</v>
      </c>
      <c r="D81" s="938">
        <f t="shared" si="7"/>
        <v>5</v>
      </c>
      <c r="E81" s="1040">
        <f t="shared" si="11"/>
        <v>10.204081632653061</v>
      </c>
      <c r="F81" s="948">
        <f t="shared" si="8"/>
        <v>1</v>
      </c>
      <c r="G81" s="940">
        <f>D81*E81</f>
        <v>51.020408163265301</v>
      </c>
      <c r="H81" s="943">
        <f>G81*F81</f>
        <v>51.020408163265301</v>
      </c>
      <c r="K81" s="830"/>
    </row>
    <row r="82" spans="1:11" ht="18" x14ac:dyDescent="0.25">
      <c r="A82" s="861"/>
      <c r="B82" s="1041" t="s">
        <v>351</v>
      </c>
      <c r="C82" s="1042" t="s">
        <v>273</v>
      </c>
      <c r="D82" s="1043"/>
      <c r="E82" s="1044" t="s">
        <v>288</v>
      </c>
      <c r="F82" s="1043"/>
      <c r="G82" s="1045" t="s">
        <v>264</v>
      </c>
      <c r="H82" s="1046" t="s">
        <v>664</v>
      </c>
      <c r="K82" s="830"/>
    </row>
    <row r="83" spans="1:11" ht="20.25" x14ac:dyDescent="0.3">
      <c r="A83" s="861"/>
      <c r="B83" s="1047">
        <f>$J$53</f>
        <v>15000</v>
      </c>
      <c r="C83" s="1048">
        <f>E83+G83</f>
        <v>10000</v>
      </c>
      <c r="D83" s="1049"/>
      <c r="E83" s="1047">
        <f>$D$53*$S$44</f>
        <v>10000</v>
      </c>
      <c r="F83" s="1050"/>
      <c r="G83" s="1048">
        <f>$D$53*$T$44</f>
        <v>0</v>
      </c>
      <c r="H83" s="1047">
        <f>B83+E83</f>
        <v>25000</v>
      </c>
      <c r="K83" s="830"/>
    </row>
    <row r="84" spans="1:11" x14ac:dyDescent="0.25">
      <c r="B84" s="960"/>
      <c r="C84" s="959"/>
      <c r="D84" s="960"/>
      <c r="E84" s="960"/>
      <c r="F84" s="960"/>
      <c r="G84" s="959"/>
      <c r="H84" s="960"/>
      <c r="K84" s="830"/>
    </row>
    <row r="85" spans="1:11" ht="18" x14ac:dyDescent="0.25">
      <c r="A85" s="868"/>
      <c r="B85" s="1776" t="str">
        <f>"لسان العصفور 2 / " &amp; COUNTIF($C$53:$C$55, "&gt;0")</f>
        <v>لسان العصفور 2 / 2</v>
      </c>
      <c r="C85" s="1776"/>
      <c r="D85" s="1776"/>
      <c r="E85" s="1776"/>
      <c r="F85" s="1776"/>
      <c r="G85" s="1776"/>
      <c r="H85" s="1776"/>
      <c r="K85" s="830"/>
    </row>
    <row r="86" spans="1:11" ht="18" x14ac:dyDescent="0.25">
      <c r="A86" s="868"/>
      <c r="B86" s="1842" t="str">
        <f>"Orzo Pasta 2 / " &amp; COUNTIF($C$53:$C$55, "&gt;0")</f>
        <v>Orzo Pasta 2 / 2</v>
      </c>
      <c r="C86" s="1842"/>
      <c r="D86" s="1842"/>
      <c r="E86" s="1842"/>
      <c r="F86" s="1842"/>
      <c r="G86" s="1842"/>
      <c r="H86" s="1842"/>
      <c r="K86" s="830"/>
    </row>
    <row r="87" spans="1:11" ht="38.25" x14ac:dyDescent="0.2">
      <c r="A87" s="1350" t="s">
        <v>864</v>
      </c>
      <c r="B87" s="923" t="s">
        <v>241</v>
      </c>
      <c r="C87" s="934" t="s">
        <v>242</v>
      </c>
      <c r="D87" s="923" t="s">
        <v>231</v>
      </c>
      <c r="E87" s="936" t="s">
        <v>234</v>
      </c>
      <c r="F87" s="935" t="s">
        <v>243</v>
      </c>
      <c r="G87" s="923" t="s">
        <v>244</v>
      </c>
      <c r="H87" s="936" t="s">
        <v>245</v>
      </c>
      <c r="K87" s="830"/>
    </row>
    <row r="88" spans="1:11" x14ac:dyDescent="0.25">
      <c r="B88" s="938" t="str">
        <f t="shared" ref="B88:D102" si="12">B5</f>
        <v>Pasta Orzo - مكرونة لسان عصفور</v>
      </c>
      <c r="C88" s="938" t="str">
        <f t="shared" si="12"/>
        <v>gm</v>
      </c>
      <c r="D88" s="938">
        <f t="shared" si="12"/>
        <v>600</v>
      </c>
      <c r="E88" s="1040">
        <f>H54</f>
        <v>2.2560000000000002</v>
      </c>
      <c r="F88" s="948">
        <f>F5</f>
        <v>1</v>
      </c>
      <c r="G88" s="940">
        <f>D88*E88</f>
        <v>1353.6000000000001</v>
      </c>
      <c r="H88" s="943">
        <f>G88*F88</f>
        <v>1353.6000000000001</v>
      </c>
      <c r="K88" s="830"/>
    </row>
    <row r="89" spans="1:11" x14ac:dyDescent="0.25">
      <c r="A89" s="1" t="s">
        <v>869</v>
      </c>
      <c r="B89" s="938" t="str">
        <f t="shared" si="12"/>
        <v>Onion - بصل</v>
      </c>
      <c r="C89" s="938" t="str">
        <f t="shared" si="12"/>
        <v>gm</v>
      </c>
      <c r="D89" s="938">
        <f t="shared" si="12"/>
        <v>150</v>
      </c>
      <c r="E89" s="1040">
        <f>$C$54</f>
        <v>2.3020408163265316</v>
      </c>
      <c r="F89" s="948">
        <f t="shared" ref="F89:F104" si="13">F6</f>
        <v>0.95</v>
      </c>
      <c r="G89" s="940">
        <f t="shared" ref="G89:G100" si="14">D89*E89</f>
        <v>345.30612244897975</v>
      </c>
      <c r="H89" s="943">
        <f t="shared" ref="H89:H100" si="15">G89*F89</f>
        <v>328.04081632653077</v>
      </c>
      <c r="K89" s="830"/>
    </row>
    <row r="90" spans="1:11" x14ac:dyDescent="0.25">
      <c r="A90" s="1" t="s">
        <v>868</v>
      </c>
      <c r="B90" s="938" t="str">
        <f t="shared" si="12"/>
        <v>Garlic - ثوم مقشر</v>
      </c>
      <c r="C90" s="938" t="str">
        <f t="shared" si="12"/>
        <v>gm</v>
      </c>
      <c r="D90" s="938">
        <f t="shared" si="12"/>
        <v>50</v>
      </c>
      <c r="E90" s="1040">
        <f t="shared" ref="E90:E104" si="16">$C$54</f>
        <v>2.3020408163265316</v>
      </c>
      <c r="F90" s="948">
        <f t="shared" si="13"/>
        <v>1</v>
      </c>
      <c r="G90" s="940">
        <f t="shared" si="14"/>
        <v>115.10204081632658</v>
      </c>
      <c r="H90" s="943">
        <f t="shared" si="15"/>
        <v>115.10204081632658</v>
      </c>
      <c r="K90" s="830"/>
    </row>
    <row r="91" spans="1:11" x14ac:dyDescent="0.25">
      <c r="A91" s="1" t="s">
        <v>870</v>
      </c>
      <c r="B91" s="938" t="str">
        <f t="shared" si="12"/>
        <v>Tomato - طماطم</v>
      </c>
      <c r="C91" s="938" t="str">
        <f t="shared" si="12"/>
        <v>gm</v>
      </c>
      <c r="D91" s="938">
        <f t="shared" si="12"/>
        <v>250</v>
      </c>
      <c r="E91" s="1040">
        <f t="shared" si="16"/>
        <v>2.3020408163265316</v>
      </c>
      <c r="F91" s="948">
        <f t="shared" si="13"/>
        <v>1</v>
      </c>
      <c r="G91" s="940">
        <f t="shared" si="14"/>
        <v>575.51020408163288</v>
      </c>
      <c r="H91" s="943">
        <f t="shared" si="15"/>
        <v>575.51020408163288</v>
      </c>
      <c r="K91" s="830"/>
    </row>
    <row r="92" spans="1:11" x14ac:dyDescent="0.25">
      <c r="B92" s="938" t="str">
        <f t="shared" si="12"/>
        <v>Tomato Paste - صلصة طماطم</v>
      </c>
      <c r="C92" s="938" t="str">
        <f t="shared" si="12"/>
        <v>gm</v>
      </c>
      <c r="D92" s="938">
        <f t="shared" si="12"/>
        <v>300</v>
      </c>
      <c r="E92" s="1040">
        <f t="shared" si="16"/>
        <v>2.3020408163265316</v>
      </c>
      <c r="F92" s="948">
        <f t="shared" si="13"/>
        <v>1</v>
      </c>
      <c r="G92" s="940">
        <f t="shared" si="14"/>
        <v>690.6122448979595</v>
      </c>
      <c r="H92" s="943">
        <f t="shared" si="15"/>
        <v>690.6122448979595</v>
      </c>
      <c r="K92" s="830"/>
    </row>
    <row r="93" spans="1:11" x14ac:dyDescent="0.25">
      <c r="B93" s="938" t="str">
        <f t="shared" si="12"/>
        <v>Paprika Powder - بابريكا مطحون</v>
      </c>
      <c r="C93" s="938" t="str">
        <f t="shared" si="12"/>
        <v>gm</v>
      </c>
      <c r="D93" s="938">
        <f t="shared" si="12"/>
        <v>2</v>
      </c>
      <c r="E93" s="1040">
        <f t="shared" si="16"/>
        <v>2.3020408163265316</v>
      </c>
      <c r="F93" s="948">
        <f t="shared" si="13"/>
        <v>0.75</v>
      </c>
      <c r="G93" s="940">
        <f t="shared" si="14"/>
        <v>4.6040816326530631</v>
      </c>
      <c r="H93" s="943">
        <f t="shared" si="15"/>
        <v>3.4530612244897974</v>
      </c>
      <c r="K93" s="830"/>
    </row>
    <row r="94" spans="1:11" x14ac:dyDescent="0.25">
      <c r="B94" s="938" t="str">
        <f t="shared" si="12"/>
        <v>Dry Oregano - أوريجانو مجفف</v>
      </c>
      <c r="C94" s="938" t="str">
        <f t="shared" si="12"/>
        <v>gm</v>
      </c>
      <c r="D94" s="938">
        <f t="shared" si="12"/>
        <v>1</v>
      </c>
      <c r="E94" s="1040">
        <f t="shared" si="16"/>
        <v>2.3020408163265316</v>
      </c>
      <c r="F94" s="948">
        <f t="shared" si="13"/>
        <v>0.75</v>
      </c>
      <c r="G94" s="940">
        <f t="shared" si="14"/>
        <v>2.3020408163265316</v>
      </c>
      <c r="H94" s="943">
        <f t="shared" si="15"/>
        <v>1.7265306122448987</v>
      </c>
      <c r="K94" s="830"/>
    </row>
    <row r="95" spans="1:11" x14ac:dyDescent="0.25">
      <c r="B95" s="938" t="str">
        <f t="shared" si="12"/>
        <v>Dry Basil - ريحان مجفف</v>
      </c>
      <c r="C95" s="938" t="str">
        <f t="shared" si="12"/>
        <v>gm</v>
      </c>
      <c r="D95" s="938">
        <f t="shared" si="12"/>
        <v>1</v>
      </c>
      <c r="E95" s="1040">
        <f t="shared" si="16"/>
        <v>2.3020408163265316</v>
      </c>
      <c r="F95" s="948">
        <f t="shared" si="13"/>
        <v>0.75</v>
      </c>
      <c r="G95" s="940">
        <f t="shared" si="14"/>
        <v>2.3020408163265316</v>
      </c>
      <c r="H95" s="943">
        <f t="shared" si="15"/>
        <v>1.7265306122448987</v>
      </c>
      <c r="K95" s="830"/>
    </row>
    <row r="96" spans="1:11" x14ac:dyDescent="0.25">
      <c r="B96" s="938" t="str">
        <f t="shared" si="12"/>
        <v>Salt - ملح</v>
      </c>
      <c r="C96" s="938" t="str">
        <f t="shared" si="12"/>
        <v>gm</v>
      </c>
      <c r="D96" s="938">
        <f t="shared" si="12"/>
        <v>11</v>
      </c>
      <c r="E96" s="1040">
        <f t="shared" si="16"/>
        <v>2.3020408163265316</v>
      </c>
      <c r="F96" s="948">
        <f t="shared" si="13"/>
        <v>0.75</v>
      </c>
      <c r="G96" s="940">
        <f t="shared" si="14"/>
        <v>25.322448979591847</v>
      </c>
      <c r="H96" s="943">
        <f t="shared" si="15"/>
        <v>18.991836734693884</v>
      </c>
      <c r="K96" s="830"/>
    </row>
    <row r="97" spans="1:11" x14ac:dyDescent="0.25">
      <c r="B97" s="938" t="str">
        <f t="shared" si="12"/>
        <v>Fresh Baby Spinach - سبانخ هولندي</v>
      </c>
      <c r="C97" s="938" t="str">
        <f t="shared" si="12"/>
        <v>gm</v>
      </c>
      <c r="D97" s="938">
        <f t="shared" si="12"/>
        <v>140</v>
      </c>
      <c r="E97" s="1040">
        <f t="shared" si="16"/>
        <v>2.3020408163265316</v>
      </c>
      <c r="F97" s="948">
        <f t="shared" si="13"/>
        <v>1</v>
      </c>
      <c r="G97" s="940">
        <f t="shared" si="14"/>
        <v>322.28571428571445</v>
      </c>
      <c r="H97" s="943">
        <f t="shared" si="15"/>
        <v>322.28571428571445</v>
      </c>
      <c r="K97" s="830"/>
    </row>
    <row r="98" spans="1:11" x14ac:dyDescent="0.25">
      <c r="B98" s="938" t="str">
        <f t="shared" si="12"/>
        <v>Orange Color - لون برتقالي</v>
      </c>
      <c r="C98" s="938" t="str">
        <f t="shared" si="12"/>
        <v>gm</v>
      </c>
      <c r="D98" s="938">
        <f t="shared" si="12"/>
        <v>2</v>
      </c>
      <c r="E98" s="1040">
        <f t="shared" si="16"/>
        <v>2.3020408163265316</v>
      </c>
      <c r="F98" s="948">
        <f t="shared" si="13"/>
        <v>0.75</v>
      </c>
      <c r="G98" s="940">
        <f t="shared" si="14"/>
        <v>4.6040816326530631</v>
      </c>
      <c r="H98" s="943">
        <f t="shared" si="15"/>
        <v>3.4530612244897974</v>
      </c>
      <c r="K98" s="830"/>
    </row>
    <row r="99" spans="1:11" x14ac:dyDescent="0.25">
      <c r="B99" s="938" t="str">
        <f t="shared" si="12"/>
        <v>Honey - عسل</v>
      </c>
      <c r="C99" s="938" t="str">
        <f t="shared" si="12"/>
        <v>gm</v>
      </c>
      <c r="D99" s="938">
        <f t="shared" si="12"/>
        <v>25</v>
      </c>
      <c r="E99" s="1040">
        <f t="shared" si="16"/>
        <v>2.3020408163265316</v>
      </c>
      <c r="F99" s="948">
        <f t="shared" si="13"/>
        <v>1</v>
      </c>
      <c r="G99" s="940">
        <f t="shared" si="14"/>
        <v>57.551020408163289</v>
      </c>
      <c r="H99" s="943">
        <f t="shared" si="15"/>
        <v>57.551020408163289</v>
      </c>
      <c r="K99" s="830"/>
    </row>
    <row r="100" spans="1:11" x14ac:dyDescent="0.25">
      <c r="B100" s="938" t="str">
        <f t="shared" si="12"/>
        <v>Tomato Ketchup - كاتشب طماطم</v>
      </c>
      <c r="C100" s="938" t="str">
        <f t="shared" si="12"/>
        <v>ml</v>
      </c>
      <c r="D100" s="938">
        <f t="shared" si="12"/>
        <v>40</v>
      </c>
      <c r="E100" s="1040">
        <f t="shared" si="16"/>
        <v>2.3020408163265316</v>
      </c>
      <c r="F100" s="948">
        <f t="shared" si="13"/>
        <v>1</v>
      </c>
      <c r="G100" s="940">
        <f t="shared" si="14"/>
        <v>92.081632653061263</v>
      </c>
      <c r="H100" s="943">
        <f t="shared" si="15"/>
        <v>92.081632653061263</v>
      </c>
      <c r="K100" s="830"/>
    </row>
    <row r="101" spans="1:11" x14ac:dyDescent="0.25">
      <c r="B101" s="938" t="str">
        <f t="shared" si="12"/>
        <v>Butter - زبدة</v>
      </c>
      <c r="C101" s="938" t="str">
        <f t="shared" si="12"/>
        <v>gm</v>
      </c>
      <c r="D101" s="938">
        <f t="shared" si="12"/>
        <v>30</v>
      </c>
      <c r="E101" s="1040">
        <f t="shared" si="16"/>
        <v>2.3020408163265316</v>
      </c>
      <c r="F101" s="948">
        <f t="shared" si="13"/>
        <v>1</v>
      </c>
      <c r="G101" s="940">
        <f>D101*E101</f>
        <v>69.061224489795947</v>
      </c>
      <c r="H101" s="943">
        <f>G101*F101</f>
        <v>69.061224489795947</v>
      </c>
      <c r="K101" s="830"/>
    </row>
    <row r="102" spans="1:11" ht="25.5" x14ac:dyDescent="0.25">
      <c r="B102" s="938" t="str">
        <f t="shared" si="12"/>
        <v>Black Pepper Powder - فلفل أسود مطحون</v>
      </c>
      <c r="C102" s="938" t="str">
        <f t="shared" si="12"/>
        <v>gm</v>
      </c>
      <c r="D102" s="938">
        <f t="shared" si="12"/>
        <v>3</v>
      </c>
      <c r="E102" s="1040">
        <f t="shared" si="16"/>
        <v>2.3020408163265316</v>
      </c>
      <c r="F102" s="948">
        <f t="shared" si="13"/>
        <v>1</v>
      </c>
      <c r="G102" s="940">
        <f>D102*E102</f>
        <v>6.9061224489795947</v>
      </c>
      <c r="H102" s="943">
        <f>G102*F102</f>
        <v>6.9061224489795947</v>
      </c>
      <c r="K102" s="830"/>
    </row>
    <row r="103" spans="1:11" x14ac:dyDescent="0.25">
      <c r="B103" s="938" t="str">
        <f t="shared" ref="B103:D104" si="17">B20</f>
        <v>Olive Oil - زيت زيتون</v>
      </c>
      <c r="C103" s="938" t="str">
        <f t="shared" si="17"/>
        <v>gm</v>
      </c>
      <c r="D103" s="938">
        <f t="shared" si="17"/>
        <v>5</v>
      </c>
      <c r="E103" s="1040">
        <f t="shared" si="16"/>
        <v>2.3020408163265316</v>
      </c>
      <c r="F103" s="948">
        <f t="shared" si="13"/>
        <v>1</v>
      </c>
      <c r="G103" s="940">
        <f>D103*E103</f>
        <v>11.510204081632658</v>
      </c>
      <c r="H103" s="943">
        <f>G103*F103</f>
        <v>11.510204081632658</v>
      </c>
      <c r="K103" s="830"/>
    </row>
    <row r="104" spans="1:11" x14ac:dyDescent="0.25">
      <c r="B104" s="938" t="str">
        <f t="shared" si="17"/>
        <v>Salt - ملح</v>
      </c>
      <c r="C104" s="938" t="str">
        <f t="shared" si="17"/>
        <v>gm</v>
      </c>
      <c r="D104" s="938">
        <f t="shared" si="17"/>
        <v>5</v>
      </c>
      <c r="E104" s="1040">
        <f t="shared" si="16"/>
        <v>2.3020408163265316</v>
      </c>
      <c r="F104" s="948">
        <f t="shared" si="13"/>
        <v>1</v>
      </c>
      <c r="G104" s="940">
        <f>D104*E104</f>
        <v>11.510204081632658</v>
      </c>
      <c r="H104" s="943">
        <f>G104*F104</f>
        <v>11.510204081632658</v>
      </c>
      <c r="K104" s="830"/>
    </row>
    <row r="105" spans="1:11" ht="18" x14ac:dyDescent="0.25">
      <c r="B105" s="1041" t="s">
        <v>351</v>
      </c>
      <c r="C105" s="1042" t="s">
        <v>273</v>
      </c>
      <c r="D105" s="1043"/>
      <c r="E105" s="1044" t="s">
        <v>288</v>
      </c>
      <c r="F105" s="1043"/>
      <c r="G105" s="1045" t="s">
        <v>264</v>
      </c>
      <c r="H105" s="1046" t="s">
        <v>664</v>
      </c>
      <c r="K105" s="830"/>
    </row>
    <row r="106" spans="1:11" ht="20.25" x14ac:dyDescent="0.3">
      <c r="B106" s="1047">
        <f>$J$54</f>
        <v>3384</v>
      </c>
      <c r="C106" s="1048">
        <f>E106+G106</f>
        <v>2256.0000000000009</v>
      </c>
      <c r="D106" s="1049"/>
      <c r="E106" s="1047">
        <f>$D$54*$S$44</f>
        <v>2256.0000000000009</v>
      </c>
      <c r="F106" s="1050"/>
      <c r="G106" s="1048">
        <f>$D$54*$T$44</f>
        <v>0</v>
      </c>
      <c r="H106" s="1047">
        <f>B106+E106</f>
        <v>5640.0000000000009</v>
      </c>
      <c r="K106" s="830"/>
    </row>
    <row r="107" spans="1:11" x14ac:dyDescent="0.25">
      <c r="B107" s="830"/>
      <c r="D107" s="830"/>
      <c r="E107" s="830"/>
      <c r="F107" s="830"/>
      <c r="H107" s="830"/>
      <c r="K107" s="830"/>
    </row>
    <row r="108" spans="1:11" x14ac:dyDescent="0.25">
      <c r="B108" s="830"/>
      <c r="D108" s="830"/>
      <c r="E108" s="830"/>
      <c r="F108" s="830"/>
      <c r="H108" s="830"/>
      <c r="K108" s="830"/>
    </row>
    <row r="109" spans="1:11" ht="18" x14ac:dyDescent="0.25">
      <c r="A109" s="868"/>
      <c r="B109" s="1871" t="str">
        <f>"لسان العصفور 3 / " &amp; COUNTIF($C$53:$C$55, "&gt;0")</f>
        <v>لسان العصفور 3 / 2</v>
      </c>
      <c r="C109" s="1871"/>
      <c r="D109" s="1871"/>
      <c r="E109" s="1871"/>
      <c r="F109" s="1871"/>
      <c r="G109" s="1871"/>
      <c r="H109" s="1871"/>
      <c r="K109" s="830"/>
    </row>
    <row r="110" spans="1:11" ht="18" x14ac:dyDescent="0.25">
      <c r="A110" s="868"/>
      <c r="B110" s="1872" t="str">
        <f>"Orzo Pasta 3 / " &amp; COUNTIF($C$53:$C$55, "&gt;0")</f>
        <v>Orzo Pasta 3 / 2</v>
      </c>
      <c r="C110" s="1872"/>
      <c r="D110" s="1872"/>
      <c r="E110" s="1872"/>
      <c r="F110" s="1872"/>
      <c r="G110" s="1872"/>
      <c r="H110" s="1872"/>
      <c r="K110" s="830"/>
    </row>
    <row r="111" spans="1:11" ht="38.25" x14ac:dyDescent="0.2">
      <c r="A111" s="1350" t="s">
        <v>864</v>
      </c>
      <c r="B111" s="923" t="s">
        <v>241</v>
      </c>
      <c r="C111" s="934" t="s">
        <v>242</v>
      </c>
      <c r="D111" s="923" t="s">
        <v>231</v>
      </c>
      <c r="E111" s="936" t="s">
        <v>234</v>
      </c>
      <c r="F111" s="935" t="s">
        <v>243</v>
      </c>
      <c r="G111" s="923" t="s">
        <v>244</v>
      </c>
      <c r="H111" s="936" t="s">
        <v>245</v>
      </c>
      <c r="K111" s="830"/>
    </row>
    <row r="112" spans="1:11" x14ac:dyDescent="0.25">
      <c r="B112" s="938" t="str">
        <f t="shared" ref="B112:D128" si="18">B5</f>
        <v>Pasta Orzo - مكرونة لسان عصفور</v>
      </c>
      <c r="C112" s="938" t="str">
        <f t="shared" si="18"/>
        <v>gm</v>
      </c>
      <c r="D112" s="938">
        <f t="shared" si="18"/>
        <v>600</v>
      </c>
      <c r="E112" s="1040">
        <f>$H$55</f>
        <v>0</v>
      </c>
      <c r="F112" s="948">
        <f>F5</f>
        <v>1</v>
      </c>
      <c r="G112" s="940">
        <f>D112*E112</f>
        <v>0</v>
      </c>
      <c r="H112" s="943">
        <f>G112*F112</f>
        <v>0</v>
      </c>
      <c r="K112" s="830"/>
    </row>
    <row r="113" spans="1:8" x14ac:dyDescent="0.25">
      <c r="A113" s="1" t="s">
        <v>869</v>
      </c>
      <c r="B113" s="938" t="str">
        <f t="shared" si="18"/>
        <v>Onion - بصل</v>
      </c>
      <c r="C113" s="938" t="str">
        <f t="shared" si="18"/>
        <v>gm</v>
      </c>
      <c r="D113" s="938">
        <f t="shared" si="18"/>
        <v>150</v>
      </c>
      <c r="E113" s="1040">
        <f>$C$55</f>
        <v>0</v>
      </c>
      <c r="F113" s="948">
        <f t="shared" ref="F113:F128" si="19">F6</f>
        <v>0.95</v>
      </c>
      <c r="G113" s="940">
        <f t="shared" ref="G113:G124" si="20">D113*E113</f>
        <v>0</v>
      </c>
      <c r="H113" s="943">
        <f t="shared" ref="H113:H124" si="21">G113*F113</f>
        <v>0</v>
      </c>
    </row>
    <row r="114" spans="1:8" x14ac:dyDescent="0.25">
      <c r="A114" s="1" t="s">
        <v>868</v>
      </c>
      <c r="B114" s="938" t="str">
        <f t="shared" si="18"/>
        <v>Garlic - ثوم مقشر</v>
      </c>
      <c r="C114" s="938" t="str">
        <f t="shared" si="18"/>
        <v>gm</v>
      </c>
      <c r="D114" s="938">
        <f t="shared" si="18"/>
        <v>50</v>
      </c>
      <c r="E114" s="1040">
        <f t="shared" ref="E114:E128" si="22">$C$55</f>
        <v>0</v>
      </c>
      <c r="F114" s="948">
        <f t="shared" si="19"/>
        <v>1</v>
      </c>
      <c r="G114" s="940">
        <f t="shared" si="20"/>
        <v>0</v>
      </c>
      <c r="H114" s="943">
        <f t="shared" si="21"/>
        <v>0</v>
      </c>
    </row>
    <row r="115" spans="1:8" x14ac:dyDescent="0.25">
      <c r="A115" s="1" t="s">
        <v>870</v>
      </c>
      <c r="B115" s="938" t="str">
        <f t="shared" si="18"/>
        <v>Tomato - طماطم</v>
      </c>
      <c r="C115" s="938" t="str">
        <f t="shared" si="18"/>
        <v>gm</v>
      </c>
      <c r="D115" s="938">
        <f t="shared" si="18"/>
        <v>250</v>
      </c>
      <c r="E115" s="1040">
        <f t="shared" si="22"/>
        <v>0</v>
      </c>
      <c r="F115" s="948">
        <f t="shared" si="19"/>
        <v>1</v>
      </c>
      <c r="G115" s="940">
        <f t="shared" si="20"/>
        <v>0</v>
      </c>
      <c r="H115" s="943">
        <f t="shared" si="21"/>
        <v>0</v>
      </c>
    </row>
    <row r="116" spans="1:8" x14ac:dyDescent="0.25">
      <c r="B116" s="938" t="str">
        <f t="shared" si="18"/>
        <v>Tomato Paste - صلصة طماطم</v>
      </c>
      <c r="C116" s="938" t="str">
        <f t="shared" si="18"/>
        <v>gm</v>
      </c>
      <c r="D116" s="938">
        <f t="shared" si="18"/>
        <v>300</v>
      </c>
      <c r="E116" s="1040">
        <f t="shared" si="22"/>
        <v>0</v>
      </c>
      <c r="F116" s="948">
        <f t="shared" si="19"/>
        <v>1</v>
      </c>
      <c r="G116" s="940">
        <f t="shared" si="20"/>
        <v>0</v>
      </c>
      <c r="H116" s="943">
        <f t="shared" si="21"/>
        <v>0</v>
      </c>
    </row>
    <row r="117" spans="1:8" x14ac:dyDescent="0.25">
      <c r="B117" s="938" t="str">
        <f t="shared" si="18"/>
        <v>Paprika Powder - بابريكا مطحون</v>
      </c>
      <c r="C117" s="938" t="str">
        <f t="shared" si="18"/>
        <v>gm</v>
      </c>
      <c r="D117" s="938">
        <f t="shared" si="18"/>
        <v>2</v>
      </c>
      <c r="E117" s="1040">
        <f t="shared" si="22"/>
        <v>0</v>
      </c>
      <c r="F117" s="948">
        <f t="shared" si="19"/>
        <v>0.75</v>
      </c>
      <c r="G117" s="940">
        <f t="shared" si="20"/>
        <v>0</v>
      </c>
      <c r="H117" s="943">
        <f t="shared" si="21"/>
        <v>0</v>
      </c>
    </row>
    <row r="118" spans="1:8" x14ac:dyDescent="0.25">
      <c r="B118" s="938" t="str">
        <f t="shared" si="18"/>
        <v>Dry Oregano - أوريجانو مجفف</v>
      </c>
      <c r="C118" s="938" t="str">
        <f t="shared" si="18"/>
        <v>gm</v>
      </c>
      <c r="D118" s="938">
        <f t="shared" si="18"/>
        <v>1</v>
      </c>
      <c r="E118" s="1040">
        <f t="shared" si="22"/>
        <v>0</v>
      </c>
      <c r="F118" s="948">
        <f t="shared" si="19"/>
        <v>0.75</v>
      </c>
      <c r="G118" s="940">
        <f t="shared" si="20"/>
        <v>0</v>
      </c>
      <c r="H118" s="943">
        <f t="shared" si="21"/>
        <v>0</v>
      </c>
    </row>
    <row r="119" spans="1:8" x14ac:dyDescent="0.25">
      <c r="B119" s="938" t="str">
        <f t="shared" si="18"/>
        <v>Dry Basil - ريحان مجفف</v>
      </c>
      <c r="C119" s="938" t="str">
        <f t="shared" si="18"/>
        <v>gm</v>
      </c>
      <c r="D119" s="938">
        <f t="shared" si="18"/>
        <v>1</v>
      </c>
      <c r="E119" s="1040">
        <f t="shared" si="22"/>
        <v>0</v>
      </c>
      <c r="F119" s="948">
        <f t="shared" si="19"/>
        <v>0.75</v>
      </c>
      <c r="G119" s="940">
        <f t="shared" si="20"/>
        <v>0</v>
      </c>
      <c r="H119" s="943">
        <f t="shared" si="21"/>
        <v>0</v>
      </c>
    </row>
    <row r="120" spans="1:8" x14ac:dyDescent="0.25">
      <c r="B120" s="938" t="str">
        <f t="shared" si="18"/>
        <v>Salt - ملح</v>
      </c>
      <c r="C120" s="938" t="str">
        <f t="shared" si="18"/>
        <v>gm</v>
      </c>
      <c r="D120" s="938">
        <f t="shared" si="18"/>
        <v>11</v>
      </c>
      <c r="E120" s="1040">
        <f t="shared" si="22"/>
        <v>0</v>
      </c>
      <c r="F120" s="948">
        <f t="shared" si="19"/>
        <v>0.75</v>
      </c>
      <c r="G120" s="940">
        <f t="shared" si="20"/>
        <v>0</v>
      </c>
      <c r="H120" s="943">
        <f t="shared" si="21"/>
        <v>0</v>
      </c>
    </row>
    <row r="121" spans="1:8" x14ac:dyDescent="0.25">
      <c r="B121" s="938" t="str">
        <f t="shared" si="18"/>
        <v>Fresh Baby Spinach - سبانخ هولندي</v>
      </c>
      <c r="C121" s="938" t="str">
        <f t="shared" si="18"/>
        <v>gm</v>
      </c>
      <c r="D121" s="938">
        <f t="shared" si="18"/>
        <v>140</v>
      </c>
      <c r="E121" s="1040">
        <f t="shared" si="22"/>
        <v>0</v>
      </c>
      <c r="F121" s="948">
        <f t="shared" si="19"/>
        <v>1</v>
      </c>
      <c r="G121" s="940">
        <f t="shared" si="20"/>
        <v>0</v>
      </c>
      <c r="H121" s="943">
        <f t="shared" si="21"/>
        <v>0</v>
      </c>
    </row>
    <row r="122" spans="1:8" x14ac:dyDescent="0.25">
      <c r="B122" s="938" t="str">
        <f t="shared" si="18"/>
        <v>Orange Color - لون برتقالي</v>
      </c>
      <c r="C122" s="938" t="str">
        <f t="shared" si="18"/>
        <v>gm</v>
      </c>
      <c r="D122" s="938">
        <f t="shared" si="18"/>
        <v>2</v>
      </c>
      <c r="E122" s="1040">
        <f t="shared" si="22"/>
        <v>0</v>
      </c>
      <c r="F122" s="948">
        <f t="shared" si="19"/>
        <v>0.75</v>
      </c>
      <c r="G122" s="940">
        <f t="shared" si="20"/>
        <v>0</v>
      </c>
      <c r="H122" s="943">
        <f t="shared" si="21"/>
        <v>0</v>
      </c>
    </row>
    <row r="123" spans="1:8" x14ac:dyDescent="0.25">
      <c r="B123" s="938" t="str">
        <f t="shared" si="18"/>
        <v>Honey - عسل</v>
      </c>
      <c r="C123" s="938" t="str">
        <f t="shared" si="18"/>
        <v>gm</v>
      </c>
      <c r="D123" s="938">
        <f t="shared" si="18"/>
        <v>25</v>
      </c>
      <c r="E123" s="1040">
        <f t="shared" si="22"/>
        <v>0</v>
      </c>
      <c r="F123" s="948">
        <f t="shared" si="19"/>
        <v>1</v>
      </c>
      <c r="G123" s="940">
        <f t="shared" si="20"/>
        <v>0</v>
      </c>
      <c r="H123" s="943">
        <f t="shared" si="21"/>
        <v>0</v>
      </c>
    </row>
    <row r="124" spans="1:8" x14ac:dyDescent="0.25">
      <c r="B124" s="938" t="str">
        <f t="shared" si="18"/>
        <v>Tomato Ketchup - كاتشب طماطم</v>
      </c>
      <c r="C124" s="938" t="str">
        <f t="shared" si="18"/>
        <v>ml</v>
      </c>
      <c r="D124" s="938">
        <f t="shared" si="18"/>
        <v>40</v>
      </c>
      <c r="E124" s="1040">
        <f t="shared" si="22"/>
        <v>0</v>
      </c>
      <c r="F124" s="948">
        <f t="shared" si="19"/>
        <v>1</v>
      </c>
      <c r="G124" s="940">
        <f t="shared" si="20"/>
        <v>0</v>
      </c>
      <c r="H124" s="943">
        <f t="shared" si="21"/>
        <v>0</v>
      </c>
    </row>
    <row r="125" spans="1:8" x14ac:dyDescent="0.25">
      <c r="B125" s="938" t="str">
        <f t="shared" si="18"/>
        <v>Butter - زبدة</v>
      </c>
      <c r="C125" s="938" t="str">
        <f t="shared" si="18"/>
        <v>gm</v>
      </c>
      <c r="D125" s="938">
        <f t="shared" si="18"/>
        <v>30</v>
      </c>
      <c r="E125" s="1040">
        <f t="shared" si="22"/>
        <v>0</v>
      </c>
      <c r="F125" s="948">
        <f t="shared" si="19"/>
        <v>1</v>
      </c>
      <c r="G125" s="940">
        <f>D125*E125</f>
        <v>0</v>
      </c>
      <c r="H125" s="943">
        <f>G125*F125</f>
        <v>0</v>
      </c>
    </row>
    <row r="126" spans="1:8" ht="25.5" x14ac:dyDescent="0.25">
      <c r="B126" s="938" t="str">
        <f t="shared" si="18"/>
        <v>Black Pepper Powder - فلفل أسود مطحون</v>
      </c>
      <c r="C126" s="938" t="str">
        <f t="shared" si="18"/>
        <v>gm</v>
      </c>
      <c r="D126" s="938">
        <f t="shared" si="18"/>
        <v>3</v>
      </c>
      <c r="E126" s="1040">
        <f t="shared" si="22"/>
        <v>0</v>
      </c>
      <c r="F126" s="948">
        <f t="shared" si="19"/>
        <v>1</v>
      </c>
      <c r="G126" s="940">
        <f>D126*E126</f>
        <v>0</v>
      </c>
      <c r="H126" s="943">
        <f>G126*F126</f>
        <v>0</v>
      </c>
    </row>
    <row r="127" spans="1:8" x14ac:dyDescent="0.25">
      <c r="B127" s="938" t="str">
        <f t="shared" si="18"/>
        <v>Olive Oil - زيت زيتون</v>
      </c>
      <c r="C127" s="938" t="str">
        <f t="shared" si="18"/>
        <v>gm</v>
      </c>
      <c r="D127" s="938">
        <f t="shared" si="18"/>
        <v>5</v>
      </c>
      <c r="E127" s="1040">
        <f t="shared" si="22"/>
        <v>0</v>
      </c>
      <c r="F127" s="948">
        <f t="shared" si="19"/>
        <v>1</v>
      </c>
      <c r="G127" s="940">
        <f>D127*E127</f>
        <v>0</v>
      </c>
      <c r="H127" s="943">
        <f>G127*F127</f>
        <v>0</v>
      </c>
    </row>
    <row r="128" spans="1:8" x14ac:dyDescent="0.25">
      <c r="B128" s="938" t="str">
        <f t="shared" si="18"/>
        <v>Salt - ملح</v>
      </c>
      <c r="C128" s="938" t="str">
        <f t="shared" si="18"/>
        <v>gm</v>
      </c>
      <c r="D128" s="938">
        <f t="shared" si="18"/>
        <v>5</v>
      </c>
      <c r="E128" s="1040">
        <f t="shared" si="22"/>
        <v>0</v>
      </c>
      <c r="F128" s="948">
        <f t="shared" si="19"/>
        <v>1</v>
      </c>
      <c r="G128" s="940">
        <f>D128*E128</f>
        <v>0</v>
      </c>
      <c r="H128" s="943">
        <f>G128*F128</f>
        <v>0</v>
      </c>
    </row>
    <row r="129" spans="2:8" ht="18" x14ac:dyDescent="0.25">
      <c r="B129" s="1041" t="s">
        <v>351</v>
      </c>
      <c r="C129" s="1042" t="s">
        <v>273</v>
      </c>
      <c r="D129" s="1043"/>
      <c r="E129" s="1044" t="s">
        <v>288</v>
      </c>
      <c r="F129" s="1043"/>
      <c r="G129" s="1045" t="s">
        <v>264</v>
      </c>
      <c r="H129" s="1046" t="s">
        <v>664</v>
      </c>
    </row>
    <row r="130" spans="2:8" ht="20.25" x14ac:dyDescent="0.3">
      <c r="B130" s="1047">
        <f>$J$55</f>
        <v>0</v>
      </c>
      <c r="C130" s="1048">
        <f>E130+G130</f>
        <v>0</v>
      </c>
      <c r="D130" s="1049"/>
      <c r="E130" s="1047">
        <f>$D$55*$S$44</f>
        <v>0</v>
      </c>
      <c r="F130" s="1050"/>
      <c r="G130" s="1048">
        <f>$D$55*$T$44</f>
        <v>0</v>
      </c>
      <c r="H130" s="1047">
        <f>B130+E130</f>
        <v>0</v>
      </c>
    </row>
  </sheetData>
  <mergeCells count="10">
    <mergeCell ref="B110:H110"/>
    <mergeCell ref="B85:H85"/>
    <mergeCell ref="B86:H86"/>
    <mergeCell ref="B62:H62"/>
    <mergeCell ref="B63:H63"/>
    <mergeCell ref="AE2:AG3"/>
    <mergeCell ref="F2:G3"/>
    <mergeCell ref="R26:U26"/>
    <mergeCell ref="R25:U25"/>
    <mergeCell ref="B109:H109"/>
  </mergeCells>
  <printOptions horizontalCentered="1"/>
  <pageMargins left="0.4" right="0.4" top="1" bottom="0.5" header="0.3" footer="0.511811023622047"/>
  <pageSetup paperSize="9" scale="41" fitToHeight="0" orientation="landscape"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DFE2E-E8C4-43F7-BA6D-11A24BB0DFDA}">
  <sheetPr codeName="Sheet79">
    <tabColor theme="6" tint="-0.249977111117893"/>
    <pageSetUpPr fitToPage="1"/>
  </sheetPr>
  <dimension ref="A1:AT75"/>
  <sheetViews>
    <sheetView topLeftCell="K14" zoomScale="85" zoomScaleNormal="85" workbookViewId="0">
      <selection activeCell="H28" sqref="H28:AB29"/>
    </sheetView>
  </sheetViews>
  <sheetFormatPr defaultColWidth="12.5" defaultRowHeight="15" x14ac:dyDescent="0.25"/>
  <cols>
    <col min="1" max="1" width="14.75" style="61" bestFit="1" customWidth="1"/>
    <col min="2" max="2" width="24.875" style="14" bestFit="1" customWidth="1"/>
    <col min="3" max="3" width="8.5" style="14" bestFit="1" customWidth="1"/>
    <col min="4" max="4" width="25.25" style="14" bestFit="1" customWidth="1"/>
    <col min="5" max="5" width="25" style="14" bestFit="1" customWidth="1"/>
    <col min="6" max="6" width="23.625" style="14" bestFit="1" customWidth="1"/>
    <col min="7" max="7" width="12.5" style="14" bestFit="1" customWidth="1"/>
    <col min="8" max="8" width="23.625" style="14" bestFit="1" customWidth="1"/>
    <col min="9" max="9" width="17.875" style="14" bestFit="1" customWidth="1"/>
    <col min="10" max="10" width="17.75" style="14" bestFit="1" customWidth="1"/>
    <col min="11" max="11" width="25.25" style="14" bestFit="1" customWidth="1"/>
    <col min="12" max="12" width="10.25" style="14" bestFit="1" customWidth="1"/>
    <col min="13" max="13" width="11.875" style="14" customWidth="1"/>
    <col min="14" max="14" width="8.875" style="14" customWidth="1"/>
    <col min="15" max="15" width="22.875" style="14" bestFit="1" customWidth="1"/>
    <col min="16" max="16" width="12.125" style="14" bestFit="1" customWidth="1"/>
    <col min="17" max="17" width="18.375" style="14" bestFit="1" customWidth="1"/>
    <col min="18" max="18" width="22.375" style="14" bestFit="1" customWidth="1"/>
    <col min="19" max="19" width="14" style="14" bestFit="1" customWidth="1"/>
    <col min="20" max="20" width="10.125" style="14" bestFit="1" customWidth="1"/>
    <col min="21" max="21" width="18.125" style="14" bestFit="1" customWidth="1"/>
    <col min="22" max="22" width="9.375" style="14" bestFit="1" customWidth="1"/>
    <col min="23" max="23" width="10" style="14" bestFit="1" customWidth="1"/>
    <col min="24" max="24" width="12.5" style="14" customWidth="1"/>
    <col min="25" max="25" width="9.5" style="14" bestFit="1" customWidth="1"/>
    <col min="26" max="26" width="10" style="14" bestFit="1" customWidth="1"/>
    <col min="27" max="27" width="6.875" style="14" bestFit="1" customWidth="1"/>
    <col min="28" max="28" width="10.75" style="14" bestFit="1" customWidth="1"/>
    <col min="29" max="29" width="9.875" style="14" bestFit="1" customWidth="1"/>
    <col min="30" max="30" width="6.75" style="14" bestFit="1" customWidth="1"/>
    <col min="31" max="31" width="7" style="14" bestFit="1" customWidth="1"/>
    <col min="32" max="35" width="4.5" style="14" customWidth="1"/>
    <col min="36" max="36" width="25.125" style="14" bestFit="1" customWidth="1"/>
    <col min="37" max="37" width="5.375" style="14" bestFit="1" customWidth="1"/>
    <col min="38" max="38" width="21" style="14" bestFit="1" customWidth="1"/>
    <col min="39" max="39" width="25" style="14" bestFit="1" customWidth="1"/>
    <col min="40" max="40" width="15.125" style="14" bestFit="1" customWidth="1"/>
    <col min="41" max="41" width="12.5" style="14" bestFit="1" customWidth="1"/>
    <col min="42" max="42" width="18.625" style="14" bestFit="1" customWidth="1"/>
    <col min="43" max="43" width="15.125" style="14" bestFit="1" customWidth="1"/>
    <col min="44" max="44" width="14.875" style="14" bestFit="1" customWidth="1"/>
    <col min="45" max="45" width="23.125" style="14" bestFit="1" customWidth="1"/>
    <col min="46" max="46" width="6.125" style="14" bestFit="1" customWidth="1"/>
    <col min="47" max="16384" width="12.5" style="14"/>
  </cols>
  <sheetData>
    <row r="1" spans="1:46" ht="25.5" x14ac:dyDescent="0.25">
      <c r="A1" s="1"/>
      <c r="B1" s="843" t="s">
        <v>231</v>
      </c>
      <c r="C1" s="63">
        <v>1000</v>
      </c>
      <c r="D1" s="894" t="s">
        <v>232</v>
      </c>
      <c r="E1" s="84">
        <f>S32</f>
        <v>23160</v>
      </c>
      <c r="F1" s="62" t="s">
        <v>233</v>
      </c>
      <c r="G1" s="315">
        <f>(E1/C1)</f>
        <v>23.16</v>
      </c>
      <c r="H1" s="62" t="s">
        <v>234</v>
      </c>
      <c r="I1" s="167">
        <f>(G1/K1)</f>
        <v>23.632653061224492</v>
      </c>
      <c r="J1" s="68" t="s">
        <v>235</v>
      </c>
      <c r="K1" s="63">
        <v>0.98</v>
      </c>
      <c r="L1" s="80"/>
      <c r="M1" s="80"/>
      <c r="N1" s="80"/>
      <c r="O1" s="72" t="s">
        <v>236</v>
      </c>
      <c r="P1" s="73" t="s">
        <v>331</v>
      </c>
      <c r="Q1" s="74" t="s">
        <v>238</v>
      </c>
      <c r="R1" s="73">
        <v>0.57999999999999996</v>
      </c>
      <c r="S1" s="72" t="s">
        <v>472</v>
      </c>
      <c r="T1" s="73" t="s">
        <v>298</v>
      </c>
      <c r="U1" s="74" t="s">
        <v>417</v>
      </c>
      <c r="V1" s="317">
        <v>0.84</v>
      </c>
      <c r="W1" s="14">
        <f>2100/2500</f>
        <v>0.84</v>
      </c>
      <c r="Y1" s="72" t="s">
        <v>444</v>
      </c>
      <c r="Z1" s="422">
        <v>22660</v>
      </c>
      <c r="AA1" s="72" t="s">
        <v>544</v>
      </c>
      <c r="AB1" s="422">
        <v>500</v>
      </c>
      <c r="AC1" s="72" t="s">
        <v>537</v>
      </c>
      <c r="AD1" s="422">
        <v>160</v>
      </c>
      <c r="AJ1" s="75" t="s">
        <v>250</v>
      </c>
      <c r="AK1" s="75">
        <v>10000</v>
      </c>
      <c r="AL1" s="318" t="s">
        <v>474</v>
      </c>
      <c r="AM1" s="319">
        <f>$S$32</f>
        <v>23160</v>
      </c>
      <c r="AN1" s="75" t="s">
        <v>239</v>
      </c>
      <c r="AO1" s="212">
        <f>(($S$32)/$R$1)/$AK$1</f>
        <v>3.9931034482758623</v>
      </c>
      <c r="AP1" s="76"/>
      <c r="AS1" s="890"/>
    </row>
    <row r="2" spans="1:46" ht="15.75" x14ac:dyDescent="0.25">
      <c r="A2" s="863"/>
      <c r="B2" s="1805" t="s">
        <v>468</v>
      </c>
      <c r="C2" s="1805"/>
      <c r="D2" s="1805"/>
      <c r="E2" s="1805"/>
      <c r="F2" s="1805"/>
      <c r="G2" s="1805"/>
      <c r="H2" s="1805"/>
      <c r="I2" s="187"/>
      <c r="J2" s="187"/>
      <c r="K2" s="187"/>
      <c r="L2" s="187"/>
      <c r="M2" s="87"/>
      <c r="O2" s="80"/>
      <c r="P2" s="80"/>
      <c r="Q2" s="80"/>
      <c r="R2" s="80"/>
      <c r="S2" s="80"/>
      <c r="T2" s="80"/>
      <c r="U2" s="80"/>
      <c r="AJ2" s="81"/>
      <c r="AK2" s="81"/>
      <c r="AL2" s="1873" t="s">
        <v>479</v>
      </c>
      <c r="AM2" s="1873"/>
      <c r="AN2" s="82"/>
      <c r="AO2" s="81"/>
      <c r="AP2" s="81"/>
      <c r="AS2" s="890"/>
    </row>
    <row r="3" spans="1:46" ht="15.75" x14ac:dyDescent="0.25">
      <c r="A3" s="863"/>
      <c r="B3" s="1791"/>
      <c r="C3" s="1791"/>
      <c r="D3" s="1791"/>
      <c r="E3" s="1791"/>
      <c r="F3" s="1791"/>
      <c r="G3" s="1791"/>
      <c r="H3" s="1791"/>
      <c r="I3" s="187"/>
      <c r="J3" s="187"/>
      <c r="K3" s="187"/>
      <c r="L3" s="187"/>
      <c r="M3" s="87"/>
      <c r="O3" s="80"/>
      <c r="P3" s="80"/>
      <c r="Q3" s="80"/>
      <c r="R3" s="80"/>
      <c r="S3" s="80"/>
      <c r="T3" s="80"/>
      <c r="U3" s="80"/>
      <c r="AJ3" s="81"/>
      <c r="AK3" s="81"/>
      <c r="AL3" s="82"/>
      <c r="AM3" s="82"/>
      <c r="AN3" s="82"/>
      <c r="AO3" s="81"/>
      <c r="AP3" s="81"/>
      <c r="AS3" s="890"/>
    </row>
    <row r="4" spans="1:46" ht="38.25" x14ac:dyDescent="0.2">
      <c r="A4" s="1350" t="s">
        <v>864</v>
      </c>
      <c r="B4" s="923" t="s">
        <v>241</v>
      </c>
      <c r="C4" s="934" t="s">
        <v>242</v>
      </c>
      <c r="D4" s="923" t="s">
        <v>231</v>
      </c>
      <c r="E4" s="935" t="s">
        <v>234</v>
      </c>
      <c r="F4" s="935" t="s">
        <v>243</v>
      </c>
      <c r="G4" s="923" t="s">
        <v>244</v>
      </c>
      <c r="H4" s="936" t="s">
        <v>334</v>
      </c>
      <c r="I4" s="923" t="s">
        <v>246</v>
      </c>
      <c r="J4" s="923" t="s">
        <v>247</v>
      </c>
      <c r="K4" s="923" t="s">
        <v>248</v>
      </c>
      <c r="L4" s="923" t="s">
        <v>249</v>
      </c>
      <c r="M4" s="87"/>
      <c r="O4" s="80"/>
      <c r="P4" s="80"/>
      <c r="Q4" s="80"/>
      <c r="R4" s="80"/>
      <c r="S4" s="80"/>
      <c r="AJ4" s="926" t="s">
        <v>241</v>
      </c>
      <c r="AK4" s="1169" t="s">
        <v>242</v>
      </c>
      <c r="AL4" s="926" t="s">
        <v>250</v>
      </c>
      <c r="AM4" s="926" t="s">
        <v>234</v>
      </c>
      <c r="AN4" s="926" t="s">
        <v>243</v>
      </c>
      <c r="AO4" s="926" t="s">
        <v>244</v>
      </c>
      <c r="AP4" s="926" t="s">
        <v>245</v>
      </c>
      <c r="AQ4" s="923" t="s">
        <v>246</v>
      </c>
      <c r="AR4" s="923" t="s">
        <v>247</v>
      </c>
      <c r="AS4" s="923" t="s">
        <v>248</v>
      </c>
      <c r="AT4" s="923" t="s">
        <v>249</v>
      </c>
    </row>
    <row r="5" spans="1:46" x14ac:dyDescent="0.25">
      <c r="A5" s="949" t="s">
        <v>872</v>
      </c>
      <c r="B5" s="914" t="s">
        <v>220</v>
      </c>
      <c r="C5" s="947" t="s">
        <v>227</v>
      </c>
      <c r="D5" s="1263">
        <f>C1/$R$1</f>
        <v>1724.1379310344828</v>
      </c>
      <c r="E5" s="940">
        <f>$G$1</f>
        <v>23.16</v>
      </c>
      <c r="F5" s="948">
        <v>1</v>
      </c>
      <c r="G5" s="940">
        <f>D5*E5</f>
        <v>39931.034482758623</v>
      </c>
      <c r="H5" s="943">
        <f>G5*F5</f>
        <v>39931.034482758623</v>
      </c>
      <c r="I5" s="914">
        <f>VLOOKUP(B5,All_Ingredients!$A$1:$F$161,6,FALSE())</f>
        <v>0.86</v>
      </c>
      <c r="J5" s="940">
        <f>VLOOKUP(B5,All_Ingredients!$A$1:$J$161,10,FALSE())</f>
        <v>17.100000000000001</v>
      </c>
      <c r="K5" s="945">
        <f>(H5/I5)/1000</f>
        <v>46.431435445068161</v>
      </c>
      <c r="L5" s="945">
        <f>K5*J5</f>
        <v>793.97754611066557</v>
      </c>
      <c r="M5" s="87"/>
      <c r="O5" s="890"/>
      <c r="R5" s="890"/>
      <c r="AJ5" s="938" t="s">
        <v>220</v>
      </c>
      <c r="AK5" s="947" t="s">
        <v>227</v>
      </c>
      <c r="AL5" s="914">
        <v>10</v>
      </c>
      <c r="AM5" s="1040">
        <f>$AO$1</f>
        <v>3.9931034482758623</v>
      </c>
      <c r="AN5" s="948">
        <v>1</v>
      </c>
      <c r="AO5" s="1356">
        <f>AL5*AM5</f>
        <v>39.931034482758619</v>
      </c>
      <c r="AP5" s="1359">
        <f>AO5*AN5</f>
        <v>39.931034482758619</v>
      </c>
      <c r="AQ5" s="952"/>
      <c r="AR5" s="953"/>
      <c r="AS5" s="954"/>
      <c r="AT5" s="955"/>
    </row>
    <row r="6" spans="1:46" x14ac:dyDescent="0.25">
      <c r="A6" s="949"/>
      <c r="B6" s="914" t="s">
        <v>516</v>
      </c>
      <c r="C6" s="947" t="s">
        <v>14</v>
      </c>
      <c r="D6" s="1116">
        <f>($D$5*$R$1)*P11</f>
        <v>80</v>
      </c>
      <c r="E6" s="940">
        <f>$G$1</f>
        <v>23.16</v>
      </c>
      <c r="F6" s="948">
        <v>1</v>
      </c>
      <c r="G6" s="940">
        <f>D6*E6</f>
        <v>1852.8</v>
      </c>
      <c r="H6" s="943">
        <f>G6*F6</f>
        <v>1852.8</v>
      </c>
      <c r="I6" s="914">
        <f>VLOOKUP(B6,All_Ingredients!$A$1:$F$161,6,FALSE())</f>
        <v>1</v>
      </c>
      <c r="J6" s="940">
        <f>VLOOKUP(B6,All_Ingredients!$A$1:$J$161,10,FALSE())</f>
        <v>10.196078431372548</v>
      </c>
      <c r="K6" s="945">
        <f t="shared" ref="K6:K9" si="0">(H6/I6)/1000</f>
        <v>1.8528</v>
      </c>
      <c r="L6" s="945">
        <f t="shared" ref="L6:L9" si="1">K6*J6</f>
        <v>18.891294117647057</v>
      </c>
      <c r="M6" s="87"/>
      <c r="O6" s="890"/>
      <c r="R6" s="890"/>
      <c r="AJ6" s="938" t="s">
        <v>54</v>
      </c>
      <c r="AK6" s="1400" t="s">
        <v>14</v>
      </c>
      <c r="AL6" s="1075">
        <v>100</v>
      </c>
      <c r="AM6" s="1040">
        <f t="shared" ref="AM6:AM19" si="2">$AO$1</f>
        <v>3.9931034482758623</v>
      </c>
      <c r="AN6" s="948">
        <v>1</v>
      </c>
      <c r="AO6" s="1356">
        <f t="shared" ref="AO6:AO19" si="3">AL6*AM6</f>
        <v>399.31034482758622</v>
      </c>
      <c r="AP6" s="1359">
        <f t="shared" ref="AP6:AP19" si="4">AO6*AN6</f>
        <v>399.31034482758622</v>
      </c>
      <c r="AQ6" s="955">
        <f>VLOOKUP(AJ6,Marination_Ordering!$A:$J,6,FALSE)</f>
        <v>0.87</v>
      </c>
      <c r="AR6" s="955">
        <f>VLOOKUP(AJ6,Marination_Ordering!$A:$J,10,FALSE)</f>
        <v>7</v>
      </c>
      <c r="AS6" s="954">
        <f>AP6/AQ6</f>
        <v>458.97740784780024</v>
      </c>
      <c r="AT6" s="955">
        <f>AR6*(AS6/1000)</f>
        <v>3.2128418549346014</v>
      </c>
    </row>
    <row r="7" spans="1:46" x14ac:dyDescent="0.25">
      <c r="A7" s="949" t="s">
        <v>886</v>
      </c>
      <c r="B7" s="914" t="s">
        <v>19</v>
      </c>
      <c r="C7" s="947" t="s">
        <v>14</v>
      </c>
      <c r="D7" s="1116">
        <f>(($D$5*$R$1)*P12)/$V$1</f>
        <v>166.66666666666669</v>
      </c>
      <c r="E7" s="940">
        <f>$G$1</f>
        <v>23.16</v>
      </c>
      <c r="F7" s="948">
        <v>1</v>
      </c>
      <c r="G7" s="940">
        <f>D7*E7</f>
        <v>3860.0000000000005</v>
      </c>
      <c r="H7" s="943">
        <f>G7*F7</f>
        <v>3860.0000000000005</v>
      </c>
      <c r="I7" s="914">
        <f>VLOOKUP(B7,All_Ingredients!$A$1:$F$161,6,FALSE())</f>
        <v>0.8</v>
      </c>
      <c r="J7" s="940">
        <f>VLOOKUP(B7,All_Ingredients!$A$1:$J$161,10,FALSE())</f>
        <v>2.6</v>
      </c>
      <c r="K7" s="945">
        <f t="shared" si="0"/>
        <v>4.8250000000000002</v>
      </c>
      <c r="L7" s="945">
        <f t="shared" si="1"/>
        <v>12.545000000000002</v>
      </c>
      <c r="M7" s="87"/>
      <c r="O7" s="890"/>
      <c r="R7" s="890"/>
      <c r="AJ7" s="938" t="s">
        <v>706</v>
      </c>
      <c r="AK7" s="1400" t="s">
        <v>14</v>
      </c>
      <c r="AL7" s="1075">
        <v>100</v>
      </c>
      <c r="AM7" s="1040">
        <f t="shared" si="2"/>
        <v>3.9931034482758623</v>
      </c>
      <c r="AN7" s="948">
        <v>1</v>
      </c>
      <c r="AO7" s="1356">
        <f t="shared" si="3"/>
        <v>399.31034482758622</v>
      </c>
      <c r="AP7" s="1359">
        <f t="shared" si="4"/>
        <v>399.31034482758622</v>
      </c>
      <c r="AQ7" s="955">
        <f>VLOOKUP(AJ7,Marination_Ordering!$A:$J,6,FALSE)</f>
        <v>1</v>
      </c>
      <c r="AR7" s="955">
        <f>VLOOKUP(AJ7,Marination_Ordering!$A:$J,10,FALSE)</f>
        <v>10.5</v>
      </c>
      <c r="AS7" s="954">
        <f t="shared" ref="AS7:AS9" si="5">AP7/AQ7</f>
        <v>399.31034482758622</v>
      </c>
      <c r="AT7" s="955">
        <f t="shared" ref="AT7:AT9" si="6">AR7*(AS7/1000)</f>
        <v>4.1927586206896548</v>
      </c>
    </row>
    <row r="8" spans="1:46" ht="25.5" x14ac:dyDescent="0.25">
      <c r="A8" s="949"/>
      <c r="B8" s="914" t="s">
        <v>469</v>
      </c>
      <c r="C8" s="947" t="s">
        <v>14</v>
      </c>
      <c r="D8" s="1116">
        <f>($D$5*$R$1)*P13</f>
        <v>80</v>
      </c>
      <c r="E8" s="940">
        <f>$G$1</f>
        <v>23.16</v>
      </c>
      <c r="F8" s="948">
        <v>1</v>
      </c>
      <c r="G8" s="940">
        <f>D8*E8</f>
        <v>1852.8</v>
      </c>
      <c r="H8" s="943">
        <f>G8*F8</f>
        <v>1852.8</v>
      </c>
      <c r="I8" s="914">
        <f>VLOOKUP(B8,All_Ingredients!$A$1:$F$161,6,FALSE())</f>
        <v>1</v>
      </c>
      <c r="J8" s="940">
        <f>VLOOKUP(B8,All_Ingredients!$A$1:$J$161,10,FALSE())</f>
        <v>16.666666666666668</v>
      </c>
      <c r="K8" s="945">
        <f t="shared" si="0"/>
        <v>1.8528</v>
      </c>
      <c r="L8" s="945">
        <f t="shared" si="1"/>
        <v>30.880000000000003</v>
      </c>
      <c r="M8" s="87"/>
      <c r="O8" s="890"/>
      <c r="R8" s="890"/>
      <c r="AJ8" s="938" t="s">
        <v>105</v>
      </c>
      <c r="AK8" s="1400" t="s">
        <v>14</v>
      </c>
      <c r="AL8" s="1075">
        <v>10</v>
      </c>
      <c r="AM8" s="1040">
        <f t="shared" si="2"/>
        <v>3.9931034482758623</v>
      </c>
      <c r="AN8" s="948">
        <v>1</v>
      </c>
      <c r="AO8" s="1356">
        <f t="shared" si="3"/>
        <v>39.931034482758619</v>
      </c>
      <c r="AP8" s="1359">
        <f t="shared" si="4"/>
        <v>39.931034482758619</v>
      </c>
      <c r="AQ8" s="955">
        <f>VLOOKUP(AJ8,Marination_Ordering!$A:$J,6,FALSE)</f>
        <v>1</v>
      </c>
      <c r="AR8" s="955">
        <f>VLOOKUP(AJ8,Marination_Ordering!$A:$J,10,FALSE)</f>
        <v>15</v>
      </c>
      <c r="AS8" s="954">
        <f t="shared" si="5"/>
        <v>39.931034482758619</v>
      </c>
      <c r="AT8" s="955">
        <f t="shared" si="6"/>
        <v>0.59896551724137936</v>
      </c>
    </row>
    <row r="9" spans="1:46" x14ac:dyDescent="0.25">
      <c r="A9" s="949" t="s">
        <v>887</v>
      </c>
      <c r="B9" s="914" t="s">
        <v>471</v>
      </c>
      <c r="C9" s="947" t="s">
        <v>14</v>
      </c>
      <c r="D9" s="1116">
        <f>($D$5*$R$1)*P14</f>
        <v>100</v>
      </c>
      <c r="E9" s="940">
        <f>$G$1</f>
        <v>23.16</v>
      </c>
      <c r="F9" s="948">
        <v>1</v>
      </c>
      <c r="G9" s="940">
        <f>D9*E9</f>
        <v>2316</v>
      </c>
      <c r="H9" s="943">
        <f>G9*F9</f>
        <v>2316</v>
      </c>
      <c r="I9" s="914">
        <f>VLOOKUP(B9,All_Ingredients!$A$1:$F$161,6,FALSE())</f>
        <v>0.88</v>
      </c>
      <c r="J9" s="940">
        <f>VLOOKUP(B9,All_Ingredients!$A$1:$J$161,10,FALSE())</f>
        <v>3</v>
      </c>
      <c r="K9" s="945">
        <f t="shared" si="0"/>
        <v>2.6318181818181818</v>
      </c>
      <c r="L9" s="945">
        <f t="shared" si="1"/>
        <v>7.8954545454545455</v>
      </c>
      <c r="M9" s="87"/>
      <c r="N9" s="87"/>
      <c r="O9" s="890"/>
      <c r="R9" s="890"/>
      <c r="AJ9" s="938" t="s">
        <v>107</v>
      </c>
      <c r="AK9" s="1400" t="s">
        <v>14</v>
      </c>
      <c r="AL9" s="1075">
        <v>10</v>
      </c>
      <c r="AM9" s="1040">
        <f t="shared" si="2"/>
        <v>3.9931034482758623</v>
      </c>
      <c r="AN9" s="948">
        <v>1</v>
      </c>
      <c r="AO9" s="1356">
        <f t="shared" si="3"/>
        <v>39.931034482758619</v>
      </c>
      <c r="AP9" s="1359">
        <f t="shared" si="4"/>
        <v>39.931034482758619</v>
      </c>
      <c r="AQ9" s="955">
        <f>VLOOKUP(AJ9,Marination_Ordering!$A:$J,6,FALSE)</f>
        <v>1</v>
      </c>
      <c r="AR9" s="955">
        <f>VLOOKUP(AJ9,Marination_Ordering!$A:$J,10,FALSE)</f>
        <v>8</v>
      </c>
      <c r="AS9" s="954">
        <f t="shared" si="5"/>
        <v>39.931034482758619</v>
      </c>
      <c r="AT9" s="955">
        <f t="shared" si="6"/>
        <v>0.31944827586206898</v>
      </c>
    </row>
    <row r="10" spans="1:46" x14ac:dyDescent="0.25">
      <c r="B10" s="1056"/>
      <c r="C10" s="146"/>
      <c r="D10" s="1056"/>
      <c r="E10" s="92"/>
      <c r="F10" s="900"/>
      <c r="G10" s="92"/>
      <c r="H10" s="901"/>
      <c r="I10" s="73"/>
      <c r="J10" s="92"/>
      <c r="K10" s="87"/>
      <c r="L10" s="87"/>
      <c r="M10" s="87"/>
      <c r="N10" s="87"/>
      <c r="O10" s="890"/>
      <c r="R10" s="890"/>
      <c r="AJ10" s="938" t="s">
        <v>93</v>
      </c>
      <c r="AK10" s="1400" t="s">
        <v>14</v>
      </c>
      <c r="AL10" s="1075">
        <v>5</v>
      </c>
      <c r="AM10" s="1040">
        <f t="shared" si="2"/>
        <v>3.9931034482758623</v>
      </c>
      <c r="AN10" s="948">
        <v>1</v>
      </c>
      <c r="AO10" s="1356">
        <f t="shared" si="3"/>
        <v>19.96551724137931</v>
      </c>
      <c r="AP10" s="1359">
        <f t="shared" si="4"/>
        <v>19.96551724137931</v>
      </c>
      <c r="AQ10" s="955">
        <f>VLOOKUP(AJ10,Marination_Ordering!$A:$J,6,FALSE)</f>
        <v>1</v>
      </c>
      <c r="AR10" s="955">
        <f>VLOOKUP(AJ10,Marination_Ordering!$A:$J,10,FALSE)</f>
        <v>0.74</v>
      </c>
      <c r="AS10" s="954">
        <f t="shared" ref="AS10:AS19" si="7">AP10/AQ10</f>
        <v>19.96551724137931</v>
      </c>
      <c r="AT10" s="955">
        <f t="shared" ref="AT10:AT19" si="8">AR10*(AS10/1000)</f>
        <v>1.4774482758620689E-2</v>
      </c>
    </row>
    <row r="11" spans="1:46" x14ac:dyDescent="0.25">
      <c r="B11" s="1056"/>
      <c r="C11" s="146"/>
      <c r="D11" s="1056"/>
      <c r="E11" s="92"/>
      <c r="F11" s="900"/>
      <c r="G11" s="92"/>
      <c r="H11" s="901"/>
      <c r="I11" s="73"/>
      <c r="J11" s="92"/>
      <c r="K11" s="87"/>
      <c r="L11" s="87"/>
      <c r="M11" s="92"/>
      <c r="N11" s="87"/>
      <c r="O11" s="900" t="s">
        <v>516</v>
      </c>
      <c r="P11" s="316">
        <v>0.08</v>
      </c>
      <c r="R11" s="890"/>
      <c r="AJ11" s="938" t="s">
        <v>101</v>
      </c>
      <c r="AK11" s="1400" t="s">
        <v>14</v>
      </c>
      <c r="AL11" s="1075">
        <v>5</v>
      </c>
      <c r="AM11" s="1040">
        <f t="shared" si="2"/>
        <v>3.9931034482758623</v>
      </c>
      <c r="AN11" s="948">
        <v>1</v>
      </c>
      <c r="AO11" s="1356">
        <f t="shared" si="3"/>
        <v>19.96551724137931</v>
      </c>
      <c r="AP11" s="1359">
        <f t="shared" si="4"/>
        <v>19.96551724137931</v>
      </c>
      <c r="AQ11" s="955">
        <f>VLOOKUP(AJ11,Marination_Ordering!$A:$J,6,FALSE)</f>
        <v>1</v>
      </c>
      <c r="AR11" s="955">
        <f>VLOOKUP(AJ11,Marination_Ordering!$A:$J,10,FALSE)</f>
        <v>47</v>
      </c>
      <c r="AS11" s="954">
        <f t="shared" si="7"/>
        <v>19.96551724137931</v>
      </c>
      <c r="AT11" s="955">
        <f t="shared" si="8"/>
        <v>0.93837931034482758</v>
      </c>
    </row>
    <row r="12" spans="1:46" x14ac:dyDescent="0.25">
      <c r="B12" s="1056"/>
      <c r="C12" s="214"/>
      <c r="D12" s="1056"/>
      <c r="E12" s="92"/>
      <c r="F12" s="900"/>
      <c r="G12" s="92"/>
      <c r="H12" s="901"/>
      <c r="I12" s="73"/>
      <c r="J12" s="92"/>
      <c r="K12" s="87"/>
      <c r="L12" s="87"/>
      <c r="M12" s="92"/>
      <c r="N12" s="87"/>
      <c r="O12" s="900" t="s">
        <v>19</v>
      </c>
      <c r="P12" s="316">
        <v>0.14000000000000001</v>
      </c>
      <c r="R12" s="890"/>
      <c r="AJ12" s="938" t="s">
        <v>172</v>
      </c>
      <c r="AK12" s="1400" t="s">
        <v>14</v>
      </c>
      <c r="AL12" s="1075">
        <v>100</v>
      </c>
      <c r="AM12" s="1040">
        <f t="shared" si="2"/>
        <v>3.9931034482758623</v>
      </c>
      <c r="AN12" s="948">
        <v>1</v>
      </c>
      <c r="AO12" s="1356">
        <f t="shared" si="3"/>
        <v>399.31034482758622</v>
      </c>
      <c r="AP12" s="1359">
        <f t="shared" si="4"/>
        <v>399.31034482758622</v>
      </c>
      <c r="AQ12" s="955">
        <f>VLOOKUP(AJ12,Marination_Ordering!$A:$J,6,FALSE)</f>
        <v>1</v>
      </c>
      <c r="AR12" s="955">
        <f>VLOOKUP(AJ12,Marination_Ordering!$A:$J,10,FALSE)</f>
        <v>17.934782608695652</v>
      </c>
      <c r="AS12" s="954">
        <f t="shared" si="7"/>
        <v>399.31034482758622</v>
      </c>
      <c r="AT12" s="955">
        <f t="shared" si="8"/>
        <v>7.1615442278860568</v>
      </c>
    </row>
    <row r="13" spans="1:46" ht="28.5" x14ac:dyDescent="0.25">
      <c r="B13" s="1056"/>
      <c r="C13" s="214"/>
      <c r="D13" s="1056"/>
      <c r="E13" s="92"/>
      <c r="F13" s="900"/>
      <c r="G13" s="172"/>
      <c r="H13" s="901"/>
      <c r="I13" s="73"/>
      <c r="J13" s="92"/>
      <c r="K13" s="87"/>
      <c r="L13" s="87"/>
      <c r="M13" s="92"/>
      <c r="N13" s="92"/>
      <c r="O13" s="900" t="s">
        <v>469</v>
      </c>
      <c r="P13" s="316">
        <v>0.08</v>
      </c>
      <c r="R13" s="890"/>
      <c r="AJ13" s="938" t="s">
        <v>212</v>
      </c>
      <c r="AK13" s="1400" t="s">
        <v>160</v>
      </c>
      <c r="AL13" s="1075">
        <v>100</v>
      </c>
      <c r="AM13" s="1040">
        <f t="shared" si="2"/>
        <v>3.9931034482758623</v>
      </c>
      <c r="AN13" s="948">
        <v>1</v>
      </c>
      <c r="AO13" s="1356">
        <f t="shared" si="3"/>
        <v>399.31034482758622</v>
      </c>
      <c r="AP13" s="1359">
        <f t="shared" si="4"/>
        <v>399.31034482758622</v>
      </c>
      <c r="AQ13" s="955">
        <f>VLOOKUP(AJ13,Marination_Ordering!$A:$J,6,FALSE)</f>
        <v>1</v>
      </c>
      <c r="AR13" s="955">
        <f>VLOOKUP(AJ13,Marination_Ordering!$A:$J,10,FALSE)</f>
        <v>5</v>
      </c>
      <c r="AS13" s="954">
        <f t="shared" si="7"/>
        <v>399.31034482758622</v>
      </c>
      <c r="AT13" s="955">
        <f t="shared" si="8"/>
        <v>1.9965517241379311</v>
      </c>
    </row>
    <row r="14" spans="1:46" x14ac:dyDescent="0.25">
      <c r="B14" s="1056"/>
      <c r="C14" s="214"/>
      <c r="D14" s="1056"/>
      <c r="E14" s="92"/>
      <c r="F14" s="900"/>
      <c r="G14" s="92"/>
      <c r="H14" s="901"/>
      <c r="I14" s="73"/>
      <c r="J14" s="92"/>
      <c r="K14" s="87"/>
      <c r="L14" s="87"/>
      <c r="M14" s="92"/>
      <c r="N14" s="92"/>
      <c r="O14" s="80" t="s">
        <v>471</v>
      </c>
      <c r="P14" s="316">
        <v>0.1</v>
      </c>
      <c r="R14" s="890"/>
      <c r="AJ14" s="938" t="s">
        <v>707</v>
      </c>
      <c r="AK14" s="1400" t="s">
        <v>14</v>
      </c>
      <c r="AL14" s="1075">
        <v>50</v>
      </c>
      <c r="AM14" s="1040">
        <f t="shared" si="2"/>
        <v>3.9931034482758623</v>
      </c>
      <c r="AN14" s="948">
        <v>1</v>
      </c>
      <c r="AO14" s="1356">
        <f t="shared" si="3"/>
        <v>199.65517241379311</v>
      </c>
      <c r="AP14" s="1359">
        <f t="shared" si="4"/>
        <v>199.65517241379311</v>
      </c>
      <c r="AQ14" s="955">
        <f>VLOOKUP(AJ14,Marination_Ordering!$A:$J,6,FALSE)</f>
        <v>1</v>
      </c>
      <c r="AR14" s="955">
        <f>VLOOKUP(AJ14,Marination_Ordering!$A:$J,10,FALSE)</f>
        <v>40.74074074074074</v>
      </c>
      <c r="AS14" s="954">
        <f t="shared" si="7"/>
        <v>199.65517241379311</v>
      </c>
      <c r="AT14" s="955">
        <f t="shared" si="8"/>
        <v>8.1340996168582382</v>
      </c>
    </row>
    <row r="15" spans="1:46" x14ac:dyDescent="0.25">
      <c r="B15" s="890"/>
      <c r="C15" s="214"/>
      <c r="D15" s="1056"/>
      <c r="E15" s="92"/>
      <c r="F15" s="900"/>
      <c r="G15" s="172"/>
      <c r="H15" s="901"/>
      <c r="I15" s="73"/>
      <c r="J15" s="92"/>
      <c r="K15" s="87"/>
      <c r="L15" s="87"/>
      <c r="M15" s="87"/>
      <c r="N15" s="92"/>
      <c r="O15" s="80" t="s">
        <v>262</v>
      </c>
      <c r="P15" s="245">
        <f>SUM(P11:P14)</f>
        <v>0.4</v>
      </c>
      <c r="R15" s="890"/>
      <c r="AJ15" s="938" t="s">
        <v>166</v>
      </c>
      <c r="AK15" s="1400" t="s">
        <v>160</v>
      </c>
      <c r="AL15" s="1075">
        <v>400</v>
      </c>
      <c r="AM15" s="1040">
        <f t="shared" si="2"/>
        <v>3.9931034482758623</v>
      </c>
      <c r="AN15" s="948">
        <v>1</v>
      </c>
      <c r="AO15" s="1356">
        <f t="shared" si="3"/>
        <v>1597.2413793103449</v>
      </c>
      <c r="AP15" s="1359">
        <f t="shared" si="4"/>
        <v>1597.2413793103449</v>
      </c>
      <c r="AQ15" s="955">
        <f>VLOOKUP(AJ15,Marination_Ordering!$A:$J,6,FALSE)</f>
        <v>1</v>
      </c>
      <c r="AR15" s="955">
        <f>VLOOKUP(AJ15,Marination_Ordering!$A:$J,10,FALSE)</f>
        <v>12.666666666666666</v>
      </c>
      <c r="AS15" s="954">
        <f t="shared" si="7"/>
        <v>1597.2413793103449</v>
      </c>
      <c r="AT15" s="955">
        <f t="shared" si="8"/>
        <v>20.231724137931032</v>
      </c>
    </row>
    <row r="16" spans="1:46" x14ac:dyDescent="0.25">
      <c r="B16" s="890"/>
      <c r="C16" s="214"/>
      <c r="D16" s="1056"/>
      <c r="E16" s="92"/>
      <c r="F16" s="890"/>
      <c r="G16" s="172"/>
      <c r="H16" s="901"/>
      <c r="I16" s="73"/>
      <c r="J16" s="92"/>
      <c r="K16" s="87"/>
      <c r="L16" s="87"/>
      <c r="M16" s="87"/>
      <c r="N16" s="92"/>
      <c r="O16" s="890"/>
      <c r="R16" s="890"/>
      <c r="AJ16" s="938" t="s">
        <v>128</v>
      </c>
      <c r="AK16" s="1400" t="s">
        <v>14</v>
      </c>
      <c r="AL16" s="1075">
        <v>5</v>
      </c>
      <c r="AM16" s="1040">
        <f t="shared" si="2"/>
        <v>3.9931034482758623</v>
      </c>
      <c r="AN16" s="948">
        <v>1</v>
      </c>
      <c r="AO16" s="1356">
        <f t="shared" si="3"/>
        <v>19.96551724137931</v>
      </c>
      <c r="AP16" s="1359">
        <f t="shared" si="4"/>
        <v>19.96551724137931</v>
      </c>
      <c r="AQ16" s="955">
        <f>VLOOKUP(AJ16,Marination_Ordering!$A:$J,6,FALSE)</f>
        <v>1</v>
      </c>
      <c r="AR16" s="955">
        <f>VLOOKUP(AJ16,Marination_Ordering!$A:$J,10,FALSE)</f>
        <v>107</v>
      </c>
      <c r="AS16" s="954">
        <f t="shared" si="7"/>
        <v>19.96551724137931</v>
      </c>
      <c r="AT16" s="955">
        <f t="shared" si="8"/>
        <v>2.1363103448275864</v>
      </c>
    </row>
    <row r="17" spans="18:46" x14ac:dyDescent="0.25">
      <c r="R17" s="890"/>
      <c r="AJ17" s="938" t="s">
        <v>163</v>
      </c>
      <c r="AK17" s="1400" t="s">
        <v>14</v>
      </c>
      <c r="AL17" s="1075">
        <v>200</v>
      </c>
      <c r="AM17" s="1040">
        <f t="shared" si="2"/>
        <v>3.9931034482758623</v>
      </c>
      <c r="AN17" s="948">
        <v>1</v>
      </c>
      <c r="AO17" s="1356">
        <f t="shared" si="3"/>
        <v>798.62068965517244</v>
      </c>
      <c r="AP17" s="1359">
        <f t="shared" si="4"/>
        <v>798.62068965517244</v>
      </c>
      <c r="AQ17" s="955">
        <f>VLOOKUP(AJ17,Marination_Ordering!$A:$J,6,FALSE)</f>
        <v>1</v>
      </c>
      <c r="AR17" s="955">
        <f>VLOOKUP(AJ17,Marination_Ordering!$A:$J,10,FALSE)</f>
        <v>6.6959999999999997</v>
      </c>
      <c r="AS17" s="954">
        <f t="shared" si="7"/>
        <v>798.62068965517244</v>
      </c>
      <c r="AT17" s="955">
        <f t="shared" si="8"/>
        <v>5.3475641379310339</v>
      </c>
    </row>
    <row r="18" spans="18:46" x14ac:dyDescent="0.25">
      <c r="R18" s="890"/>
      <c r="AJ18" s="938" t="s">
        <v>60</v>
      </c>
      <c r="AK18" s="1400" t="s">
        <v>14</v>
      </c>
      <c r="AL18" s="1075">
        <v>10</v>
      </c>
      <c r="AM18" s="1040">
        <f t="shared" si="2"/>
        <v>3.9931034482758623</v>
      </c>
      <c r="AN18" s="948">
        <v>1</v>
      </c>
      <c r="AO18" s="1356">
        <f t="shared" si="3"/>
        <v>39.931034482758619</v>
      </c>
      <c r="AP18" s="1359">
        <f t="shared" si="4"/>
        <v>39.931034482758619</v>
      </c>
      <c r="AQ18" s="955">
        <f>VLOOKUP(AJ18,Marination_Ordering!$A:$J,6,FALSE)</f>
        <v>0.94</v>
      </c>
      <c r="AR18" s="955">
        <f>VLOOKUP(AJ18,Marination_Ordering!$A:$J,10,FALSE)</f>
        <v>3.6363636363636367</v>
      </c>
      <c r="AS18" s="954">
        <f t="shared" si="7"/>
        <v>42.47982391782832</v>
      </c>
      <c r="AT18" s="955">
        <f t="shared" si="8"/>
        <v>0.15447208697392117</v>
      </c>
    </row>
    <row r="19" spans="18:46" x14ac:dyDescent="0.25">
      <c r="R19" s="890"/>
      <c r="AJ19" s="938" t="s">
        <v>34</v>
      </c>
      <c r="AK19" s="1400" t="s">
        <v>14</v>
      </c>
      <c r="AL19" s="1075">
        <v>35</v>
      </c>
      <c r="AM19" s="1040">
        <f t="shared" si="2"/>
        <v>3.9931034482758623</v>
      </c>
      <c r="AN19" s="948">
        <v>1</v>
      </c>
      <c r="AO19" s="1356">
        <f t="shared" si="3"/>
        <v>139.75862068965517</v>
      </c>
      <c r="AP19" s="1359">
        <f t="shared" si="4"/>
        <v>139.75862068965517</v>
      </c>
      <c r="AQ19" s="955">
        <f>VLOOKUP(AJ19,Marination_Ordering!$A:$J,6,FALSE)</f>
        <v>0.86</v>
      </c>
      <c r="AR19" s="955">
        <f>VLOOKUP(AJ19,Marination_Ordering!$A:$J,10,FALSE)</f>
        <v>14</v>
      </c>
      <c r="AS19" s="954">
        <f t="shared" si="7"/>
        <v>162.51002405773858</v>
      </c>
      <c r="AT19" s="955">
        <f t="shared" si="8"/>
        <v>2.2751403368083398</v>
      </c>
    </row>
    <row r="20" spans="18:46" x14ac:dyDescent="0.25">
      <c r="R20" s="890"/>
      <c r="AJ20" s="890"/>
      <c r="AL20" s="890"/>
      <c r="AM20" s="890"/>
      <c r="AN20" s="890"/>
      <c r="AP20" s="890"/>
      <c r="AS20" s="890"/>
    </row>
    <row r="21" spans="18:46" x14ac:dyDescent="0.25">
      <c r="R21" s="890"/>
      <c r="AJ21" s="890"/>
      <c r="AL21" s="890"/>
      <c r="AM21" s="890"/>
      <c r="AN21" s="890"/>
      <c r="AP21" s="890"/>
      <c r="AS21" s="890"/>
    </row>
    <row r="22" spans="18:46" x14ac:dyDescent="0.25">
      <c r="R22" s="890"/>
      <c r="AJ22" s="890"/>
      <c r="AL22" s="890"/>
      <c r="AM22" s="890"/>
      <c r="AN22" s="890"/>
      <c r="AP22" s="890"/>
      <c r="AS22" s="890"/>
    </row>
    <row r="23" spans="18:46" x14ac:dyDescent="0.25">
      <c r="R23" s="890"/>
      <c r="AJ23" s="890"/>
      <c r="AL23" s="890"/>
      <c r="AM23" s="890"/>
      <c r="AN23" s="890"/>
      <c r="AP23" s="890"/>
      <c r="AS23" s="890"/>
    </row>
    <row r="24" spans="18:46" x14ac:dyDescent="0.25">
      <c r="R24" s="890"/>
      <c r="Z24" s="597"/>
      <c r="AJ24" s="890"/>
      <c r="AL24" s="890"/>
      <c r="AM24" s="890"/>
      <c r="AN24" s="890"/>
      <c r="AP24" s="890"/>
      <c r="AS24" s="890"/>
    </row>
    <row r="25" spans="18:46" x14ac:dyDescent="0.25">
      <c r="R25" s="1874" t="s">
        <v>467</v>
      </c>
      <c r="S25" s="1850"/>
      <c r="T25" s="1850"/>
      <c r="U25" s="1850"/>
      <c r="V25" s="592"/>
      <c r="W25" s="592"/>
      <c r="Z25" s="96" t="s">
        <v>252</v>
      </c>
      <c r="AA25" s="97">
        <v>1</v>
      </c>
      <c r="AB25" s="105" t="s">
        <v>249</v>
      </c>
      <c r="AC25" s="596">
        <f>((AA25*1.4)*AD30)+(Z30*(AA28/R1))</f>
        <v>4.0727980735428063E-2</v>
      </c>
      <c r="AJ25" s="890"/>
      <c r="AL25" s="890"/>
      <c r="AM25" s="890"/>
      <c r="AN25" s="890"/>
      <c r="AP25" s="890"/>
      <c r="AS25" s="890"/>
    </row>
    <row r="26" spans="18:46" x14ac:dyDescent="0.25">
      <c r="R26" s="1875" t="s">
        <v>291</v>
      </c>
      <c r="S26" s="1821"/>
      <c r="T26" s="1821"/>
      <c r="U26" s="1821"/>
      <c r="V26" s="592"/>
      <c r="W26" s="592"/>
      <c r="AJ26" s="890"/>
      <c r="AL26" s="890"/>
      <c r="AM26" s="890"/>
      <c r="AN26" s="890"/>
      <c r="AP26" s="890"/>
      <c r="AS26" s="890"/>
    </row>
    <row r="27" spans="18:46" ht="15.75" thickBot="1" x14ac:dyDescent="0.3">
      <c r="R27" s="1058" t="s">
        <v>254</v>
      </c>
      <c r="S27" s="151" t="s">
        <v>354</v>
      </c>
      <c r="T27" s="151" t="s">
        <v>451</v>
      </c>
      <c r="U27" s="151" t="s">
        <v>257</v>
      </c>
      <c r="V27" s="101" t="s">
        <v>746</v>
      </c>
      <c r="W27" s="101" t="s">
        <v>753</v>
      </c>
      <c r="Y27" s="96" t="s">
        <v>258</v>
      </c>
      <c r="Z27" s="580" t="s">
        <v>311</v>
      </c>
      <c r="AA27" s="580" t="s">
        <v>770</v>
      </c>
      <c r="AB27" s="580" t="s">
        <v>451</v>
      </c>
      <c r="AC27" s="581" t="s">
        <v>753</v>
      </c>
      <c r="AD27" s="102" t="s">
        <v>262</v>
      </c>
      <c r="AJ27" s="890"/>
      <c r="AL27" s="890"/>
      <c r="AM27" s="890"/>
      <c r="AN27" s="890"/>
      <c r="AP27" s="890"/>
      <c r="AS27" s="890"/>
    </row>
    <row r="28" spans="18:46" ht="15.75" thickBot="1" x14ac:dyDescent="0.3">
      <c r="R28" s="906" t="s">
        <v>263</v>
      </c>
      <c r="S28" s="661">
        <f>$Z$1</f>
        <v>22660</v>
      </c>
      <c r="T28" s="659">
        <f>S28*$P$15</f>
        <v>9064</v>
      </c>
      <c r="U28" s="659">
        <f>S28+T28</f>
        <v>31724</v>
      </c>
      <c r="V28" s="104">
        <f>SUM(AP5:AP19)</f>
        <v>4552.1379310344828</v>
      </c>
      <c r="W28" s="104">
        <f>H37</f>
        <v>1920</v>
      </c>
      <c r="Y28" s="105"/>
      <c r="Z28" s="582"/>
      <c r="AA28" s="106">
        <f>AA25</f>
        <v>1</v>
      </c>
      <c r="AB28" s="106">
        <f>AA25*P15</f>
        <v>0.4</v>
      </c>
      <c r="AC28" s="582"/>
      <c r="AD28" s="108">
        <f>SUM(AA28:AB28)</f>
        <v>1.4</v>
      </c>
      <c r="AJ28" s="890"/>
      <c r="AL28" s="890"/>
      <c r="AM28" s="890"/>
      <c r="AN28" s="890"/>
      <c r="AP28" s="890"/>
      <c r="AS28" s="890"/>
    </row>
    <row r="29" spans="18:46" ht="15.75" thickBot="1" x14ac:dyDescent="0.3">
      <c r="R29" s="906" t="s">
        <v>264</v>
      </c>
      <c r="S29" s="154"/>
      <c r="T29" s="659"/>
      <c r="U29" s="659">
        <f>T29</f>
        <v>0</v>
      </c>
      <c r="V29" s="104"/>
      <c r="W29" s="104"/>
      <c r="Y29" s="105"/>
      <c r="Z29" s="583"/>
      <c r="AA29" s="110">
        <f>AA28/$AD$28</f>
        <v>0.7142857142857143</v>
      </c>
      <c r="AB29" s="110">
        <f>AB28/$AD$28</f>
        <v>0.28571428571428575</v>
      </c>
      <c r="AC29" s="583"/>
      <c r="AD29" s="110">
        <f>AD28/$AD$28</f>
        <v>1</v>
      </c>
      <c r="AJ29" s="890"/>
      <c r="AL29" s="890"/>
      <c r="AM29" s="890"/>
      <c r="AN29" s="890"/>
      <c r="AP29" s="890"/>
      <c r="AS29" s="890"/>
    </row>
    <row r="30" spans="18:46" ht="15.75" thickBot="1" x14ac:dyDescent="0.3">
      <c r="R30" s="906" t="s">
        <v>265</v>
      </c>
      <c r="S30" s="668">
        <f>$AB$1</f>
        <v>500</v>
      </c>
      <c r="T30" s="659">
        <f>S30*$P$15</f>
        <v>200</v>
      </c>
      <c r="U30" s="659">
        <f>S30+T30</f>
        <v>700</v>
      </c>
      <c r="V30" s="547"/>
      <c r="W30" s="547"/>
      <c r="Y30" s="96" t="s">
        <v>266</v>
      </c>
      <c r="Z30" s="584">
        <f>V35/(S32/R1)</f>
        <v>1.4203131827118941E-3</v>
      </c>
      <c r="AA30" s="111">
        <f>S35/(S32)</f>
        <v>3.42822774659182E-2</v>
      </c>
      <c r="AB30" s="112">
        <f>T35/T32</f>
        <v>7.5789884135472364E-3</v>
      </c>
      <c r="AC30" s="585">
        <f>W35/U32</f>
        <v>6.8949433702077622E-4</v>
      </c>
      <c r="AD30" s="587">
        <f>SUMPRODUCT(AA30:AB30,AA29:AB29)+AC30</f>
        <v>2.7342260645118702E-2</v>
      </c>
      <c r="AJ30" s="890"/>
      <c r="AL30" s="890"/>
      <c r="AM30" s="890"/>
      <c r="AN30" s="890"/>
      <c r="AP30" s="890"/>
      <c r="AS30" s="890"/>
    </row>
    <row r="31" spans="18:46" ht="15.75" thickBot="1" x14ac:dyDescent="0.3">
      <c r="R31" s="906" t="s">
        <v>267</v>
      </c>
      <c r="S31" s="154"/>
      <c r="T31" s="152"/>
      <c r="U31" s="152"/>
      <c r="V31" s="104"/>
      <c r="W31" s="104"/>
      <c r="AJ31" s="890"/>
      <c r="AL31" s="890"/>
      <c r="AM31" s="890"/>
      <c r="AN31" s="890"/>
      <c r="AP31" s="890"/>
      <c r="AS31" s="890"/>
    </row>
    <row r="32" spans="18:46" ht="15.75" thickBot="1" x14ac:dyDescent="0.3">
      <c r="R32" s="1060" t="s">
        <v>257</v>
      </c>
      <c r="S32" s="152">
        <f>S28+S30</f>
        <v>23160</v>
      </c>
      <c r="T32" s="152">
        <f>SUM(T28:T30)</f>
        <v>9264</v>
      </c>
      <c r="U32" s="152">
        <f>SUM(U28:U30)</f>
        <v>32424</v>
      </c>
      <c r="V32" s="152">
        <f>SUM(V28:V30)</f>
        <v>4552.1379310344828</v>
      </c>
      <c r="W32" s="104">
        <f>SUM(W28:W30)</f>
        <v>1920</v>
      </c>
      <c r="AH32" s="87"/>
      <c r="AI32" s="87"/>
      <c r="AJ32" s="890"/>
      <c r="AL32" s="890"/>
      <c r="AM32" s="890"/>
      <c r="AN32" s="890"/>
      <c r="AP32" s="890"/>
      <c r="AS32" s="890"/>
    </row>
    <row r="34" spans="2:23" ht="15.75" thickBot="1" x14ac:dyDescent="0.3">
      <c r="B34" s="890"/>
      <c r="D34" s="890"/>
      <c r="E34" s="890"/>
      <c r="F34" s="890"/>
      <c r="H34" s="890"/>
      <c r="K34" s="890"/>
      <c r="O34" s="890"/>
      <c r="R34" s="1184" t="s">
        <v>269</v>
      </c>
      <c r="S34" s="223"/>
      <c r="T34" s="224"/>
      <c r="U34" s="223"/>
      <c r="V34" s="109"/>
      <c r="W34" s="109"/>
    </row>
    <row r="35" spans="2:23" ht="16.5" thickBot="1" x14ac:dyDescent="0.3">
      <c r="B35" s="1876" t="s">
        <v>665</v>
      </c>
      <c r="C35" s="1877"/>
      <c r="D35" s="1876"/>
      <c r="E35" s="1876"/>
      <c r="F35" s="1876"/>
      <c r="G35" s="438"/>
      <c r="H35" s="1261"/>
      <c r="I35" s="444"/>
      <c r="J35" s="444"/>
      <c r="K35" s="903"/>
      <c r="L35" s="444"/>
      <c r="O35" s="890"/>
      <c r="R35" s="909" t="s">
        <v>249</v>
      </c>
      <c r="S35" s="548">
        <f>$L$5</f>
        <v>793.97754611066557</v>
      </c>
      <c r="T35" s="548">
        <f>SUM(L6:L9)</f>
        <v>70.211748663101602</v>
      </c>
      <c r="U35" s="548">
        <f>S35+T35+V35+W35</f>
        <v>943.26003383251418</v>
      </c>
      <c r="V35" s="548">
        <f>SUM(AT6:AT19)</f>
        <v>56.71457467518529</v>
      </c>
      <c r="W35" s="548">
        <f>L37</f>
        <v>22.356164383561648</v>
      </c>
    </row>
    <row r="36" spans="2:23" ht="31.5" x14ac:dyDescent="0.25">
      <c r="B36" s="1004" t="s">
        <v>241</v>
      </c>
      <c r="C36" s="1004" t="s">
        <v>316</v>
      </c>
      <c r="D36" s="1002" t="s">
        <v>610</v>
      </c>
      <c r="E36" s="1002" t="s">
        <v>611</v>
      </c>
      <c r="F36" s="1002" t="s">
        <v>612</v>
      </c>
      <c r="G36" s="1001"/>
      <c r="H36" s="427" t="s">
        <v>612</v>
      </c>
      <c r="I36" s="427" t="s">
        <v>246</v>
      </c>
      <c r="J36" s="427" t="s">
        <v>247</v>
      </c>
      <c r="K36" s="427" t="s">
        <v>248</v>
      </c>
      <c r="L36" s="427" t="s">
        <v>249</v>
      </c>
      <c r="O36" s="890"/>
      <c r="R36" s="890"/>
    </row>
    <row r="37" spans="2:23" x14ac:dyDescent="0.25">
      <c r="B37" s="1005" t="s">
        <v>28</v>
      </c>
      <c r="C37" s="1006" t="s">
        <v>14</v>
      </c>
      <c r="D37" s="1007">
        <v>12</v>
      </c>
      <c r="E37" s="1005">
        <f>$AD$1</f>
        <v>160</v>
      </c>
      <c r="F37" s="1005">
        <f>D37*E37</f>
        <v>1920</v>
      </c>
      <c r="G37" s="437"/>
      <c r="H37" s="425">
        <f>F37</f>
        <v>1920</v>
      </c>
      <c r="I37" s="425">
        <f>VLOOKUP(B37,All_Ingredients!$A$1:$F$161,6,FALSE())</f>
        <v>0.73</v>
      </c>
      <c r="J37" s="425">
        <f>VLOOKUP(B37,All_Ingredients!$A$1:$J$161,10,FALSE())</f>
        <v>8.5</v>
      </c>
      <c r="K37" s="425">
        <f>(H37/I37)/1000</f>
        <v>2.6301369863013702</v>
      </c>
      <c r="L37" s="425">
        <f>K37*J37</f>
        <v>22.356164383561648</v>
      </c>
      <c r="O37" s="890"/>
      <c r="R37" s="890"/>
    </row>
    <row r="62" spans="1:8" x14ac:dyDescent="0.25">
      <c r="A62" s="863"/>
      <c r="B62" s="1805" t="s">
        <v>468</v>
      </c>
      <c r="C62" s="1805"/>
      <c r="D62" s="1805"/>
      <c r="E62" s="1805"/>
      <c r="F62" s="1805"/>
      <c r="G62" s="1805"/>
      <c r="H62" s="1805"/>
    </row>
    <row r="63" spans="1:8" x14ac:dyDescent="0.25">
      <c r="A63" s="863"/>
      <c r="B63" s="1791"/>
      <c r="C63" s="1791"/>
      <c r="D63" s="1791"/>
      <c r="E63" s="1791"/>
      <c r="F63" s="1791"/>
      <c r="G63" s="1791"/>
      <c r="H63" s="1791"/>
    </row>
    <row r="64" spans="1:8" ht="25.5" x14ac:dyDescent="0.2">
      <c r="A64" s="1350" t="s">
        <v>864</v>
      </c>
      <c r="B64" s="923" t="s">
        <v>241</v>
      </c>
      <c r="C64" s="934" t="s">
        <v>242</v>
      </c>
      <c r="D64" s="923" t="s">
        <v>231</v>
      </c>
      <c r="E64" s="935" t="s">
        <v>234</v>
      </c>
      <c r="F64" s="935" t="s">
        <v>243</v>
      </c>
      <c r="G64" s="923" t="s">
        <v>244</v>
      </c>
      <c r="H64" s="936" t="s">
        <v>334</v>
      </c>
    </row>
    <row r="65" spans="1:12" x14ac:dyDescent="0.25">
      <c r="A65" s="949" t="s">
        <v>872</v>
      </c>
      <c r="B65" s="914" t="str">
        <f>B5</f>
        <v>Chicken - دجاج</v>
      </c>
      <c r="C65" s="914" t="str">
        <f t="shared" ref="C65:F65" si="9">C5</f>
        <v>KG</v>
      </c>
      <c r="D65" s="940">
        <f t="shared" si="9"/>
        <v>1724.1379310344828</v>
      </c>
      <c r="E65" s="914">
        <f t="shared" si="9"/>
        <v>23.16</v>
      </c>
      <c r="F65" s="1742">
        <f t="shared" si="9"/>
        <v>1</v>
      </c>
      <c r="G65" s="940">
        <f>D65*E65</f>
        <v>39931.034482758623</v>
      </c>
      <c r="H65" s="943">
        <f>G65*F65</f>
        <v>39931.034482758623</v>
      </c>
      <c r="I65" s="73"/>
      <c r="J65" s="92"/>
      <c r="K65" s="73"/>
      <c r="L65" s="92"/>
    </row>
    <row r="66" spans="1:12" x14ac:dyDescent="0.25">
      <c r="A66" s="949"/>
      <c r="B66" s="914" t="str">
        <f t="shared" ref="B66:F66" si="10">B6</f>
        <v>Sweet Corn - ذرة حلوة</v>
      </c>
      <c r="C66" s="914" t="str">
        <f t="shared" si="10"/>
        <v>gm</v>
      </c>
      <c r="D66" s="940">
        <f t="shared" si="10"/>
        <v>80</v>
      </c>
      <c r="E66" s="914">
        <f t="shared" si="10"/>
        <v>23.16</v>
      </c>
      <c r="F66" s="1742">
        <f t="shared" si="10"/>
        <v>1</v>
      </c>
      <c r="G66" s="940">
        <f>D66*E66</f>
        <v>1852.8</v>
      </c>
      <c r="H66" s="943">
        <f>G66*F66</f>
        <v>1852.8</v>
      </c>
    </row>
    <row r="67" spans="1:12" x14ac:dyDescent="0.25">
      <c r="A67" s="949" t="s">
        <v>886</v>
      </c>
      <c r="B67" s="914" t="str">
        <f t="shared" ref="B67:F67" si="11">B7</f>
        <v>Carrot - جزر</v>
      </c>
      <c r="C67" s="914" t="str">
        <f t="shared" si="11"/>
        <v>gm</v>
      </c>
      <c r="D67" s="940">
        <f t="shared" si="11"/>
        <v>166.66666666666669</v>
      </c>
      <c r="E67" s="914">
        <f t="shared" si="11"/>
        <v>23.16</v>
      </c>
      <c r="F67" s="1742">
        <f t="shared" si="11"/>
        <v>1</v>
      </c>
      <c r="G67" s="940">
        <f>D67*E67</f>
        <v>3860.0000000000005</v>
      </c>
      <c r="H67" s="943">
        <f>G67*F67</f>
        <v>3860.0000000000005</v>
      </c>
    </row>
    <row r="68" spans="1:12" ht="25.5" x14ac:dyDescent="0.25">
      <c r="A68" s="949"/>
      <c r="B68" s="914" t="str">
        <f t="shared" ref="B68:F68" si="12">B8</f>
        <v>Frozen Green Peas - بازلاء خضراء مجمده</v>
      </c>
      <c r="C68" s="914" t="str">
        <f t="shared" si="12"/>
        <v>gm</v>
      </c>
      <c r="D68" s="940">
        <f t="shared" si="12"/>
        <v>80</v>
      </c>
      <c r="E68" s="914">
        <f t="shared" si="12"/>
        <v>23.16</v>
      </c>
      <c r="F68" s="1742">
        <f t="shared" si="12"/>
        <v>1</v>
      </c>
      <c r="G68" s="940">
        <f>D68*E68</f>
        <v>1852.8</v>
      </c>
      <c r="H68" s="943">
        <f>G68*F68</f>
        <v>1852.8</v>
      </c>
    </row>
    <row r="69" spans="1:12" x14ac:dyDescent="0.25">
      <c r="A69" s="949" t="s">
        <v>887</v>
      </c>
      <c r="B69" s="914" t="str">
        <f t="shared" ref="B69:F69" si="13">B9</f>
        <v>Red Cabbage - ملفوف أحمر</v>
      </c>
      <c r="C69" s="914" t="str">
        <f t="shared" si="13"/>
        <v>gm</v>
      </c>
      <c r="D69" s="940">
        <f t="shared" si="13"/>
        <v>100</v>
      </c>
      <c r="E69" s="914">
        <f t="shared" si="13"/>
        <v>23.16</v>
      </c>
      <c r="F69" s="1742">
        <f t="shared" si="13"/>
        <v>1</v>
      </c>
      <c r="G69" s="940">
        <f>D69*E69</f>
        <v>2316</v>
      </c>
      <c r="H69" s="943">
        <f>G69*F69</f>
        <v>2316</v>
      </c>
    </row>
    <row r="70" spans="1:12" ht="15.75" x14ac:dyDescent="0.25">
      <c r="B70" s="1041" t="s">
        <v>287</v>
      </c>
      <c r="C70" s="228"/>
      <c r="D70" s="228"/>
      <c r="E70" s="260"/>
      <c r="F70" s="91"/>
      <c r="G70" s="92"/>
      <c r="H70" s="93"/>
    </row>
    <row r="71" spans="1:12" ht="20.25" x14ac:dyDescent="0.3">
      <c r="B71" s="1047">
        <f>$S$32</f>
        <v>23160</v>
      </c>
      <c r="C71" s="228"/>
      <c r="D71" s="228"/>
      <c r="E71" s="260"/>
      <c r="F71" s="91"/>
      <c r="G71" s="92"/>
      <c r="H71" s="93"/>
    </row>
    <row r="72" spans="1:12" x14ac:dyDescent="0.25">
      <c r="B72" s="228"/>
      <c r="C72" s="228"/>
      <c r="D72" s="228"/>
      <c r="E72" s="260"/>
      <c r="F72" s="91"/>
      <c r="G72" s="92"/>
      <c r="H72" s="93"/>
    </row>
    <row r="73" spans="1:12" x14ac:dyDescent="0.25">
      <c r="B73" s="228"/>
      <c r="C73" s="228"/>
      <c r="D73" s="228"/>
      <c r="E73" s="260"/>
      <c r="F73" s="91"/>
      <c r="G73" s="92"/>
      <c r="H73" s="93"/>
    </row>
    <row r="74" spans="1:12" x14ac:dyDescent="0.25">
      <c r="B74" s="228"/>
      <c r="C74" s="228"/>
      <c r="D74" s="228"/>
      <c r="E74" s="260"/>
      <c r="F74" s="91"/>
      <c r="G74" s="92"/>
      <c r="H74" s="93"/>
    </row>
    <row r="75" spans="1:12" x14ac:dyDescent="0.25">
      <c r="B75" s="228"/>
      <c r="C75" s="228"/>
      <c r="D75" s="228"/>
      <c r="E75" s="260"/>
      <c r="F75" s="91"/>
      <c r="G75" s="92"/>
      <c r="H75" s="93"/>
    </row>
  </sheetData>
  <mergeCells count="6">
    <mergeCell ref="B62:H63"/>
    <mergeCell ref="AL2:AM2"/>
    <mergeCell ref="R25:U25"/>
    <mergeCell ref="R26:U26"/>
    <mergeCell ref="B2:H3"/>
    <mergeCell ref="B35:F35"/>
  </mergeCells>
  <printOptions horizontalCentered="1"/>
  <pageMargins left="0.4" right="0.4" top="1" bottom="0.5" header="0.3" footer="0.511811023622047"/>
  <pageSetup paperSize="9" scale="44" orientation="landscape" r:id="rId1"/>
  <legacyDrawing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rgb="FFA6A6A6"/>
    <pageSetUpPr fitToPage="1"/>
  </sheetPr>
  <dimension ref="A1:AG138"/>
  <sheetViews>
    <sheetView topLeftCell="K19" zoomScale="70" zoomScaleNormal="70" workbookViewId="0">
      <selection activeCell="Q44" sqref="Q44"/>
    </sheetView>
  </sheetViews>
  <sheetFormatPr defaultColWidth="12.5" defaultRowHeight="15" x14ac:dyDescent="0.25"/>
  <cols>
    <col min="1" max="1" width="25.25" style="1" bestFit="1" customWidth="1"/>
    <col min="2" max="2" width="31.875" bestFit="1" customWidth="1"/>
    <col min="3" max="3" width="15" bestFit="1" customWidth="1"/>
    <col min="4" max="4" width="18.5" bestFit="1" customWidth="1"/>
    <col min="5" max="5" width="24.625" bestFit="1" customWidth="1"/>
    <col min="6" max="6" width="22.5" bestFit="1" customWidth="1"/>
    <col min="7" max="8" width="25.625" bestFit="1" customWidth="1"/>
    <col min="9" max="9" width="21.875" bestFit="1" customWidth="1"/>
    <col min="10" max="10" width="13.875" bestFit="1" customWidth="1"/>
    <col min="11" max="11" width="11.125" bestFit="1" customWidth="1"/>
    <col min="12" max="12" width="6.75" bestFit="1" customWidth="1"/>
    <col min="13" max="16" width="5.375" customWidth="1"/>
    <col min="17" max="17" width="12.25" bestFit="1" customWidth="1"/>
    <col min="18" max="18" width="37.25" bestFit="1" customWidth="1"/>
    <col min="19" max="19" width="10" bestFit="1" customWidth="1"/>
    <col min="20" max="20" width="10.875" bestFit="1" customWidth="1"/>
    <col min="21" max="21" width="11.25" bestFit="1" customWidth="1"/>
    <col min="22" max="22" width="12.125" bestFit="1" customWidth="1"/>
    <col min="23" max="23" width="37.75" bestFit="1" customWidth="1"/>
    <col min="24" max="24" width="31.75" customWidth="1"/>
    <col min="25" max="25" width="7.75" bestFit="1" customWidth="1"/>
    <col min="26" max="26" width="11.25" bestFit="1" customWidth="1"/>
    <col min="27" max="27" width="13.125" bestFit="1" customWidth="1"/>
    <col min="28" max="28" width="11.25" style="386" bestFit="1" customWidth="1"/>
    <col min="29" max="29" width="12.25" style="386" bestFit="1" customWidth="1"/>
    <col min="30" max="30" width="4.75" bestFit="1" customWidth="1"/>
  </cols>
  <sheetData>
    <row r="1" spans="1:33" x14ac:dyDescent="0.2">
      <c r="A1" s="872" t="s">
        <v>231</v>
      </c>
      <c r="B1" s="242">
        <v>1000</v>
      </c>
      <c r="C1" s="70" t="s">
        <v>312</v>
      </c>
      <c r="D1" s="71">
        <f>$S$30/J1</f>
        <v>30809.523809523809</v>
      </c>
      <c r="E1" s="72" t="s">
        <v>236</v>
      </c>
      <c r="F1" s="73" t="s">
        <v>313</v>
      </c>
      <c r="G1" s="72" t="s">
        <v>314</v>
      </c>
      <c r="H1" s="195">
        <f>H52</f>
        <v>19.41</v>
      </c>
      <c r="I1" s="74" t="s">
        <v>238</v>
      </c>
      <c r="J1" s="196">
        <v>0.63</v>
      </c>
      <c r="K1" s="80"/>
      <c r="Y1" s="72" t="s">
        <v>444</v>
      </c>
      <c r="Z1" s="422">
        <v>18910</v>
      </c>
      <c r="AA1" s="72" t="s">
        <v>544</v>
      </c>
      <c r="AB1" s="422">
        <v>500</v>
      </c>
      <c r="AC1" s="72" t="s">
        <v>537</v>
      </c>
      <c r="AD1" s="422">
        <v>137</v>
      </c>
    </row>
    <row r="2" spans="1:33" x14ac:dyDescent="0.25">
      <c r="A2" s="860"/>
      <c r="B2" s="1851" t="s">
        <v>914</v>
      </c>
      <c r="C2" s="1796"/>
      <c r="D2" s="1796"/>
      <c r="E2" s="1796"/>
      <c r="F2" s="1796"/>
      <c r="G2" s="1796"/>
      <c r="H2" s="1796"/>
      <c r="I2" s="1796"/>
      <c r="J2" s="1796"/>
      <c r="K2" s="1796"/>
      <c r="L2" s="187"/>
      <c r="M2" s="80"/>
      <c r="N2" s="80"/>
      <c r="AE2" s="1772"/>
      <c r="AF2" s="1796"/>
      <c r="AG2" s="1796"/>
    </row>
    <row r="3" spans="1:33" x14ac:dyDescent="0.25">
      <c r="A3" s="860"/>
      <c r="B3" s="1796"/>
      <c r="C3" s="1796"/>
      <c r="D3" s="1796"/>
      <c r="E3" s="1796"/>
      <c r="F3" s="1796"/>
      <c r="G3" s="1796"/>
      <c r="H3" s="1796"/>
      <c r="I3" s="1796"/>
      <c r="J3" s="1796"/>
      <c r="K3" s="1796"/>
      <c r="L3" s="187"/>
      <c r="M3" s="80"/>
      <c r="N3" s="80"/>
      <c r="AE3" s="1796"/>
      <c r="AF3" s="1796"/>
      <c r="AG3" s="1796"/>
    </row>
    <row r="4" spans="1:33" ht="38.25" x14ac:dyDescent="0.2">
      <c r="A4" s="1350" t="s">
        <v>864</v>
      </c>
      <c r="B4" s="923" t="s">
        <v>241</v>
      </c>
      <c r="C4" s="1104" t="s">
        <v>316</v>
      </c>
      <c r="D4" s="923" t="s">
        <v>317</v>
      </c>
      <c r="E4" s="935" t="s">
        <v>318</v>
      </c>
      <c r="F4" s="935" t="s">
        <v>319</v>
      </c>
      <c r="G4" s="1266" t="s">
        <v>320</v>
      </c>
      <c r="H4" s="936" t="s">
        <v>321</v>
      </c>
      <c r="I4" s="923" t="s">
        <v>246</v>
      </c>
      <c r="J4" s="923" t="s">
        <v>247</v>
      </c>
      <c r="K4" s="923" t="s">
        <v>248</v>
      </c>
      <c r="L4" s="923" t="s">
        <v>249</v>
      </c>
    </row>
    <row r="5" spans="1:33" x14ac:dyDescent="0.25">
      <c r="A5" s="949" t="s">
        <v>874</v>
      </c>
      <c r="B5" s="1614" t="s">
        <v>220</v>
      </c>
      <c r="C5" s="947" t="s">
        <v>14</v>
      </c>
      <c r="D5" s="1615">
        <f>I51/H51</f>
        <v>1587.3015873015872</v>
      </c>
      <c r="E5" s="1615">
        <f>I52/D5</f>
        <v>19.41</v>
      </c>
      <c r="F5" s="1616">
        <v>1</v>
      </c>
      <c r="G5" s="940">
        <f t="shared" ref="G5:G17" si="0">D5*E5</f>
        <v>30809.523809523809</v>
      </c>
      <c r="H5" s="1617">
        <f>D1</f>
        <v>30809.523809523809</v>
      </c>
      <c r="I5" s="914">
        <f>VLOOKUP(B5,All_Ingredients!$A$1:$F$161,6,FALSE())</f>
        <v>0.86</v>
      </c>
      <c r="J5" s="940">
        <f>VLOOKUP(B5,All_Ingredients!$A$1:$J$161,10,FALSE())</f>
        <v>17.100000000000001</v>
      </c>
      <c r="K5" s="945">
        <f t="shared" ref="K5" si="1">(H5/I5)/1000</f>
        <v>35.825027685492799</v>
      </c>
      <c r="L5" s="945">
        <f t="shared" ref="L5" si="2">K5*J5</f>
        <v>612.60797342192689</v>
      </c>
    </row>
    <row r="6" spans="1:33" x14ac:dyDescent="0.25">
      <c r="A6" s="1117"/>
      <c r="B6" s="1252" t="s">
        <v>136</v>
      </c>
      <c r="C6" s="947" t="s">
        <v>14</v>
      </c>
      <c r="D6" s="1618">
        <v>35</v>
      </c>
      <c r="E6" s="1615">
        <f t="shared" ref="E6:E17" si="3">$H$52</f>
        <v>19.41</v>
      </c>
      <c r="F6" s="1616">
        <v>0.5</v>
      </c>
      <c r="G6" s="940">
        <f t="shared" si="0"/>
        <v>679.35</v>
      </c>
      <c r="H6" s="1617">
        <f t="shared" ref="H6:H17" si="4">G6*F6</f>
        <v>339.67500000000001</v>
      </c>
      <c r="I6" s="914">
        <f>VLOOKUP(B6,All_Ingredients!$A$1:$F$161,6,FALSE())</f>
        <v>1</v>
      </c>
      <c r="J6" s="940">
        <f>VLOOKUP(B6,All_Ingredients!$A$1:$J$161,10,FALSE())</f>
        <v>43.75</v>
      </c>
      <c r="K6" s="945">
        <f t="shared" ref="K6:K17" si="5">(H6/I6)/1000</f>
        <v>0.339675</v>
      </c>
      <c r="L6" s="945">
        <f t="shared" ref="L6:L17" si="6">K6*J6</f>
        <v>14.86078125</v>
      </c>
    </row>
    <row r="7" spans="1:33" x14ac:dyDescent="0.25">
      <c r="A7" s="1117"/>
      <c r="B7" s="1252" t="s">
        <v>105</v>
      </c>
      <c r="C7" s="947" t="s">
        <v>14</v>
      </c>
      <c r="D7" s="1618">
        <v>20</v>
      </c>
      <c r="E7" s="1615">
        <f t="shared" si="3"/>
        <v>19.41</v>
      </c>
      <c r="F7" s="1616">
        <v>0.7</v>
      </c>
      <c r="G7" s="940">
        <f t="shared" si="0"/>
        <v>388.2</v>
      </c>
      <c r="H7" s="1617">
        <f t="shared" si="4"/>
        <v>271.73999999999995</v>
      </c>
      <c r="I7" s="914">
        <f>VLOOKUP(B7,All_Ingredients!$A$1:$F$161,6,FALSE())</f>
        <v>1</v>
      </c>
      <c r="J7" s="940">
        <f>VLOOKUP(B7,All_Ingredients!$A$1:$J$161,10,FALSE())</f>
        <v>15</v>
      </c>
      <c r="K7" s="945">
        <f t="shared" si="5"/>
        <v>0.27173999999999993</v>
      </c>
      <c r="L7" s="945">
        <f t="shared" si="6"/>
        <v>4.0760999999999985</v>
      </c>
    </row>
    <row r="8" spans="1:33" x14ac:dyDescent="0.25">
      <c r="A8" s="1117"/>
      <c r="B8" s="959" t="s">
        <v>139</v>
      </c>
      <c r="C8" s="947" t="s">
        <v>14</v>
      </c>
      <c r="D8" s="1618">
        <v>20</v>
      </c>
      <c r="E8" s="1615">
        <f t="shared" si="3"/>
        <v>19.41</v>
      </c>
      <c r="F8" s="1616">
        <v>0.75</v>
      </c>
      <c r="G8" s="940">
        <f t="shared" si="0"/>
        <v>388.2</v>
      </c>
      <c r="H8" s="1617">
        <f t="shared" si="4"/>
        <v>291.14999999999998</v>
      </c>
      <c r="I8" s="914">
        <f>VLOOKUP(B8,All_Ingredients!$A$1:$F$161,6,FALSE())</f>
        <v>1</v>
      </c>
      <c r="J8" s="940">
        <f>VLOOKUP(B8,All_Ingredients!$A$1:$J$161,10,FALSE())</f>
        <v>15.277777777777779</v>
      </c>
      <c r="K8" s="945">
        <f t="shared" si="5"/>
        <v>0.29114999999999996</v>
      </c>
      <c r="L8" s="945">
        <f t="shared" si="6"/>
        <v>4.4481250000000001</v>
      </c>
    </row>
    <row r="9" spans="1:33" x14ac:dyDescent="0.25">
      <c r="A9" s="1117"/>
      <c r="B9" s="1252" t="s">
        <v>107</v>
      </c>
      <c r="C9" s="947" t="s">
        <v>14</v>
      </c>
      <c r="D9" s="1618">
        <v>20</v>
      </c>
      <c r="E9" s="1615">
        <f t="shared" si="3"/>
        <v>19.41</v>
      </c>
      <c r="F9" s="1616">
        <v>0.7</v>
      </c>
      <c r="G9" s="940">
        <f t="shared" si="0"/>
        <v>388.2</v>
      </c>
      <c r="H9" s="1617">
        <f t="shared" si="4"/>
        <v>271.73999999999995</v>
      </c>
      <c r="I9" s="914">
        <f>VLOOKUP(B9,All_Ingredients!$A$1:$F$161,6,FALSE())</f>
        <v>1</v>
      </c>
      <c r="J9" s="940">
        <f>VLOOKUP(B9,All_Ingredients!$A$1:$J$161,10,FALSE())</f>
        <v>8</v>
      </c>
      <c r="K9" s="945">
        <f t="shared" si="5"/>
        <v>0.27173999999999993</v>
      </c>
      <c r="L9" s="945">
        <f t="shared" si="6"/>
        <v>2.1739199999999994</v>
      </c>
    </row>
    <row r="10" spans="1:33" x14ac:dyDescent="0.25">
      <c r="A10" s="1117"/>
      <c r="B10" s="959" t="s">
        <v>678</v>
      </c>
      <c r="C10" s="947" t="s">
        <v>14</v>
      </c>
      <c r="D10" s="1618">
        <v>70</v>
      </c>
      <c r="E10" s="1615">
        <f t="shared" si="3"/>
        <v>19.41</v>
      </c>
      <c r="F10" s="1616">
        <v>0.6</v>
      </c>
      <c r="G10" s="940">
        <f t="shared" si="0"/>
        <v>1358.7</v>
      </c>
      <c r="H10" s="1617">
        <f t="shared" si="4"/>
        <v>815.22</v>
      </c>
      <c r="I10" s="914">
        <f>VLOOKUP(B10,All_Ingredients!$A$1:$F$161,6,FALSE())</f>
        <v>1</v>
      </c>
      <c r="J10" s="940">
        <f>VLOOKUP(B10,All_Ingredients!$A$1:$J$161,10,FALSE())</f>
        <v>8.1520833333333336</v>
      </c>
      <c r="K10" s="945">
        <f t="shared" si="5"/>
        <v>0.81522000000000006</v>
      </c>
      <c r="L10" s="945">
        <f t="shared" si="6"/>
        <v>6.645741375000001</v>
      </c>
    </row>
    <row r="11" spans="1:33" x14ac:dyDescent="0.25">
      <c r="A11" s="1117" t="s">
        <v>885</v>
      </c>
      <c r="B11" s="1252" t="s">
        <v>17</v>
      </c>
      <c r="C11" s="947" t="s">
        <v>14</v>
      </c>
      <c r="D11" s="1618">
        <v>100</v>
      </c>
      <c r="E11" s="1615">
        <f t="shared" si="3"/>
        <v>19.41</v>
      </c>
      <c r="F11" s="1616">
        <v>1</v>
      </c>
      <c r="G11" s="940">
        <f t="shared" si="0"/>
        <v>1941</v>
      </c>
      <c r="H11" s="1617">
        <f t="shared" si="4"/>
        <v>1941</v>
      </c>
      <c r="I11" s="914">
        <f>VLOOKUP(B11,All_Ingredients!$A$1:$F$161,6,FALSE())</f>
        <v>0.98</v>
      </c>
      <c r="J11" s="940">
        <f>VLOOKUP(B11,All_Ingredients!$A$1:$J$161,10,FALSE())</f>
        <v>3.5</v>
      </c>
      <c r="K11" s="945">
        <f t="shared" si="5"/>
        <v>1.9806122448979593</v>
      </c>
      <c r="L11" s="945">
        <f t="shared" si="6"/>
        <v>6.9321428571428578</v>
      </c>
    </row>
    <row r="12" spans="1:33" x14ac:dyDescent="0.25">
      <c r="A12" s="1117"/>
      <c r="B12" s="1252" t="s">
        <v>93</v>
      </c>
      <c r="C12" s="947" t="s">
        <v>14</v>
      </c>
      <c r="D12" s="1618">
        <v>10</v>
      </c>
      <c r="E12" s="1615">
        <f t="shared" si="3"/>
        <v>19.41</v>
      </c>
      <c r="F12" s="1616">
        <v>0.75</v>
      </c>
      <c r="G12" s="940">
        <f t="shared" si="0"/>
        <v>194.1</v>
      </c>
      <c r="H12" s="1617">
        <f t="shared" si="4"/>
        <v>145.57499999999999</v>
      </c>
      <c r="I12" s="914">
        <f>VLOOKUP(B12,All_Ingredients!$A$1:$F$161,6,FALSE())</f>
        <v>1</v>
      </c>
      <c r="J12" s="940">
        <f>VLOOKUP(B12,All_Ingredients!$A$1:$J$161,10,FALSE())</f>
        <v>0.74</v>
      </c>
      <c r="K12" s="945">
        <f t="shared" si="5"/>
        <v>0.14557499999999998</v>
      </c>
      <c r="L12" s="945">
        <f t="shared" si="6"/>
        <v>0.10772549999999999</v>
      </c>
    </row>
    <row r="13" spans="1:33" x14ac:dyDescent="0.25">
      <c r="A13" s="1117" t="s">
        <v>868</v>
      </c>
      <c r="B13" s="1252" t="s">
        <v>706</v>
      </c>
      <c r="C13" s="947" t="s">
        <v>14</v>
      </c>
      <c r="D13" s="1618">
        <v>10</v>
      </c>
      <c r="E13" s="1615">
        <f t="shared" si="3"/>
        <v>19.41</v>
      </c>
      <c r="F13" s="1616">
        <v>0.5</v>
      </c>
      <c r="G13" s="940">
        <f t="shared" si="0"/>
        <v>194.1</v>
      </c>
      <c r="H13" s="1617">
        <f t="shared" si="4"/>
        <v>97.05</v>
      </c>
      <c r="I13" s="914">
        <f>VLOOKUP(B13,All_Ingredients!$A$1:$F$161,6,FALSE())</f>
        <v>1</v>
      </c>
      <c r="J13" s="940">
        <f>VLOOKUP(B13,All_Ingredients!$A$1:$J$161,10,FALSE())</f>
        <v>10.5</v>
      </c>
      <c r="K13" s="945">
        <f t="shared" si="5"/>
        <v>9.7049999999999997E-2</v>
      </c>
      <c r="L13" s="945">
        <f t="shared" si="6"/>
        <v>1.0190250000000001</v>
      </c>
    </row>
    <row r="14" spans="1:33" x14ac:dyDescent="0.25">
      <c r="A14" s="1117"/>
      <c r="B14" s="1252" t="s">
        <v>60</v>
      </c>
      <c r="C14" s="947" t="s">
        <v>14</v>
      </c>
      <c r="D14" s="1618">
        <v>15</v>
      </c>
      <c r="E14" s="1615">
        <f t="shared" si="3"/>
        <v>19.41</v>
      </c>
      <c r="F14" s="1619">
        <v>0.6</v>
      </c>
      <c r="G14" s="940">
        <f t="shared" si="0"/>
        <v>291.14999999999998</v>
      </c>
      <c r="H14" s="1617">
        <f t="shared" si="4"/>
        <v>174.68999999999997</v>
      </c>
      <c r="I14" s="914">
        <f>VLOOKUP(B14,All_Ingredients!$A$1:$F$161,6,FALSE())</f>
        <v>0.94</v>
      </c>
      <c r="J14" s="940">
        <f>VLOOKUP(B14,All_Ingredients!$A$1:$J$161,10,FALSE())</f>
        <v>3.6363636363636367</v>
      </c>
      <c r="K14" s="945">
        <f t="shared" si="5"/>
        <v>0.18584042553191485</v>
      </c>
      <c r="L14" s="945">
        <f t="shared" si="6"/>
        <v>0.67578336557059948</v>
      </c>
    </row>
    <row r="15" spans="1:33" x14ac:dyDescent="0.25">
      <c r="A15" s="1117"/>
      <c r="B15" s="1252" t="s">
        <v>32</v>
      </c>
      <c r="C15" s="947" t="s">
        <v>14</v>
      </c>
      <c r="D15" s="1618">
        <v>50</v>
      </c>
      <c r="E15" s="1615">
        <f t="shared" si="3"/>
        <v>19.41</v>
      </c>
      <c r="F15" s="1616">
        <v>1</v>
      </c>
      <c r="G15" s="940">
        <f t="shared" si="0"/>
        <v>970.5</v>
      </c>
      <c r="H15" s="1617">
        <f t="shared" si="4"/>
        <v>970.5</v>
      </c>
      <c r="I15" s="914">
        <f>VLOOKUP(B15,All_Ingredients!$A$1:$F$161,6,FALSE())</f>
        <v>0.69</v>
      </c>
      <c r="J15" s="940">
        <f>VLOOKUP(B15,All_Ingredients!$A$1:$J$161,10,FALSE())</f>
        <v>4</v>
      </c>
      <c r="K15" s="945">
        <f t="shared" si="5"/>
        <v>1.406521739130435</v>
      </c>
      <c r="L15" s="945">
        <f t="shared" si="6"/>
        <v>5.62608695652174</v>
      </c>
    </row>
    <row r="16" spans="1:33" x14ac:dyDescent="0.25">
      <c r="A16" s="1117" t="s">
        <v>867</v>
      </c>
      <c r="B16" s="1252" t="s">
        <v>54</v>
      </c>
      <c r="C16" s="947" t="s">
        <v>14</v>
      </c>
      <c r="D16" s="1618">
        <v>30</v>
      </c>
      <c r="E16" s="1615">
        <f t="shared" si="3"/>
        <v>19.41</v>
      </c>
      <c r="F16" s="1616">
        <v>0.25</v>
      </c>
      <c r="G16" s="940">
        <f t="shared" si="0"/>
        <v>582.29999999999995</v>
      </c>
      <c r="H16" s="1617">
        <f t="shared" si="4"/>
        <v>145.57499999999999</v>
      </c>
      <c r="I16" s="914">
        <f>VLOOKUP(B16,All_Ingredients!$A$1:$F$161,6,FALSE())</f>
        <v>0.87</v>
      </c>
      <c r="J16" s="940">
        <f>VLOOKUP(B16,All_Ingredients!$A$1:$J$161,10,FALSE())</f>
        <v>7</v>
      </c>
      <c r="K16" s="945">
        <f t="shared" si="5"/>
        <v>0.16732758620689653</v>
      </c>
      <c r="L16" s="945">
        <f t="shared" si="6"/>
        <v>1.1712931034482756</v>
      </c>
    </row>
    <row r="17" spans="1:29" x14ac:dyDescent="0.25">
      <c r="A17" s="1117"/>
      <c r="B17" s="959" t="s">
        <v>203</v>
      </c>
      <c r="C17" s="947" t="s">
        <v>160</v>
      </c>
      <c r="D17" s="1618">
        <v>350</v>
      </c>
      <c r="E17" s="1615">
        <f t="shared" si="3"/>
        <v>19.41</v>
      </c>
      <c r="F17" s="1616">
        <v>1</v>
      </c>
      <c r="G17" s="940">
        <f t="shared" si="0"/>
        <v>6793.5</v>
      </c>
      <c r="H17" s="1617">
        <f t="shared" si="4"/>
        <v>6793.5</v>
      </c>
      <c r="I17" s="914">
        <f>VLOOKUP(B17,All_Ingredients!$A$1:$F$161,6,FALSE())</f>
        <v>1</v>
      </c>
      <c r="J17" s="940">
        <f>VLOOKUP(B17,All_Ingredients!$A$1:$J$161,10,FALSE())</f>
        <v>0</v>
      </c>
      <c r="K17" s="945">
        <f t="shared" si="5"/>
        <v>6.7934999999999999</v>
      </c>
      <c r="L17" s="945">
        <f t="shared" si="6"/>
        <v>0</v>
      </c>
    </row>
    <row r="18" spans="1:29" x14ac:dyDescent="0.25">
      <c r="A18" s="874"/>
      <c r="B18" s="80"/>
      <c r="C18" s="80"/>
      <c r="D18" s="80"/>
      <c r="E18" s="80"/>
      <c r="F18" s="80"/>
      <c r="L18" s="144"/>
    </row>
    <row r="19" spans="1:29" x14ac:dyDescent="0.25">
      <c r="A19" s="874"/>
      <c r="B19" s="80"/>
      <c r="C19" s="80"/>
      <c r="D19" s="80"/>
      <c r="E19" s="80"/>
      <c r="F19" s="80"/>
      <c r="L19" s="144"/>
    </row>
    <row r="20" spans="1:29" x14ac:dyDescent="0.25">
      <c r="A20" s="874"/>
      <c r="B20" s="80"/>
      <c r="C20" s="80"/>
      <c r="D20" s="80"/>
      <c r="E20" s="80"/>
      <c r="F20" s="80"/>
      <c r="L20" s="144"/>
    </row>
    <row r="21" spans="1:29" x14ac:dyDescent="0.25">
      <c r="A21" s="874"/>
      <c r="F21" s="80"/>
      <c r="L21" s="144"/>
    </row>
    <row r="22" spans="1:29" x14ac:dyDescent="0.25">
      <c r="A22" s="874"/>
      <c r="F22" s="80"/>
      <c r="L22" s="144"/>
    </row>
    <row r="23" spans="1:29" x14ac:dyDescent="0.25">
      <c r="A23" s="874"/>
      <c r="F23" s="80"/>
    </row>
    <row r="24" spans="1:29" x14ac:dyDescent="0.25">
      <c r="A24" s="874"/>
      <c r="F24" s="80"/>
      <c r="Z24" s="630"/>
    </row>
    <row r="25" spans="1:29" ht="15.75" x14ac:dyDescent="0.25">
      <c r="A25" s="874"/>
      <c r="F25" s="80"/>
      <c r="R25" s="1878" t="str">
        <f>B2</f>
        <v>Chicken Makloba - دجاج مقلوبة</v>
      </c>
      <c r="S25" s="1879"/>
      <c r="T25" s="1879"/>
      <c r="U25" s="593"/>
      <c r="Z25" s="96" t="s">
        <v>252</v>
      </c>
      <c r="AA25" s="97">
        <v>1</v>
      </c>
      <c r="AB25" s="96" t="s">
        <v>249</v>
      </c>
      <c r="AC25" s="98">
        <f>AC30*AA25</f>
        <v>3.402084996546164E-2</v>
      </c>
    </row>
    <row r="26" spans="1:29" x14ac:dyDescent="0.25">
      <c r="A26" s="874"/>
      <c r="F26" s="80"/>
      <c r="R26" s="1881" t="s">
        <v>323</v>
      </c>
      <c r="S26" s="1882"/>
      <c r="T26" s="1882"/>
      <c r="U26" s="593"/>
      <c r="AB26" s="14"/>
      <c r="AC26" s="14"/>
    </row>
    <row r="27" spans="1:29" ht="15.75" thickBot="1" x14ac:dyDescent="0.3">
      <c r="F27" s="80"/>
      <c r="R27" s="100" t="s">
        <v>254</v>
      </c>
      <c r="S27" s="101" t="s">
        <v>255</v>
      </c>
      <c r="T27" s="101" t="s">
        <v>257</v>
      </c>
      <c r="U27" s="101" t="s">
        <v>753</v>
      </c>
      <c r="Z27" s="96" t="s">
        <v>258</v>
      </c>
      <c r="AA27" s="102" t="s">
        <v>259</v>
      </c>
      <c r="AB27" s="581" t="s">
        <v>753</v>
      </c>
      <c r="AC27" s="102" t="s">
        <v>262</v>
      </c>
    </row>
    <row r="28" spans="1:29" ht="15.75" thickBot="1" x14ac:dyDescent="0.3">
      <c r="B28" s="80"/>
      <c r="E28" s="80"/>
      <c r="F28" s="80"/>
      <c r="R28" s="103" t="s">
        <v>324</v>
      </c>
      <c r="S28" s="385">
        <f>$Z$1</f>
        <v>18910</v>
      </c>
      <c r="T28" s="380">
        <f>S28</f>
        <v>18910</v>
      </c>
      <c r="U28" s="104">
        <f>SUM(H37)</f>
        <v>0</v>
      </c>
      <c r="Z28" s="105"/>
      <c r="AA28" s="106">
        <f>AA25*$S$40</f>
        <v>1</v>
      </c>
      <c r="AB28" s="582"/>
      <c r="AC28" s="108">
        <f>SUM(AA28:AB28)</f>
        <v>1</v>
      </c>
    </row>
    <row r="29" spans="1:29" ht="15.75" thickBot="1" x14ac:dyDescent="0.3">
      <c r="B29" s="80"/>
      <c r="E29" s="80"/>
      <c r="F29" s="80"/>
      <c r="R29" s="103" t="s">
        <v>325</v>
      </c>
      <c r="S29" s="657">
        <f>$AB$1</f>
        <v>500</v>
      </c>
      <c r="T29" s="382">
        <f>S29</f>
        <v>500</v>
      </c>
      <c r="U29" s="109"/>
      <c r="Z29" s="105"/>
      <c r="AA29" s="110">
        <v>1</v>
      </c>
      <c r="AB29" s="583"/>
      <c r="AC29" s="110">
        <f>AC28/$AC$28</f>
        <v>1</v>
      </c>
    </row>
    <row r="30" spans="1:29" ht="15.75" thickBot="1" x14ac:dyDescent="0.3">
      <c r="B30" s="80"/>
      <c r="E30" s="80"/>
      <c r="F30" s="80"/>
      <c r="R30" s="114" t="s">
        <v>326</v>
      </c>
      <c r="S30" s="104">
        <f>S28+S29</f>
        <v>19410</v>
      </c>
      <c r="T30" s="104">
        <f>T28+T29</f>
        <v>19410</v>
      </c>
      <c r="U30" s="104">
        <f>U28+U29</f>
        <v>0</v>
      </c>
      <c r="Z30" s="96" t="s">
        <v>266</v>
      </c>
      <c r="AA30" s="111">
        <f>S33/(S30)</f>
        <v>3.402084996546164E-2</v>
      </c>
      <c r="AB30" s="585">
        <f>U33/T30</f>
        <v>0</v>
      </c>
      <c r="AC30" s="113">
        <f>SUMPRODUCT(AA30:AB30,AA29:AB29)</f>
        <v>3.402084996546164E-2</v>
      </c>
    </row>
    <row r="31" spans="1:29" ht="15.75" thickBot="1" x14ac:dyDescent="0.3">
      <c r="R31" s="115" t="s">
        <v>268</v>
      </c>
      <c r="S31" s="109"/>
      <c r="T31" s="109"/>
      <c r="U31" s="109"/>
    </row>
    <row r="32" spans="1:29" ht="15.75" thickBot="1" x14ac:dyDescent="0.3">
      <c r="R32" s="116" t="s">
        <v>269</v>
      </c>
      <c r="S32" s="109"/>
      <c r="T32" s="109"/>
      <c r="U32" s="109"/>
    </row>
    <row r="33" spans="17:23" ht="15.75" thickBot="1" x14ac:dyDescent="0.3">
      <c r="R33" s="117" t="s">
        <v>249</v>
      </c>
      <c r="S33" s="548">
        <f>SUM(L5:L17)</f>
        <v>660.34469782961037</v>
      </c>
      <c r="T33" s="589">
        <f>S33</f>
        <v>660.34469782961037</v>
      </c>
      <c r="U33" s="548">
        <f>SUM(L37)</f>
        <v>0</v>
      </c>
    </row>
    <row r="40" spans="17:23" x14ac:dyDescent="0.25">
      <c r="Q40" s="14"/>
      <c r="R40" s="119" t="s">
        <v>327</v>
      </c>
      <c r="S40" s="163">
        <v>1</v>
      </c>
    </row>
    <row r="41" spans="17:23" x14ac:dyDescent="0.25">
      <c r="Q41" s="14"/>
      <c r="R41" s="14"/>
      <c r="S41" s="14"/>
      <c r="T41" s="14"/>
      <c r="U41" s="123"/>
      <c r="V41" s="14"/>
      <c r="W41" s="14"/>
    </row>
    <row r="42" spans="17:23" x14ac:dyDescent="0.25">
      <c r="Q42" s="14"/>
      <c r="R42" s="14"/>
      <c r="S42" s="14"/>
      <c r="T42" s="14"/>
      <c r="U42" s="14"/>
      <c r="V42" s="14"/>
      <c r="W42" s="14"/>
    </row>
    <row r="43" spans="17:23" x14ac:dyDescent="0.25">
      <c r="Q43" s="124" t="s">
        <v>272</v>
      </c>
      <c r="R43" s="124" t="s">
        <v>273</v>
      </c>
      <c r="S43" s="124" t="s">
        <v>274</v>
      </c>
      <c r="T43" s="124" t="s">
        <v>275</v>
      </c>
      <c r="U43" s="124" t="s">
        <v>276</v>
      </c>
      <c r="V43" s="124" t="s">
        <v>277</v>
      </c>
      <c r="W43" s="174" t="s">
        <v>328</v>
      </c>
    </row>
    <row r="44" spans="17:23" x14ac:dyDescent="0.25">
      <c r="Q44" s="126">
        <v>10000</v>
      </c>
      <c r="R44" s="127">
        <v>0</v>
      </c>
      <c r="S44" s="164">
        <v>0</v>
      </c>
      <c r="T44" s="164">
        <v>0</v>
      </c>
      <c r="U44" s="165">
        <f>R44*S44</f>
        <v>0</v>
      </c>
      <c r="V44" s="129">
        <f>R44*T44</f>
        <v>0</v>
      </c>
      <c r="W44" s="175">
        <f>Q44-U44</f>
        <v>10000</v>
      </c>
    </row>
    <row r="50" spans="1:10" ht="15.75" thickBot="1" x14ac:dyDescent="0.3">
      <c r="G50" s="101" t="s">
        <v>280</v>
      </c>
      <c r="H50" s="101" t="s">
        <v>233</v>
      </c>
      <c r="I50" s="101" t="s">
        <v>281</v>
      </c>
      <c r="J50" s="101" t="s">
        <v>282</v>
      </c>
    </row>
    <row r="51" spans="1:10" ht="15.75" thickBot="1" x14ac:dyDescent="0.3">
      <c r="G51" s="197" t="s">
        <v>322</v>
      </c>
      <c r="H51" s="198">
        <v>10</v>
      </c>
      <c r="I51" s="198">
        <f>J51/J1</f>
        <v>15873.015873015873</v>
      </c>
      <c r="J51" s="199">
        <f>$W$44</f>
        <v>10000</v>
      </c>
    </row>
    <row r="52" spans="1:10" x14ac:dyDescent="0.25">
      <c r="G52" s="116" t="s">
        <v>262</v>
      </c>
      <c r="H52" s="200">
        <f>E5</f>
        <v>19.41</v>
      </c>
      <c r="I52" s="201">
        <f>J52/$J$1</f>
        <v>30809.523809523809</v>
      </c>
      <c r="J52" s="202">
        <f>$S$30</f>
        <v>19410</v>
      </c>
    </row>
    <row r="53" spans="1:10" x14ac:dyDescent="0.25">
      <c r="D53" s="266"/>
      <c r="G53" s="103" t="s">
        <v>284</v>
      </c>
      <c r="H53" s="203">
        <f>MIN($H$52, H51)</f>
        <v>10</v>
      </c>
      <c r="I53" s="129">
        <f>J53/$J$1</f>
        <v>15873.015873015873</v>
      </c>
      <c r="J53" s="204">
        <f>MIN(MAX($J$52,0),$J$51)</f>
        <v>10000</v>
      </c>
    </row>
    <row r="54" spans="1:10" x14ac:dyDescent="0.25">
      <c r="D54" s="266"/>
      <c r="G54" s="103" t="s">
        <v>285</v>
      </c>
      <c r="H54" s="203">
        <f>MIN(MAX($H$52-H53,0),H51)</f>
        <v>9.41</v>
      </c>
      <c r="I54" s="129">
        <f>J54/$J$1</f>
        <v>14936.507936507936</v>
      </c>
      <c r="J54" s="136">
        <f>MIN(MAX($J$52-J53,0),$J$51)</f>
        <v>9410</v>
      </c>
    </row>
    <row r="55" spans="1:10" x14ac:dyDescent="0.25">
      <c r="D55" s="266"/>
      <c r="G55" s="100" t="s">
        <v>286</v>
      </c>
      <c r="H55" s="203">
        <f>MIN(MAX($H$52-H53-H54,0),H51)</f>
        <v>0</v>
      </c>
      <c r="I55" s="129">
        <f>J55/$J$1</f>
        <v>0</v>
      </c>
      <c r="J55" s="204">
        <f>MIN(MAX($J$52-J53-J54,0),$J$51)</f>
        <v>0</v>
      </c>
    </row>
    <row r="56" spans="1:10" x14ac:dyDescent="0.25">
      <c r="G56" s="100" t="s">
        <v>293</v>
      </c>
      <c r="H56" s="203">
        <f>MIN(MAX($H$52-H53-H54-H55,0),H52)</f>
        <v>0</v>
      </c>
      <c r="I56" s="129">
        <f>J56/$J$1</f>
        <v>0</v>
      </c>
      <c r="J56" s="204">
        <f>MIN(MAX($J$52-J53-J54-J55,0),$J$51)</f>
        <v>0</v>
      </c>
    </row>
    <row r="62" spans="1:10" x14ac:dyDescent="0.2">
      <c r="A62" s="875"/>
      <c r="B62" s="1871" t="str">
        <f>"دجاج مقلوبة 1 / " &amp; COUNTIF($H$53:$H$56, "&gt;0")</f>
        <v>دجاج مقلوبة 1 / 2</v>
      </c>
      <c r="C62" s="1880"/>
      <c r="D62" s="1880"/>
      <c r="E62" s="1880"/>
      <c r="F62" s="1880"/>
      <c r="G62" s="1880"/>
      <c r="H62" s="1880"/>
    </row>
    <row r="63" spans="1:10" x14ac:dyDescent="0.2">
      <c r="A63" s="875"/>
      <c r="B63" s="1872" t="str">
        <f>"Chicken Maklouba 1 / " &amp; COUNTIF($H$53:$H$56, "&gt;0")</f>
        <v>Chicken Maklouba 1 / 2</v>
      </c>
      <c r="C63" s="1883"/>
      <c r="D63" s="1883"/>
      <c r="E63" s="1883"/>
      <c r="F63" s="1883"/>
      <c r="G63" s="1883"/>
      <c r="H63" s="1883"/>
    </row>
    <row r="64" spans="1:10" ht="38.25" x14ac:dyDescent="0.2">
      <c r="A64" s="1350" t="s">
        <v>864</v>
      </c>
      <c r="B64" s="923" t="s">
        <v>241</v>
      </c>
      <c r="C64" s="1104" t="s">
        <v>316</v>
      </c>
      <c r="D64" s="923" t="s">
        <v>317</v>
      </c>
      <c r="E64" s="935" t="s">
        <v>318</v>
      </c>
      <c r="F64" s="935" t="s">
        <v>319</v>
      </c>
      <c r="G64" s="1266" t="s">
        <v>320</v>
      </c>
      <c r="H64" s="936" t="s">
        <v>321</v>
      </c>
    </row>
    <row r="65" spans="1:8" x14ac:dyDescent="0.25">
      <c r="A65" s="949" t="s">
        <v>874</v>
      </c>
      <c r="B65" s="1252" t="str">
        <f t="shared" ref="B65:D77" si="7">B5</f>
        <v>Chicken - دجاج</v>
      </c>
      <c r="C65" s="1252" t="str">
        <f t="shared" si="7"/>
        <v>gm</v>
      </c>
      <c r="D65" s="1620">
        <f t="shared" si="7"/>
        <v>1587.3015873015872</v>
      </c>
      <c r="E65" s="1621">
        <f t="shared" ref="E65:E77" si="8">$H$53</f>
        <v>10</v>
      </c>
      <c r="F65" s="1616">
        <f t="shared" ref="F65:F77" si="9">F5</f>
        <v>1</v>
      </c>
      <c r="G65" s="940">
        <f t="shared" ref="G65:G77" si="10">D65*E65</f>
        <v>15873.015873015873</v>
      </c>
      <c r="H65" s="1617">
        <f t="shared" ref="H65:H77" si="11">G65*F65</f>
        <v>15873.015873015873</v>
      </c>
    </row>
    <row r="66" spans="1:8" x14ac:dyDescent="0.25">
      <c r="B66" s="1252" t="str">
        <f t="shared" si="7"/>
        <v>Kabsa Spices Powder - توابل كبسة بودر</v>
      </c>
      <c r="C66" s="1252" t="str">
        <f t="shared" si="7"/>
        <v>gm</v>
      </c>
      <c r="D66" s="1252">
        <f t="shared" si="7"/>
        <v>35</v>
      </c>
      <c r="E66" s="1621">
        <f t="shared" si="8"/>
        <v>10</v>
      </c>
      <c r="F66" s="1616">
        <f t="shared" si="9"/>
        <v>0.5</v>
      </c>
      <c r="G66" s="914">
        <f t="shared" si="10"/>
        <v>350</v>
      </c>
      <c r="H66" s="1617">
        <f t="shared" si="11"/>
        <v>175</v>
      </c>
    </row>
    <row r="67" spans="1:8" x14ac:dyDescent="0.25">
      <c r="B67" s="1252" t="str">
        <f t="shared" si="7"/>
        <v>Cumin Powder - كمون مطحون</v>
      </c>
      <c r="C67" s="1252" t="str">
        <f t="shared" si="7"/>
        <v>gm</v>
      </c>
      <c r="D67" s="1252">
        <f t="shared" si="7"/>
        <v>20</v>
      </c>
      <c r="E67" s="1621">
        <f t="shared" si="8"/>
        <v>10</v>
      </c>
      <c r="F67" s="1616">
        <f t="shared" si="9"/>
        <v>0.7</v>
      </c>
      <c r="G67" s="914">
        <f t="shared" si="10"/>
        <v>200</v>
      </c>
      <c r="H67" s="1617">
        <f t="shared" si="11"/>
        <v>140</v>
      </c>
    </row>
    <row r="68" spans="1:8" x14ac:dyDescent="0.25">
      <c r="B68" s="1252" t="str">
        <f t="shared" si="7"/>
        <v>Maggi Cubes - مكعبات ماجي</v>
      </c>
      <c r="C68" s="1252" t="str">
        <f t="shared" si="7"/>
        <v>gm</v>
      </c>
      <c r="D68" s="1252">
        <f t="shared" si="7"/>
        <v>20</v>
      </c>
      <c r="E68" s="1621">
        <f t="shared" si="8"/>
        <v>10</v>
      </c>
      <c r="F68" s="1616">
        <f t="shared" si="9"/>
        <v>0.75</v>
      </c>
      <c r="G68" s="914">
        <f t="shared" si="10"/>
        <v>200</v>
      </c>
      <c r="H68" s="1617">
        <f t="shared" si="11"/>
        <v>150</v>
      </c>
    </row>
    <row r="69" spans="1:8" x14ac:dyDescent="0.25">
      <c r="B69" s="1252" t="str">
        <f t="shared" si="7"/>
        <v>Coriander Powder - كزبرة مطحونة</v>
      </c>
      <c r="C69" s="1252" t="str">
        <f t="shared" si="7"/>
        <v>gm</v>
      </c>
      <c r="D69" s="1252">
        <f t="shared" si="7"/>
        <v>20</v>
      </c>
      <c r="E69" s="1621">
        <f t="shared" si="8"/>
        <v>10</v>
      </c>
      <c r="F69" s="1616">
        <f t="shared" si="9"/>
        <v>0.7</v>
      </c>
      <c r="G69" s="914">
        <f t="shared" si="10"/>
        <v>200</v>
      </c>
      <c r="H69" s="1617">
        <f t="shared" si="11"/>
        <v>140</v>
      </c>
    </row>
    <row r="70" spans="1:8" x14ac:dyDescent="0.25">
      <c r="B70" s="1252" t="str">
        <f t="shared" si="7"/>
        <v>Tomato Paste - صلصة طماطم</v>
      </c>
      <c r="C70" s="1252" t="str">
        <f t="shared" si="7"/>
        <v>gm</v>
      </c>
      <c r="D70" s="1252">
        <f t="shared" si="7"/>
        <v>70</v>
      </c>
      <c r="E70" s="1621">
        <f t="shared" si="8"/>
        <v>10</v>
      </c>
      <c r="F70" s="1616">
        <f t="shared" si="9"/>
        <v>0.6</v>
      </c>
      <c r="G70" s="914">
        <f t="shared" si="10"/>
        <v>700</v>
      </c>
      <c r="H70" s="1617">
        <f t="shared" si="11"/>
        <v>420</v>
      </c>
    </row>
    <row r="71" spans="1:8" x14ac:dyDescent="0.25">
      <c r="A71" s="1" t="s">
        <v>885</v>
      </c>
      <c r="B71" s="1252" t="str">
        <f t="shared" si="7"/>
        <v>Tomato - طماطم</v>
      </c>
      <c r="C71" s="1252" t="str">
        <f t="shared" si="7"/>
        <v>gm</v>
      </c>
      <c r="D71" s="1252">
        <f t="shared" si="7"/>
        <v>100</v>
      </c>
      <c r="E71" s="1621">
        <f t="shared" si="8"/>
        <v>10</v>
      </c>
      <c r="F71" s="1616">
        <f t="shared" si="9"/>
        <v>1</v>
      </c>
      <c r="G71" s="914">
        <f t="shared" si="10"/>
        <v>1000</v>
      </c>
      <c r="H71" s="1617">
        <f t="shared" si="11"/>
        <v>1000</v>
      </c>
    </row>
    <row r="72" spans="1:8" x14ac:dyDescent="0.25">
      <c r="B72" s="1252" t="str">
        <f t="shared" si="7"/>
        <v>Salt - ملح</v>
      </c>
      <c r="C72" s="1252" t="str">
        <f t="shared" si="7"/>
        <v>gm</v>
      </c>
      <c r="D72" s="1252">
        <f t="shared" si="7"/>
        <v>10</v>
      </c>
      <c r="E72" s="1621">
        <f t="shared" si="8"/>
        <v>10</v>
      </c>
      <c r="F72" s="1616">
        <f t="shared" si="9"/>
        <v>0.75</v>
      </c>
      <c r="G72" s="914">
        <f t="shared" si="10"/>
        <v>100</v>
      </c>
      <c r="H72" s="1617">
        <f t="shared" si="11"/>
        <v>75</v>
      </c>
    </row>
    <row r="73" spans="1:8" x14ac:dyDescent="0.25">
      <c r="A73" s="1" t="s">
        <v>868</v>
      </c>
      <c r="B73" s="1252" t="str">
        <f t="shared" si="7"/>
        <v>Garlic - ثوم مقشر</v>
      </c>
      <c r="C73" s="1252" t="str">
        <f t="shared" si="7"/>
        <v>gm</v>
      </c>
      <c r="D73" s="1252">
        <f t="shared" si="7"/>
        <v>10</v>
      </c>
      <c r="E73" s="1621">
        <f t="shared" si="8"/>
        <v>10</v>
      </c>
      <c r="F73" s="1616">
        <f t="shared" si="9"/>
        <v>0.5</v>
      </c>
      <c r="G73" s="914">
        <f t="shared" si="10"/>
        <v>100</v>
      </c>
      <c r="H73" s="1617">
        <f t="shared" si="11"/>
        <v>50</v>
      </c>
    </row>
    <row r="74" spans="1:8" x14ac:dyDescent="0.25">
      <c r="B74" s="1252" t="str">
        <f t="shared" si="7"/>
        <v>Coriander Leaves - كزبرة خضراء</v>
      </c>
      <c r="C74" s="1252" t="str">
        <f t="shared" si="7"/>
        <v>gm</v>
      </c>
      <c r="D74" s="1252">
        <f t="shared" si="7"/>
        <v>15</v>
      </c>
      <c r="E74" s="1621">
        <f t="shared" si="8"/>
        <v>10</v>
      </c>
      <c r="F74" s="1616">
        <f t="shared" si="9"/>
        <v>0.6</v>
      </c>
      <c r="G74" s="914">
        <f t="shared" si="10"/>
        <v>150</v>
      </c>
      <c r="H74" s="1617">
        <f t="shared" si="11"/>
        <v>90</v>
      </c>
    </row>
    <row r="75" spans="1:8" x14ac:dyDescent="0.25">
      <c r="B75" s="1252" t="str">
        <f t="shared" si="7"/>
        <v>Green Bell Pepper - فلفل أخضر رومى</v>
      </c>
      <c r="C75" s="1252" t="str">
        <f t="shared" si="7"/>
        <v>gm</v>
      </c>
      <c r="D75" s="1252">
        <f t="shared" si="7"/>
        <v>50</v>
      </c>
      <c r="E75" s="1621">
        <f t="shared" si="8"/>
        <v>10</v>
      </c>
      <c r="F75" s="1616">
        <f t="shared" si="9"/>
        <v>1</v>
      </c>
      <c r="G75" s="914">
        <f t="shared" si="10"/>
        <v>500</v>
      </c>
      <c r="H75" s="1617">
        <f t="shared" si="11"/>
        <v>500</v>
      </c>
    </row>
    <row r="76" spans="1:8" x14ac:dyDescent="0.25">
      <c r="A76" s="1" t="s">
        <v>867</v>
      </c>
      <c r="B76" s="1252" t="str">
        <f t="shared" si="7"/>
        <v>Ginger - زنجبيل</v>
      </c>
      <c r="C76" s="1252" t="str">
        <f t="shared" si="7"/>
        <v>gm</v>
      </c>
      <c r="D76" s="1252">
        <f t="shared" si="7"/>
        <v>30</v>
      </c>
      <c r="E76" s="1621">
        <f t="shared" si="8"/>
        <v>10</v>
      </c>
      <c r="F76" s="1616">
        <f t="shared" si="9"/>
        <v>0.25</v>
      </c>
      <c r="G76" s="914">
        <f t="shared" si="10"/>
        <v>300</v>
      </c>
      <c r="H76" s="1617">
        <f t="shared" si="11"/>
        <v>75</v>
      </c>
    </row>
    <row r="77" spans="1:8" x14ac:dyDescent="0.25">
      <c r="B77" s="1252" t="str">
        <f t="shared" si="7"/>
        <v>Water - ماء</v>
      </c>
      <c r="C77" s="1252" t="str">
        <f t="shared" si="7"/>
        <v>ml</v>
      </c>
      <c r="D77" s="1252">
        <f t="shared" si="7"/>
        <v>350</v>
      </c>
      <c r="E77" s="1621">
        <f t="shared" si="8"/>
        <v>10</v>
      </c>
      <c r="F77" s="1616">
        <f t="shared" si="9"/>
        <v>1</v>
      </c>
      <c r="G77" s="914">
        <f t="shared" si="10"/>
        <v>3500</v>
      </c>
      <c r="H77" s="1617">
        <f t="shared" si="11"/>
        <v>3500</v>
      </c>
    </row>
    <row r="78" spans="1:8" ht="18" x14ac:dyDescent="0.25">
      <c r="A78" s="861"/>
      <c r="B78" s="1622" t="s">
        <v>287</v>
      </c>
      <c r="C78" s="1042" t="s">
        <v>273</v>
      </c>
      <c r="D78" s="952"/>
      <c r="E78" s="1042" t="s">
        <v>288</v>
      </c>
      <c r="F78" s="952"/>
      <c r="G78" s="1045" t="s">
        <v>264</v>
      </c>
      <c r="H78" s="1045" t="s">
        <v>661</v>
      </c>
    </row>
    <row r="79" spans="1:8" ht="20.25" x14ac:dyDescent="0.3">
      <c r="A79" s="861"/>
      <c r="B79" s="1048">
        <f>$J$53</f>
        <v>10000</v>
      </c>
      <c r="C79" s="1283">
        <f>E79+G79</f>
        <v>0</v>
      </c>
      <c r="D79" s="972"/>
      <c r="E79" s="1283">
        <f>$C$53*$S$44</f>
        <v>0</v>
      </c>
      <c r="F79" s="1208"/>
      <c r="G79" s="1386">
        <f>$C$53*$T$44</f>
        <v>0</v>
      </c>
      <c r="H79" s="1386">
        <f>B79+E79</f>
        <v>10000</v>
      </c>
    </row>
    <row r="80" spans="1:8" x14ac:dyDescent="0.25">
      <c r="B80" s="959"/>
      <c r="C80" s="959"/>
      <c r="D80" s="959"/>
      <c r="E80" s="959"/>
      <c r="F80" s="959"/>
      <c r="G80" s="959"/>
      <c r="H80" s="959"/>
    </row>
    <row r="81" spans="1:8" x14ac:dyDescent="0.2">
      <c r="A81" s="875"/>
      <c r="B81" s="1776" t="str">
        <f>"دجاج مقلوبة 2 / " &amp; COUNTIF($H$53:$H$56, "&gt;0")</f>
        <v>دجاج مقلوبة 2 / 2</v>
      </c>
      <c r="C81" s="1777"/>
      <c r="D81" s="1777"/>
      <c r="E81" s="1777"/>
      <c r="F81" s="1777"/>
      <c r="G81" s="1777"/>
      <c r="H81" s="1777"/>
    </row>
    <row r="82" spans="1:8" x14ac:dyDescent="0.2">
      <c r="A82" s="875"/>
      <c r="B82" s="1842" t="str">
        <f>"Chicken Maklouba 2 / " &amp; COUNTIF($H$53:$H$56, "&gt;0")</f>
        <v>Chicken Maklouba 2 / 2</v>
      </c>
      <c r="C82" s="1843"/>
      <c r="D82" s="1843"/>
      <c r="E82" s="1843"/>
      <c r="F82" s="1843"/>
      <c r="G82" s="1843"/>
      <c r="H82" s="1843"/>
    </row>
    <row r="83" spans="1:8" ht="38.25" x14ac:dyDescent="0.2">
      <c r="A83" s="1350" t="s">
        <v>864</v>
      </c>
      <c r="B83" s="923" t="s">
        <v>241</v>
      </c>
      <c r="C83" s="1104" t="s">
        <v>316</v>
      </c>
      <c r="D83" s="923" t="s">
        <v>317</v>
      </c>
      <c r="E83" s="935" t="s">
        <v>318</v>
      </c>
      <c r="F83" s="935" t="s">
        <v>319</v>
      </c>
      <c r="G83" s="1266" t="s">
        <v>320</v>
      </c>
      <c r="H83" s="936" t="s">
        <v>321</v>
      </c>
    </row>
    <row r="84" spans="1:8" x14ac:dyDescent="0.25">
      <c r="A84" s="949" t="s">
        <v>874</v>
      </c>
      <c r="B84" s="1252" t="str">
        <f t="shared" ref="B84:D96" si="12">B5</f>
        <v>Chicken - دجاج</v>
      </c>
      <c r="C84" s="1252" t="str">
        <f t="shared" si="12"/>
        <v>gm</v>
      </c>
      <c r="D84" s="940">
        <f t="shared" si="12"/>
        <v>1587.3015873015872</v>
      </c>
      <c r="E84" s="1621">
        <f t="shared" ref="E84:E96" si="13">$H$54</f>
        <v>9.41</v>
      </c>
      <c r="F84" s="1616">
        <f t="shared" ref="F84:F96" si="14">F5</f>
        <v>1</v>
      </c>
      <c r="G84" s="940">
        <f t="shared" ref="G84:G96" si="15">D84*E84</f>
        <v>14936.507936507936</v>
      </c>
      <c r="H84" s="1617">
        <f t="shared" ref="H84:H96" si="16">G84*F84</f>
        <v>14936.507936507936</v>
      </c>
    </row>
    <row r="85" spans="1:8" x14ac:dyDescent="0.25">
      <c r="B85" s="1252" t="str">
        <f t="shared" si="12"/>
        <v>Kabsa Spices Powder - توابل كبسة بودر</v>
      </c>
      <c r="C85" s="1252" t="str">
        <f t="shared" si="12"/>
        <v>gm</v>
      </c>
      <c r="D85" s="1252">
        <f t="shared" si="12"/>
        <v>35</v>
      </c>
      <c r="E85" s="1621">
        <f t="shared" si="13"/>
        <v>9.41</v>
      </c>
      <c r="F85" s="1616">
        <f t="shared" si="14"/>
        <v>0.5</v>
      </c>
      <c r="G85" s="940">
        <f t="shared" si="15"/>
        <v>329.35</v>
      </c>
      <c r="H85" s="1617">
        <f t="shared" si="16"/>
        <v>164.67500000000001</v>
      </c>
    </row>
    <row r="86" spans="1:8" x14ac:dyDescent="0.25">
      <c r="B86" s="1252" t="str">
        <f t="shared" si="12"/>
        <v>Cumin Powder - كمون مطحون</v>
      </c>
      <c r="C86" s="1252" t="str">
        <f t="shared" si="12"/>
        <v>gm</v>
      </c>
      <c r="D86" s="1252">
        <f t="shared" si="12"/>
        <v>20</v>
      </c>
      <c r="E86" s="1621">
        <f t="shared" si="13"/>
        <v>9.41</v>
      </c>
      <c r="F86" s="1616">
        <f t="shared" si="14"/>
        <v>0.7</v>
      </c>
      <c r="G86" s="940">
        <f t="shared" si="15"/>
        <v>188.2</v>
      </c>
      <c r="H86" s="1617">
        <f t="shared" si="16"/>
        <v>131.73999999999998</v>
      </c>
    </row>
    <row r="87" spans="1:8" x14ac:dyDescent="0.25">
      <c r="B87" s="1252" t="str">
        <f t="shared" si="12"/>
        <v>Maggi Cubes - مكعبات ماجي</v>
      </c>
      <c r="C87" s="1252" t="str">
        <f t="shared" si="12"/>
        <v>gm</v>
      </c>
      <c r="D87" s="1252">
        <f t="shared" si="12"/>
        <v>20</v>
      </c>
      <c r="E87" s="1621">
        <f t="shared" si="13"/>
        <v>9.41</v>
      </c>
      <c r="F87" s="1616">
        <f t="shared" si="14"/>
        <v>0.75</v>
      </c>
      <c r="G87" s="940">
        <f t="shared" si="15"/>
        <v>188.2</v>
      </c>
      <c r="H87" s="1617">
        <f t="shared" si="16"/>
        <v>141.14999999999998</v>
      </c>
    </row>
    <row r="88" spans="1:8" x14ac:dyDescent="0.25">
      <c r="B88" s="1252" t="str">
        <f t="shared" si="12"/>
        <v>Coriander Powder - كزبرة مطحونة</v>
      </c>
      <c r="C88" s="1252" t="str">
        <f t="shared" si="12"/>
        <v>gm</v>
      </c>
      <c r="D88" s="1252">
        <f t="shared" si="12"/>
        <v>20</v>
      </c>
      <c r="E88" s="1621">
        <f t="shared" si="13"/>
        <v>9.41</v>
      </c>
      <c r="F88" s="1616">
        <f t="shared" si="14"/>
        <v>0.7</v>
      </c>
      <c r="G88" s="940">
        <f t="shared" si="15"/>
        <v>188.2</v>
      </c>
      <c r="H88" s="1617">
        <f t="shared" si="16"/>
        <v>131.73999999999998</v>
      </c>
    </row>
    <row r="89" spans="1:8" x14ac:dyDescent="0.25">
      <c r="B89" s="1252" t="str">
        <f t="shared" si="12"/>
        <v>Tomato Paste - صلصة طماطم</v>
      </c>
      <c r="C89" s="1252" t="str">
        <f t="shared" si="12"/>
        <v>gm</v>
      </c>
      <c r="D89" s="1252">
        <f t="shared" si="12"/>
        <v>70</v>
      </c>
      <c r="E89" s="1621">
        <f t="shared" si="13"/>
        <v>9.41</v>
      </c>
      <c r="F89" s="1616">
        <f t="shared" si="14"/>
        <v>0.6</v>
      </c>
      <c r="G89" s="940">
        <f t="shared" si="15"/>
        <v>658.7</v>
      </c>
      <c r="H89" s="1617">
        <f t="shared" si="16"/>
        <v>395.22</v>
      </c>
    </row>
    <row r="90" spans="1:8" x14ac:dyDescent="0.25">
      <c r="A90" s="1" t="s">
        <v>885</v>
      </c>
      <c r="B90" s="1252" t="str">
        <f t="shared" si="12"/>
        <v>Tomato - طماطم</v>
      </c>
      <c r="C90" s="1252" t="str">
        <f t="shared" si="12"/>
        <v>gm</v>
      </c>
      <c r="D90" s="1252">
        <f t="shared" si="12"/>
        <v>100</v>
      </c>
      <c r="E90" s="1621">
        <f t="shared" si="13"/>
        <v>9.41</v>
      </c>
      <c r="F90" s="1616">
        <f t="shared" si="14"/>
        <v>1</v>
      </c>
      <c r="G90" s="940">
        <f t="shared" si="15"/>
        <v>941</v>
      </c>
      <c r="H90" s="1617">
        <f t="shared" si="16"/>
        <v>941</v>
      </c>
    </row>
    <row r="91" spans="1:8" x14ac:dyDescent="0.25">
      <c r="B91" s="1252" t="str">
        <f t="shared" si="12"/>
        <v>Salt - ملح</v>
      </c>
      <c r="C91" s="1252" t="str">
        <f t="shared" si="12"/>
        <v>gm</v>
      </c>
      <c r="D91" s="1252">
        <f t="shared" si="12"/>
        <v>10</v>
      </c>
      <c r="E91" s="1621">
        <f t="shared" si="13"/>
        <v>9.41</v>
      </c>
      <c r="F91" s="1616">
        <f t="shared" si="14"/>
        <v>0.75</v>
      </c>
      <c r="G91" s="940">
        <f t="shared" si="15"/>
        <v>94.1</v>
      </c>
      <c r="H91" s="1617">
        <f t="shared" si="16"/>
        <v>70.574999999999989</v>
      </c>
    </row>
    <row r="92" spans="1:8" x14ac:dyDescent="0.25">
      <c r="A92" s="1" t="s">
        <v>868</v>
      </c>
      <c r="B92" s="1252" t="str">
        <f t="shared" si="12"/>
        <v>Garlic - ثوم مقشر</v>
      </c>
      <c r="C92" s="1252" t="str">
        <f t="shared" si="12"/>
        <v>gm</v>
      </c>
      <c r="D92" s="1252">
        <f t="shared" si="12"/>
        <v>10</v>
      </c>
      <c r="E92" s="1621">
        <f t="shared" si="13"/>
        <v>9.41</v>
      </c>
      <c r="F92" s="1616">
        <f t="shared" si="14"/>
        <v>0.5</v>
      </c>
      <c r="G92" s="940">
        <f t="shared" si="15"/>
        <v>94.1</v>
      </c>
      <c r="H92" s="1617">
        <f t="shared" si="16"/>
        <v>47.05</v>
      </c>
    </row>
    <row r="93" spans="1:8" x14ac:dyDescent="0.25">
      <c r="B93" s="1252" t="str">
        <f t="shared" si="12"/>
        <v>Coriander Leaves - كزبرة خضراء</v>
      </c>
      <c r="C93" s="1252" t="str">
        <f t="shared" si="12"/>
        <v>gm</v>
      </c>
      <c r="D93" s="1252">
        <f t="shared" si="12"/>
        <v>15</v>
      </c>
      <c r="E93" s="1621">
        <f t="shared" si="13"/>
        <v>9.41</v>
      </c>
      <c r="F93" s="1616">
        <f t="shared" si="14"/>
        <v>0.6</v>
      </c>
      <c r="G93" s="940">
        <f t="shared" si="15"/>
        <v>141.15</v>
      </c>
      <c r="H93" s="1617">
        <f t="shared" si="16"/>
        <v>84.69</v>
      </c>
    </row>
    <row r="94" spans="1:8" x14ac:dyDescent="0.25">
      <c r="B94" s="1252" t="str">
        <f t="shared" si="12"/>
        <v>Green Bell Pepper - فلفل أخضر رومى</v>
      </c>
      <c r="C94" s="1252" t="str">
        <f t="shared" si="12"/>
        <v>gm</v>
      </c>
      <c r="D94" s="1252">
        <f t="shared" si="12"/>
        <v>50</v>
      </c>
      <c r="E94" s="1621">
        <f t="shared" si="13"/>
        <v>9.41</v>
      </c>
      <c r="F94" s="1616">
        <f t="shared" si="14"/>
        <v>1</v>
      </c>
      <c r="G94" s="940">
        <f t="shared" si="15"/>
        <v>470.5</v>
      </c>
      <c r="H94" s="1617">
        <f t="shared" si="16"/>
        <v>470.5</v>
      </c>
    </row>
    <row r="95" spans="1:8" x14ac:dyDescent="0.25">
      <c r="A95" s="1" t="s">
        <v>867</v>
      </c>
      <c r="B95" s="1252" t="str">
        <f t="shared" si="12"/>
        <v>Ginger - زنجبيل</v>
      </c>
      <c r="C95" s="1252" t="str">
        <f t="shared" si="12"/>
        <v>gm</v>
      </c>
      <c r="D95" s="1252">
        <f t="shared" si="12"/>
        <v>30</v>
      </c>
      <c r="E95" s="1621">
        <f t="shared" si="13"/>
        <v>9.41</v>
      </c>
      <c r="F95" s="1616">
        <f t="shared" si="14"/>
        <v>0.25</v>
      </c>
      <c r="G95" s="940">
        <f t="shared" si="15"/>
        <v>282.3</v>
      </c>
      <c r="H95" s="1617">
        <f t="shared" si="16"/>
        <v>70.575000000000003</v>
      </c>
    </row>
    <row r="96" spans="1:8" x14ac:dyDescent="0.25">
      <c r="B96" s="1252" t="str">
        <f t="shared" si="12"/>
        <v>Water - ماء</v>
      </c>
      <c r="C96" s="1252" t="str">
        <f t="shared" si="12"/>
        <v>ml</v>
      </c>
      <c r="D96" s="1252">
        <f t="shared" si="12"/>
        <v>350</v>
      </c>
      <c r="E96" s="1621">
        <f t="shared" si="13"/>
        <v>9.41</v>
      </c>
      <c r="F96" s="1616">
        <f t="shared" si="14"/>
        <v>1</v>
      </c>
      <c r="G96" s="940">
        <f t="shared" si="15"/>
        <v>3293.5</v>
      </c>
      <c r="H96" s="1617">
        <f t="shared" si="16"/>
        <v>3293.5</v>
      </c>
    </row>
    <row r="97" spans="1:8" ht="18" x14ac:dyDescent="0.25">
      <c r="A97" s="861"/>
      <c r="B97" s="1622" t="s">
        <v>287</v>
      </c>
      <c r="C97" s="1042" t="s">
        <v>273</v>
      </c>
      <c r="D97" s="952"/>
      <c r="E97" s="1042" t="s">
        <v>288</v>
      </c>
      <c r="F97" s="952"/>
      <c r="G97" s="1045" t="s">
        <v>264</v>
      </c>
      <c r="H97" s="1045" t="s">
        <v>661</v>
      </c>
    </row>
    <row r="98" spans="1:8" ht="20.25" x14ac:dyDescent="0.3">
      <c r="A98" s="861"/>
      <c r="B98" s="1048">
        <f>$J$54</f>
        <v>9410</v>
      </c>
      <c r="C98" s="1283">
        <f>E98+G98</f>
        <v>0</v>
      </c>
      <c r="D98" s="972"/>
      <c r="E98" s="1283">
        <f>$C$54*$S$44</f>
        <v>0</v>
      </c>
      <c r="F98" s="1208"/>
      <c r="G98" s="1386">
        <f>$C$54*$T$44</f>
        <v>0</v>
      </c>
      <c r="H98" s="1386">
        <f>B98+E98</f>
        <v>9410</v>
      </c>
    </row>
    <row r="99" spans="1:8" x14ac:dyDescent="0.25">
      <c r="B99" s="80"/>
      <c r="E99" s="80"/>
      <c r="F99" s="80"/>
    </row>
    <row r="100" spans="1:8" x14ac:dyDescent="0.25">
      <c r="B100" s="80"/>
      <c r="E100" s="80"/>
      <c r="F100" s="80"/>
    </row>
    <row r="101" spans="1:8" x14ac:dyDescent="0.25">
      <c r="B101" s="80"/>
      <c r="E101" s="80"/>
      <c r="F101" s="80"/>
    </row>
    <row r="102" spans="1:8" x14ac:dyDescent="0.2">
      <c r="A102" s="875"/>
      <c r="B102" s="1871" t="str">
        <f>"دجاج مقلوبة 3 / " &amp; COUNTIF($H$53:$H$56, "&gt;0")</f>
        <v>دجاج مقلوبة 3 / 2</v>
      </c>
      <c r="C102" s="1880"/>
      <c r="D102" s="1880"/>
      <c r="E102" s="1880"/>
      <c r="F102" s="1880"/>
      <c r="G102" s="1880"/>
      <c r="H102" s="1880"/>
    </row>
    <row r="103" spans="1:8" x14ac:dyDescent="0.2">
      <c r="A103" s="875"/>
      <c r="B103" s="1872" t="str">
        <f>"Chicken Maklouba 3 / " &amp; COUNTIF($H$53:$H$56, "&gt;0")</f>
        <v>Chicken Maklouba 3 / 2</v>
      </c>
      <c r="C103" s="1883"/>
      <c r="D103" s="1883"/>
      <c r="E103" s="1883"/>
      <c r="F103" s="1883"/>
      <c r="G103" s="1883"/>
      <c r="H103" s="1883"/>
    </row>
    <row r="104" spans="1:8" ht="38.25" x14ac:dyDescent="0.2">
      <c r="A104" s="1350" t="s">
        <v>864</v>
      </c>
      <c r="B104" s="923" t="s">
        <v>241</v>
      </c>
      <c r="C104" s="1104" t="s">
        <v>316</v>
      </c>
      <c r="D104" s="923" t="s">
        <v>317</v>
      </c>
      <c r="E104" s="935" t="s">
        <v>318</v>
      </c>
      <c r="F104" s="935" t="s">
        <v>319</v>
      </c>
      <c r="G104" s="1266" t="s">
        <v>320</v>
      </c>
      <c r="H104" s="936" t="s">
        <v>321</v>
      </c>
    </row>
    <row r="105" spans="1:8" x14ac:dyDescent="0.25">
      <c r="A105" s="949" t="s">
        <v>874</v>
      </c>
      <c r="B105" s="1281" t="str">
        <f t="shared" ref="B105:D117" si="17">B5</f>
        <v>Chicken - دجاج</v>
      </c>
      <c r="C105" s="1281" t="str">
        <f t="shared" si="17"/>
        <v>gm</v>
      </c>
      <c r="D105" s="940">
        <f t="shared" si="17"/>
        <v>1587.3015873015872</v>
      </c>
      <c r="E105" s="1621">
        <f t="shared" ref="E105:E117" si="18">$H$55</f>
        <v>0</v>
      </c>
      <c r="F105" s="1282">
        <f t="shared" ref="F105:F117" si="19">F5</f>
        <v>1</v>
      </c>
      <c r="G105" s="940">
        <f t="shared" ref="G105:G117" si="20">D105*E105</f>
        <v>0</v>
      </c>
      <c r="H105" s="1617">
        <f t="shared" ref="H105:H117" si="21">G105*F105</f>
        <v>0</v>
      </c>
    </row>
    <row r="106" spans="1:8" x14ac:dyDescent="0.2">
      <c r="A106" s="876"/>
      <c r="B106" s="1281" t="str">
        <f t="shared" si="17"/>
        <v>Kabsa Spices Powder - توابل كبسة بودر</v>
      </c>
      <c r="C106" s="1281" t="str">
        <f t="shared" si="17"/>
        <v>gm</v>
      </c>
      <c r="D106" s="1281">
        <f t="shared" si="17"/>
        <v>35</v>
      </c>
      <c r="E106" s="1621">
        <f t="shared" si="18"/>
        <v>0</v>
      </c>
      <c r="F106" s="1282">
        <f t="shared" si="19"/>
        <v>0.5</v>
      </c>
      <c r="G106" s="940">
        <f t="shared" si="20"/>
        <v>0</v>
      </c>
      <c r="H106" s="1617">
        <f t="shared" si="21"/>
        <v>0</v>
      </c>
    </row>
    <row r="107" spans="1:8" x14ac:dyDescent="0.2">
      <c r="A107" s="876"/>
      <c r="B107" s="1281" t="str">
        <f t="shared" si="17"/>
        <v>Cumin Powder - كمون مطحون</v>
      </c>
      <c r="C107" s="1281" t="str">
        <f t="shared" si="17"/>
        <v>gm</v>
      </c>
      <c r="D107" s="1281">
        <f t="shared" si="17"/>
        <v>20</v>
      </c>
      <c r="E107" s="1621">
        <f t="shared" si="18"/>
        <v>0</v>
      </c>
      <c r="F107" s="1282">
        <f t="shared" si="19"/>
        <v>0.7</v>
      </c>
      <c r="G107" s="940">
        <f t="shared" si="20"/>
        <v>0</v>
      </c>
      <c r="H107" s="1617">
        <f t="shared" si="21"/>
        <v>0</v>
      </c>
    </row>
    <row r="108" spans="1:8" x14ac:dyDescent="0.2">
      <c r="A108" s="876"/>
      <c r="B108" s="1281" t="str">
        <f t="shared" si="17"/>
        <v>Maggi Cubes - مكعبات ماجي</v>
      </c>
      <c r="C108" s="1281" t="str">
        <f t="shared" si="17"/>
        <v>gm</v>
      </c>
      <c r="D108" s="1281">
        <f t="shared" si="17"/>
        <v>20</v>
      </c>
      <c r="E108" s="1621">
        <f t="shared" si="18"/>
        <v>0</v>
      </c>
      <c r="F108" s="1282">
        <f t="shared" si="19"/>
        <v>0.75</v>
      </c>
      <c r="G108" s="940">
        <f t="shared" si="20"/>
        <v>0</v>
      </c>
      <c r="H108" s="1617">
        <f t="shared" si="21"/>
        <v>0</v>
      </c>
    </row>
    <row r="109" spans="1:8" x14ac:dyDescent="0.2">
      <c r="A109" s="876"/>
      <c r="B109" s="1281" t="str">
        <f t="shared" si="17"/>
        <v>Coriander Powder - كزبرة مطحونة</v>
      </c>
      <c r="C109" s="1281" t="str">
        <f t="shared" si="17"/>
        <v>gm</v>
      </c>
      <c r="D109" s="1281">
        <f t="shared" si="17"/>
        <v>20</v>
      </c>
      <c r="E109" s="1621">
        <f t="shared" si="18"/>
        <v>0</v>
      </c>
      <c r="F109" s="1282">
        <f t="shared" si="19"/>
        <v>0.7</v>
      </c>
      <c r="G109" s="940">
        <f t="shared" si="20"/>
        <v>0</v>
      </c>
      <c r="H109" s="1617">
        <f t="shared" si="21"/>
        <v>0</v>
      </c>
    </row>
    <row r="110" spans="1:8" x14ac:dyDescent="0.2">
      <c r="A110" s="876"/>
      <c r="B110" s="1281" t="str">
        <f t="shared" si="17"/>
        <v>Tomato Paste - صلصة طماطم</v>
      </c>
      <c r="C110" s="1281" t="str">
        <f t="shared" si="17"/>
        <v>gm</v>
      </c>
      <c r="D110" s="1281">
        <f t="shared" si="17"/>
        <v>70</v>
      </c>
      <c r="E110" s="1621">
        <f t="shared" si="18"/>
        <v>0</v>
      </c>
      <c r="F110" s="1282">
        <f t="shared" si="19"/>
        <v>0.6</v>
      </c>
      <c r="G110" s="940">
        <f t="shared" si="20"/>
        <v>0</v>
      </c>
      <c r="H110" s="1617">
        <f t="shared" si="21"/>
        <v>0</v>
      </c>
    </row>
    <row r="111" spans="1:8" x14ac:dyDescent="0.2">
      <c r="A111" s="876" t="s">
        <v>885</v>
      </c>
      <c r="B111" s="1281" t="str">
        <f t="shared" si="17"/>
        <v>Tomato - طماطم</v>
      </c>
      <c r="C111" s="1281" t="str">
        <f t="shared" si="17"/>
        <v>gm</v>
      </c>
      <c r="D111" s="1281">
        <f t="shared" si="17"/>
        <v>100</v>
      </c>
      <c r="E111" s="1621">
        <f t="shared" si="18"/>
        <v>0</v>
      </c>
      <c r="F111" s="1282">
        <f t="shared" si="19"/>
        <v>1</v>
      </c>
      <c r="G111" s="940">
        <f t="shared" si="20"/>
        <v>0</v>
      </c>
      <c r="H111" s="1617">
        <f t="shared" si="21"/>
        <v>0</v>
      </c>
    </row>
    <row r="112" spans="1:8" x14ac:dyDescent="0.2">
      <c r="A112" s="876"/>
      <c r="B112" s="1281" t="str">
        <f t="shared" si="17"/>
        <v>Salt - ملح</v>
      </c>
      <c r="C112" s="1281" t="str">
        <f t="shared" si="17"/>
        <v>gm</v>
      </c>
      <c r="D112" s="1281">
        <f t="shared" si="17"/>
        <v>10</v>
      </c>
      <c r="E112" s="1621">
        <f t="shared" si="18"/>
        <v>0</v>
      </c>
      <c r="F112" s="1282">
        <f t="shared" si="19"/>
        <v>0.75</v>
      </c>
      <c r="G112" s="940">
        <f t="shared" si="20"/>
        <v>0</v>
      </c>
      <c r="H112" s="1617">
        <f t="shared" si="21"/>
        <v>0</v>
      </c>
    </row>
    <row r="113" spans="1:10" x14ac:dyDescent="0.2">
      <c r="A113" s="876" t="s">
        <v>868</v>
      </c>
      <c r="B113" s="1281" t="str">
        <f t="shared" si="17"/>
        <v>Garlic - ثوم مقشر</v>
      </c>
      <c r="C113" s="1281" t="str">
        <f t="shared" si="17"/>
        <v>gm</v>
      </c>
      <c r="D113" s="1281">
        <f t="shared" si="17"/>
        <v>10</v>
      </c>
      <c r="E113" s="1621">
        <f t="shared" si="18"/>
        <v>0</v>
      </c>
      <c r="F113" s="1282">
        <f t="shared" si="19"/>
        <v>0.5</v>
      </c>
      <c r="G113" s="940">
        <f t="shared" si="20"/>
        <v>0</v>
      </c>
      <c r="H113" s="1617">
        <f t="shared" si="21"/>
        <v>0</v>
      </c>
    </row>
    <row r="114" spans="1:10" x14ac:dyDescent="0.2">
      <c r="A114" s="876"/>
      <c r="B114" s="1281" t="str">
        <f t="shared" si="17"/>
        <v>Coriander Leaves - كزبرة خضراء</v>
      </c>
      <c r="C114" s="1281" t="str">
        <f t="shared" si="17"/>
        <v>gm</v>
      </c>
      <c r="D114" s="1281">
        <f t="shared" si="17"/>
        <v>15</v>
      </c>
      <c r="E114" s="1621">
        <f t="shared" si="18"/>
        <v>0</v>
      </c>
      <c r="F114" s="1282">
        <f t="shared" si="19"/>
        <v>0.6</v>
      </c>
      <c r="G114" s="940">
        <f t="shared" si="20"/>
        <v>0</v>
      </c>
      <c r="H114" s="1617">
        <f t="shared" si="21"/>
        <v>0</v>
      </c>
    </row>
    <row r="115" spans="1:10" x14ac:dyDescent="0.2">
      <c r="A115" s="876"/>
      <c r="B115" s="1281" t="str">
        <f t="shared" si="17"/>
        <v>Green Bell Pepper - فلفل أخضر رومى</v>
      </c>
      <c r="C115" s="1281" t="str">
        <f t="shared" si="17"/>
        <v>gm</v>
      </c>
      <c r="D115" s="1281">
        <f t="shared" si="17"/>
        <v>50</v>
      </c>
      <c r="E115" s="1621">
        <f t="shared" si="18"/>
        <v>0</v>
      </c>
      <c r="F115" s="1282">
        <f t="shared" si="19"/>
        <v>1</v>
      </c>
      <c r="G115" s="940">
        <f t="shared" si="20"/>
        <v>0</v>
      </c>
      <c r="H115" s="1617">
        <f t="shared" si="21"/>
        <v>0</v>
      </c>
    </row>
    <row r="116" spans="1:10" x14ac:dyDescent="0.2">
      <c r="A116" s="876" t="s">
        <v>867</v>
      </c>
      <c r="B116" s="1281" t="str">
        <f t="shared" si="17"/>
        <v>Ginger - زنجبيل</v>
      </c>
      <c r="C116" s="1281" t="str">
        <f t="shared" si="17"/>
        <v>gm</v>
      </c>
      <c r="D116" s="1281">
        <f t="shared" si="17"/>
        <v>30</v>
      </c>
      <c r="E116" s="1621">
        <f t="shared" si="18"/>
        <v>0</v>
      </c>
      <c r="F116" s="1282">
        <f t="shared" si="19"/>
        <v>0.25</v>
      </c>
      <c r="G116" s="940">
        <f t="shared" si="20"/>
        <v>0</v>
      </c>
      <c r="H116" s="1617">
        <f t="shared" si="21"/>
        <v>0</v>
      </c>
    </row>
    <row r="117" spans="1:10" x14ac:dyDescent="0.2">
      <c r="A117" s="876"/>
      <c r="B117" s="1281" t="str">
        <f t="shared" si="17"/>
        <v>Water - ماء</v>
      </c>
      <c r="C117" s="1281" t="str">
        <f t="shared" si="17"/>
        <v>ml</v>
      </c>
      <c r="D117" s="1281">
        <f t="shared" si="17"/>
        <v>350</v>
      </c>
      <c r="E117" s="1621">
        <f t="shared" si="18"/>
        <v>0</v>
      </c>
      <c r="F117" s="1282">
        <f t="shared" si="19"/>
        <v>1</v>
      </c>
      <c r="G117" s="940">
        <f t="shared" si="20"/>
        <v>0</v>
      </c>
      <c r="H117" s="1617">
        <f t="shared" si="21"/>
        <v>0</v>
      </c>
    </row>
    <row r="118" spans="1:10" ht="20.25" x14ac:dyDescent="0.3">
      <c r="A118" s="861"/>
      <c r="B118" s="1622" t="s">
        <v>287</v>
      </c>
      <c r="C118" s="1042" t="s">
        <v>273</v>
      </c>
      <c r="D118" s="952"/>
      <c r="E118" s="1042" t="s">
        <v>288</v>
      </c>
      <c r="F118" s="952"/>
      <c r="G118" s="1045" t="s">
        <v>264</v>
      </c>
      <c r="H118" s="1045" t="s">
        <v>661</v>
      </c>
      <c r="I118" s="142"/>
      <c r="J118" s="141"/>
    </row>
    <row r="119" spans="1:10" ht="20.25" x14ac:dyDescent="0.3">
      <c r="A119" s="861"/>
      <c r="B119" s="1048">
        <f>$J$55</f>
        <v>0</v>
      </c>
      <c r="C119" s="1283">
        <f>E119+G119</f>
        <v>0</v>
      </c>
      <c r="D119" s="972"/>
      <c r="E119" s="1283">
        <f>$C$56*$S$44</f>
        <v>0</v>
      </c>
      <c r="F119" s="1208"/>
      <c r="G119" s="1386">
        <f>$C$55*$T$44</f>
        <v>0</v>
      </c>
      <c r="H119" s="1386">
        <f>B119+E119</f>
        <v>0</v>
      </c>
    </row>
    <row r="120" spans="1:10" x14ac:dyDescent="0.25">
      <c r="B120" s="959"/>
      <c r="C120" s="959"/>
      <c r="D120" s="959"/>
      <c r="E120" s="959"/>
      <c r="F120" s="959"/>
      <c r="G120" s="959"/>
      <c r="H120" s="959"/>
    </row>
    <row r="121" spans="1:10" x14ac:dyDescent="0.2">
      <c r="A121" s="875"/>
      <c r="B121" s="1776" t="str">
        <f>"دجاج مقلوبة 3 / " &amp; COUNTIF($H$53:$H$56, "&gt;0")</f>
        <v>دجاج مقلوبة 3 / 2</v>
      </c>
      <c r="C121" s="1787"/>
      <c r="D121" s="1787"/>
      <c r="E121" s="1787"/>
      <c r="F121" s="1787"/>
      <c r="G121" s="1787"/>
      <c r="H121" s="1787"/>
    </row>
    <row r="122" spans="1:10" x14ac:dyDescent="0.2">
      <c r="A122" s="875"/>
      <c r="B122" s="1842" t="str">
        <f>"Chicken Maklouba 3 / " &amp; COUNTIF($H$53:$H$56, "&gt;0")</f>
        <v>Chicken Maklouba 3 / 2</v>
      </c>
      <c r="C122" s="1884"/>
      <c r="D122" s="1884"/>
      <c r="E122" s="1884"/>
      <c r="F122" s="1884"/>
      <c r="G122" s="1884"/>
      <c r="H122" s="1884"/>
    </row>
    <row r="123" spans="1:10" ht="38.25" x14ac:dyDescent="0.2">
      <c r="A123" s="1350" t="s">
        <v>864</v>
      </c>
      <c r="B123" s="923" t="s">
        <v>241</v>
      </c>
      <c r="C123" s="1104" t="s">
        <v>316</v>
      </c>
      <c r="D123" s="923" t="s">
        <v>317</v>
      </c>
      <c r="E123" s="935" t="s">
        <v>318</v>
      </c>
      <c r="F123" s="935" t="s">
        <v>319</v>
      </c>
      <c r="G123" s="1266" t="s">
        <v>320</v>
      </c>
      <c r="H123" s="936" t="s">
        <v>321</v>
      </c>
    </row>
    <row r="124" spans="1:10" x14ac:dyDescent="0.25">
      <c r="A124" s="949" t="s">
        <v>874</v>
      </c>
      <c r="B124" s="1281" t="str">
        <f t="shared" ref="B124:D136" si="22">B5</f>
        <v>Chicken - دجاج</v>
      </c>
      <c r="C124" s="1281" t="str">
        <f t="shared" si="22"/>
        <v>gm</v>
      </c>
      <c r="D124" s="1286">
        <f t="shared" si="22"/>
        <v>1587.3015873015872</v>
      </c>
      <c r="E124" s="1621">
        <f t="shared" ref="E124:E136" si="23">$H$56</f>
        <v>0</v>
      </c>
      <c r="F124" s="1282">
        <f>F5</f>
        <v>1</v>
      </c>
      <c r="G124" s="940">
        <f t="shared" ref="G124:G136" si="24">D124*E124</f>
        <v>0</v>
      </c>
      <c r="H124" s="1617">
        <f t="shared" ref="H124:H136" si="25">G124*F124</f>
        <v>0</v>
      </c>
    </row>
    <row r="125" spans="1:10" x14ac:dyDescent="0.2">
      <c r="A125" s="876"/>
      <c r="B125" s="1281" t="str">
        <f t="shared" si="22"/>
        <v>Kabsa Spices Powder - توابل كبسة بودر</v>
      </c>
      <c r="C125" s="1281" t="str">
        <f t="shared" si="22"/>
        <v>gm</v>
      </c>
      <c r="D125" s="1281">
        <f t="shared" si="22"/>
        <v>35</v>
      </c>
      <c r="E125" s="1621">
        <f t="shared" si="23"/>
        <v>0</v>
      </c>
      <c r="F125" s="1282">
        <f t="shared" ref="F125:F136" si="26">F6</f>
        <v>0.5</v>
      </c>
      <c r="G125" s="940">
        <f t="shared" si="24"/>
        <v>0</v>
      </c>
      <c r="H125" s="1617">
        <f t="shared" si="25"/>
        <v>0</v>
      </c>
    </row>
    <row r="126" spans="1:10" x14ac:dyDescent="0.2">
      <c r="A126" s="876"/>
      <c r="B126" s="1281" t="str">
        <f t="shared" si="22"/>
        <v>Cumin Powder - كمون مطحون</v>
      </c>
      <c r="C126" s="1281" t="str">
        <f t="shared" si="22"/>
        <v>gm</v>
      </c>
      <c r="D126" s="1281">
        <f t="shared" si="22"/>
        <v>20</v>
      </c>
      <c r="E126" s="1621">
        <f t="shared" si="23"/>
        <v>0</v>
      </c>
      <c r="F126" s="1282">
        <f t="shared" si="26"/>
        <v>0.7</v>
      </c>
      <c r="G126" s="940">
        <f t="shared" si="24"/>
        <v>0</v>
      </c>
      <c r="H126" s="1617">
        <f t="shared" si="25"/>
        <v>0</v>
      </c>
    </row>
    <row r="127" spans="1:10" x14ac:dyDescent="0.2">
      <c r="A127" s="876"/>
      <c r="B127" s="1281" t="str">
        <f t="shared" si="22"/>
        <v>Maggi Cubes - مكعبات ماجي</v>
      </c>
      <c r="C127" s="1281" t="str">
        <f t="shared" si="22"/>
        <v>gm</v>
      </c>
      <c r="D127" s="1281">
        <f t="shared" si="22"/>
        <v>20</v>
      </c>
      <c r="E127" s="1621">
        <f t="shared" si="23"/>
        <v>0</v>
      </c>
      <c r="F127" s="1282">
        <f t="shared" si="26"/>
        <v>0.75</v>
      </c>
      <c r="G127" s="940">
        <f t="shared" si="24"/>
        <v>0</v>
      </c>
      <c r="H127" s="1617">
        <f t="shared" si="25"/>
        <v>0</v>
      </c>
    </row>
    <row r="128" spans="1:10" x14ac:dyDescent="0.2">
      <c r="A128" s="876"/>
      <c r="B128" s="1281" t="str">
        <f t="shared" si="22"/>
        <v>Coriander Powder - كزبرة مطحونة</v>
      </c>
      <c r="C128" s="1281" t="str">
        <f t="shared" si="22"/>
        <v>gm</v>
      </c>
      <c r="D128" s="1281">
        <f t="shared" si="22"/>
        <v>20</v>
      </c>
      <c r="E128" s="1621">
        <f t="shared" si="23"/>
        <v>0</v>
      </c>
      <c r="F128" s="1282">
        <f t="shared" si="26"/>
        <v>0.7</v>
      </c>
      <c r="G128" s="940">
        <f t="shared" si="24"/>
        <v>0</v>
      </c>
      <c r="H128" s="1617">
        <f t="shared" si="25"/>
        <v>0</v>
      </c>
    </row>
    <row r="129" spans="1:8" x14ac:dyDescent="0.2">
      <c r="A129" s="876"/>
      <c r="B129" s="1281" t="str">
        <f t="shared" si="22"/>
        <v>Tomato Paste - صلصة طماطم</v>
      </c>
      <c r="C129" s="1281" t="str">
        <f t="shared" si="22"/>
        <v>gm</v>
      </c>
      <c r="D129" s="1281">
        <f t="shared" si="22"/>
        <v>70</v>
      </c>
      <c r="E129" s="1621">
        <f t="shared" si="23"/>
        <v>0</v>
      </c>
      <c r="F129" s="1282">
        <f t="shared" si="26"/>
        <v>0.6</v>
      </c>
      <c r="G129" s="940">
        <f t="shared" si="24"/>
        <v>0</v>
      </c>
      <c r="H129" s="1617">
        <f t="shared" si="25"/>
        <v>0</v>
      </c>
    </row>
    <row r="130" spans="1:8" x14ac:dyDescent="0.2">
      <c r="A130" s="876" t="s">
        <v>885</v>
      </c>
      <c r="B130" s="1281" t="str">
        <f t="shared" si="22"/>
        <v>Tomato - طماطم</v>
      </c>
      <c r="C130" s="1281" t="str">
        <f t="shared" si="22"/>
        <v>gm</v>
      </c>
      <c r="D130" s="1281">
        <f t="shared" si="22"/>
        <v>100</v>
      </c>
      <c r="E130" s="1621">
        <f t="shared" si="23"/>
        <v>0</v>
      </c>
      <c r="F130" s="1282">
        <f t="shared" si="26"/>
        <v>1</v>
      </c>
      <c r="G130" s="940">
        <f t="shared" si="24"/>
        <v>0</v>
      </c>
      <c r="H130" s="1617">
        <f t="shared" si="25"/>
        <v>0</v>
      </c>
    </row>
    <row r="131" spans="1:8" x14ac:dyDescent="0.2">
      <c r="A131" s="876"/>
      <c r="B131" s="1281" t="str">
        <f t="shared" si="22"/>
        <v>Salt - ملح</v>
      </c>
      <c r="C131" s="1281" t="str">
        <f t="shared" si="22"/>
        <v>gm</v>
      </c>
      <c r="D131" s="1281">
        <f t="shared" si="22"/>
        <v>10</v>
      </c>
      <c r="E131" s="1621">
        <f t="shared" si="23"/>
        <v>0</v>
      </c>
      <c r="F131" s="1282">
        <f t="shared" si="26"/>
        <v>0.75</v>
      </c>
      <c r="G131" s="940">
        <f t="shared" si="24"/>
        <v>0</v>
      </c>
      <c r="H131" s="1617">
        <f t="shared" si="25"/>
        <v>0</v>
      </c>
    </row>
    <row r="132" spans="1:8" x14ac:dyDescent="0.2">
      <c r="A132" s="876" t="s">
        <v>868</v>
      </c>
      <c r="B132" s="1281" t="str">
        <f t="shared" si="22"/>
        <v>Garlic - ثوم مقشر</v>
      </c>
      <c r="C132" s="1281" t="str">
        <f t="shared" si="22"/>
        <v>gm</v>
      </c>
      <c r="D132" s="1281">
        <f t="shared" si="22"/>
        <v>10</v>
      </c>
      <c r="E132" s="1621">
        <f t="shared" si="23"/>
        <v>0</v>
      </c>
      <c r="F132" s="1282">
        <f t="shared" si="26"/>
        <v>0.5</v>
      </c>
      <c r="G132" s="940">
        <f t="shared" si="24"/>
        <v>0</v>
      </c>
      <c r="H132" s="1617">
        <f t="shared" si="25"/>
        <v>0</v>
      </c>
    </row>
    <row r="133" spans="1:8" x14ac:dyDescent="0.2">
      <c r="A133" s="876"/>
      <c r="B133" s="1281" t="str">
        <f t="shared" si="22"/>
        <v>Coriander Leaves - كزبرة خضراء</v>
      </c>
      <c r="C133" s="1281" t="str">
        <f t="shared" si="22"/>
        <v>gm</v>
      </c>
      <c r="D133" s="1281">
        <f t="shared" si="22"/>
        <v>15</v>
      </c>
      <c r="E133" s="1621">
        <f t="shared" si="23"/>
        <v>0</v>
      </c>
      <c r="F133" s="1282">
        <f t="shared" si="26"/>
        <v>0.6</v>
      </c>
      <c r="G133" s="940">
        <f t="shared" si="24"/>
        <v>0</v>
      </c>
      <c r="H133" s="1617">
        <f t="shared" si="25"/>
        <v>0</v>
      </c>
    </row>
    <row r="134" spans="1:8" x14ac:dyDescent="0.2">
      <c r="A134" s="876"/>
      <c r="B134" s="1281" t="str">
        <f t="shared" si="22"/>
        <v>Green Bell Pepper - فلفل أخضر رومى</v>
      </c>
      <c r="C134" s="1281" t="str">
        <f t="shared" si="22"/>
        <v>gm</v>
      </c>
      <c r="D134" s="1281">
        <f t="shared" si="22"/>
        <v>50</v>
      </c>
      <c r="E134" s="1621">
        <f t="shared" si="23"/>
        <v>0</v>
      </c>
      <c r="F134" s="1282">
        <f t="shared" si="26"/>
        <v>1</v>
      </c>
      <c r="G134" s="940">
        <f t="shared" si="24"/>
        <v>0</v>
      </c>
      <c r="H134" s="1617">
        <f t="shared" si="25"/>
        <v>0</v>
      </c>
    </row>
    <row r="135" spans="1:8" x14ac:dyDescent="0.2">
      <c r="A135" s="876" t="s">
        <v>867</v>
      </c>
      <c r="B135" s="1281" t="str">
        <f t="shared" si="22"/>
        <v>Ginger - زنجبيل</v>
      </c>
      <c r="C135" s="1281" t="str">
        <f t="shared" si="22"/>
        <v>gm</v>
      </c>
      <c r="D135" s="1281">
        <f t="shared" si="22"/>
        <v>30</v>
      </c>
      <c r="E135" s="1621">
        <f t="shared" si="23"/>
        <v>0</v>
      </c>
      <c r="F135" s="1282">
        <f t="shared" si="26"/>
        <v>0.25</v>
      </c>
      <c r="G135" s="940">
        <f t="shared" si="24"/>
        <v>0</v>
      </c>
      <c r="H135" s="1617">
        <f t="shared" si="25"/>
        <v>0</v>
      </c>
    </row>
    <row r="136" spans="1:8" x14ac:dyDescent="0.2">
      <c r="A136" s="876"/>
      <c r="B136" s="1281" t="str">
        <f t="shared" si="22"/>
        <v>Water - ماء</v>
      </c>
      <c r="C136" s="1281" t="str">
        <f t="shared" si="22"/>
        <v>ml</v>
      </c>
      <c r="D136" s="1281">
        <f t="shared" si="22"/>
        <v>350</v>
      </c>
      <c r="E136" s="1621">
        <f t="shared" si="23"/>
        <v>0</v>
      </c>
      <c r="F136" s="1282">
        <f t="shared" si="26"/>
        <v>1</v>
      </c>
      <c r="G136" s="940">
        <f t="shared" si="24"/>
        <v>0</v>
      </c>
      <c r="H136" s="1617">
        <f t="shared" si="25"/>
        <v>0</v>
      </c>
    </row>
    <row r="137" spans="1:8" ht="18" x14ac:dyDescent="0.25">
      <c r="A137" s="861"/>
      <c r="B137" s="1622" t="s">
        <v>287</v>
      </c>
      <c r="C137" s="1042" t="s">
        <v>273</v>
      </c>
      <c r="D137" s="952"/>
      <c r="E137" s="1042" t="s">
        <v>288</v>
      </c>
      <c r="F137" s="952"/>
      <c r="G137" s="1045" t="s">
        <v>264</v>
      </c>
      <c r="H137" s="1045" t="s">
        <v>661</v>
      </c>
    </row>
    <row r="138" spans="1:8" ht="20.25" x14ac:dyDescent="0.3">
      <c r="A138" s="861"/>
      <c r="B138" s="1048">
        <f>$J$56</f>
        <v>0</v>
      </c>
      <c r="C138" s="1283">
        <f>E138+G138</f>
        <v>0</v>
      </c>
      <c r="D138" s="972"/>
      <c r="E138" s="1283">
        <f>$C$56*$S$44</f>
        <v>0</v>
      </c>
      <c r="F138" s="1208"/>
      <c r="G138" s="1386">
        <f>$C$56*$T$44</f>
        <v>0</v>
      </c>
      <c r="H138" s="1386">
        <f>B138+E138</f>
        <v>0</v>
      </c>
    </row>
  </sheetData>
  <mergeCells count="12">
    <mergeCell ref="B121:H121"/>
    <mergeCell ref="B122:H122"/>
    <mergeCell ref="B103:H103"/>
    <mergeCell ref="B2:K3"/>
    <mergeCell ref="B81:H81"/>
    <mergeCell ref="R25:T25"/>
    <mergeCell ref="AE2:AG3"/>
    <mergeCell ref="B102:H102"/>
    <mergeCell ref="B82:H82"/>
    <mergeCell ref="B62:H62"/>
    <mergeCell ref="R26:T26"/>
    <mergeCell ref="B63:H63"/>
  </mergeCells>
  <printOptions horizontalCentered="1"/>
  <pageMargins left="0.4" right="0.4" top="1" bottom="0.5" header="0.3" footer="0.511811023622047"/>
  <pageSetup paperSize="9" scale="50" fitToHeight="0" orientation="landscape" r:id="rId1"/>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6" tint="-0.249977111117893"/>
    <pageSetUpPr fitToPage="1"/>
  </sheetPr>
  <dimension ref="A1:AG70"/>
  <sheetViews>
    <sheetView topLeftCell="A39" zoomScale="70" zoomScaleNormal="70" workbookViewId="0">
      <selection activeCell="Y60" sqref="Y60"/>
    </sheetView>
  </sheetViews>
  <sheetFormatPr defaultColWidth="12.5" defaultRowHeight="15" x14ac:dyDescent="0.25"/>
  <cols>
    <col min="1" max="1" width="22.375" style="1" bestFit="1" customWidth="1"/>
    <col min="2" max="2" width="15.75" customWidth="1"/>
    <col min="3" max="3" width="14.5" bestFit="1" customWidth="1"/>
    <col min="4" max="5" width="15.875" bestFit="1" customWidth="1"/>
    <col min="6" max="6" width="15.125" bestFit="1" customWidth="1"/>
    <col min="7" max="7" width="22" bestFit="1" customWidth="1"/>
    <col min="8" max="8" width="19" bestFit="1" customWidth="1"/>
    <col min="9" max="9" width="17.625" bestFit="1" customWidth="1"/>
    <col min="10" max="10" width="11.625" bestFit="1" customWidth="1"/>
    <col min="11" max="11" width="16.25" bestFit="1" customWidth="1"/>
    <col min="12" max="12" width="5.875" bestFit="1" customWidth="1"/>
    <col min="13" max="13" width="15.875" bestFit="1" customWidth="1"/>
    <col min="14" max="14" width="4.25" bestFit="1" customWidth="1"/>
    <col min="15" max="17" width="4.25" customWidth="1"/>
    <col min="18" max="18" width="32" customWidth="1"/>
    <col min="19" max="19" width="10" bestFit="1" customWidth="1"/>
    <col min="20" max="20" width="6.125" bestFit="1" customWidth="1"/>
    <col min="21" max="21" width="7.875" bestFit="1" customWidth="1"/>
    <col min="22" max="22" width="15.125" bestFit="1" customWidth="1"/>
    <col min="23" max="23" width="4.125" bestFit="1" customWidth="1"/>
    <col min="24" max="24" width="5.125" bestFit="1" customWidth="1"/>
    <col min="25" max="25" width="13.375" bestFit="1" customWidth="1"/>
    <col min="26" max="26" width="5.375" bestFit="1" customWidth="1"/>
    <col min="27" max="27" width="6" bestFit="1" customWidth="1"/>
    <col min="28" max="28" width="4.875" bestFit="1" customWidth="1"/>
    <col min="29" max="29" width="5.875" bestFit="1" customWidth="1"/>
    <col min="30" max="30" width="3.625" bestFit="1" customWidth="1"/>
  </cols>
  <sheetData>
    <row r="1" spans="1:33" ht="22.5" customHeight="1" x14ac:dyDescent="0.2">
      <c r="A1" s="872" t="s">
        <v>231</v>
      </c>
      <c r="B1" s="242">
        <v>1000</v>
      </c>
      <c r="C1" s="64" t="s">
        <v>232</v>
      </c>
      <c r="D1" s="84">
        <f>S28</f>
        <v>6289.007575757576</v>
      </c>
      <c r="E1" s="62" t="s">
        <v>233</v>
      </c>
      <c r="F1" s="85">
        <f>D1/B1</f>
        <v>6.2890075757575756</v>
      </c>
      <c r="G1" s="62" t="s">
        <v>234</v>
      </c>
      <c r="H1" s="85">
        <f>F1</f>
        <v>6.2890075757575756</v>
      </c>
      <c r="I1" s="68" t="s">
        <v>415</v>
      </c>
      <c r="J1" s="270">
        <f>U54</f>
        <v>0.81185185185185182</v>
      </c>
      <c r="K1" s="68" t="s">
        <v>416</v>
      </c>
      <c r="L1" s="271">
        <f>U52</f>
        <v>0.76419634263715108</v>
      </c>
      <c r="M1" s="68" t="s">
        <v>417</v>
      </c>
      <c r="N1" s="271">
        <f>U53</f>
        <v>0.61852861035422346</v>
      </c>
      <c r="Y1" s="72" t="s">
        <v>444</v>
      </c>
      <c r="Z1" s="422">
        <v>18910</v>
      </c>
      <c r="AA1" s="72" t="s">
        <v>544</v>
      </c>
      <c r="AB1" s="422">
        <v>500</v>
      </c>
      <c r="AC1" s="72" t="s">
        <v>537</v>
      </c>
      <c r="AD1" s="422">
        <v>137</v>
      </c>
    </row>
    <row r="2" spans="1:33" ht="15.75" x14ac:dyDescent="0.25">
      <c r="A2" s="866"/>
      <c r="B2" s="1828" t="s">
        <v>418</v>
      </c>
      <c r="C2" s="1865"/>
      <c r="D2" s="1865"/>
      <c r="E2" s="1865"/>
      <c r="F2" s="1865"/>
      <c r="G2" s="1865"/>
      <c r="H2" s="1865"/>
      <c r="I2" s="265"/>
      <c r="J2" s="265"/>
      <c r="K2" s="265"/>
      <c r="L2" s="272"/>
      <c r="M2" s="147"/>
      <c r="N2" s="147"/>
      <c r="AE2" s="1772"/>
      <c r="AF2" s="1796"/>
      <c r="AG2" s="1796"/>
    </row>
    <row r="3" spans="1:33" ht="15.75" x14ac:dyDescent="0.25">
      <c r="A3" s="866"/>
      <c r="B3" s="1796"/>
      <c r="C3" s="1796"/>
      <c r="D3" s="1796"/>
      <c r="E3" s="1796"/>
      <c r="F3" s="1796"/>
      <c r="G3" s="1796"/>
      <c r="H3" s="1796"/>
      <c r="I3" s="265"/>
      <c r="J3" s="265"/>
      <c r="K3" s="265"/>
      <c r="L3" s="272"/>
      <c r="M3" s="147"/>
      <c r="N3" s="147"/>
      <c r="AE3" s="1796"/>
      <c r="AF3" s="1796"/>
      <c r="AG3" s="1796"/>
    </row>
    <row r="4" spans="1:33" ht="51.75" customHeight="1" x14ac:dyDescent="0.2">
      <c r="A4" s="1350" t="s">
        <v>864</v>
      </c>
      <c r="B4" s="923" t="s">
        <v>241</v>
      </c>
      <c r="C4" s="1104" t="s">
        <v>316</v>
      </c>
      <c r="D4" s="923" t="s">
        <v>317</v>
      </c>
      <c r="E4" s="935" t="s">
        <v>318</v>
      </c>
      <c r="F4" s="935" t="s">
        <v>319</v>
      </c>
      <c r="G4" s="1266" t="s">
        <v>320</v>
      </c>
      <c r="H4" s="936" t="s">
        <v>321</v>
      </c>
      <c r="I4" s="923" t="s">
        <v>246</v>
      </c>
      <c r="J4" s="923" t="s">
        <v>247</v>
      </c>
      <c r="K4" s="923" t="s">
        <v>248</v>
      </c>
      <c r="L4" s="923" t="s">
        <v>249</v>
      </c>
    </row>
    <row r="5" spans="1:33" x14ac:dyDescent="0.2">
      <c r="A5" s="1067"/>
      <c r="B5" s="1281"/>
      <c r="C5" s="1623"/>
      <c r="D5" s="1281"/>
      <c r="E5" s="1281"/>
      <c r="F5" s="1281"/>
      <c r="G5" s="1624"/>
      <c r="H5" s="1623"/>
      <c r="I5" s="1281"/>
      <c r="J5" s="1281"/>
      <c r="K5" s="1281"/>
      <c r="L5" s="1281"/>
    </row>
    <row r="6" spans="1:33" x14ac:dyDescent="0.25">
      <c r="A6" s="1070" t="s">
        <v>869</v>
      </c>
      <c r="B6" s="947" t="s">
        <v>21</v>
      </c>
      <c r="C6" s="947" t="s">
        <v>14</v>
      </c>
      <c r="D6" s="1615">
        <f>V52</f>
        <v>523.42569269521414</v>
      </c>
      <c r="E6" s="1621">
        <f>$H$1</f>
        <v>6.2890075757575756</v>
      </c>
      <c r="F6" s="1616">
        <v>1</v>
      </c>
      <c r="G6" s="940">
        <f>D6*E6</f>
        <v>3291.8281467063584</v>
      </c>
      <c r="H6" s="1617">
        <f>G6*F6</f>
        <v>3291.8281467063584</v>
      </c>
      <c r="I6" s="1281">
        <f>VLOOKUP(B6,All_Ingredients!$A$1:$F$161,6,FALSE())</f>
        <v>0.9</v>
      </c>
      <c r="J6" s="1281">
        <f>VLOOKUP(B6,All_Ingredients!$A$1:$J$161,10,FALSE())</f>
        <v>2.2999999999999998</v>
      </c>
      <c r="K6" s="1625">
        <f>(H6/I6)/1000</f>
        <v>3.6575868296737317</v>
      </c>
      <c r="L6" s="1625">
        <f>K6*J6</f>
        <v>8.4124497082495822</v>
      </c>
    </row>
    <row r="7" spans="1:33" x14ac:dyDescent="0.25">
      <c r="A7" s="1249"/>
      <c r="B7" s="947" t="s">
        <v>19</v>
      </c>
      <c r="C7" s="947" t="s">
        <v>14</v>
      </c>
      <c r="D7" s="1615">
        <f>V53</f>
        <v>323.34801762114535</v>
      </c>
      <c r="E7" s="1621">
        <f>$H$1</f>
        <v>6.2890075757575756</v>
      </c>
      <c r="F7" s="1616">
        <v>1</v>
      </c>
      <c r="G7" s="940">
        <f>D7*E7</f>
        <v>2033.538132425577</v>
      </c>
      <c r="H7" s="1617">
        <f>G7*F7</f>
        <v>2033.538132425577</v>
      </c>
      <c r="I7" s="1281">
        <f>VLOOKUP(B7,All_Ingredients!$A$1:$F$161,6,FALSE())</f>
        <v>0.8</v>
      </c>
      <c r="J7" s="1281">
        <f>VLOOKUP(B7,All_Ingredients!$A$1:$J$161,10,FALSE())</f>
        <v>2.6</v>
      </c>
      <c r="K7" s="1625">
        <f>(H7/I7)/1000</f>
        <v>2.5419226655319713</v>
      </c>
      <c r="L7" s="1625">
        <f>K7*J7</f>
        <v>6.6089989303831258</v>
      </c>
    </row>
    <row r="8" spans="1:33" x14ac:dyDescent="0.25">
      <c r="A8" s="1249"/>
      <c r="B8" s="947" t="s">
        <v>47</v>
      </c>
      <c r="C8" s="947" t="s">
        <v>14</v>
      </c>
      <c r="D8" s="1615">
        <f>V54</f>
        <v>492.70072992700733</v>
      </c>
      <c r="E8" s="1621">
        <f>$H$1</f>
        <v>6.2890075757575756</v>
      </c>
      <c r="F8" s="1616">
        <v>1</v>
      </c>
      <c r="G8" s="940">
        <f>D8*E8</f>
        <v>3098.5986230922363</v>
      </c>
      <c r="H8" s="1617">
        <f>G8*F8</f>
        <v>3098.5986230922363</v>
      </c>
      <c r="I8" s="1281">
        <f>VLOOKUP(B8,All_Ingredients!$A$1:$F$161,6,FALSE())</f>
        <v>0.78</v>
      </c>
      <c r="J8" s="1281">
        <f>VLOOKUP(B8,All_Ingredients!$A$1:$J$161,10,FALSE())</f>
        <v>3.7</v>
      </c>
      <c r="K8" s="1625">
        <f>(H8/I8)/1000</f>
        <v>3.972562337297739</v>
      </c>
      <c r="L8" s="1625">
        <f>K8*J8</f>
        <v>14.698480648001635</v>
      </c>
    </row>
    <row r="9" spans="1:33" x14ac:dyDescent="0.25">
      <c r="A9" s="1249"/>
      <c r="B9" s="947" t="s">
        <v>93</v>
      </c>
      <c r="C9" s="947" t="s">
        <v>14</v>
      </c>
      <c r="D9" s="1618">
        <v>25</v>
      </c>
      <c r="E9" s="1621">
        <f>$H$1</f>
        <v>6.2890075757575756</v>
      </c>
      <c r="F9" s="1616">
        <v>0.5</v>
      </c>
      <c r="G9" s="940">
        <f>D9*E9</f>
        <v>157.22518939393939</v>
      </c>
      <c r="H9" s="1617">
        <f>G9*F9</f>
        <v>78.612594696969694</v>
      </c>
      <c r="I9" s="1281">
        <f>VLOOKUP(B9,All_Ingredients!$A$1:$F$161,6,FALSE())</f>
        <v>1</v>
      </c>
      <c r="J9" s="1281">
        <f>VLOOKUP(B9,All_Ingredients!$A$1:$J$161,10,FALSE())</f>
        <v>0.74</v>
      </c>
      <c r="K9" s="1625">
        <f>(H9/I9)/1000</f>
        <v>7.8612594696969698E-2</v>
      </c>
      <c r="L9" s="1625">
        <f>K9*J9</f>
        <v>5.8173320075757574E-2</v>
      </c>
    </row>
    <row r="25" spans="18:29" ht="15.75" x14ac:dyDescent="0.25">
      <c r="R25" s="1885" t="s">
        <v>424</v>
      </c>
      <c r="S25" s="1850"/>
      <c r="T25" s="1850"/>
      <c r="U25" s="1850"/>
      <c r="Z25" s="96" t="s">
        <v>252</v>
      </c>
      <c r="AA25" s="97">
        <v>1</v>
      </c>
      <c r="AB25" s="96" t="s">
        <v>249</v>
      </c>
      <c r="AC25" s="599">
        <f>(S35/S32)*AA25</f>
        <v>4.3862232107447904E-3</v>
      </c>
    </row>
    <row r="26" spans="18:29" x14ac:dyDescent="0.25">
      <c r="R26" s="1881" t="s">
        <v>413</v>
      </c>
      <c r="S26" s="1867"/>
      <c r="T26" s="1867"/>
      <c r="U26" s="1867"/>
      <c r="AC26" s="14"/>
    </row>
    <row r="27" spans="18:29" ht="15.75" thickBot="1" x14ac:dyDescent="0.3">
      <c r="R27" s="100"/>
      <c r="S27" s="101" t="s">
        <v>425</v>
      </c>
      <c r="T27" s="101" t="s">
        <v>256</v>
      </c>
      <c r="U27" s="101" t="s">
        <v>257</v>
      </c>
      <c r="V27" s="266"/>
      <c r="Z27" s="14"/>
      <c r="AA27" s="14"/>
      <c r="AB27" s="14"/>
      <c r="AC27" s="14"/>
    </row>
    <row r="28" spans="18:29" ht="15.75" thickBot="1" x14ac:dyDescent="0.3">
      <c r="R28" s="103" t="s">
        <v>324</v>
      </c>
      <c r="S28" s="656">
        <f>U28*AVERAGE(Z55:AC55)</f>
        <v>6289.007575757576</v>
      </c>
      <c r="T28" s="104"/>
      <c r="U28" s="669">
        <f>$Z$1</f>
        <v>18910</v>
      </c>
      <c r="V28" s="13"/>
      <c r="Z28" s="14"/>
      <c r="AA28" s="14"/>
      <c r="AB28" s="14"/>
      <c r="AC28" s="14"/>
    </row>
    <row r="29" spans="18:29" ht="15.75" thickBot="1" x14ac:dyDescent="0.3">
      <c r="R29" s="103"/>
      <c r="S29" s="109"/>
      <c r="T29" s="104"/>
      <c r="U29" s="104">
        <f>T29</f>
        <v>0</v>
      </c>
      <c r="V29" s="266"/>
      <c r="Z29" s="14"/>
      <c r="AA29" s="14"/>
      <c r="AB29" s="14"/>
      <c r="AC29" s="14"/>
    </row>
    <row r="30" spans="18:29" ht="15.75" thickBot="1" x14ac:dyDescent="0.3">
      <c r="R30" s="247" t="s">
        <v>325</v>
      </c>
      <c r="S30" s="657">
        <f>$AB$1</f>
        <v>500</v>
      </c>
      <c r="T30" s="104"/>
      <c r="U30" s="382">
        <v>1000</v>
      </c>
      <c r="Z30" s="14"/>
      <c r="AA30" s="14"/>
      <c r="AB30" s="14"/>
      <c r="AC30" s="14"/>
    </row>
    <row r="31" spans="18:29" ht="15.75" thickBot="1" x14ac:dyDescent="0.3">
      <c r="R31" s="103" t="s">
        <v>426</v>
      </c>
      <c r="S31" s="109"/>
      <c r="T31" s="104"/>
      <c r="U31" s="104">
        <f>T31</f>
        <v>0</v>
      </c>
      <c r="Z31" s="14"/>
      <c r="AA31" s="14"/>
      <c r="AB31" s="14"/>
      <c r="AC31" s="14"/>
    </row>
    <row r="32" spans="18:29" x14ac:dyDescent="0.25">
      <c r="R32" s="248" t="s">
        <v>326</v>
      </c>
      <c r="S32" s="104">
        <f>S28+S30</f>
        <v>6789.007575757576</v>
      </c>
      <c r="T32" s="104"/>
      <c r="U32" s="104">
        <f>U28+U30</f>
        <v>19910</v>
      </c>
    </row>
    <row r="33" spans="18:21" x14ac:dyDescent="0.25">
      <c r="R33" s="115" t="s">
        <v>268</v>
      </c>
      <c r="S33" s="109"/>
      <c r="T33" s="109"/>
      <c r="U33" s="109"/>
    </row>
    <row r="34" spans="18:21" x14ac:dyDescent="0.25">
      <c r="R34" s="116" t="s">
        <v>269</v>
      </c>
      <c r="S34" s="109"/>
      <c r="T34" s="104"/>
      <c r="U34" s="109"/>
    </row>
    <row r="35" spans="18:21" x14ac:dyDescent="0.25">
      <c r="R35" s="117" t="s">
        <v>249</v>
      </c>
      <c r="S35" s="548">
        <f>SUM(L6:L9)</f>
        <v>29.7781026067101</v>
      </c>
      <c r="T35" s="548"/>
      <c r="U35" s="601">
        <f>S35+T35</f>
        <v>29.7781026067101</v>
      </c>
    </row>
    <row r="50" spans="1:29" ht="15.75" thickBot="1" x14ac:dyDescent="0.3">
      <c r="R50" s="1"/>
      <c r="Z50">
        <v>90</v>
      </c>
      <c r="AA50">
        <v>110</v>
      </c>
      <c r="AB50">
        <v>150</v>
      </c>
      <c r="AC50">
        <v>200</v>
      </c>
    </row>
    <row r="51" spans="1:29" ht="30" x14ac:dyDescent="0.25">
      <c r="R51" s="89" t="s">
        <v>419</v>
      </c>
      <c r="S51" s="89" t="s">
        <v>420</v>
      </c>
      <c r="T51" s="89" t="s">
        <v>421</v>
      </c>
      <c r="U51" s="89"/>
      <c r="V51" s="89" t="s">
        <v>422</v>
      </c>
      <c r="W51" s="89"/>
      <c r="X51" s="89"/>
      <c r="Y51" s="273" t="s">
        <v>423</v>
      </c>
      <c r="Z51" s="274">
        <v>30</v>
      </c>
      <c r="AA51" s="275">
        <v>40</v>
      </c>
      <c r="AB51" s="276">
        <v>50</v>
      </c>
      <c r="AC51" s="277">
        <v>60</v>
      </c>
    </row>
    <row r="52" spans="1:29" x14ac:dyDescent="0.25">
      <c r="R52" t="s">
        <v>21</v>
      </c>
      <c r="S52">
        <v>20780</v>
      </c>
      <c r="T52">
        <v>15880</v>
      </c>
      <c r="U52" s="268">
        <f>T52/S52</f>
        <v>0.76419634263715108</v>
      </c>
      <c r="V52">
        <f>400/U52</f>
        <v>523.42569269521414</v>
      </c>
      <c r="W52">
        <f>V52*U52</f>
        <v>400</v>
      </c>
      <c r="X52" s="268">
        <f>W52/$X$56</f>
        <v>0.4</v>
      </c>
      <c r="Y52" s="278" t="s">
        <v>21</v>
      </c>
      <c r="Z52" s="279">
        <f>X52*$Z$51</f>
        <v>12</v>
      </c>
      <c r="AA52" s="280">
        <f>X52*$AA$51</f>
        <v>16</v>
      </c>
      <c r="AB52" s="281">
        <f>X52*$AB$51</f>
        <v>20</v>
      </c>
      <c r="AC52" s="282">
        <f>X52*$AC$51</f>
        <v>24</v>
      </c>
    </row>
    <row r="53" spans="1:29" x14ac:dyDescent="0.25">
      <c r="D53" s="266"/>
      <c r="R53" t="s">
        <v>19</v>
      </c>
      <c r="S53">
        <v>3670</v>
      </c>
      <c r="T53">
        <v>2270</v>
      </c>
      <c r="U53" s="268">
        <f>T53/S53</f>
        <v>0.61852861035422346</v>
      </c>
      <c r="V53">
        <f>200/U53</f>
        <v>323.34801762114535</v>
      </c>
      <c r="W53">
        <f>V53*U53</f>
        <v>200</v>
      </c>
      <c r="X53" s="268">
        <f>W53/$X$56</f>
        <v>0.2</v>
      </c>
      <c r="Y53" s="278" t="s">
        <v>19</v>
      </c>
      <c r="Z53" s="279">
        <f>X53*$Z$51</f>
        <v>6</v>
      </c>
      <c r="AA53" s="280">
        <f>X53*$AA$51</f>
        <v>8</v>
      </c>
      <c r="AB53" s="281">
        <f>X53*$AB$51</f>
        <v>10</v>
      </c>
      <c r="AC53" s="282">
        <f>X53*$AC$51</f>
        <v>12</v>
      </c>
    </row>
    <row r="54" spans="1:29" ht="15.75" thickBot="1" x14ac:dyDescent="0.3">
      <c r="D54" s="266"/>
      <c r="R54" t="s">
        <v>47</v>
      </c>
      <c r="S54">
        <v>6750</v>
      </c>
      <c r="T54">
        <v>5480</v>
      </c>
      <c r="U54" s="268">
        <f>T54/S54</f>
        <v>0.81185185185185182</v>
      </c>
      <c r="V54">
        <f>400/U54</f>
        <v>492.70072992700733</v>
      </c>
      <c r="W54">
        <f>V54*U54</f>
        <v>400</v>
      </c>
      <c r="X54" s="268">
        <f>W54/$X$56</f>
        <v>0.4</v>
      </c>
      <c r="Y54" s="283" t="s">
        <v>47</v>
      </c>
      <c r="Z54" s="284">
        <f>X54*$Z$51</f>
        <v>12</v>
      </c>
      <c r="AA54" s="285">
        <f>X54*$AA$51</f>
        <v>16</v>
      </c>
      <c r="AB54" s="286">
        <f>X54*$AB$51</f>
        <v>20</v>
      </c>
      <c r="AC54" s="287">
        <f>X54*$AC$51</f>
        <v>24</v>
      </c>
    </row>
    <row r="55" spans="1:29" x14ac:dyDescent="0.25">
      <c r="D55" s="266"/>
      <c r="R55" s="1"/>
      <c r="Z55" s="4">
        <f>Z51/Z50</f>
        <v>0.33333333333333331</v>
      </c>
      <c r="AA55" s="4">
        <f>AA51/AA50</f>
        <v>0.36363636363636365</v>
      </c>
      <c r="AB55" s="4">
        <f>AB51/AB50</f>
        <v>0.33333333333333331</v>
      </c>
      <c r="AC55" s="4">
        <f>AC51/AC50</f>
        <v>0.3</v>
      </c>
    </row>
    <row r="56" spans="1:29" x14ac:dyDescent="0.25">
      <c r="R56" s="1"/>
      <c r="X56">
        <f>SUM(W52:W54)</f>
        <v>1000</v>
      </c>
    </row>
    <row r="62" spans="1:29" x14ac:dyDescent="0.25">
      <c r="A62" s="866"/>
      <c r="B62" s="1828" t="s">
        <v>418</v>
      </c>
      <c r="C62" s="1865"/>
      <c r="D62" s="1865"/>
      <c r="E62" s="1865"/>
      <c r="F62" s="1865"/>
      <c r="G62" s="1865"/>
      <c r="H62" s="1865"/>
    </row>
    <row r="63" spans="1:29" x14ac:dyDescent="0.25">
      <c r="A63" s="866"/>
      <c r="B63" s="1796"/>
      <c r="C63" s="1796"/>
      <c r="D63" s="1796"/>
      <c r="E63" s="1796"/>
      <c r="F63" s="1796"/>
      <c r="G63" s="1796"/>
      <c r="H63" s="1796"/>
    </row>
    <row r="64" spans="1:29" ht="51" x14ac:dyDescent="0.2">
      <c r="A64" s="1350" t="s">
        <v>864</v>
      </c>
      <c r="B64" s="923" t="s">
        <v>241</v>
      </c>
      <c r="C64" s="1104" t="s">
        <v>316</v>
      </c>
      <c r="D64" s="923" t="s">
        <v>317</v>
      </c>
      <c r="E64" s="935" t="s">
        <v>318</v>
      </c>
      <c r="F64" s="935" t="s">
        <v>319</v>
      </c>
      <c r="G64" s="1266" t="s">
        <v>320</v>
      </c>
      <c r="H64" s="936" t="s">
        <v>321</v>
      </c>
    </row>
    <row r="65" spans="1:8" x14ac:dyDescent="0.25">
      <c r="A65" s="1070" t="s">
        <v>869</v>
      </c>
      <c r="B65" s="947" t="str">
        <f>B6</f>
        <v>Potato - بطاطس</v>
      </c>
      <c r="C65" s="947" t="str">
        <f t="shared" ref="C65:F65" si="0">C6</f>
        <v>gm</v>
      </c>
      <c r="D65" s="1705">
        <f t="shared" si="0"/>
        <v>523.42569269521414</v>
      </c>
      <c r="E65" s="1705">
        <f t="shared" si="0"/>
        <v>6.2890075757575756</v>
      </c>
      <c r="F65" s="1726">
        <f t="shared" si="0"/>
        <v>1</v>
      </c>
      <c r="G65" s="940">
        <f>D65*E65</f>
        <v>3291.8281467063584</v>
      </c>
      <c r="H65" s="1617">
        <f>G65*F65</f>
        <v>3291.8281467063584</v>
      </c>
    </row>
    <row r="66" spans="1:8" x14ac:dyDescent="0.25">
      <c r="A66" s="1249"/>
      <c r="B66" s="947" t="str">
        <f t="shared" ref="B66:F66" si="1">B7</f>
        <v>Carrot - جزر</v>
      </c>
      <c r="C66" s="947" t="str">
        <f t="shared" si="1"/>
        <v>gm</v>
      </c>
      <c r="D66" s="1705">
        <f t="shared" si="1"/>
        <v>323.34801762114535</v>
      </c>
      <c r="E66" s="1705">
        <f t="shared" si="1"/>
        <v>6.2890075757575756</v>
      </c>
      <c r="F66" s="1726">
        <f t="shared" si="1"/>
        <v>1</v>
      </c>
      <c r="G66" s="940">
        <f>D66*E66</f>
        <v>2033.538132425577</v>
      </c>
      <c r="H66" s="1617">
        <f>G66*F66</f>
        <v>2033.538132425577</v>
      </c>
    </row>
    <row r="67" spans="1:8" x14ac:dyDescent="0.25">
      <c r="A67" s="1249"/>
      <c r="B67" s="947" t="str">
        <f t="shared" ref="B67:F67" si="2">B8</f>
        <v>Zucchini - كوسة</v>
      </c>
      <c r="C67" s="947" t="str">
        <f t="shared" si="2"/>
        <v>gm</v>
      </c>
      <c r="D67" s="1705">
        <f t="shared" si="2"/>
        <v>492.70072992700733</v>
      </c>
      <c r="E67" s="1705">
        <f t="shared" si="2"/>
        <v>6.2890075757575756</v>
      </c>
      <c r="F67" s="1726">
        <f t="shared" si="2"/>
        <v>1</v>
      </c>
      <c r="G67" s="940">
        <f>D67*E67</f>
        <v>3098.5986230922363</v>
      </c>
      <c r="H67" s="1617">
        <f>G67*F67</f>
        <v>3098.5986230922363</v>
      </c>
    </row>
    <row r="68" spans="1:8" x14ac:dyDescent="0.25">
      <c r="A68" s="1249"/>
      <c r="B68" s="947" t="str">
        <f t="shared" ref="B68:F68" si="3">B9</f>
        <v>Salt - ملح</v>
      </c>
      <c r="C68" s="947" t="str">
        <f t="shared" si="3"/>
        <v>gm</v>
      </c>
      <c r="D68" s="1705">
        <f t="shared" si="3"/>
        <v>25</v>
      </c>
      <c r="E68" s="1705">
        <f t="shared" si="3"/>
        <v>6.2890075757575756</v>
      </c>
      <c r="F68" s="1726">
        <f t="shared" si="3"/>
        <v>0.5</v>
      </c>
      <c r="G68" s="940">
        <f>D68*E68</f>
        <v>157.22518939393939</v>
      </c>
      <c r="H68" s="1617">
        <f>G68*F68</f>
        <v>78.612594696969694</v>
      </c>
    </row>
    <row r="69" spans="1:8" ht="15.75" x14ac:dyDescent="0.25">
      <c r="B69" s="1622" t="s">
        <v>686</v>
      </c>
    </row>
    <row r="70" spans="1:8" ht="20.25" x14ac:dyDescent="0.3">
      <c r="B70" s="1048">
        <f>$S$32</f>
        <v>6789.007575757576</v>
      </c>
    </row>
  </sheetData>
  <mergeCells count="5">
    <mergeCell ref="AE2:AG3"/>
    <mergeCell ref="R25:U25"/>
    <mergeCell ref="R26:U26"/>
    <mergeCell ref="B2:H3"/>
    <mergeCell ref="B62:H63"/>
  </mergeCells>
  <printOptions horizontalCentered="1"/>
  <pageMargins left="0.5" right="0.5" top="1" bottom="0.5" header="0.3" footer="0.511811023622047"/>
  <pageSetup paperSize="9" scale="19" orientation="portrait" r:id="rId1"/>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rgb="FF7C7C7C"/>
    <pageSetUpPr fitToPage="1"/>
  </sheetPr>
  <dimension ref="A1:AT73"/>
  <sheetViews>
    <sheetView topLeftCell="A37" zoomScale="55" zoomScaleNormal="55" workbookViewId="0">
      <selection activeCell="H28" sqref="H28:AB29"/>
    </sheetView>
  </sheetViews>
  <sheetFormatPr defaultColWidth="12.5" defaultRowHeight="15" x14ac:dyDescent="0.25"/>
  <cols>
    <col min="1" max="1" width="14.75" style="61" bestFit="1" customWidth="1"/>
    <col min="2" max="2" width="36" style="14" bestFit="1" customWidth="1"/>
    <col min="3" max="3" width="16.5" style="14" bestFit="1" customWidth="1"/>
    <col min="4" max="4" width="15.375" style="14" bestFit="1" customWidth="1"/>
    <col min="5" max="5" width="16" style="14" bestFit="1" customWidth="1"/>
    <col min="6" max="6" width="14.25" style="14" bestFit="1" customWidth="1"/>
    <col min="7" max="7" width="20.25" style="14" bestFit="1" customWidth="1"/>
    <col min="8" max="8" width="33.75" style="14" bestFit="1" customWidth="1"/>
    <col min="9" max="9" width="16.5" style="14" bestFit="1" customWidth="1"/>
    <col min="10" max="10" width="13.625" style="14" bestFit="1" customWidth="1"/>
    <col min="11" max="11" width="11.125" style="14" bestFit="1" customWidth="1"/>
    <col min="12" max="12" width="6.75" style="14" bestFit="1" customWidth="1"/>
    <col min="13" max="14" width="4.5" style="14" customWidth="1"/>
    <col min="15" max="15" width="14.625" style="14" bestFit="1" customWidth="1"/>
    <col min="16" max="16" width="12.5" style="14" customWidth="1"/>
    <col min="17" max="17" width="12.125" style="14" bestFit="1" customWidth="1"/>
    <col min="18" max="18" width="32.75" style="14" bestFit="1" customWidth="1"/>
    <col min="19" max="19" width="10.25" style="14" bestFit="1" customWidth="1"/>
    <col min="20" max="20" width="38" style="14" customWidth="1"/>
    <col min="21" max="21" width="9.625" style="14" bestFit="1" customWidth="1"/>
    <col min="22" max="22" width="10.25" style="14" bestFit="1" customWidth="1"/>
    <col min="23" max="23" width="32.125" style="14" bestFit="1" customWidth="1"/>
    <col min="24" max="24" width="7" style="14" bestFit="1" customWidth="1"/>
    <col min="25" max="25" width="6.625" style="14" bestFit="1" customWidth="1"/>
    <col min="26" max="27" width="9.5" style="14" bestFit="1" customWidth="1"/>
    <col min="28" max="28" width="11.125" style="14" bestFit="1" customWidth="1"/>
    <col min="29" max="29" width="11.75" style="14" bestFit="1" customWidth="1"/>
    <col min="30" max="30" width="12.125" style="14" bestFit="1" customWidth="1"/>
    <col min="31" max="31" width="10.25" style="14" bestFit="1" customWidth="1"/>
    <col min="32" max="32" width="5.875" style="14" bestFit="1" customWidth="1"/>
    <col min="33" max="34" width="5.25" style="14" customWidth="1"/>
    <col min="35" max="35" width="11" style="14" bestFit="1" customWidth="1"/>
    <col min="36" max="36" width="31.5" style="14" bestFit="1" customWidth="1"/>
    <col min="37" max="37" width="5.375" style="14" bestFit="1" customWidth="1"/>
    <col min="38" max="38" width="13.625" style="14" bestFit="1" customWidth="1"/>
    <col min="39" max="39" width="10.875" style="14" bestFit="1" customWidth="1"/>
    <col min="40" max="40" width="10" style="14" bestFit="1" customWidth="1"/>
    <col min="41" max="41" width="12.5" style="14"/>
    <col min="42" max="42" width="12" style="14" bestFit="1" customWidth="1"/>
    <col min="43" max="43" width="11" style="14" bestFit="1" customWidth="1"/>
    <col min="44" max="44" width="11.625" style="14" bestFit="1" customWidth="1"/>
    <col min="45" max="45" width="11.125" style="14" bestFit="1" customWidth="1"/>
    <col min="46" max="46" width="5.25" style="14" bestFit="1" customWidth="1"/>
    <col min="47" max="16384" width="12.5" style="14"/>
  </cols>
  <sheetData>
    <row r="1" spans="1:46" ht="25.5" x14ac:dyDescent="0.25">
      <c r="B1" s="843" t="s">
        <v>231</v>
      </c>
      <c r="C1" s="63">
        <v>1000</v>
      </c>
      <c r="D1" s="64" t="s">
        <v>232</v>
      </c>
      <c r="E1" s="84">
        <f>T32</f>
        <v>4476.9230769230808</v>
      </c>
      <c r="F1" s="62" t="s">
        <v>233</v>
      </c>
      <c r="G1" s="84">
        <f>E1/C1</f>
        <v>4.4769230769230806</v>
      </c>
      <c r="H1" s="62" t="s">
        <v>234</v>
      </c>
      <c r="I1" s="84">
        <f>G1/K1</f>
        <v>4.4769230769230806</v>
      </c>
      <c r="J1" s="209" t="s">
        <v>235</v>
      </c>
      <c r="K1" s="210">
        <v>1</v>
      </c>
      <c r="L1" s="80"/>
      <c r="M1" s="70"/>
      <c r="N1" s="71"/>
      <c r="O1" s="72" t="s">
        <v>236</v>
      </c>
      <c r="P1" s="256"/>
      <c r="Q1" s="74" t="s">
        <v>238</v>
      </c>
      <c r="R1" s="73">
        <v>0.59</v>
      </c>
      <c r="S1" s="74" t="s">
        <v>332</v>
      </c>
      <c r="T1" s="211">
        <v>140</v>
      </c>
      <c r="U1" s="80"/>
      <c r="V1" s="80"/>
      <c r="Y1" s="72" t="s">
        <v>444</v>
      </c>
      <c r="Z1" s="422">
        <v>135</v>
      </c>
      <c r="AA1" s="72" t="s">
        <v>544</v>
      </c>
      <c r="AB1" s="422">
        <v>5</v>
      </c>
      <c r="AC1" s="72" t="s">
        <v>537</v>
      </c>
      <c r="AD1" s="422">
        <v>135</v>
      </c>
      <c r="AE1" s="72" t="s">
        <v>529</v>
      </c>
      <c r="AF1" s="422">
        <f>Z1+AB1</f>
        <v>140</v>
      </c>
      <c r="AJ1" s="75" t="s">
        <v>250</v>
      </c>
      <c r="AK1" s="75">
        <v>10000</v>
      </c>
      <c r="AL1" s="318" t="s">
        <v>474</v>
      </c>
      <c r="AM1" s="319">
        <f>$S$32</f>
        <v>14923.07692307692</v>
      </c>
      <c r="AN1" s="75" t="s">
        <v>239</v>
      </c>
      <c r="AO1" s="212">
        <f>((AD1*T1)/$R$1)/$AK$1</f>
        <v>3.2033898305084749</v>
      </c>
      <c r="AP1" s="76"/>
    </row>
    <row r="2" spans="1:46" ht="15.75" x14ac:dyDescent="0.25">
      <c r="A2" s="863"/>
      <c r="B2" s="1851" t="s">
        <v>117</v>
      </c>
      <c r="C2" s="1799"/>
      <c r="D2" s="1799"/>
      <c r="E2" s="1799"/>
      <c r="F2" s="1799"/>
      <c r="G2" s="1799"/>
      <c r="H2" s="1799"/>
      <c r="I2" s="1799"/>
      <c r="J2" s="1799"/>
      <c r="K2" s="1799"/>
      <c r="L2" s="187"/>
      <c r="M2" s="80"/>
      <c r="N2" s="80"/>
      <c r="O2" s="80"/>
      <c r="P2" s="80"/>
      <c r="Q2" s="80"/>
      <c r="R2" s="80"/>
      <c r="AC2" s="79"/>
      <c r="AD2" s="79"/>
      <c r="AE2" s="1795"/>
      <c r="AF2" s="1799"/>
      <c r="AG2" s="1799"/>
      <c r="AJ2" s="81"/>
      <c r="AK2" s="1873" t="s">
        <v>428</v>
      </c>
      <c r="AL2" s="1873"/>
      <c r="AM2" s="1873"/>
      <c r="AN2" s="1873"/>
      <c r="AO2" s="81"/>
      <c r="AP2" s="81"/>
    </row>
    <row r="3" spans="1:46" ht="15.75" x14ac:dyDescent="0.25">
      <c r="A3" s="863"/>
      <c r="B3" s="1796"/>
      <c r="C3" s="1796"/>
      <c r="D3" s="1796"/>
      <c r="E3" s="1796"/>
      <c r="F3" s="1796"/>
      <c r="G3" s="1796"/>
      <c r="H3" s="1796"/>
      <c r="I3" s="1796"/>
      <c r="J3" s="1796"/>
      <c r="K3" s="1796"/>
      <c r="L3" s="187"/>
      <c r="M3" s="80"/>
      <c r="N3" s="80"/>
      <c r="O3" s="80"/>
      <c r="P3" s="80"/>
      <c r="Q3" s="80"/>
      <c r="R3" s="80"/>
      <c r="AC3" s="79"/>
      <c r="AD3" s="79"/>
      <c r="AE3" s="1799"/>
      <c r="AF3" s="1799"/>
      <c r="AG3" s="1799"/>
      <c r="AJ3" s="81"/>
      <c r="AK3" s="81"/>
      <c r="AL3" s="81"/>
      <c r="AM3" s="81"/>
      <c r="AN3" s="1799"/>
      <c r="AO3" s="81"/>
      <c r="AP3" s="81"/>
    </row>
    <row r="4" spans="1:46" ht="51" x14ac:dyDescent="0.2">
      <c r="A4" s="1350" t="s">
        <v>864</v>
      </c>
      <c r="B4" s="923" t="s">
        <v>241</v>
      </c>
      <c r="C4" s="934" t="s">
        <v>242</v>
      </c>
      <c r="D4" s="923" t="s">
        <v>231</v>
      </c>
      <c r="E4" s="936" t="s">
        <v>234</v>
      </c>
      <c r="F4" s="935" t="s">
        <v>243</v>
      </c>
      <c r="G4" s="923" t="s">
        <v>244</v>
      </c>
      <c r="H4" s="934" t="s">
        <v>334</v>
      </c>
      <c r="I4" s="923" t="s">
        <v>246</v>
      </c>
      <c r="J4" s="923" t="s">
        <v>247</v>
      </c>
      <c r="K4" s="923" t="s">
        <v>248</v>
      </c>
      <c r="L4" s="923" t="s">
        <v>249</v>
      </c>
      <c r="M4" s="235"/>
      <c r="N4" s="235"/>
      <c r="O4" s="80"/>
      <c r="P4" s="80"/>
      <c r="Q4" s="80"/>
      <c r="R4" s="80"/>
      <c r="AC4" s="169"/>
      <c r="AD4" s="171"/>
      <c r="AE4" s="169"/>
      <c r="AF4" s="169"/>
      <c r="AG4" s="169"/>
      <c r="AJ4" s="926" t="s">
        <v>241</v>
      </c>
      <c r="AK4" s="1169" t="s">
        <v>242</v>
      </c>
      <c r="AL4" s="926" t="s">
        <v>250</v>
      </c>
      <c r="AM4" s="926" t="s">
        <v>234</v>
      </c>
      <c r="AN4" s="926" t="s">
        <v>243</v>
      </c>
      <c r="AO4" s="926" t="s">
        <v>244</v>
      </c>
      <c r="AP4" s="926" t="s">
        <v>334</v>
      </c>
      <c r="AQ4" s="923" t="s">
        <v>246</v>
      </c>
      <c r="AR4" s="923" t="s">
        <v>247</v>
      </c>
      <c r="AS4" s="923" t="s">
        <v>248</v>
      </c>
      <c r="AT4" s="923" t="s">
        <v>249</v>
      </c>
    </row>
    <row r="5" spans="1:46" x14ac:dyDescent="0.25">
      <c r="A5" s="949" t="s">
        <v>873</v>
      </c>
      <c r="B5" s="1614" t="s">
        <v>220</v>
      </c>
      <c r="C5" s="947" t="s">
        <v>14</v>
      </c>
      <c r="D5" s="1116">
        <f>I51/10</f>
        <v>5649.8305084745762</v>
      </c>
      <c r="E5" s="1052">
        <f>H52</f>
        <v>4.4768335402522714</v>
      </c>
      <c r="F5" s="1616">
        <v>1</v>
      </c>
      <c r="G5" s="940">
        <f t="shared" ref="G5:G10" si="0">D5*E5</f>
        <v>25293.350717079527</v>
      </c>
      <c r="H5" s="1617">
        <f t="shared" ref="H5:H10" si="1">G5*F5</f>
        <v>25293.350717079527</v>
      </c>
      <c r="I5" s="914">
        <f>VLOOKUP(B5,All_Ingredients!$A$1:$F$161,6,FALSE())</f>
        <v>0.86</v>
      </c>
      <c r="J5" s="940">
        <f>VLOOKUP(B5,All_Ingredients!$A$1:$J$161,10,FALSE())</f>
        <v>17.100000000000001</v>
      </c>
      <c r="K5" s="945">
        <f t="shared" ref="K5" si="2">(H5/I5)/1000</f>
        <v>29.41087292683666</v>
      </c>
      <c r="L5" s="945">
        <f t="shared" ref="L5" si="3">K5*J5</f>
        <v>502.92592704890694</v>
      </c>
      <c r="M5" s="87"/>
      <c r="N5" s="87"/>
      <c r="O5" s="80"/>
      <c r="P5" s="80"/>
      <c r="Q5" s="80"/>
      <c r="R5" s="80"/>
      <c r="AC5" s="73"/>
      <c r="AD5" s="89"/>
      <c r="AE5" s="172"/>
      <c r="AF5" s="90"/>
      <c r="AG5" s="91"/>
      <c r="AJ5" s="959" t="s">
        <v>220</v>
      </c>
      <c r="AK5" s="947" t="s">
        <v>227</v>
      </c>
      <c r="AL5" s="1615">
        <v>10</v>
      </c>
      <c r="AM5" s="1621">
        <f t="shared" ref="AM5:AM12" si="4">$AO$1</f>
        <v>3.2033898305084749</v>
      </c>
      <c r="AN5" s="1626">
        <v>1</v>
      </c>
      <c r="AO5" s="940">
        <f t="shared" ref="AO5:AO12" si="5">AL5*AM5</f>
        <v>32.033898305084747</v>
      </c>
      <c r="AP5" s="1038">
        <f t="shared" ref="AP5:AP12" si="6">AO5*AN5</f>
        <v>32.033898305084747</v>
      </c>
      <c r="AQ5" s="952"/>
      <c r="AR5" s="953"/>
      <c r="AS5" s="1020"/>
      <c r="AT5" s="955"/>
    </row>
    <row r="6" spans="1:46" x14ac:dyDescent="0.25">
      <c r="A6" s="949"/>
      <c r="B6" s="959" t="s">
        <v>189</v>
      </c>
      <c r="C6" s="1400" t="s">
        <v>160</v>
      </c>
      <c r="D6" s="1615">
        <v>500</v>
      </c>
      <c r="E6" s="1615">
        <f>$I$1</f>
        <v>4.4769230769230806</v>
      </c>
      <c r="F6" s="1616">
        <v>1</v>
      </c>
      <c r="G6" s="940">
        <f t="shared" si="0"/>
        <v>2238.4615384615404</v>
      </c>
      <c r="H6" s="1617">
        <f t="shared" si="1"/>
        <v>2238.4615384615404</v>
      </c>
      <c r="I6" s="914">
        <f>VLOOKUP(B6,All_Ingredients!$A$1:$F$161,6,FALSE())</f>
        <v>1</v>
      </c>
      <c r="J6" s="940">
        <f>VLOOKUP(B6,All_Ingredients!$A$1:$J$161,10,FALSE())</f>
        <v>17.480211081794195</v>
      </c>
      <c r="K6" s="945">
        <f t="shared" ref="K6:K10" si="7">(H6/I6)/1000</f>
        <v>2.2384615384615403</v>
      </c>
      <c r="L6" s="945">
        <f t="shared" ref="L6:L10" si="8">K6*J6</f>
        <v>39.128780190785498</v>
      </c>
      <c r="M6" s="87"/>
      <c r="N6" s="87"/>
      <c r="AI6" s="14" t="s">
        <v>55</v>
      </c>
      <c r="AJ6" s="959" t="s">
        <v>54</v>
      </c>
      <c r="AK6" s="1400" t="s">
        <v>14</v>
      </c>
      <c r="AL6" s="1615">
        <v>150</v>
      </c>
      <c r="AM6" s="1621">
        <f t="shared" si="4"/>
        <v>3.2033898305084749</v>
      </c>
      <c r="AN6" s="1626">
        <v>1</v>
      </c>
      <c r="AO6" s="940">
        <f t="shared" si="5"/>
        <v>480.50847457627123</v>
      </c>
      <c r="AP6" s="1038">
        <f t="shared" si="6"/>
        <v>480.50847457627123</v>
      </c>
      <c r="AQ6" s="955">
        <f>VLOOKUP(AJ6,Marination_Ordering!$A:$J,6,FALSE)</f>
        <v>0.87</v>
      </c>
      <c r="AR6" s="955">
        <f>VLOOKUP(AJ6,Marination_Ordering!$A:$J,10,FALSE)</f>
        <v>7</v>
      </c>
      <c r="AS6" s="1020">
        <f>AP6/AQ6</f>
        <v>552.30859146697844</v>
      </c>
      <c r="AT6" s="955">
        <f>AR6*(AS6/1000)</f>
        <v>3.8661601402688488</v>
      </c>
    </row>
    <row r="7" spans="1:46" x14ac:dyDescent="0.25">
      <c r="A7" s="949"/>
      <c r="B7" s="959" t="s">
        <v>149</v>
      </c>
      <c r="C7" s="947" t="s">
        <v>14</v>
      </c>
      <c r="D7" s="1615">
        <v>50</v>
      </c>
      <c r="E7" s="1615">
        <f>$I$1</f>
        <v>4.4769230769230806</v>
      </c>
      <c r="F7" s="1616">
        <v>1</v>
      </c>
      <c r="G7" s="940">
        <f t="shared" si="0"/>
        <v>223.84615384615404</v>
      </c>
      <c r="H7" s="1617">
        <f t="shared" si="1"/>
        <v>223.84615384615404</v>
      </c>
      <c r="I7" s="914">
        <f>VLOOKUP(B7,All_Ingredients!$A$1:$F$161,6,FALSE())</f>
        <v>1</v>
      </c>
      <c r="J7" s="940">
        <f>VLOOKUP(B7,All_Ingredients!$A$1:$J$161,10,FALSE())</f>
        <v>10</v>
      </c>
      <c r="K7" s="945">
        <f t="shared" si="7"/>
        <v>0.22384615384615403</v>
      </c>
      <c r="L7" s="945">
        <f t="shared" si="8"/>
        <v>2.2384615384615403</v>
      </c>
      <c r="M7" s="87"/>
      <c r="N7" s="87"/>
      <c r="AI7" s="14" t="s">
        <v>13</v>
      </c>
      <c r="AJ7" s="959" t="s">
        <v>706</v>
      </c>
      <c r="AK7" s="1400" t="s">
        <v>14</v>
      </c>
      <c r="AL7" s="1615">
        <v>100</v>
      </c>
      <c r="AM7" s="1621">
        <f t="shared" si="4"/>
        <v>3.2033898305084749</v>
      </c>
      <c r="AN7" s="1626">
        <v>1</v>
      </c>
      <c r="AO7" s="940">
        <f t="shared" si="5"/>
        <v>320.3389830508475</v>
      </c>
      <c r="AP7" s="1038">
        <f t="shared" si="6"/>
        <v>320.3389830508475</v>
      </c>
      <c r="AQ7" s="955">
        <f>VLOOKUP(AJ7,Marination_Ordering!$A:$J,6,FALSE)</f>
        <v>1</v>
      </c>
      <c r="AR7" s="955">
        <f>VLOOKUP(AJ7,Marination_Ordering!$A:$J,10,FALSE)</f>
        <v>10.5</v>
      </c>
      <c r="AS7" s="1020">
        <f t="shared" ref="AS7:AS12" si="9">AP7/AQ7</f>
        <v>320.3389830508475</v>
      </c>
      <c r="AT7" s="955">
        <f t="shared" ref="AT7:AT12" si="10">AR7*(AS7/1000)</f>
        <v>3.3635593220338991</v>
      </c>
    </row>
    <row r="8" spans="1:46" x14ac:dyDescent="0.25">
      <c r="A8" s="949"/>
      <c r="B8" s="959" t="s">
        <v>146</v>
      </c>
      <c r="C8" s="947" t="s">
        <v>14</v>
      </c>
      <c r="D8" s="1615">
        <v>50</v>
      </c>
      <c r="E8" s="1615">
        <f>$I$1</f>
        <v>4.4769230769230806</v>
      </c>
      <c r="F8" s="1616">
        <v>1</v>
      </c>
      <c r="G8" s="940">
        <f t="shared" si="0"/>
        <v>223.84615384615404</v>
      </c>
      <c r="H8" s="1617">
        <f t="shared" si="1"/>
        <v>223.84615384615404</v>
      </c>
      <c r="I8" s="914">
        <f>VLOOKUP(B8,All_Ingredients!$A$1:$F$161,6,FALSE())</f>
        <v>1</v>
      </c>
      <c r="J8" s="940">
        <f>VLOOKUP(B8,All_Ingredients!$A$1:$J$161,10,FALSE())</f>
        <v>12</v>
      </c>
      <c r="K8" s="945">
        <f t="shared" si="7"/>
        <v>0.22384615384615403</v>
      </c>
      <c r="L8" s="945">
        <f t="shared" si="8"/>
        <v>2.6861538461538483</v>
      </c>
      <c r="M8" s="87"/>
      <c r="N8" s="87"/>
      <c r="AI8" s="14" t="s">
        <v>204</v>
      </c>
      <c r="AJ8" s="959" t="s">
        <v>212</v>
      </c>
      <c r="AK8" s="1400" t="s">
        <v>160</v>
      </c>
      <c r="AL8" s="1627">
        <v>350</v>
      </c>
      <c r="AM8" s="1621">
        <f t="shared" si="4"/>
        <v>3.2033898305084749</v>
      </c>
      <c r="AN8" s="1626">
        <v>1</v>
      </c>
      <c r="AO8" s="940">
        <f t="shared" si="5"/>
        <v>1121.1864406779662</v>
      </c>
      <c r="AP8" s="1038">
        <f t="shared" si="6"/>
        <v>1121.1864406779662</v>
      </c>
      <c r="AQ8" s="955">
        <f>VLOOKUP(AJ8,Marination_Ordering!$A:$J,6,FALSE)</f>
        <v>1</v>
      </c>
      <c r="AR8" s="955">
        <f>VLOOKUP(AJ8,Marination_Ordering!$A:$J,10,FALSE)</f>
        <v>5</v>
      </c>
      <c r="AS8" s="1020">
        <f t="shared" si="9"/>
        <v>1121.1864406779662</v>
      </c>
      <c r="AT8" s="955">
        <f t="shared" si="10"/>
        <v>5.6059322033898304</v>
      </c>
    </row>
    <row r="9" spans="1:46" x14ac:dyDescent="0.25">
      <c r="A9" s="949"/>
      <c r="B9" s="959" t="s">
        <v>198</v>
      </c>
      <c r="C9" s="1157" t="s">
        <v>160</v>
      </c>
      <c r="D9" s="1615">
        <v>300</v>
      </c>
      <c r="E9" s="1615">
        <f>$I$1</f>
        <v>4.4769230769230806</v>
      </c>
      <c r="F9" s="1616">
        <v>1</v>
      </c>
      <c r="G9" s="940">
        <f t="shared" si="0"/>
        <v>1343.0769230769242</v>
      </c>
      <c r="H9" s="1617">
        <f t="shared" si="1"/>
        <v>1343.0769230769242</v>
      </c>
      <c r="I9" s="914">
        <f>VLOOKUP(B9,All_Ingredients!$A$1:$F$161,6,FALSE())</f>
        <v>1</v>
      </c>
      <c r="J9" s="940">
        <f>VLOOKUP(B9,All_Ingredients!$A$1:$J$161,10,FALSE())</f>
        <v>3.25</v>
      </c>
      <c r="K9" s="945">
        <f t="shared" si="7"/>
        <v>1.3430769230769242</v>
      </c>
      <c r="L9" s="945">
        <f t="shared" si="8"/>
        <v>4.3650000000000038</v>
      </c>
      <c r="M9" s="87"/>
      <c r="N9" s="87"/>
      <c r="AI9" s="14" t="s">
        <v>204</v>
      </c>
      <c r="AJ9" s="959" t="s">
        <v>208</v>
      </c>
      <c r="AK9" s="947" t="s">
        <v>160</v>
      </c>
      <c r="AL9" s="1615">
        <v>70</v>
      </c>
      <c r="AM9" s="1621">
        <f t="shared" si="4"/>
        <v>3.2033898305084749</v>
      </c>
      <c r="AN9" s="1626">
        <v>1</v>
      </c>
      <c r="AO9" s="940">
        <f t="shared" si="5"/>
        <v>224.23728813559325</v>
      </c>
      <c r="AP9" s="1038">
        <f t="shared" si="6"/>
        <v>224.23728813559325</v>
      </c>
      <c r="AQ9" s="955">
        <f>VLOOKUP(AJ9,Marination_Ordering!$A:$J,6,FALSE)</f>
        <v>1</v>
      </c>
      <c r="AR9" s="955">
        <f>VLOOKUP(AJ9,Marination_Ordering!$A:$J,10,FALSE)</f>
        <v>2.1621621621621623</v>
      </c>
      <c r="AS9" s="1020">
        <f t="shared" si="9"/>
        <v>224.23728813559325</v>
      </c>
      <c r="AT9" s="955">
        <f t="shared" si="10"/>
        <v>0.48483737975263408</v>
      </c>
    </row>
    <row r="10" spans="1:46" x14ac:dyDescent="0.25">
      <c r="A10" s="949"/>
      <c r="B10" s="959" t="s">
        <v>192</v>
      </c>
      <c r="C10" s="947" t="s">
        <v>160</v>
      </c>
      <c r="D10" s="1615">
        <v>100</v>
      </c>
      <c r="E10" s="1615">
        <f>$I$1</f>
        <v>4.4769230769230806</v>
      </c>
      <c r="F10" s="1616">
        <v>1</v>
      </c>
      <c r="G10" s="940">
        <f t="shared" si="0"/>
        <v>447.69230769230808</v>
      </c>
      <c r="H10" s="1617">
        <f t="shared" si="1"/>
        <v>447.69230769230808</v>
      </c>
      <c r="I10" s="914">
        <f>VLOOKUP(B10,All_Ingredients!$A$1:$F$161,6,FALSE())</f>
        <v>1</v>
      </c>
      <c r="J10" s="940">
        <f>VLOOKUP(B10,All_Ingredients!$A$1:$J$161,10,FALSE())</f>
        <v>58.685446009389672</v>
      </c>
      <c r="K10" s="945">
        <f t="shared" si="7"/>
        <v>0.44769230769230806</v>
      </c>
      <c r="L10" s="945">
        <f t="shared" si="8"/>
        <v>26.273022751896011</v>
      </c>
      <c r="M10" s="87"/>
      <c r="N10" s="87"/>
      <c r="AI10" s="14" t="s">
        <v>94</v>
      </c>
      <c r="AJ10" s="959" t="s">
        <v>93</v>
      </c>
      <c r="AK10" s="1400" t="s">
        <v>14</v>
      </c>
      <c r="AL10" s="1615">
        <v>2</v>
      </c>
      <c r="AM10" s="1621">
        <f t="shared" si="4"/>
        <v>3.2033898305084749</v>
      </c>
      <c r="AN10" s="1626">
        <v>1</v>
      </c>
      <c r="AO10" s="940">
        <f t="shared" si="5"/>
        <v>6.4067796610169498</v>
      </c>
      <c r="AP10" s="1038">
        <f t="shared" si="6"/>
        <v>6.4067796610169498</v>
      </c>
      <c r="AQ10" s="955">
        <f>VLOOKUP(AJ10,Marination_Ordering!$A:$J,6,FALSE)</f>
        <v>1</v>
      </c>
      <c r="AR10" s="955">
        <f>VLOOKUP(AJ10,Marination_Ordering!$A:$J,10,FALSE)</f>
        <v>0.74</v>
      </c>
      <c r="AS10" s="1020">
        <f t="shared" si="9"/>
        <v>6.4067796610169498</v>
      </c>
      <c r="AT10" s="955">
        <f t="shared" si="10"/>
        <v>4.7410169491525428E-3</v>
      </c>
    </row>
    <row r="11" spans="1:46" x14ac:dyDescent="0.25">
      <c r="A11" s="949"/>
      <c r="B11" s="1252" t="s">
        <v>801</v>
      </c>
      <c r="C11" s="947" t="s">
        <v>230</v>
      </c>
      <c r="D11" s="1615">
        <v>1</v>
      </c>
      <c r="E11" s="1615">
        <f>$Z$1+$AB$1</f>
        <v>140</v>
      </c>
      <c r="F11" s="1616">
        <v>1</v>
      </c>
      <c r="G11" s="944">
        <f>D11*($Z$1+$AB$1)</f>
        <v>140</v>
      </c>
      <c r="H11" s="1617">
        <f>G11*F11</f>
        <v>140</v>
      </c>
      <c r="I11" s="914">
        <f>VLOOKUP(B11,All_Ingredients!$A$1:$F$161,6,FALSE())</f>
        <v>1</v>
      </c>
      <c r="J11" s="940">
        <f>VLOOKUP(B11,All_Ingredients!$A$1:$J$161,10,FALSE())</f>
        <v>1</v>
      </c>
      <c r="K11" s="1020">
        <f>H11*I11</f>
        <v>140</v>
      </c>
      <c r="L11" s="945">
        <f>K11*J11</f>
        <v>140</v>
      </c>
      <c r="R11" s="289"/>
      <c r="AI11" s="14" t="s">
        <v>94</v>
      </c>
      <c r="AJ11" s="959" t="s">
        <v>99</v>
      </c>
      <c r="AK11" s="1400" t="s">
        <v>14</v>
      </c>
      <c r="AL11" s="1615">
        <v>3</v>
      </c>
      <c r="AM11" s="1621">
        <f t="shared" si="4"/>
        <v>3.2033898305084749</v>
      </c>
      <c r="AN11" s="1626">
        <v>1</v>
      </c>
      <c r="AO11" s="940">
        <f t="shared" si="5"/>
        <v>9.6101694915254257</v>
      </c>
      <c r="AP11" s="1038">
        <f t="shared" si="6"/>
        <v>9.6101694915254257</v>
      </c>
      <c r="AQ11" s="955">
        <f>VLOOKUP(AJ11,Marination_Ordering!$A:$J,6,FALSE)</f>
        <v>1</v>
      </c>
      <c r="AR11" s="955">
        <f>VLOOKUP(AJ11,Marination_Ordering!$A:$J,10,FALSE)</f>
        <v>31</v>
      </c>
      <c r="AS11" s="1020">
        <f t="shared" si="9"/>
        <v>9.6101694915254257</v>
      </c>
      <c r="AT11" s="955">
        <f t="shared" si="10"/>
        <v>0.29791525423728821</v>
      </c>
    </row>
    <row r="12" spans="1:46" x14ac:dyDescent="0.25">
      <c r="B12" s="228"/>
      <c r="C12" s="89"/>
      <c r="D12" s="172"/>
      <c r="E12" s="149"/>
      <c r="F12" s="91"/>
      <c r="G12" s="95"/>
      <c r="H12" s="93"/>
      <c r="I12" s="73"/>
      <c r="J12" s="94"/>
      <c r="AI12" s="14" t="s">
        <v>190</v>
      </c>
      <c r="AJ12" s="959" t="s">
        <v>189</v>
      </c>
      <c r="AK12" s="1400" t="s">
        <v>160</v>
      </c>
      <c r="AL12" s="1618">
        <v>50</v>
      </c>
      <c r="AM12" s="1621">
        <f t="shared" si="4"/>
        <v>3.2033898305084749</v>
      </c>
      <c r="AN12" s="1626">
        <v>1</v>
      </c>
      <c r="AO12" s="940">
        <f t="shared" si="5"/>
        <v>160.16949152542375</v>
      </c>
      <c r="AP12" s="1038">
        <f t="shared" si="6"/>
        <v>160.16949152542375</v>
      </c>
      <c r="AQ12" s="955">
        <f>VLOOKUP(AJ12,Marination_Ordering!$A:$J,6,FALSE)</f>
        <v>1</v>
      </c>
      <c r="AR12" s="955">
        <f>VLOOKUP(AJ12,Marination_Ordering!$A:$J,10,FALSE)</f>
        <v>17.480211081794195</v>
      </c>
      <c r="AS12" s="1020">
        <f t="shared" si="9"/>
        <v>160.16949152542375</v>
      </c>
      <c r="AT12" s="955">
        <f t="shared" si="10"/>
        <v>2.7997965207280537</v>
      </c>
    </row>
    <row r="23" spans="18:32" x14ac:dyDescent="0.25">
      <c r="U23" s="14" t="s">
        <v>427</v>
      </c>
    </row>
    <row r="24" spans="18:32" x14ac:dyDescent="0.25">
      <c r="Z24" s="597"/>
    </row>
    <row r="25" spans="18:32" x14ac:dyDescent="0.25">
      <c r="R25" s="1886" t="s">
        <v>428</v>
      </c>
      <c r="S25" s="1850"/>
      <c r="T25" s="1850"/>
      <c r="U25" s="1850"/>
      <c r="V25" s="553"/>
      <c r="Z25" s="96" t="s">
        <v>252</v>
      </c>
      <c r="AA25" s="97">
        <v>1</v>
      </c>
      <c r="AB25" s="96" t="s">
        <v>249</v>
      </c>
      <c r="AC25" s="98">
        <f>AF30*AA25</f>
        <v>5.2431449086683113</v>
      </c>
    </row>
    <row r="26" spans="18:32" x14ac:dyDescent="0.25">
      <c r="R26" s="1888" t="s">
        <v>296</v>
      </c>
      <c r="S26" s="1867"/>
      <c r="T26" s="1867"/>
      <c r="U26" s="1867"/>
      <c r="V26" s="553"/>
    </row>
    <row r="27" spans="18:32" ht="15.75" thickBot="1" x14ac:dyDescent="0.3">
      <c r="R27" s="100" t="s">
        <v>254</v>
      </c>
      <c r="S27" s="100" t="s">
        <v>354</v>
      </c>
      <c r="T27" s="100" t="s">
        <v>256</v>
      </c>
      <c r="U27" s="100" t="s">
        <v>257</v>
      </c>
      <c r="V27" s="101" t="s">
        <v>746</v>
      </c>
      <c r="W27" s="101" t="s">
        <v>759</v>
      </c>
      <c r="X27" s="101" t="s">
        <v>754</v>
      </c>
      <c r="Z27" s="96" t="s">
        <v>258</v>
      </c>
      <c r="AA27" s="102" t="s">
        <v>746</v>
      </c>
      <c r="AB27" s="102" t="s">
        <v>259</v>
      </c>
      <c r="AC27" s="102" t="s">
        <v>260</v>
      </c>
      <c r="AD27" s="102" t="s">
        <v>757</v>
      </c>
      <c r="AE27" s="102" t="s">
        <v>754</v>
      </c>
      <c r="AF27" s="102" t="s">
        <v>262</v>
      </c>
    </row>
    <row r="28" spans="18:32" ht="15.75" thickBot="1" x14ac:dyDescent="0.3">
      <c r="R28" s="100" t="s">
        <v>263</v>
      </c>
      <c r="S28" s="400">
        <f>U28*S40</f>
        <v>14538.461538461535</v>
      </c>
      <c r="T28" s="400">
        <f>U28*U40</f>
        <v>4361.5384615384655</v>
      </c>
      <c r="U28" s="398">
        <f>$Z$1*140</f>
        <v>18900</v>
      </c>
      <c r="V28" s="104">
        <f>SUM(AP5:AP13)</f>
        <v>2354.4915254237294</v>
      </c>
      <c r="W28" s="104">
        <f>SUM(K16:K18)</f>
        <v>0</v>
      </c>
      <c r="X28" s="104">
        <f>K11</f>
        <v>140</v>
      </c>
      <c r="Z28" s="105"/>
      <c r="AA28" s="591"/>
      <c r="AB28" s="106">
        <f>AA25*$S$40</f>
        <v>0.76923076923076905</v>
      </c>
      <c r="AC28" s="106">
        <f>AA25-AB28</f>
        <v>0.23076923076923095</v>
      </c>
      <c r="AD28" s="591"/>
      <c r="AE28" s="591"/>
      <c r="AF28" s="108">
        <f>SUM(AB28:AD28)</f>
        <v>1</v>
      </c>
    </row>
    <row r="29" spans="18:32" ht="15.75" thickBot="1" x14ac:dyDescent="0.3">
      <c r="R29" s="100" t="s">
        <v>264</v>
      </c>
      <c r="S29" s="401"/>
      <c r="T29" s="400"/>
      <c r="U29" s="218">
        <f>T29</f>
        <v>0</v>
      </c>
      <c r="V29" s="104"/>
      <c r="W29" s="104"/>
      <c r="X29" s="104"/>
      <c r="Z29" s="105"/>
      <c r="AA29" s="591"/>
      <c r="AB29" s="110">
        <f>AB28/$AF$28</f>
        <v>0.76923076923076905</v>
      </c>
      <c r="AC29" s="110">
        <f>AC28/$AF$28</f>
        <v>0.23076923076923095</v>
      </c>
      <c r="AD29" s="591"/>
      <c r="AE29" s="591"/>
      <c r="AF29" s="110">
        <f>AF28/$AF$28</f>
        <v>1</v>
      </c>
    </row>
    <row r="30" spans="18:32" ht="15.75" thickBot="1" x14ac:dyDescent="0.3">
      <c r="R30" s="100" t="s">
        <v>265</v>
      </c>
      <c r="S30" s="662">
        <f>U30*S40</f>
        <v>384.61538461538453</v>
      </c>
      <c r="T30" s="400">
        <f>U30*U40</f>
        <v>115.3846153846155</v>
      </c>
      <c r="U30" s="398">
        <f>$AB$1*100</f>
        <v>500</v>
      </c>
      <c r="V30" s="547"/>
      <c r="W30" s="547"/>
      <c r="X30" s="547"/>
      <c r="Z30" s="96" t="s">
        <v>266</v>
      </c>
      <c r="AA30" s="549">
        <f>V35/$AF$1</f>
        <v>0.11730672740971221</v>
      </c>
      <c r="AB30" s="111">
        <f>S35/(AF1)</f>
        <v>3.5923280503493351</v>
      </c>
      <c r="AC30" s="590">
        <f>T35/AF1</f>
        <v>0.53351013090926358</v>
      </c>
      <c r="AD30" s="191">
        <f>W35/AF1</f>
        <v>0</v>
      </c>
      <c r="AE30" s="549">
        <f>X35/$AF$1</f>
        <v>1</v>
      </c>
      <c r="AF30" s="552">
        <f>AA30+AB30+AC30+AD30+AE30</f>
        <v>5.2431449086683113</v>
      </c>
    </row>
    <row r="31" spans="18:32" ht="15.75" thickBot="1" x14ac:dyDescent="0.3">
      <c r="R31" s="100" t="s">
        <v>267</v>
      </c>
      <c r="S31" s="188"/>
      <c r="T31" s="218"/>
      <c r="U31" s="218"/>
      <c r="V31" s="104"/>
      <c r="W31" s="104"/>
      <c r="X31" s="104"/>
    </row>
    <row r="32" spans="18:32" ht="15.75" thickBot="1" x14ac:dyDescent="0.3">
      <c r="R32" s="101" t="s">
        <v>257</v>
      </c>
      <c r="S32" s="219">
        <f>SUM(S28:S30)</f>
        <v>14923.07692307692</v>
      </c>
      <c r="T32" s="219">
        <f>SUM(T28:T30)</f>
        <v>4476.9230769230808</v>
      </c>
      <c r="U32" s="219">
        <f>SUM(U28:U30)</f>
        <v>19400</v>
      </c>
      <c r="V32" s="104"/>
      <c r="W32" s="104"/>
      <c r="X32" s="104"/>
    </row>
    <row r="33" spans="2:24" ht="15.75" thickBot="1" x14ac:dyDescent="0.3">
      <c r="R33" s="220" t="s">
        <v>268</v>
      </c>
      <c r="S33" s="221"/>
      <c r="T33" s="221"/>
      <c r="U33" s="222"/>
      <c r="V33" s="109"/>
      <c r="W33" s="109"/>
      <c r="X33" s="109"/>
    </row>
    <row r="34" spans="2:24" ht="15.75" thickBot="1" x14ac:dyDescent="0.3">
      <c r="R34" s="130" t="s">
        <v>269</v>
      </c>
      <c r="S34" s="223"/>
      <c r="T34" s="224"/>
      <c r="U34" s="223"/>
      <c r="V34" s="109"/>
      <c r="W34" s="109"/>
      <c r="X34" s="109"/>
    </row>
    <row r="35" spans="2:24" ht="15.75" thickBot="1" x14ac:dyDescent="0.3">
      <c r="R35" s="117" t="s">
        <v>249</v>
      </c>
      <c r="S35" s="548">
        <f>$L$5</f>
        <v>502.92592704890694</v>
      </c>
      <c r="T35" s="548">
        <f>SUM(L6:L10)</f>
        <v>74.691418327296901</v>
      </c>
      <c r="U35" s="589">
        <f>S35+T35+V35+X35</f>
        <v>734.0402872135636</v>
      </c>
      <c r="V35" s="548">
        <f>SUM(AT6:AT12)</f>
        <v>16.422941837359708</v>
      </c>
      <c r="W35" s="548"/>
      <c r="X35" s="548">
        <f>L11</f>
        <v>140</v>
      </c>
    </row>
    <row r="40" spans="2:24" ht="26.25" x14ac:dyDescent="0.25">
      <c r="R40" s="119" t="s">
        <v>270</v>
      </c>
      <c r="S40" s="120">
        <v>0.76923076923076905</v>
      </c>
      <c r="T40" s="119" t="s">
        <v>271</v>
      </c>
      <c r="U40" s="121">
        <v>0.230769230769231</v>
      </c>
      <c r="V40" s="122">
        <f>S40+U40</f>
        <v>1</v>
      </c>
    </row>
    <row r="41" spans="2:24" x14ac:dyDescent="0.25">
      <c r="U41" s="123"/>
    </row>
    <row r="42" spans="2:24" x14ac:dyDescent="0.25">
      <c r="B42" s="80"/>
      <c r="C42" s="143"/>
      <c r="D42" s="144"/>
      <c r="E42" s="80"/>
      <c r="F42" s="80"/>
    </row>
    <row r="43" spans="2:24" x14ac:dyDescent="0.25">
      <c r="B43" s="80"/>
      <c r="E43" s="80"/>
      <c r="F43" s="80"/>
      <c r="Q43" s="124" t="s">
        <v>272</v>
      </c>
      <c r="R43" s="124" t="s">
        <v>273</v>
      </c>
      <c r="S43" s="124" t="s">
        <v>274</v>
      </c>
      <c r="T43" s="124" t="s">
        <v>275</v>
      </c>
      <c r="U43" s="124" t="s">
        <v>276</v>
      </c>
      <c r="V43" s="124" t="s">
        <v>277</v>
      </c>
      <c r="W43" s="174" t="s">
        <v>278</v>
      </c>
    </row>
    <row r="44" spans="2:24" x14ac:dyDescent="0.25">
      <c r="B44" s="80"/>
      <c r="C44" s="80"/>
      <c r="D44" s="225"/>
      <c r="E44" s="80"/>
      <c r="F44" s="80"/>
      <c r="G44" s="80"/>
      <c r="H44" s="80"/>
      <c r="I44" s="80"/>
      <c r="J44" s="80"/>
      <c r="Q44" s="126">
        <v>43334</v>
      </c>
      <c r="R44" s="127">
        <f>D51</f>
        <v>10000</v>
      </c>
      <c r="S44" s="128">
        <v>1</v>
      </c>
      <c r="T44" s="128">
        <v>0</v>
      </c>
      <c r="U44" s="165">
        <f>R44*S44</f>
        <v>10000</v>
      </c>
      <c r="V44" s="129">
        <f>R44*T44</f>
        <v>0</v>
      </c>
      <c r="W44" s="175">
        <f>Q44-U44</f>
        <v>33334</v>
      </c>
    </row>
    <row r="45" spans="2:24" x14ac:dyDescent="0.25">
      <c r="B45" s="80"/>
      <c r="C45" s="80"/>
      <c r="D45" s="80"/>
      <c r="E45" s="80"/>
      <c r="F45" s="80"/>
      <c r="G45" s="80"/>
      <c r="H45" s="80"/>
      <c r="I45" s="80"/>
      <c r="J45" s="80"/>
    </row>
    <row r="46" spans="2:24" ht="18" x14ac:dyDescent="0.25">
      <c r="B46" s="1815"/>
      <c r="C46" s="1799"/>
      <c r="D46" s="1799"/>
      <c r="E46" s="1799"/>
      <c r="F46" s="1799"/>
      <c r="G46" s="1799"/>
      <c r="H46" s="1799"/>
      <c r="I46" s="1799"/>
      <c r="J46" s="1799"/>
    </row>
    <row r="47" spans="2:24" ht="18" x14ac:dyDescent="0.25">
      <c r="B47" s="1803"/>
      <c r="C47" s="1799"/>
      <c r="D47" s="1799"/>
      <c r="E47" s="1799"/>
      <c r="F47" s="1799"/>
      <c r="G47" s="1799"/>
      <c r="H47" s="1799"/>
      <c r="I47" s="1799"/>
      <c r="J47" s="1799"/>
    </row>
    <row r="50" spans="1:10" x14ac:dyDescent="0.25">
      <c r="B50" s="845"/>
      <c r="C50" s="150" t="s">
        <v>233</v>
      </c>
      <c r="D50" s="150" t="s">
        <v>279</v>
      </c>
      <c r="E50" s="80"/>
      <c r="F50" s="80"/>
      <c r="G50" s="100" t="s">
        <v>280</v>
      </c>
      <c r="H50" s="100" t="s">
        <v>233</v>
      </c>
      <c r="I50" s="100" t="s">
        <v>281</v>
      </c>
      <c r="J50" s="100" t="s">
        <v>282</v>
      </c>
    </row>
    <row r="51" spans="1:10" x14ac:dyDescent="0.25">
      <c r="B51" s="844" t="s">
        <v>283</v>
      </c>
      <c r="C51" s="133">
        <f>10/$K$1</f>
        <v>10</v>
      </c>
      <c r="D51" s="134">
        <f>$C$1*10</f>
        <v>10000</v>
      </c>
      <c r="E51" s="80"/>
      <c r="F51" s="80"/>
      <c r="G51" s="132" t="s">
        <v>283</v>
      </c>
      <c r="H51" s="182">
        <f>I51/$D$5</f>
        <v>10</v>
      </c>
      <c r="I51" s="133">
        <f>J51/$R$1</f>
        <v>56498.305084745763</v>
      </c>
      <c r="J51" s="133">
        <f>$W$44</f>
        <v>33334</v>
      </c>
    </row>
    <row r="52" spans="1:10" x14ac:dyDescent="0.25">
      <c r="B52" s="846" t="s">
        <v>262</v>
      </c>
      <c r="C52" s="156">
        <f>$I$1</f>
        <v>4.4769230769230806</v>
      </c>
      <c r="D52" s="157">
        <f>$E$1</f>
        <v>4476.9230769230808</v>
      </c>
      <c r="E52" s="80"/>
      <c r="F52" s="80"/>
      <c r="G52" s="103" t="s">
        <v>262</v>
      </c>
      <c r="H52" s="145">
        <f>I52/$D$5</f>
        <v>4.4768335402522714</v>
      </c>
      <c r="I52" s="129">
        <f>J52/$R$1</f>
        <v>25293.350717079527</v>
      </c>
      <c r="J52" s="136">
        <f>$S$32</f>
        <v>14923.07692307692</v>
      </c>
    </row>
    <row r="53" spans="1:10" x14ac:dyDescent="0.25">
      <c r="B53" s="846" t="s">
        <v>284</v>
      </c>
      <c r="C53" s="158">
        <f>MIN(C52, C51)</f>
        <v>4.4769230769230806</v>
      </c>
      <c r="D53" s="157">
        <f>(C53*$K$1)*$C$1</f>
        <v>4476.9230769230808</v>
      </c>
      <c r="E53" s="80"/>
      <c r="F53" s="80"/>
      <c r="G53" s="103" t="s">
        <v>284</v>
      </c>
      <c r="H53" s="139">
        <f>MIN(H52,H51)</f>
        <v>4.4768335402522714</v>
      </c>
      <c r="I53" s="129">
        <f>J53/$R$1</f>
        <v>25293.350717079527</v>
      </c>
      <c r="J53" s="129">
        <f>MIN(J52,J51)</f>
        <v>14923.07692307692</v>
      </c>
    </row>
    <row r="54" spans="1:10" x14ac:dyDescent="0.25">
      <c r="B54" s="846" t="s">
        <v>285</v>
      </c>
      <c r="C54" s="158">
        <f>MIN(MAX(C52-C53,0),C51)</f>
        <v>0</v>
      </c>
      <c r="D54" s="157">
        <f>(C54*$K$1)*$C$1</f>
        <v>0</v>
      </c>
      <c r="E54" s="80"/>
      <c r="F54" s="80"/>
      <c r="G54" s="103" t="s">
        <v>285</v>
      </c>
      <c r="H54" s="139">
        <f>MIN(MAX(H52-H53),H51)</f>
        <v>0</v>
      </c>
      <c r="I54" s="129">
        <f>J54/$R$1</f>
        <v>0</v>
      </c>
      <c r="J54" s="129">
        <f>MIN(MAX(J52-J53),J51)</f>
        <v>0</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61" spans="1:10" ht="18" x14ac:dyDescent="0.25">
      <c r="B61" s="1815"/>
      <c r="C61" s="1799"/>
      <c r="D61" s="1799"/>
      <c r="E61" s="1799"/>
      <c r="F61" s="1799"/>
      <c r="G61" s="1799"/>
      <c r="H61" s="1799"/>
      <c r="I61" s="1799"/>
      <c r="J61" s="1799"/>
    </row>
    <row r="62" spans="1:10" x14ac:dyDescent="0.25">
      <c r="A62" s="867"/>
      <c r="B62" s="1887" t="str">
        <f>" ساندوتش تشيكن باربيكيو 1 / " &amp; COUNTIF($C$53:$C$55, "&gt;0")</f>
        <v xml:space="preserve"> ساندوتش تشيكن باربيكيو 1 / 1</v>
      </c>
      <c r="C62" s="1817"/>
      <c r="D62" s="1817"/>
      <c r="E62" s="1817"/>
      <c r="F62" s="1817"/>
      <c r="G62" s="1817"/>
      <c r="H62" s="1817"/>
    </row>
    <row r="63" spans="1:10" x14ac:dyDescent="0.25">
      <c r="A63" s="867"/>
      <c r="B63" s="1887" t="str">
        <f>" BBQ Chicken Sandwitch 1 / " &amp; COUNTIF($C$53:$C$55, "&gt;0")</f>
        <v xml:space="preserve"> BBQ Chicken Sandwitch 1 / 1</v>
      </c>
      <c r="C63" s="1817"/>
      <c r="D63" s="1817"/>
      <c r="E63" s="1817"/>
      <c r="F63" s="1817"/>
      <c r="G63" s="1817"/>
      <c r="H63" s="1817"/>
    </row>
    <row r="64" spans="1:10" ht="30" x14ac:dyDescent="0.2">
      <c r="A64" s="1350" t="s">
        <v>864</v>
      </c>
      <c r="B64" s="1104" t="s">
        <v>241</v>
      </c>
      <c r="C64" s="934" t="s">
        <v>242</v>
      </c>
      <c r="D64" s="1104" t="s">
        <v>231</v>
      </c>
      <c r="E64" s="936" t="s">
        <v>234</v>
      </c>
      <c r="F64" s="936" t="s">
        <v>243</v>
      </c>
      <c r="G64" s="1104" t="s">
        <v>244</v>
      </c>
      <c r="H64" s="936" t="s">
        <v>245</v>
      </c>
    </row>
    <row r="65" spans="1:10" x14ac:dyDescent="0.25">
      <c r="A65" s="949" t="s">
        <v>873</v>
      </c>
      <c r="B65" s="1252" t="str">
        <f t="shared" ref="B65:D69" si="11">B5</f>
        <v>Chicken - دجاج</v>
      </c>
      <c r="C65" s="947" t="str">
        <f t="shared" si="11"/>
        <v>gm</v>
      </c>
      <c r="D65" s="1615">
        <f t="shared" si="11"/>
        <v>5649.8305084745762</v>
      </c>
      <c r="E65" s="1628">
        <f>H53</f>
        <v>4.4768335402522714</v>
      </c>
      <c r="F65" s="1616">
        <f t="shared" ref="F65:F71" si="12">F5</f>
        <v>1</v>
      </c>
      <c r="G65" s="940">
        <f t="shared" ref="G65:G69" si="13">D65*E65</f>
        <v>25293.350717079527</v>
      </c>
      <c r="H65" s="1617">
        <f t="shared" ref="H65:H69" si="14">G65*F65</f>
        <v>25293.350717079527</v>
      </c>
    </row>
    <row r="66" spans="1:10" x14ac:dyDescent="0.25">
      <c r="B66" s="1252" t="str">
        <f t="shared" si="11"/>
        <v>BBQ Sauce - صوص باربيكيو</v>
      </c>
      <c r="C66" s="947" t="str">
        <f t="shared" si="11"/>
        <v>ml</v>
      </c>
      <c r="D66" s="1615">
        <f t="shared" si="11"/>
        <v>500</v>
      </c>
      <c r="E66" s="1628">
        <f>$C$53</f>
        <v>4.4769230769230806</v>
      </c>
      <c r="F66" s="1616">
        <f t="shared" si="12"/>
        <v>1</v>
      </c>
      <c r="G66" s="940">
        <f t="shared" si="13"/>
        <v>2238.4615384615404</v>
      </c>
      <c r="H66" s="1617">
        <f t="shared" si="14"/>
        <v>2238.4615384615404</v>
      </c>
    </row>
    <row r="67" spans="1:10" x14ac:dyDescent="0.25">
      <c r="B67" s="1252" t="str">
        <f t="shared" si="11"/>
        <v>Garlic Powder - ثوم بودرة</v>
      </c>
      <c r="C67" s="947" t="str">
        <f t="shared" si="11"/>
        <v>gm</v>
      </c>
      <c r="D67" s="1615">
        <f t="shared" si="11"/>
        <v>50</v>
      </c>
      <c r="E67" s="1628">
        <f>$C$53</f>
        <v>4.4769230769230806</v>
      </c>
      <c r="F67" s="1616">
        <f t="shared" si="12"/>
        <v>1</v>
      </c>
      <c r="G67" s="940">
        <f t="shared" si="13"/>
        <v>223.84615384615404</v>
      </c>
      <c r="H67" s="1617">
        <f t="shared" si="14"/>
        <v>223.84615384615404</v>
      </c>
    </row>
    <row r="68" spans="1:10" x14ac:dyDescent="0.25">
      <c r="B68" s="1252" t="str">
        <f t="shared" si="11"/>
        <v>Onion Powder - بصل بودرة</v>
      </c>
      <c r="C68" s="947" t="str">
        <f t="shared" si="11"/>
        <v>gm</v>
      </c>
      <c r="D68" s="1615">
        <f t="shared" si="11"/>
        <v>50</v>
      </c>
      <c r="E68" s="1628">
        <f>$C$53</f>
        <v>4.4769230769230806</v>
      </c>
      <c r="F68" s="1616">
        <f t="shared" si="12"/>
        <v>1</v>
      </c>
      <c r="G68" s="940">
        <f t="shared" si="13"/>
        <v>223.84615384615404</v>
      </c>
      <c r="H68" s="1617">
        <f t="shared" si="14"/>
        <v>223.84615384615404</v>
      </c>
    </row>
    <row r="69" spans="1:10" x14ac:dyDescent="0.25">
      <c r="B69" s="1252" t="str">
        <f t="shared" si="11"/>
        <v>Tomato Ketchup - كاتشب طماطم</v>
      </c>
      <c r="C69" s="947" t="str">
        <f t="shared" si="11"/>
        <v>ml</v>
      </c>
      <c r="D69" s="1615">
        <f t="shared" si="11"/>
        <v>300</v>
      </c>
      <c r="E69" s="1628">
        <f>$C$53</f>
        <v>4.4769230769230806</v>
      </c>
      <c r="F69" s="1616">
        <f t="shared" si="12"/>
        <v>1</v>
      </c>
      <c r="G69" s="940">
        <f t="shared" si="13"/>
        <v>1343.0769230769242</v>
      </c>
      <c r="H69" s="1617">
        <f t="shared" si="14"/>
        <v>1343.0769230769242</v>
      </c>
    </row>
    <row r="70" spans="1:10" x14ac:dyDescent="0.25">
      <c r="B70" s="1252" t="str">
        <f t="shared" ref="B70:D70" si="15">B10</f>
        <v>Sriracha Sauce - صوص سريراتشا</v>
      </c>
      <c r="C70" s="947" t="str">
        <f t="shared" si="15"/>
        <v>ml</v>
      </c>
      <c r="D70" s="1615">
        <f t="shared" si="15"/>
        <v>100</v>
      </c>
      <c r="E70" s="1628">
        <f t="shared" ref="E70" si="16">$C$53</f>
        <v>4.4769230769230806</v>
      </c>
      <c r="F70" s="1616">
        <f t="shared" si="12"/>
        <v>1</v>
      </c>
      <c r="G70" s="940">
        <f t="shared" ref="G70:G71" si="17">D70*E70</f>
        <v>447.69230769230808</v>
      </c>
      <c r="H70" s="1617">
        <f t="shared" ref="H70:H71" si="18">G70*F70</f>
        <v>447.69230769230808</v>
      </c>
    </row>
    <row r="71" spans="1:10" ht="20.25" x14ac:dyDescent="0.3">
      <c r="B71" s="1252" t="str">
        <f t="shared" ref="B71:C71" si="19">B11</f>
        <v>Whole Wheat Oat Ciabatta - شيباتا اسمر شوفان</v>
      </c>
      <c r="C71" s="947" t="str">
        <f t="shared" si="19"/>
        <v>Piece</v>
      </c>
      <c r="D71" s="1615">
        <f>D11</f>
        <v>1</v>
      </c>
      <c r="E71" s="1628">
        <f>E11</f>
        <v>140</v>
      </c>
      <c r="F71" s="1616">
        <f t="shared" si="12"/>
        <v>1</v>
      </c>
      <c r="G71" s="940">
        <f t="shared" si="17"/>
        <v>140</v>
      </c>
      <c r="H71" s="1617">
        <f t="shared" si="18"/>
        <v>140</v>
      </c>
      <c r="I71" s="142"/>
      <c r="J71" s="141"/>
    </row>
    <row r="72" spans="1:10" ht="18" x14ac:dyDescent="0.25">
      <c r="A72" s="861"/>
      <c r="B72" s="1622" t="s">
        <v>287</v>
      </c>
      <c r="C72" s="1042" t="s">
        <v>273</v>
      </c>
      <c r="D72" s="1041" t="s">
        <v>537</v>
      </c>
      <c r="E72" s="1042" t="s">
        <v>288</v>
      </c>
      <c r="F72" s="952"/>
      <c r="G72" s="1045" t="s">
        <v>264</v>
      </c>
      <c r="H72" s="1045" t="s">
        <v>661</v>
      </c>
    </row>
    <row r="73" spans="1:10" ht="20.25" x14ac:dyDescent="0.3">
      <c r="A73" s="861"/>
      <c r="B73" s="1048">
        <f>$J$53</f>
        <v>14923.07692307692</v>
      </c>
      <c r="C73" s="1048">
        <f>E73+G73</f>
        <v>4476.9230769230808</v>
      </c>
      <c r="D73" s="1047">
        <f>$AF$1</f>
        <v>140</v>
      </c>
      <c r="E73" s="1048">
        <f>$D$53*$S$44</f>
        <v>4476.9230769230808</v>
      </c>
      <c r="F73" s="1050"/>
      <c r="G73" s="1048">
        <f>$D$53*$T$44</f>
        <v>0</v>
      </c>
      <c r="H73" s="1048">
        <f>B73+E73</f>
        <v>19400</v>
      </c>
    </row>
  </sheetData>
  <mergeCells count="11">
    <mergeCell ref="B63:H63"/>
    <mergeCell ref="AE2:AG3"/>
    <mergeCell ref="B61:J61"/>
    <mergeCell ref="B46:J46"/>
    <mergeCell ref="R26:U26"/>
    <mergeCell ref="AN2:AN3"/>
    <mergeCell ref="R25:U25"/>
    <mergeCell ref="B62:H62"/>
    <mergeCell ref="B2:K3"/>
    <mergeCell ref="B47:J47"/>
    <mergeCell ref="AK2:AM2"/>
  </mergeCells>
  <printOptions horizontalCentered="1"/>
  <pageMargins left="0.4" right="0.4" top="1" bottom="0.5" header="0.3" footer="0.511811023622047"/>
  <pageSetup paperSize="9" scale="51" orientation="landscape" r:id="rId1"/>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950A7-DB0B-48BD-9930-66EBB40004AE}">
  <sheetPr codeName="Sheet96">
    <tabColor theme="6" tint="-0.249977111117893"/>
    <pageSetUpPr fitToPage="1"/>
  </sheetPr>
  <dimension ref="A1:AF83"/>
  <sheetViews>
    <sheetView topLeftCell="A37" zoomScale="55" zoomScaleNormal="55" workbookViewId="0">
      <selection activeCell="B71" sqref="B71:H75"/>
    </sheetView>
  </sheetViews>
  <sheetFormatPr defaultColWidth="12.5" defaultRowHeight="15" x14ac:dyDescent="0.25"/>
  <cols>
    <col min="1" max="1" width="14.75" style="61" bestFit="1" customWidth="1"/>
    <col min="2" max="2" width="39.125" style="14" bestFit="1" customWidth="1"/>
    <col min="3" max="3" width="16.5" style="14" bestFit="1" customWidth="1"/>
    <col min="4" max="4" width="15.375" style="14" bestFit="1" customWidth="1"/>
    <col min="5" max="5" width="16" style="14" bestFit="1" customWidth="1"/>
    <col min="6" max="6" width="14.25" style="14" bestFit="1" customWidth="1"/>
    <col min="7" max="7" width="20.25" style="14" bestFit="1" customWidth="1"/>
    <col min="8" max="8" width="33.75" style="14" bestFit="1" customWidth="1"/>
    <col min="9" max="9" width="16.5" style="14" bestFit="1" customWidth="1"/>
    <col min="10" max="10" width="13.625" style="14" bestFit="1" customWidth="1"/>
    <col min="11" max="11" width="11.125" style="14" bestFit="1" customWidth="1"/>
    <col min="12" max="12" width="6.75" style="14" bestFit="1" customWidth="1"/>
    <col min="13" max="14" width="3.75" style="14" customWidth="1"/>
    <col min="15" max="15" width="14.625" style="14" bestFit="1" customWidth="1"/>
    <col min="16" max="16" width="4.875" style="14" bestFit="1" customWidth="1"/>
    <col min="17" max="17" width="12.125" style="14" bestFit="1" customWidth="1"/>
    <col min="18" max="18" width="22.375" style="14" bestFit="1" customWidth="1"/>
    <col min="19" max="19" width="8.5" style="14" bestFit="1" customWidth="1"/>
    <col min="20" max="20" width="13.875" style="14" bestFit="1" customWidth="1"/>
    <col min="21" max="21" width="9.625" style="14" bestFit="1" customWidth="1"/>
    <col min="22" max="22" width="10.25" style="14" bestFit="1" customWidth="1"/>
    <col min="23" max="23" width="32.125" style="14" bestFit="1" customWidth="1"/>
    <col min="24" max="24" width="6.875" style="14" bestFit="1" customWidth="1"/>
    <col min="25" max="25" width="6.625" style="14" bestFit="1" customWidth="1"/>
    <col min="26" max="27" width="9.5" style="14" bestFit="1" customWidth="1"/>
    <col min="28" max="28" width="11.125" style="14" bestFit="1" customWidth="1"/>
    <col min="29" max="29" width="12.125" style="14" bestFit="1" customWidth="1"/>
    <col min="30" max="30" width="5.75" style="14" bestFit="1" customWidth="1"/>
    <col min="31" max="31" width="5.875" style="14" bestFit="1" customWidth="1"/>
    <col min="32" max="32" width="3.625" style="14" bestFit="1" customWidth="1"/>
    <col min="33" max="35" width="2.875" style="14" customWidth="1"/>
    <col min="36" max="16384" width="12.5" style="14"/>
  </cols>
  <sheetData>
    <row r="1" spans="1:32" ht="25.5" x14ac:dyDescent="0.25">
      <c r="B1" s="843" t="s">
        <v>330</v>
      </c>
      <c r="C1" s="63">
        <v>1</v>
      </c>
      <c r="D1" s="64" t="s">
        <v>232</v>
      </c>
      <c r="E1" s="84">
        <f>U32</f>
        <v>196</v>
      </c>
      <c r="F1" s="62" t="s">
        <v>233</v>
      </c>
      <c r="G1" s="84">
        <f>E1/C1</f>
        <v>196</v>
      </c>
      <c r="H1" s="62" t="s">
        <v>234</v>
      </c>
      <c r="I1" s="84"/>
      <c r="J1" s="209" t="s">
        <v>235</v>
      </c>
      <c r="K1" s="210">
        <v>1</v>
      </c>
      <c r="L1" s="80"/>
      <c r="M1" s="80"/>
      <c r="N1" s="80"/>
      <c r="O1" s="72" t="s">
        <v>236</v>
      </c>
      <c r="P1" s="73" t="s">
        <v>298</v>
      </c>
      <c r="Q1" s="74" t="s">
        <v>238</v>
      </c>
      <c r="R1" s="73">
        <v>0.89</v>
      </c>
      <c r="S1" s="74" t="s">
        <v>332</v>
      </c>
      <c r="T1" s="211">
        <v>84</v>
      </c>
      <c r="U1" s="80"/>
      <c r="V1" s="80"/>
      <c r="Y1" s="72" t="s">
        <v>444</v>
      </c>
      <c r="Z1" s="422">
        <v>191</v>
      </c>
      <c r="AA1" s="72" t="s">
        <v>544</v>
      </c>
      <c r="AB1" s="422">
        <v>5</v>
      </c>
      <c r="AC1" s="72" t="s">
        <v>537</v>
      </c>
      <c r="AD1" s="422">
        <v>191</v>
      </c>
      <c r="AE1" s="72" t="s">
        <v>529</v>
      </c>
      <c r="AF1" s="422">
        <f>Z1+AB1</f>
        <v>196</v>
      </c>
    </row>
    <row r="2" spans="1:32" x14ac:dyDescent="0.25">
      <c r="A2" s="863"/>
      <c r="B2" s="1805" t="s">
        <v>846</v>
      </c>
      <c r="C2" s="1805"/>
      <c r="D2" s="1805"/>
      <c r="E2" s="1805"/>
      <c r="F2" s="1805"/>
      <c r="G2" s="1805"/>
      <c r="H2" s="1805"/>
      <c r="I2" s="327"/>
      <c r="J2" s="327"/>
      <c r="K2" s="327"/>
      <c r="L2" s="187"/>
      <c r="M2" s="80"/>
      <c r="N2" s="80"/>
      <c r="O2" s="80"/>
      <c r="P2" s="80"/>
      <c r="Q2" s="80"/>
      <c r="R2" s="80"/>
      <c r="S2" s="80"/>
      <c r="T2" s="80"/>
      <c r="U2" s="80"/>
    </row>
    <row r="3" spans="1:32" x14ac:dyDescent="0.25">
      <c r="A3" s="863"/>
      <c r="B3" s="1791"/>
      <c r="C3" s="1791"/>
      <c r="D3" s="1791"/>
      <c r="E3" s="1791"/>
      <c r="F3" s="1791"/>
      <c r="G3" s="1791"/>
      <c r="H3" s="1791"/>
      <c r="I3" s="1187"/>
      <c r="J3" s="1187"/>
      <c r="K3" s="1187"/>
      <c r="L3" s="187"/>
      <c r="M3" s="80"/>
      <c r="N3" s="80"/>
      <c r="O3" s="80"/>
      <c r="P3" s="80"/>
      <c r="Q3" s="80"/>
      <c r="R3" s="80"/>
      <c r="S3" s="80"/>
      <c r="T3" s="80"/>
      <c r="U3" s="80"/>
    </row>
    <row r="4" spans="1:32" ht="38.25" x14ac:dyDescent="0.2">
      <c r="A4" s="1350" t="s">
        <v>864</v>
      </c>
      <c r="B4" s="923" t="s">
        <v>241</v>
      </c>
      <c r="C4" s="934" t="s">
        <v>242</v>
      </c>
      <c r="D4" s="923" t="s">
        <v>231</v>
      </c>
      <c r="E4" s="935" t="s">
        <v>234</v>
      </c>
      <c r="F4" s="935" t="s">
        <v>243</v>
      </c>
      <c r="G4" s="923" t="s">
        <v>244</v>
      </c>
      <c r="H4" s="1635" t="s">
        <v>334</v>
      </c>
      <c r="I4" s="923" t="s">
        <v>246</v>
      </c>
      <c r="J4" s="923" t="s">
        <v>247</v>
      </c>
      <c r="K4" s="923" t="s">
        <v>248</v>
      </c>
      <c r="L4" s="923" t="s">
        <v>249</v>
      </c>
      <c r="M4" s="235"/>
      <c r="N4" s="80"/>
      <c r="O4" s="80"/>
      <c r="P4" s="80"/>
      <c r="Q4" s="80"/>
      <c r="R4" s="80"/>
      <c r="S4" s="80"/>
    </row>
    <row r="5" spans="1:32" x14ac:dyDescent="0.25">
      <c r="A5" s="949" t="s">
        <v>873</v>
      </c>
      <c r="B5" s="1252" t="s">
        <v>821</v>
      </c>
      <c r="C5" s="1247" t="s">
        <v>14</v>
      </c>
      <c r="D5" s="1636">
        <v>120</v>
      </c>
      <c r="E5" s="1615">
        <f>$G$1</f>
        <v>196</v>
      </c>
      <c r="F5" s="1616">
        <v>1</v>
      </c>
      <c r="G5" s="940">
        <f>D5*E5</f>
        <v>23520</v>
      </c>
      <c r="H5" s="1617">
        <f>G5*F5</f>
        <v>23520</v>
      </c>
      <c r="I5" s="914">
        <f>VLOOKUP(B5,All_Ingredients!$A$1:$F$161,6,FALSE())</f>
        <v>0.95</v>
      </c>
      <c r="J5" s="940">
        <f>VLOOKUP(B5,All_Ingredients!$A$1:$J$161,10,FALSE())</f>
        <v>17.100000000000001</v>
      </c>
      <c r="K5" s="945">
        <f t="shared" ref="K5" si="0">(H5/I5)/1000</f>
        <v>24.757894736842108</v>
      </c>
      <c r="L5" s="945">
        <f t="shared" ref="L5" si="1">K5*J5</f>
        <v>423.36000000000007</v>
      </c>
      <c r="M5" s="87"/>
    </row>
    <row r="6" spans="1:32" x14ac:dyDescent="0.25">
      <c r="A6" s="949"/>
      <c r="B6" s="947" t="s">
        <v>775</v>
      </c>
      <c r="C6" s="947" t="s">
        <v>230</v>
      </c>
      <c r="D6" s="1636">
        <v>1</v>
      </c>
      <c r="E6" s="1615">
        <f>$G$1</f>
        <v>196</v>
      </c>
      <c r="F6" s="1616">
        <v>1</v>
      </c>
      <c r="G6" s="940">
        <f>D6*E6</f>
        <v>196</v>
      </c>
      <c r="H6" s="1617">
        <f>G6*F6</f>
        <v>196</v>
      </c>
      <c r="I6" s="914">
        <f>VLOOKUP(B6,All_Ingredients!$A$1:$F$161,6,FALSE())</f>
        <v>1</v>
      </c>
      <c r="J6" s="940">
        <f>VLOOKUP(B6,All_Ingredients!$A$1:$J$161,10,FALSE())</f>
        <v>0.6</v>
      </c>
      <c r="K6" s="945">
        <f t="shared" ref="K6:K7" si="2">(H6/I6)/1000</f>
        <v>0.19600000000000001</v>
      </c>
      <c r="L6" s="945">
        <f t="shared" ref="L6:L7" si="3">K6*J6</f>
        <v>0.1176</v>
      </c>
      <c r="M6" s="87"/>
    </row>
    <row r="7" spans="1:32" x14ac:dyDescent="0.25">
      <c r="A7" s="949"/>
      <c r="B7" s="947" t="s">
        <v>798</v>
      </c>
      <c r="C7" s="947" t="s">
        <v>230</v>
      </c>
      <c r="D7" s="1636">
        <v>1</v>
      </c>
      <c r="E7" s="1615">
        <f t="shared" ref="E7" si="4">$G$1</f>
        <v>196</v>
      </c>
      <c r="F7" s="1616">
        <v>1</v>
      </c>
      <c r="G7" s="944">
        <f>D7*($Z$1+$AB$1)</f>
        <v>196</v>
      </c>
      <c r="H7" s="1617">
        <f>G7*F7</f>
        <v>196</v>
      </c>
      <c r="I7" s="914">
        <f>VLOOKUP(B7,All_Ingredients!$A$1:$F$161,6,FALSE())</f>
        <v>1</v>
      </c>
      <c r="J7" s="940">
        <f>VLOOKUP(B7,All_Ingredients!$A$1:$J$161,10,FALSE())</f>
        <v>0.58333333333333337</v>
      </c>
      <c r="K7" s="945">
        <f t="shared" si="2"/>
        <v>0.19600000000000001</v>
      </c>
      <c r="L7" s="945">
        <f t="shared" si="3"/>
        <v>0.11433333333333334</v>
      </c>
      <c r="M7" s="87"/>
    </row>
    <row r="8" spans="1:32" x14ac:dyDescent="0.25">
      <c r="B8" s="1630"/>
      <c r="C8" s="1631"/>
      <c r="D8" s="1632"/>
      <c r="E8" s="1633"/>
      <c r="F8" s="310"/>
      <c r="G8" s="311"/>
      <c r="H8" s="1634"/>
      <c r="I8" s="140"/>
      <c r="J8" s="311"/>
      <c r="K8" s="1192"/>
      <c r="L8" s="1192"/>
      <c r="M8" s="87"/>
    </row>
    <row r="9" spans="1:32" x14ac:dyDescent="0.25">
      <c r="B9" s="228"/>
      <c r="C9" s="228"/>
      <c r="D9" s="215"/>
      <c r="E9" s="215"/>
      <c r="F9" s="91"/>
      <c r="G9" s="92"/>
      <c r="H9" s="93"/>
      <c r="I9" s="73"/>
      <c r="J9" s="92"/>
      <c r="K9" s="87"/>
      <c r="L9" s="87"/>
      <c r="M9" s="87"/>
    </row>
    <row r="10" spans="1:32" ht="15.75" x14ac:dyDescent="0.25">
      <c r="B10" s="1191" t="s">
        <v>1015</v>
      </c>
      <c r="C10" s="1783" t="s">
        <v>846</v>
      </c>
      <c r="D10" s="1783"/>
      <c r="E10" s="1783"/>
      <c r="F10" s="1783"/>
      <c r="G10" s="930"/>
      <c r="H10" s="930"/>
      <c r="I10" s="930"/>
      <c r="J10" s="930"/>
      <c r="K10" s="930"/>
      <c r="L10" s="930"/>
      <c r="M10" s="87"/>
    </row>
    <row r="11" spans="1:32" ht="25.5" x14ac:dyDescent="0.25">
      <c r="B11" s="926" t="s">
        <v>250</v>
      </c>
      <c r="C11" s="926">
        <v>10000</v>
      </c>
      <c r="D11" s="927" t="s">
        <v>474</v>
      </c>
      <c r="E11" s="928">
        <f>$S$32*$T$1</f>
        <v>16464</v>
      </c>
      <c r="F11" s="926" t="s">
        <v>239</v>
      </c>
      <c r="G11" s="929">
        <f>(($S$32*$T$1)/$R$1)/C11</f>
        <v>1.8498876404494382</v>
      </c>
      <c r="H11" s="1207"/>
      <c r="I11" s="1207"/>
      <c r="J11" s="1207"/>
      <c r="K11" s="1207"/>
      <c r="L11" s="1207"/>
      <c r="M11" s="87"/>
    </row>
    <row r="12" spans="1:32" ht="33.75" customHeight="1" x14ac:dyDescent="0.25">
      <c r="B12" s="926" t="s">
        <v>241</v>
      </c>
      <c r="C12" s="926" t="s">
        <v>242</v>
      </c>
      <c r="D12" s="926" t="s">
        <v>250</v>
      </c>
      <c r="E12" s="926" t="s">
        <v>234</v>
      </c>
      <c r="F12" s="926" t="s">
        <v>243</v>
      </c>
      <c r="G12" s="926" t="s">
        <v>244</v>
      </c>
      <c r="H12" s="926" t="s">
        <v>245</v>
      </c>
      <c r="I12" s="926" t="s">
        <v>246</v>
      </c>
      <c r="J12" s="926" t="s">
        <v>247</v>
      </c>
      <c r="K12" s="926" t="s">
        <v>248</v>
      </c>
      <c r="L12" s="926" t="s">
        <v>249</v>
      </c>
      <c r="M12" s="87"/>
    </row>
    <row r="13" spans="1:32" x14ac:dyDescent="0.25">
      <c r="B13" s="1252" t="s">
        <v>829</v>
      </c>
      <c r="C13" s="947" t="s">
        <v>14</v>
      </c>
      <c r="D13" s="1636">
        <v>800</v>
      </c>
      <c r="E13" s="1637">
        <f>$G$11</f>
        <v>1.8498876404494382</v>
      </c>
      <c r="F13" s="1616">
        <v>1</v>
      </c>
      <c r="G13" s="1638">
        <f t="shared" ref="G13:G21" si="5">D13*E13</f>
        <v>1479.9101123595506</v>
      </c>
      <c r="H13" s="1617">
        <f t="shared" ref="H13:H21" si="6">G13*F13</f>
        <v>1479.9101123595506</v>
      </c>
      <c r="I13" s="914">
        <f>VLOOKUP(B13,All_Ingredients!$A$1:$F$161,6,FALSE())</f>
        <v>1</v>
      </c>
      <c r="J13" s="940">
        <f>VLOOKUP(B13,All_Ingredients!$A$1:$J$161,10,FALSE())</f>
        <v>0</v>
      </c>
      <c r="K13" s="945">
        <f t="shared" ref="K13" si="7">(H13/I13)/1000</f>
        <v>1.4799101123595506</v>
      </c>
      <c r="L13" s="945">
        <f t="shared" ref="L13" si="8">K13*J13</f>
        <v>0</v>
      </c>
      <c r="M13" s="87"/>
    </row>
    <row r="14" spans="1:32" x14ac:dyDescent="0.25">
      <c r="B14" s="1252" t="s">
        <v>93</v>
      </c>
      <c r="C14" s="947" t="s">
        <v>14</v>
      </c>
      <c r="D14" s="1636">
        <v>35</v>
      </c>
      <c r="E14" s="1637">
        <f t="shared" ref="E14:E22" si="9">$G$11</f>
        <v>1.8498876404494382</v>
      </c>
      <c r="F14" s="1616">
        <v>1</v>
      </c>
      <c r="G14" s="1638">
        <f t="shared" si="5"/>
        <v>64.746067415730337</v>
      </c>
      <c r="H14" s="1617">
        <f t="shared" si="6"/>
        <v>64.746067415730337</v>
      </c>
      <c r="I14" s="914">
        <f>VLOOKUP(B14,All_Ingredients!$A$1:$F$161,6,FALSE())</f>
        <v>1</v>
      </c>
      <c r="J14" s="940">
        <f>VLOOKUP(B14,All_Ingredients!$A$1:$J$161,10,FALSE())</f>
        <v>0.74</v>
      </c>
      <c r="K14" s="945">
        <f t="shared" ref="K14:K22" si="10">(H14/I14)/1000</f>
        <v>6.4746067415730343E-2</v>
      </c>
      <c r="L14" s="945">
        <f t="shared" ref="L14:L22" si="11">K14*J14</f>
        <v>4.7912089887640452E-2</v>
      </c>
      <c r="M14" s="87"/>
    </row>
    <row r="15" spans="1:32" x14ac:dyDescent="0.25">
      <c r="B15" s="1252" t="s">
        <v>99</v>
      </c>
      <c r="C15" s="947" t="s">
        <v>14</v>
      </c>
      <c r="D15" s="1636">
        <v>20</v>
      </c>
      <c r="E15" s="1637">
        <f t="shared" si="9"/>
        <v>1.8498876404494382</v>
      </c>
      <c r="F15" s="1616">
        <v>1</v>
      </c>
      <c r="G15" s="1638">
        <f t="shared" si="5"/>
        <v>36.997752808988764</v>
      </c>
      <c r="H15" s="1617">
        <f t="shared" si="6"/>
        <v>36.997752808988764</v>
      </c>
      <c r="I15" s="914">
        <f>VLOOKUP(B15,All_Ingredients!$A$1:$F$161,6,FALSE())</f>
        <v>1</v>
      </c>
      <c r="J15" s="940">
        <f>VLOOKUP(B15,All_Ingredients!$A$1:$J$161,10,FALSE())</f>
        <v>31</v>
      </c>
      <c r="K15" s="945">
        <f t="shared" si="10"/>
        <v>3.6997752808988767E-2</v>
      </c>
      <c r="L15" s="945">
        <f t="shared" si="11"/>
        <v>1.1469303370786517</v>
      </c>
      <c r="M15" s="87"/>
    </row>
    <row r="16" spans="1:32" x14ac:dyDescent="0.25">
      <c r="B16" s="1252" t="s">
        <v>149</v>
      </c>
      <c r="C16" s="947" t="s">
        <v>14</v>
      </c>
      <c r="D16" s="1636">
        <v>120</v>
      </c>
      <c r="E16" s="1637">
        <f t="shared" si="9"/>
        <v>1.8498876404494382</v>
      </c>
      <c r="F16" s="1616">
        <v>1</v>
      </c>
      <c r="G16" s="1638">
        <f t="shared" si="5"/>
        <v>221.98651685393259</v>
      </c>
      <c r="H16" s="1617">
        <f t="shared" si="6"/>
        <v>221.98651685393259</v>
      </c>
      <c r="I16" s="914">
        <f>VLOOKUP(B16,All_Ingredients!$A$1:$F$161,6,FALSE())</f>
        <v>1</v>
      </c>
      <c r="J16" s="940">
        <f>VLOOKUP(B16,All_Ingredients!$A$1:$J$161,10,FALSE())</f>
        <v>10</v>
      </c>
      <c r="K16" s="945">
        <f t="shared" si="10"/>
        <v>0.22198651685393259</v>
      </c>
      <c r="L16" s="945">
        <f t="shared" si="11"/>
        <v>2.219865168539326</v>
      </c>
    </row>
    <row r="17" spans="2:31" x14ac:dyDescent="0.25">
      <c r="B17" s="1252" t="s">
        <v>146</v>
      </c>
      <c r="C17" s="947" t="s">
        <v>14</v>
      </c>
      <c r="D17" s="1636">
        <v>100</v>
      </c>
      <c r="E17" s="1637">
        <f t="shared" si="9"/>
        <v>1.8498876404494382</v>
      </c>
      <c r="F17" s="1616">
        <v>1</v>
      </c>
      <c r="G17" s="1638">
        <f t="shared" si="5"/>
        <v>184.98876404494382</v>
      </c>
      <c r="H17" s="1617">
        <f t="shared" si="6"/>
        <v>184.98876404494382</v>
      </c>
      <c r="I17" s="914">
        <f>VLOOKUP(B17,All_Ingredients!$A$1:$F$161,6,FALSE())</f>
        <v>1</v>
      </c>
      <c r="J17" s="940">
        <f>VLOOKUP(B17,All_Ingredients!$A$1:$J$161,10,FALSE())</f>
        <v>12</v>
      </c>
      <c r="K17" s="945">
        <f t="shared" si="10"/>
        <v>0.18498876404494383</v>
      </c>
      <c r="L17" s="945">
        <f t="shared" si="11"/>
        <v>2.219865168539326</v>
      </c>
    </row>
    <row r="18" spans="2:31" x14ac:dyDescent="0.25">
      <c r="B18" s="1252" t="s">
        <v>811</v>
      </c>
      <c r="C18" s="947" t="s">
        <v>14</v>
      </c>
      <c r="D18" s="1636">
        <v>100</v>
      </c>
      <c r="E18" s="1637">
        <f t="shared" si="9"/>
        <v>1.8498876404494382</v>
      </c>
      <c r="F18" s="1616">
        <v>1</v>
      </c>
      <c r="G18" s="1638">
        <f t="shared" si="5"/>
        <v>184.98876404494382</v>
      </c>
      <c r="H18" s="1617">
        <f t="shared" si="6"/>
        <v>184.98876404494382</v>
      </c>
      <c r="I18" s="914">
        <f>VLOOKUP(B18,All_Ingredients!$A$1:$F$161,6,FALSE())</f>
        <v>1</v>
      </c>
      <c r="J18" s="940">
        <f>VLOOKUP(B18,All_Ingredients!$A$1:$J$161,10,FALSE())</f>
        <v>96.916299559471369</v>
      </c>
      <c r="K18" s="945">
        <f t="shared" si="10"/>
        <v>0.18498876404494383</v>
      </c>
      <c r="L18" s="945">
        <f t="shared" si="11"/>
        <v>17.928426471316143</v>
      </c>
    </row>
    <row r="19" spans="2:31" x14ac:dyDescent="0.25">
      <c r="B19" s="1252" t="s">
        <v>202</v>
      </c>
      <c r="C19" s="947" t="s">
        <v>14</v>
      </c>
      <c r="D19" s="1636">
        <v>300</v>
      </c>
      <c r="E19" s="1637">
        <f t="shared" si="9"/>
        <v>1.8498876404494382</v>
      </c>
      <c r="F19" s="1616">
        <v>1</v>
      </c>
      <c r="G19" s="1638">
        <f t="shared" si="5"/>
        <v>554.96629213483152</v>
      </c>
      <c r="H19" s="1617">
        <f t="shared" si="6"/>
        <v>554.96629213483152</v>
      </c>
      <c r="I19" s="914">
        <f>VLOOKUP(B19,All_Ingredients!$A$1:$F$161,6,FALSE())</f>
        <v>1</v>
      </c>
      <c r="J19" s="940">
        <f>VLOOKUP(B19,All_Ingredients!$A$1:$J$161,10,FALSE())</f>
        <v>11.243386243386244</v>
      </c>
      <c r="K19" s="945">
        <f t="shared" si="10"/>
        <v>0.55496629213483151</v>
      </c>
      <c r="L19" s="945">
        <f t="shared" si="11"/>
        <v>6.2397003745318358</v>
      </c>
    </row>
    <row r="20" spans="2:31" x14ac:dyDescent="0.25">
      <c r="B20" s="1252" t="s">
        <v>229</v>
      </c>
      <c r="C20" s="947" t="s">
        <v>230</v>
      </c>
      <c r="D20" s="1636">
        <v>15</v>
      </c>
      <c r="E20" s="1637">
        <f t="shared" si="9"/>
        <v>1.8498876404494382</v>
      </c>
      <c r="F20" s="1616">
        <v>1</v>
      </c>
      <c r="G20" s="1638">
        <f t="shared" si="5"/>
        <v>27.748314606741573</v>
      </c>
      <c r="H20" s="1617">
        <f t="shared" si="6"/>
        <v>27.748314606741573</v>
      </c>
      <c r="I20" s="914">
        <f>VLOOKUP(B20,All_Ingredients!$A$1:$F$161,6,FALSE())</f>
        <v>1</v>
      </c>
      <c r="J20" s="940">
        <f>VLOOKUP(B20,All_Ingredients!$A$1:$J$161,10,FALSE())</f>
        <v>0.43333333333333335</v>
      </c>
      <c r="K20" s="945">
        <f t="shared" si="10"/>
        <v>2.7748314606741573E-2</v>
      </c>
      <c r="L20" s="945">
        <f t="shared" si="11"/>
        <v>1.2024269662921349E-2</v>
      </c>
    </row>
    <row r="21" spans="2:31" x14ac:dyDescent="0.25">
      <c r="B21" s="1252" t="s">
        <v>188</v>
      </c>
      <c r="C21" s="947" t="s">
        <v>14</v>
      </c>
      <c r="D21" s="1636">
        <v>1000</v>
      </c>
      <c r="E21" s="1637">
        <f t="shared" si="9"/>
        <v>1.8498876404494382</v>
      </c>
      <c r="F21" s="1616">
        <v>1</v>
      </c>
      <c r="G21" s="1638">
        <f t="shared" si="5"/>
        <v>1849.8876404494381</v>
      </c>
      <c r="H21" s="1617">
        <f t="shared" si="6"/>
        <v>1849.8876404494381</v>
      </c>
      <c r="I21" s="914">
        <f>VLOOKUP(B21,All_Ingredients!$A$1:$F$161,6,FALSE())</f>
        <v>1</v>
      </c>
      <c r="J21" s="940">
        <f>VLOOKUP(B21,All_Ingredients!$A$1:$J$161,10,FALSE())</f>
        <v>8.5</v>
      </c>
      <c r="K21" s="945">
        <f t="shared" si="10"/>
        <v>1.849887640449438</v>
      </c>
      <c r="L21" s="945">
        <f t="shared" si="11"/>
        <v>15.724044943820223</v>
      </c>
    </row>
    <row r="22" spans="2:31" x14ac:dyDescent="0.25">
      <c r="B22" s="1252" t="s">
        <v>222</v>
      </c>
      <c r="C22" s="947" t="s">
        <v>14</v>
      </c>
      <c r="D22" s="1636">
        <v>500</v>
      </c>
      <c r="E22" s="1637">
        <f t="shared" si="9"/>
        <v>1.8498876404494382</v>
      </c>
      <c r="F22" s="1616">
        <v>1</v>
      </c>
      <c r="G22" s="1638">
        <f>D22*E22</f>
        <v>924.94382022471905</v>
      </c>
      <c r="H22" s="1617">
        <f>G22*F22</f>
        <v>924.94382022471905</v>
      </c>
      <c r="I22" s="914">
        <f>VLOOKUP(B22,All_Ingredients!$A$1:$F$161,6,FALSE())</f>
        <v>1</v>
      </c>
      <c r="J22" s="940">
        <f>VLOOKUP(B22,All_Ingredients!$A$1:$J$161,10,FALSE())</f>
        <v>30</v>
      </c>
      <c r="K22" s="945">
        <f t="shared" si="10"/>
        <v>0.92494382022471899</v>
      </c>
      <c r="L22" s="945">
        <f t="shared" si="11"/>
        <v>27.74831460674157</v>
      </c>
    </row>
    <row r="25" spans="2:31" x14ac:dyDescent="0.25">
      <c r="R25" s="1886" t="s">
        <v>846</v>
      </c>
      <c r="S25" s="1850"/>
      <c r="T25" s="1850"/>
      <c r="U25" s="1850"/>
      <c r="V25" s="553"/>
      <c r="Z25" s="96" t="s">
        <v>252</v>
      </c>
      <c r="AA25" s="97">
        <v>1</v>
      </c>
      <c r="AB25" s="96" t="s">
        <v>249</v>
      </c>
      <c r="AC25" s="98">
        <f>AE30*AA25</f>
        <v>2.5350970243033211</v>
      </c>
    </row>
    <row r="26" spans="2:31" x14ac:dyDescent="0.25">
      <c r="R26" s="1889" t="s">
        <v>291</v>
      </c>
      <c r="S26" s="1799"/>
      <c r="T26" s="1799"/>
      <c r="U26" s="1799"/>
      <c r="V26" s="553"/>
    </row>
    <row r="27" spans="2:31" ht="15.75" thickBot="1" x14ac:dyDescent="0.3">
      <c r="R27" s="100" t="s">
        <v>254</v>
      </c>
      <c r="S27" s="100" t="s">
        <v>354</v>
      </c>
      <c r="T27" s="100" t="s">
        <v>256</v>
      </c>
      <c r="U27" s="100" t="s">
        <v>262</v>
      </c>
      <c r="V27" s="101" t="s">
        <v>746</v>
      </c>
      <c r="W27" s="101" t="s">
        <v>767</v>
      </c>
      <c r="X27" s="101" t="s">
        <v>766</v>
      </c>
      <c r="Z27" s="96" t="s">
        <v>258</v>
      </c>
      <c r="AA27" s="102" t="s">
        <v>746</v>
      </c>
      <c r="AB27" s="102" t="s">
        <v>259</v>
      </c>
      <c r="AC27" s="102" t="s">
        <v>757</v>
      </c>
      <c r="AD27" s="102" t="s">
        <v>754</v>
      </c>
      <c r="AE27" s="102" t="s">
        <v>262</v>
      </c>
    </row>
    <row r="28" spans="2:31" ht="15.75" thickBot="1" x14ac:dyDescent="0.3">
      <c r="R28" s="100" t="s">
        <v>263</v>
      </c>
      <c r="S28" s="677">
        <f>$Z$1</f>
        <v>191</v>
      </c>
      <c r="T28" s="683"/>
      <c r="U28" s="683">
        <f>S28</f>
        <v>191</v>
      </c>
      <c r="V28" s="104">
        <f>SUM(H13:H22)</f>
        <v>5531.164044943821</v>
      </c>
      <c r="W28" s="104">
        <f>SUM(L6)</f>
        <v>0.1176</v>
      </c>
      <c r="X28" s="104">
        <f>K13</f>
        <v>1.4799101123595506</v>
      </c>
      <c r="Z28" s="105"/>
      <c r="AA28" s="591"/>
      <c r="AB28" s="106">
        <f>AA25*$S$40</f>
        <v>1</v>
      </c>
      <c r="AC28" s="591"/>
      <c r="AD28" s="591"/>
      <c r="AE28" s="108">
        <f>SUM(AB28:AB28)</f>
        <v>1</v>
      </c>
    </row>
    <row r="29" spans="2:31" ht="15.75" thickBot="1" x14ac:dyDescent="0.3">
      <c r="R29" s="100" t="s">
        <v>264</v>
      </c>
      <c r="S29" s="686"/>
      <c r="T29" s="218"/>
      <c r="U29" s="683">
        <f>T29</f>
        <v>0</v>
      </c>
      <c r="V29" s="104"/>
      <c r="W29" s="104"/>
      <c r="X29" s="104"/>
      <c r="Z29" s="105"/>
      <c r="AA29" s="591"/>
      <c r="AB29" s="110">
        <f>AB28/$AE$28</f>
        <v>1</v>
      </c>
      <c r="AC29" s="591"/>
      <c r="AD29" s="591"/>
      <c r="AE29" s="110">
        <f>AE28/$AE$28</f>
        <v>1</v>
      </c>
    </row>
    <row r="30" spans="2:31" ht="15.75" thickBot="1" x14ac:dyDescent="0.3">
      <c r="R30" s="100" t="s">
        <v>265</v>
      </c>
      <c r="S30" s="678">
        <f>$AB$1</f>
        <v>5</v>
      </c>
      <c r="T30" s="683"/>
      <c r="U30" s="683"/>
      <c r="V30" s="547"/>
      <c r="W30" s="547"/>
      <c r="X30" s="547"/>
      <c r="Z30" s="96" t="s">
        <v>266</v>
      </c>
      <c r="AA30" s="549">
        <f>V35/$AF$1</f>
        <v>0.37391369096998794</v>
      </c>
      <c r="AB30" s="111">
        <f>S35/(AF1)</f>
        <v>2.16</v>
      </c>
      <c r="AC30" s="549">
        <f>W35/AF1</f>
        <v>5.9999999999999995E-4</v>
      </c>
      <c r="AD30" s="549">
        <f>X35/$AF$1</f>
        <v>5.8333333333333338E-4</v>
      </c>
      <c r="AE30" s="588">
        <f>AB30+AD30+AC30+AA30</f>
        <v>2.5350970243033211</v>
      </c>
    </row>
    <row r="31" spans="2:31" ht="15.75" thickBot="1" x14ac:dyDescent="0.3">
      <c r="R31" s="100" t="s">
        <v>267</v>
      </c>
      <c r="S31" s="188" t="s">
        <v>309</v>
      </c>
      <c r="T31" s="218"/>
      <c r="U31" s="218"/>
      <c r="V31" s="104"/>
      <c r="W31" s="104"/>
      <c r="X31" s="104"/>
    </row>
    <row r="32" spans="2:31" ht="15.75" thickBot="1" x14ac:dyDescent="0.3">
      <c r="R32" s="101" t="s">
        <v>257</v>
      </c>
      <c r="S32" s="626">
        <f>S28+S30</f>
        <v>196</v>
      </c>
      <c r="T32" s="219">
        <f>SUM(T28:T30)</f>
        <v>0</v>
      </c>
      <c r="U32" s="219">
        <f>T32+S32</f>
        <v>196</v>
      </c>
      <c r="V32" s="104"/>
      <c r="W32" s="104"/>
      <c r="X32" s="104"/>
    </row>
    <row r="33" spans="2:24" ht="15.75" thickBot="1" x14ac:dyDescent="0.3">
      <c r="R33" s="220" t="s">
        <v>254</v>
      </c>
      <c r="S33" s="221"/>
      <c r="T33" s="221">
        <f>F40+F59</f>
        <v>0</v>
      </c>
      <c r="U33" s="222"/>
      <c r="V33" s="109"/>
      <c r="W33" s="109"/>
      <c r="X33" s="109"/>
    </row>
    <row r="34" spans="2:24" ht="15.75" thickBot="1" x14ac:dyDescent="0.3">
      <c r="R34" s="130" t="s">
        <v>269</v>
      </c>
      <c r="S34" s="223"/>
      <c r="T34" s="224">
        <f>T33-(T28+T29)</f>
        <v>0</v>
      </c>
      <c r="U34" s="223"/>
      <c r="V34" s="109"/>
      <c r="W34" s="109"/>
      <c r="X34" s="109"/>
    </row>
    <row r="35" spans="2:24" ht="15.75" thickBot="1" x14ac:dyDescent="0.3">
      <c r="R35" s="117" t="s">
        <v>249</v>
      </c>
      <c r="S35" s="548">
        <f>L5</f>
        <v>423.36000000000007</v>
      </c>
      <c r="T35" s="548">
        <f>SUM(O6:O19)</f>
        <v>0</v>
      </c>
      <c r="U35" s="589">
        <f>S35+T35+V35+W35+X35</f>
        <v>496.87901676345103</v>
      </c>
      <c r="V35" s="548">
        <f>SUM(L13:L22)</f>
        <v>73.287083430117633</v>
      </c>
      <c r="W35" s="548">
        <f>L6</f>
        <v>0.1176</v>
      </c>
      <c r="X35" s="548">
        <f>L7</f>
        <v>0.11433333333333334</v>
      </c>
    </row>
    <row r="39" spans="2:24" x14ac:dyDescent="0.25">
      <c r="B39" s="80"/>
      <c r="E39" s="80"/>
      <c r="F39" s="80"/>
    </row>
    <row r="40" spans="2:24" ht="51.75" x14ac:dyDescent="0.25">
      <c r="B40" s="80"/>
      <c r="C40" s="80"/>
      <c r="D40" s="225"/>
      <c r="E40" s="80"/>
      <c r="F40" s="80"/>
      <c r="G40" s="80"/>
      <c r="H40" s="80"/>
      <c r="I40" s="80"/>
      <c r="J40" s="80"/>
      <c r="R40" s="119" t="s">
        <v>270</v>
      </c>
      <c r="S40" s="120">
        <v>1</v>
      </c>
      <c r="T40" s="119" t="s">
        <v>271</v>
      </c>
      <c r="U40" s="121">
        <v>0</v>
      </c>
      <c r="V40" s="122">
        <f>S40+U40</f>
        <v>1</v>
      </c>
    </row>
    <row r="41" spans="2:24" x14ac:dyDescent="0.25">
      <c r="B41" s="80"/>
      <c r="C41" s="80"/>
      <c r="D41" s="80"/>
      <c r="E41" s="80"/>
      <c r="F41" s="80"/>
      <c r="G41" s="80"/>
      <c r="H41" s="80"/>
      <c r="I41" s="80"/>
      <c r="J41" s="80"/>
      <c r="U41" s="123"/>
    </row>
    <row r="42" spans="2:24" ht="18" x14ac:dyDescent="0.25">
      <c r="B42" s="1815"/>
      <c r="C42" s="1799"/>
      <c r="D42" s="1799"/>
      <c r="E42" s="1799"/>
      <c r="F42" s="1799"/>
      <c r="G42" s="1799"/>
      <c r="H42" s="1799"/>
      <c r="I42" s="1799"/>
      <c r="J42" s="1799"/>
    </row>
    <row r="43" spans="2:24" ht="18" x14ac:dyDescent="0.25">
      <c r="B43" s="1803"/>
      <c r="C43" s="1799"/>
      <c r="D43" s="1799"/>
      <c r="E43" s="1799"/>
      <c r="F43" s="1799"/>
      <c r="G43" s="1799"/>
      <c r="H43" s="1799"/>
      <c r="I43" s="1799"/>
      <c r="J43" s="1799"/>
      <c r="Q43" s="124" t="s">
        <v>272</v>
      </c>
      <c r="R43" s="124" t="s">
        <v>273</v>
      </c>
      <c r="S43" s="124" t="s">
        <v>274</v>
      </c>
      <c r="T43" s="124" t="s">
        <v>275</v>
      </c>
      <c r="U43" s="124" t="s">
        <v>276</v>
      </c>
      <c r="V43" s="124" t="s">
        <v>277</v>
      </c>
      <c r="W43" s="124" t="s">
        <v>278</v>
      </c>
    </row>
    <row r="44" spans="2:24" x14ac:dyDescent="0.25">
      <c r="B44" s="226"/>
      <c r="C44" s="227"/>
      <c r="D44" s="226"/>
      <c r="E44" s="226"/>
      <c r="F44" s="226"/>
      <c r="G44" s="226"/>
      <c r="H44" s="226"/>
      <c r="I44" s="226"/>
      <c r="J44" s="226"/>
      <c r="Q44" s="126">
        <v>18841</v>
      </c>
      <c r="R44" s="127">
        <f>E51</f>
        <v>0</v>
      </c>
      <c r="S44" s="128">
        <v>0</v>
      </c>
      <c r="T44" s="128">
        <v>0</v>
      </c>
      <c r="U44" s="165">
        <f>R44*S44</f>
        <v>0</v>
      </c>
      <c r="V44" s="129">
        <f>R44*T44</f>
        <v>0</v>
      </c>
      <c r="W44" s="129">
        <f>Q44-U44</f>
        <v>18841</v>
      </c>
    </row>
    <row r="50" spans="1:14" x14ac:dyDescent="0.25">
      <c r="B50" s="229"/>
      <c r="C50" s="130" t="s">
        <v>233</v>
      </c>
      <c r="D50" s="130" t="s">
        <v>279</v>
      </c>
      <c r="E50" s="80"/>
      <c r="F50" s="80"/>
      <c r="G50" s="100" t="s">
        <v>280</v>
      </c>
      <c r="H50" s="100" t="s">
        <v>233</v>
      </c>
      <c r="I50" s="130" t="s">
        <v>281</v>
      </c>
      <c r="J50" s="130" t="s">
        <v>282</v>
      </c>
    </row>
    <row r="51" spans="1:14" x14ac:dyDescent="0.25">
      <c r="B51" s="844" t="s">
        <v>283</v>
      </c>
      <c r="C51" s="133">
        <f>10/$K$1</f>
        <v>10</v>
      </c>
      <c r="D51" s="134">
        <f>$C$1*10</f>
        <v>10</v>
      </c>
      <c r="E51" s="135"/>
      <c r="F51" s="80"/>
      <c r="G51" s="132" t="s">
        <v>283</v>
      </c>
      <c r="H51" s="182">
        <f>I51/$D$5</f>
        <v>176.41385767790263</v>
      </c>
      <c r="I51" s="133">
        <f>J51/$R$1</f>
        <v>21169.662921348314</v>
      </c>
      <c r="J51" s="133">
        <f>$W$44</f>
        <v>18841</v>
      </c>
    </row>
    <row r="52" spans="1:14" x14ac:dyDescent="0.25">
      <c r="B52" s="846" t="s">
        <v>262</v>
      </c>
      <c r="C52" s="156">
        <f>$I$1</f>
        <v>0</v>
      </c>
      <c r="D52" s="157">
        <f>$E$1</f>
        <v>196</v>
      </c>
      <c r="E52" s="80"/>
      <c r="F52" s="80"/>
      <c r="G52" s="103" t="s">
        <v>262</v>
      </c>
      <c r="H52" s="83">
        <f>I52/$D$5</f>
        <v>154.15730337078651</v>
      </c>
      <c r="I52" s="129">
        <f>J52/$R$1</f>
        <v>18498.876404494382</v>
      </c>
      <c r="J52" s="136">
        <f>$U$32*$T$1</f>
        <v>16464</v>
      </c>
    </row>
    <row r="53" spans="1:14" x14ac:dyDescent="0.25">
      <c r="B53" s="846" t="s">
        <v>284</v>
      </c>
      <c r="C53" s="158">
        <f>MIN(C52, C51)</f>
        <v>0</v>
      </c>
      <c r="D53" s="157">
        <f>(C53*$K$1)*$C$1</f>
        <v>0</v>
      </c>
      <c r="E53" s="80"/>
      <c r="F53" s="80"/>
      <c r="G53" s="103" t="s">
        <v>284</v>
      </c>
      <c r="H53" s="139">
        <f>MIN(H52,H51)</f>
        <v>154.15730337078651</v>
      </c>
      <c r="I53" s="129">
        <f>J53/$R$1</f>
        <v>18498.876404494382</v>
      </c>
      <c r="J53" s="129">
        <f>MIN(J52,J51)</f>
        <v>16464</v>
      </c>
    </row>
    <row r="54" spans="1:14" x14ac:dyDescent="0.25">
      <c r="B54" s="846" t="s">
        <v>285</v>
      </c>
      <c r="C54" s="158">
        <f>MIN(MAX(C52-C53,0),C51)</f>
        <v>0</v>
      </c>
      <c r="D54" s="157">
        <f>(C54*$K$1)*$C$1</f>
        <v>0</v>
      </c>
      <c r="E54" s="80"/>
      <c r="F54" s="80"/>
      <c r="G54" s="103" t="s">
        <v>285</v>
      </c>
      <c r="H54" s="139">
        <f>MIN(MAX(H52-H53),H51)</f>
        <v>0</v>
      </c>
      <c r="I54" s="129">
        <f>J54/$R$1</f>
        <v>0</v>
      </c>
      <c r="J54" s="129">
        <f>MIN(MAX(J52-J53),J51)</f>
        <v>0</v>
      </c>
    </row>
    <row r="55" spans="1:14" x14ac:dyDescent="0.25">
      <c r="B55" s="846" t="s">
        <v>286</v>
      </c>
      <c r="C55" s="158">
        <f>MIN(MAX(C52-C53-C54,0),C51)</f>
        <v>0</v>
      </c>
      <c r="D55" s="157">
        <f>(C55*$K$1)*$C$1</f>
        <v>0</v>
      </c>
      <c r="E55" s="80"/>
      <c r="F55" s="80"/>
      <c r="G55" s="100" t="s">
        <v>286</v>
      </c>
      <c r="H55" s="139">
        <f>MIN(MAX(H52-H53-H54),H51)</f>
        <v>0</v>
      </c>
      <c r="I55" s="129">
        <f>J55/$R$1</f>
        <v>0</v>
      </c>
      <c r="J55" s="129">
        <f>MIN(MAX(J52-J53-J54),J51)</f>
        <v>0</v>
      </c>
    </row>
    <row r="58" spans="1:14" ht="18" x14ac:dyDescent="0.25">
      <c r="B58" s="1803"/>
      <c r="C58" s="1799"/>
      <c r="D58" s="1799"/>
      <c r="E58" s="1799"/>
      <c r="F58" s="1799"/>
      <c r="G58" s="1799"/>
      <c r="H58" s="1799"/>
      <c r="I58" s="1799"/>
      <c r="J58" s="1799"/>
    </row>
    <row r="59" spans="1:14" x14ac:dyDescent="0.25">
      <c r="B59" s="226"/>
      <c r="C59" s="227"/>
      <c r="D59" s="226"/>
      <c r="E59" s="226"/>
      <c r="F59" s="226"/>
      <c r="G59" s="226"/>
      <c r="H59" s="226"/>
      <c r="I59" s="226"/>
      <c r="J59" s="226"/>
    </row>
    <row r="60" spans="1:14" x14ac:dyDescent="0.25">
      <c r="B60" s="228"/>
      <c r="C60" s="228"/>
      <c r="D60" s="228"/>
      <c r="E60" s="215"/>
      <c r="F60" s="91"/>
      <c r="G60" s="92"/>
      <c r="H60" s="93"/>
      <c r="I60" s="73"/>
      <c r="J60" s="94"/>
    </row>
    <row r="61" spans="1:14" x14ac:dyDescent="0.25">
      <c r="B61" s="228"/>
      <c r="C61" s="228"/>
      <c r="D61" s="228"/>
      <c r="E61" s="215"/>
      <c r="F61" s="91"/>
      <c r="G61" s="92"/>
      <c r="H61" s="93"/>
      <c r="I61" s="73"/>
      <c r="J61" s="94"/>
    </row>
    <row r="62" spans="1:14" ht="18" x14ac:dyDescent="0.25">
      <c r="A62" s="867"/>
      <c r="B62" s="1804"/>
      <c r="C62" s="1817"/>
      <c r="D62" s="1817"/>
      <c r="E62" s="1817"/>
      <c r="F62" s="1817"/>
      <c r="G62" s="1817"/>
      <c r="H62" s="1817"/>
    </row>
    <row r="63" spans="1:14" x14ac:dyDescent="0.25">
      <c r="A63" s="867"/>
      <c r="B63" s="1804" t="s">
        <v>846</v>
      </c>
      <c r="C63" s="1890"/>
      <c r="D63" s="1890"/>
      <c r="E63" s="1890"/>
      <c r="F63" s="1890"/>
      <c r="G63" s="1890"/>
      <c r="H63" s="1890"/>
    </row>
    <row r="64" spans="1:14" ht="30" x14ac:dyDescent="0.2">
      <c r="A64" s="1350" t="s">
        <v>864</v>
      </c>
      <c r="B64" s="1104" t="s">
        <v>241</v>
      </c>
      <c r="C64" s="934" t="s">
        <v>242</v>
      </c>
      <c r="D64" s="1104" t="s">
        <v>231</v>
      </c>
      <c r="E64" s="936" t="s">
        <v>234</v>
      </c>
      <c r="F64" s="936" t="s">
        <v>243</v>
      </c>
      <c r="G64" s="1104" t="s">
        <v>244</v>
      </c>
      <c r="H64" s="936" t="s">
        <v>245</v>
      </c>
      <c r="M64" s="87"/>
      <c r="N64" s="87"/>
    </row>
    <row r="65" spans="1:12" x14ac:dyDescent="0.25">
      <c r="A65" s="949" t="s">
        <v>873</v>
      </c>
      <c r="B65" s="1252" t="str">
        <f t="shared" ref="B65:D67" si="12">B5</f>
        <v>Chicken Minced - دجاج مفروم</v>
      </c>
      <c r="C65" s="1252" t="str">
        <f t="shared" si="12"/>
        <v>gm</v>
      </c>
      <c r="D65" s="1639">
        <f t="shared" si="12"/>
        <v>120</v>
      </c>
      <c r="E65" s="1615">
        <f>$D$52</f>
        <v>196</v>
      </c>
      <c r="F65" s="1616">
        <f>F5</f>
        <v>1</v>
      </c>
      <c r="G65" s="944">
        <f>D65*E65</f>
        <v>23520</v>
      </c>
      <c r="H65" s="1617">
        <f>G65*F65</f>
        <v>23520</v>
      </c>
      <c r="I65" s="73"/>
      <c r="J65" s="92"/>
      <c r="K65" s="73"/>
      <c r="L65" s="92"/>
    </row>
    <row r="66" spans="1:12" x14ac:dyDescent="0.25">
      <c r="B66" s="1252" t="str">
        <f t="shared" si="12"/>
        <v>Whole Wheat Burger Buns 70gm - خبز برجر بني</v>
      </c>
      <c r="C66" s="1252" t="str">
        <f t="shared" si="12"/>
        <v>Piece</v>
      </c>
      <c r="D66" s="1639">
        <f t="shared" si="12"/>
        <v>1</v>
      </c>
      <c r="E66" s="1615">
        <f t="shared" ref="E66:E67" si="13">$D$52</f>
        <v>196</v>
      </c>
      <c r="F66" s="1616">
        <f t="shared" ref="F66:F67" si="14">F6</f>
        <v>1</v>
      </c>
      <c r="G66" s="944">
        <f t="shared" ref="G66:G67" si="15">D66*E66</f>
        <v>196</v>
      </c>
      <c r="H66" s="1617">
        <f t="shared" ref="H66:H67" si="16">G66*F66</f>
        <v>196</v>
      </c>
    </row>
    <row r="67" spans="1:12" x14ac:dyDescent="0.25">
      <c r="B67" s="1252" t="str">
        <f t="shared" si="12"/>
        <v>Sliced cheese - جبنة شرائح</v>
      </c>
      <c r="C67" s="1252" t="str">
        <f t="shared" si="12"/>
        <v>Piece</v>
      </c>
      <c r="D67" s="1639">
        <f t="shared" si="12"/>
        <v>1</v>
      </c>
      <c r="E67" s="1615">
        <f t="shared" si="13"/>
        <v>196</v>
      </c>
      <c r="F67" s="1616">
        <f t="shared" si="14"/>
        <v>1</v>
      </c>
      <c r="G67" s="944">
        <f t="shared" si="15"/>
        <v>196</v>
      </c>
      <c r="H67" s="1617">
        <f t="shared" si="16"/>
        <v>196</v>
      </c>
    </row>
    <row r="68" spans="1:12" ht="18" x14ac:dyDescent="0.25">
      <c r="A68" s="861"/>
      <c r="B68" s="1622" t="s">
        <v>287</v>
      </c>
      <c r="C68" s="1042" t="s">
        <v>273</v>
      </c>
      <c r="D68" s="1041" t="s">
        <v>537</v>
      </c>
      <c r="E68" s="1253" t="s">
        <v>288</v>
      </c>
      <c r="F68" s="1640"/>
      <c r="G68" s="1255" t="s">
        <v>264</v>
      </c>
      <c r="H68" s="1255" t="s">
        <v>661</v>
      </c>
    </row>
    <row r="69" spans="1:12" ht="20.25" x14ac:dyDescent="0.3">
      <c r="B69" s="1048">
        <f>$J$53</f>
        <v>16464</v>
      </c>
      <c r="C69" s="1283">
        <f>E69+G69</f>
        <v>0</v>
      </c>
      <c r="D69" s="1047">
        <f>$AF$1</f>
        <v>196</v>
      </c>
      <c r="E69" s="1048">
        <f>$C$53*$S$44</f>
        <v>0</v>
      </c>
      <c r="F69" s="1050"/>
      <c r="G69" s="1048">
        <f>$D$53*$T$44</f>
        <v>0</v>
      </c>
      <c r="H69" s="1048">
        <f>B69+E69</f>
        <v>16464</v>
      </c>
    </row>
    <row r="70" spans="1:12" x14ac:dyDescent="0.25">
      <c r="E70" s="80"/>
      <c r="F70" s="80"/>
    </row>
    <row r="71" spans="1:12" ht="15.75" x14ac:dyDescent="0.25">
      <c r="B71" s="1191" t="s">
        <v>1015</v>
      </c>
      <c r="C71" s="1783" t="s">
        <v>846</v>
      </c>
      <c r="D71" s="1783"/>
      <c r="E71" s="1783"/>
      <c r="F71" s="1783"/>
      <c r="G71" s="930"/>
      <c r="H71" s="930"/>
    </row>
    <row r="72" spans="1:12" ht="25.5" x14ac:dyDescent="0.25">
      <c r="B72" s="926" t="s">
        <v>250</v>
      </c>
      <c r="C72" s="926">
        <v>10000</v>
      </c>
      <c r="D72" s="927" t="s">
        <v>474</v>
      </c>
      <c r="E72" s="928">
        <f>$S$32*$T$1</f>
        <v>16464</v>
      </c>
      <c r="F72" s="926" t="s">
        <v>239</v>
      </c>
      <c r="G72" s="929">
        <f>(($S$32*$T$1)/$R$1)/C72</f>
        <v>1.8498876404494382</v>
      </c>
      <c r="H72" s="1207"/>
    </row>
    <row r="73" spans="1:12" ht="43.5" customHeight="1" x14ac:dyDescent="0.25">
      <c r="B73" s="926" t="s">
        <v>241</v>
      </c>
      <c r="C73" s="926" t="s">
        <v>242</v>
      </c>
      <c r="D73" s="926" t="s">
        <v>250</v>
      </c>
      <c r="E73" s="926" t="s">
        <v>234</v>
      </c>
      <c r="F73" s="926" t="s">
        <v>243</v>
      </c>
      <c r="G73" s="926" t="s">
        <v>244</v>
      </c>
      <c r="H73" s="926" t="s">
        <v>245</v>
      </c>
    </row>
    <row r="74" spans="1:12" x14ac:dyDescent="0.25">
      <c r="B74" s="1252" t="s">
        <v>829</v>
      </c>
      <c r="C74" s="947" t="s">
        <v>14</v>
      </c>
      <c r="D74" s="1636">
        <v>800</v>
      </c>
      <c r="E74" s="1637">
        <f>$G$72</f>
        <v>1.8498876404494382</v>
      </c>
      <c r="F74" s="1616">
        <v>1</v>
      </c>
      <c r="G74" s="1638">
        <f t="shared" ref="G74:G82" si="17">D74*E74</f>
        <v>1479.9101123595506</v>
      </c>
      <c r="H74" s="1617">
        <f t="shared" ref="H74:H82" si="18">G74*F74</f>
        <v>1479.9101123595506</v>
      </c>
    </row>
    <row r="75" spans="1:12" x14ac:dyDescent="0.25">
      <c r="B75" s="1252" t="s">
        <v>93</v>
      </c>
      <c r="C75" s="947" t="s">
        <v>14</v>
      </c>
      <c r="D75" s="1636">
        <v>35</v>
      </c>
      <c r="E75" s="1637">
        <f t="shared" ref="E75:E83" si="19">$G$72</f>
        <v>1.8498876404494382</v>
      </c>
      <c r="F75" s="1616">
        <v>1</v>
      </c>
      <c r="G75" s="1638">
        <f t="shared" si="17"/>
        <v>64.746067415730337</v>
      </c>
      <c r="H75" s="1617">
        <f t="shared" si="18"/>
        <v>64.746067415730337</v>
      </c>
    </row>
    <row r="76" spans="1:12" x14ac:dyDescent="0.25">
      <c r="B76" s="1252" t="s">
        <v>99</v>
      </c>
      <c r="C76" s="947" t="s">
        <v>14</v>
      </c>
      <c r="D76" s="1636">
        <v>20</v>
      </c>
      <c r="E76" s="1637">
        <f t="shared" si="19"/>
        <v>1.8498876404494382</v>
      </c>
      <c r="F76" s="1616">
        <v>1</v>
      </c>
      <c r="G76" s="1638">
        <f t="shared" si="17"/>
        <v>36.997752808988764</v>
      </c>
      <c r="H76" s="1617">
        <f t="shared" si="18"/>
        <v>36.997752808988764</v>
      </c>
    </row>
    <row r="77" spans="1:12" x14ac:dyDescent="0.25">
      <c r="B77" s="1252" t="s">
        <v>149</v>
      </c>
      <c r="C77" s="947" t="s">
        <v>14</v>
      </c>
      <c r="D77" s="1636">
        <v>120</v>
      </c>
      <c r="E77" s="1637">
        <f t="shared" si="19"/>
        <v>1.8498876404494382</v>
      </c>
      <c r="F77" s="1616">
        <v>1</v>
      </c>
      <c r="G77" s="1638">
        <f t="shared" si="17"/>
        <v>221.98651685393259</v>
      </c>
      <c r="H77" s="1617">
        <f t="shared" si="18"/>
        <v>221.98651685393259</v>
      </c>
    </row>
    <row r="78" spans="1:12" x14ac:dyDescent="0.25">
      <c r="B78" s="1252" t="s">
        <v>146</v>
      </c>
      <c r="C78" s="947" t="s">
        <v>14</v>
      </c>
      <c r="D78" s="1636">
        <v>100</v>
      </c>
      <c r="E78" s="1637">
        <f t="shared" si="19"/>
        <v>1.8498876404494382</v>
      </c>
      <c r="F78" s="1616">
        <v>1</v>
      </c>
      <c r="G78" s="1638">
        <f t="shared" si="17"/>
        <v>184.98876404494382</v>
      </c>
      <c r="H78" s="1617">
        <f t="shared" si="18"/>
        <v>184.98876404494382</v>
      </c>
    </row>
    <row r="79" spans="1:12" x14ac:dyDescent="0.25">
      <c r="B79" s="1252" t="s">
        <v>811</v>
      </c>
      <c r="C79" s="947" t="s">
        <v>14</v>
      </c>
      <c r="D79" s="1636">
        <v>100</v>
      </c>
      <c r="E79" s="1637">
        <f t="shared" si="19"/>
        <v>1.8498876404494382</v>
      </c>
      <c r="F79" s="1616">
        <v>1</v>
      </c>
      <c r="G79" s="1638">
        <f t="shared" si="17"/>
        <v>184.98876404494382</v>
      </c>
      <c r="H79" s="1617">
        <f t="shared" si="18"/>
        <v>184.98876404494382</v>
      </c>
    </row>
    <row r="80" spans="1:12" x14ac:dyDescent="0.25">
      <c r="B80" s="1252" t="s">
        <v>202</v>
      </c>
      <c r="C80" s="947" t="s">
        <v>14</v>
      </c>
      <c r="D80" s="1636">
        <v>300</v>
      </c>
      <c r="E80" s="1637">
        <f t="shared" si="19"/>
        <v>1.8498876404494382</v>
      </c>
      <c r="F80" s="1616">
        <v>1</v>
      </c>
      <c r="G80" s="1638">
        <f t="shared" si="17"/>
        <v>554.96629213483152</v>
      </c>
      <c r="H80" s="1617">
        <f t="shared" si="18"/>
        <v>554.96629213483152</v>
      </c>
    </row>
    <row r="81" spans="2:8" x14ac:dyDescent="0.25">
      <c r="B81" s="1252" t="s">
        <v>229</v>
      </c>
      <c r="C81" s="947" t="s">
        <v>230</v>
      </c>
      <c r="D81" s="1636">
        <v>15</v>
      </c>
      <c r="E81" s="1637">
        <f t="shared" si="19"/>
        <v>1.8498876404494382</v>
      </c>
      <c r="F81" s="1616">
        <v>1</v>
      </c>
      <c r="G81" s="1638">
        <f t="shared" si="17"/>
        <v>27.748314606741573</v>
      </c>
      <c r="H81" s="1617">
        <f t="shared" si="18"/>
        <v>27.748314606741573</v>
      </c>
    </row>
    <row r="82" spans="2:8" x14ac:dyDescent="0.25">
      <c r="B82" s="1252" t="s">
        <v>188</v>
      </c>
      <c r="C82" s="947" t="s">
        <v>14</v>
      </c>
      <c r="D82" s="1636">
        <v>1000</v>
      </c>
      <c r="E82" s="1637">
        <f t="shared" si="19"/>
        <v>1.8498876404494382</v>
      </c>
      <c r="F82" s="1616">
        <v>1</v>
      </c>
      <c r="G82" s="1638">
        <f t="shared" si="17"/>
        <v>1849.8876404494381</v>
      </c>
      <c r="H82" s="1617">
        <f t="shared" si="18"/>
        <v>1849.8876404494381</v>
      </c>
    </row>
    <row r="83" spans="2:8" x14ac:dyDescent="0.25">
      <c r="B83" s="1252" t="s">
        <v>222</v>
      </c>
      <c r="C83" s="947" t="s">
        <v>14</v>
      </c>
      <c r="D83" s="1636">
        <v>500</v>
      </c>
      <c r="E83" s="1637">
        <f t="shared" si="19"/>
        <v>1.8498876404494382</v>
      </c>
      <c r="F83" s="1616">
        <v>1</v>
      </c>
      <c r="G83" s="1638">
        <f>D83*E83</f>
        <v>924.94382022471905</v>
      </c>
      <c r="H83" s="1617">
        <f>G83*F83</f>
        <v>924.94382022471905</v>
      </c>
    </row>
  </sheetData>
  <mergeCells count="10">
    <mergeCell ref="B2:H3"/>
    <mergeCell ref="R25:U25"/>
    <mergeCell ref="R26:U26"/>
    <mergeCell ref="B42:J42"/>
    <mergeCell ref="C71:F71"/>
    <mergeCell ref="C10:F10"/>
    <mergeCell ref="B43:J43"/>
    <mergeCell ref="B58:J58"/>
    <mergeCell ref="B62:H62"/>
    <mergeCell ref="B63:H63"/>
  </mergeCells>
  <printOptions horizontalCentered="1"/>
  <pageMargins left="0.4" right="0.4" top="1" bottom="0.5" header="0.3" footer="0.511811023622047"/>
  <pageSetup paperSize="9" scale="51" orientation="landscape"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E8320-4BB8-417B-95EB-84262B7B50F1}">
  <sheetPr codeName="Sheet97">
    <tabColor theme="6" tint="-0.249977111117893"/>
    <pageSetUpPr fitToPage="1"/>
  </sheetPr>
  <dimension ref="A1:AT104"/>
  <sheetViews>
    <sheetView topLeftCell="A45" zoomScale="85" zoomScaleNormal="85" workbookViewId="0">
      <selection activeCell="H28" sqref="H28:AB29"/>
    </sheetView>
  </sheetViews>
  <sheetFormatPr defaultColWidth="12.5" defaultRowHeight="15" x14ac:dyDescent="0.25"/>
  <cols>
    <col min="1" max="1" width="16.75" style="61" bestFit="1" customWidth="1"/>
    <col min="2" max="2" width="22.625" style="26" bestFit="1" customWidth="1"/>
    <col min="3" max="3" width="16.375" style="14" bestFit="1" customWidth="1"/>
    <col min="4" max="4" width="17.75" style="14" bestFit="1" customWidth="1"/>
    <col min="5" max="5" width="15.375" style="14" bestFit="1" customWidth="1"/>
    <col min="6" max="6" width="23.125" style="14" bestFit="1" customWidth="1"/>
    <col min="7" max="7" width="21.75" style="14" bestFit="1" customWidth="1"/>
    <col min="8" max="8" width="32.875" style="14" bestFit="1" customWidth="1"/>
    <col min="9" max="9" width="16.75" style="14" bestFit="1" customWidth="1"/>
    <col min="10" max="10" width="13.875" style="14" bestFit="1" customWidth="1"/>
    <col min="11" max="11" width="11.125" style="14" bestFit="1" customWidth="1"/>
    <col min="12" max="12" width="8.125" style="14" bestFit="1" customWidth="1"/>
    <col min="13" max="14" width="3.75" style="14" customWidth="1"/>
    <col min="15" max="15" width="9.75" style="14" bestFit="1" customWidth="1"/>
    <col min="16" max="16" width="5.125" style="14" bestFit="1" customWidth="1"/>
    <col min="17" max="17" width="12.25" style="14" bestFit="1" customWidth="1"/>
    <col min="18" max="18" width="38.375" style="14" bestFit="1" customWidth="1"/>
    <col min="19" max="19" width="10" style="14" bestFit="1" customWidth="1"/>
    <col min="20" max="20" width="43.75" style="14" bestFit="1" customWidth="1"/>
    <col min="21" max="21" width="11.25" style="14" bestFit="1" customWidth="1"/>
    <col min="22" max="22" width="12.125" style="14" bestFit="1" customWidth="1"/>
    <col min="23" max="23" width="37.75" style="14" bestFit="1" customWidth="1"/>
    <col min="24" max="24" width="12.5" style="14" customWidth="1"/>
    <col min="25" max="25" width="7.75" style="14" bestFit="1" customWidth="1"/>
    <col min="26" max="26" width="11.25" style="14" bestFit="1" customWidth="1"/>
    <col min="27" max="27" width="11.875" style="14" bestFit="1" customWidth="1"/>
    <col min="28" max="28" width="13.125" style="14" bestFit="1" customWidth="1"/>
    <col min="29" max="29" width="13.5" style="14" bestFit="1" customWidth="1"/>
    <col min="30" max="30" width="15.125" style="14" bestFit="1" customWidth="1"/>
    <col min="31" max="31" width="11.25" style="14" bestFit="1" customWidth="1"/>
    <col min="32" max="32" width="8.5" style="14" bestFit="1" customWidth="1"/>
    <col min="33" max="35" width="4.25" style="14" customWidth="1"/>
    <col min="36" max="36" width="25.5" style="14" bestFit="1" customWidth="1"/>
    <col min="37" max="37" width="6.5" style="14" bestFit="1" customWidth="1"/>
    <col min="38" max="38" width="16.375" style="14" bestFit="1" customWidth="1"/>
    <col min="39" max="39" width="12.625" style="14" bestFit="1" customWidth="1"/>
    <col min="40" max="40" width="11.875" style="14" bestFit="1" customWidth="1"/>
    <col min="41" max="41" width="12.5" style="14"/>
    <col min="42" max="42" width="21" style="14" bestFit="1" customWidth="1"/>
    <col min="43" max="43" width="12.5" style="14"/>
    <col min="44" max="44" width="11.625" style="14" bestFit="1" customWidth="1"/>
    <col min="45" max="45" width="11.125" style="14" bestFit="1" customWidth="1"/>
    <col min="46" max="46" width="6" style="14" bestFit="1" customWidth="1"/>
    <col min="47" max="16384" width="12.5" style="14"/>
  </cols>
  <sheetData>
    <row r="1" spans="1:46" s="168" customFormat="1" ht="38.25" x14ac:dyDescent="0.2">
      <c r="A1" s="865"/>
      <c r="B1" s="852" t="s">
        <v>231</v>
      </c>
      <c r="C1" s="63">
        <v>1000</v>
      </c>
      <c r="D1" s="64" t="s">
        <v>232</v>
      </c>
      <c r="E1" s="84">
        <f>U32</f>
        <v>24910</v>
      </c>
      <c r="F1" s="62" t="s">
        <v>233</v>
      </c>
      <c r="G1" s="84">
        <f>E1/C1</f>
        <v>24.91</v>
      </c>
      <c r="H1" s="62" t="s">
        <v>234</v>
      </c>
      <c r="I1" s="167">
        <f>(G1/K1)</f>
        <v>25.289340101522843</v>
      </c>
      <c r="J1" s="68" t="s">
        <v>235</v>
      </c>
      <c r="K1" s="63">
        <v>0.98499999999999999</v>
      </c>
      <c r="L1" s="73"/>
      <c r="M1" s="70"/>
      <c r="N1" s="71"/>
      <c r="O1" s="72" t="s">
        <v>236</v>
      </c>
      <c r="P1" s="699" t="s">
        <v>298</v>
      </c>
      <c r="Q1" s="475" t="s">
        <v>238</v>
      </c>
      <c r="R1" s="700">
        <v>0.6</v>
      </c>
      <c r="Y1" s="72" t="s">
        <v>444</v>
      </c>
      <c r="Z1" s="422">
        <v>24410</v>
      </c>
      <c r="AA1" s="72" t="s">
        <v>544</v>
      </c>
      <c r="AB1" s="422">
        <v>500</v>
      </c>
      <c r="AC1" s="72" t="s">
        <v>537</v>
      </c>
      <c r="AD1" s="422">
        <v>171</v>
      </c>
      <c r="AF1" s="170"/>
      <c r="AG1" s="73"/>
      <c r="AJ1" s="75" t="s">
        <v>250</v>
      </c>
      <c r="AK1" s="75">
        <v>10000</v>
      </c>
      <c r="AL1" s="318" t="s">
        <v>474</v>
      </c>
      <c r="AM1" s="319">
        <f>$S$32</f>
        <v>24910</v>
      </c>
      <c r="AN1" s="75" t="s">
        <v>239</v>
      </c>
      <c r="AO1" s="212">
        <f>(($S$32)/$R$1)/$AK$1</f>
        <v>4.1516666666666673</v>
      </c>
      <c r="AP1" s="76"/>
    </row>
    <row r="2" spans="1:46" ht="15.75" x14ac:dyDescent="0.25">
      <c r="A2" s="863"/>
      <c r="B2" s="1828" t="s">
        <v>847</v>
      </c>
      <c r="C2" s="1865"/>
      <c r="D2" s="1865"/>
      <c r="E2" s="1865"/>
      <c r="F2" s="1865"/>
      <c r="G2" s="1865"/>
      <c r="H2" s="1865"/>
      <c r="I2" s="78"/>
      <c r="J2" s="78"/>
      <c r="K2" s="78"/>
      <c r="L2" s="78"/>
      <c r="P2" s="80"/>
      <c r="Q2" s="80"/>
      <c r="R2" s="80"/>
      <c r="AC2" s="79"/>
      <c r="AD2" s="79"/>
      <c r="AE2" s="1795"/>
      <c r="AF2" s="1799"/>
      <c r="AG2" s="1799"/>
      <c r="AJ2" s="81"/>
      <c r="AK2" s="81"/>
      <c r="AL2" s="1873" t="s">
        <v>847</v>
      </c>
      <c r="AM2" s="1873"/>
      <c r="AN2" s="82"/>
      <c r="AO2" s="81"/>
      <c r="AP2" s="81"/>
    </row>
    <row r="3" spans="1:46" ht="15.75" x14ac:dyDescent="0.25">
      <c r="A3" s="863"/>
      <c r="B3" s="1796"/>
      <c r="C3" s="1796"/>
      <c r="D3" s="1796"/>
      <c r="E3" s="1796"/>
      <c r="F3" s="1796"/>
      <c r="G3" s="1796"/>
      <c r="H3" s="1796"/>
      <c r="I3" s="78"/>
      <c r="J3" s="78"/>
      <c r="K3" s="78"/>
      <c r="L3" s="78"/>
      <c r="P3" s="80"/>
      <c r="Q3" s="80"/>
      <c r="R3" s="80"/>
      <c r="AC3" s="79"/>
      <c r="AD3" s="79"/>
      <c r="AE3" s="1799"/>
      <c r="AF3" s="1799"/>
      <c r="AG3" s="1799"/>
      <c r="AJ3" s="81"/>
      <c r="AK3" s="81"/>
      <c r="AL3" s="82"/>
      <c r="AM3" s="82"/>
      <c r="AN3" s="82"/>
      <c r="AO3" s="81"/>
      <c r="AP3" s="81"/>
    </row>
    <row r="4" spans="1:46" ht="38.25" x14ac:dyDescent="0.2">
      <c r="A4" s="1350" t="s">
        <v>864</v>
      </c>
      <c r="B4" s="923" t="s">
        <v>241</v>
      </c>
      <c r="C4" s="934" t="s">
        <v>242</v>
      </c>
      <c r="D4" s="923" t="s">
        <v>231</v>
      </c>
      <c r="E4" s="935" t="s">
        <v>234</v>
      </c>
      <c r="F4" s="935" t="s">
        <v>243</v>
      </c>
      <c r="G4" s="923" t="s">
        <v>244</v>
      </c>
      <c r="H4" s="936" t="s">
        <v>245</v>
      </c>
      <c r="I4" s="923" t="s">
        <v>246</v>
      </c>
      <c r="J4" s="923" t="s">
        <v>247</v>
      </c>
      <c r="K4" s="923" t="s">
        <v>248</v>
      </c>
      <c r="L4" s="923" t="s">
        <v>249</v>
      </c>
      <c r="P4" s="80"/>
      <c r="AA4" s="169"/>
      <c r="AB4" s="171"/>
      <c r="AC4" s="169"/>
      <c r="AD4" s="169"/>
      <c r="AE4" s="169"/>
      <c r="AJ4" s="926" t="s">
        <v>241</v>
      </c>
      <c r="AK4" s="1169" t="s">
        <v>242</v>
      </c>
      <c r="AL4" s="926" t="s">
        <v>250</v>
      </c>
      <c r="AM4" s="926" t="s">
        <v>234</v>
      </c>
      <c r="AN4" s="926" t="s">
        <v>243</v>
      </c>
      <c r="AO4" s="926" t="s">
        <v>244</v>
      </c>
      <c r="AP4" s="926" t="s">
        <v>245</v>
      </c>
      <c r="AQ4" s="923" t="s">
        <v>246</v>
      </c>
      <c r="AR4" s="923" t="s">
        <v>247</v>
      </c>
      <c r="AS4" s="923" t="s">
        <v>248</v>
      </c>
      <c r="AT4" s="923" t="s">
        <v>249</v>
      </c>
    </row>
    <row r="5" spans="1:46" ht="25.5" x14ac:dyDescent="0.2">
      <c r="A5" s="1342" t="s">
        <v>901</v>
      </c>
      <c r="B5" s="938" t="s">
        <v>220</v>
      </c>
      <c r="C5" s="947" t="s">
        <v>14</v>
      </c>
      <c r="D5" s="1641">
        <f>1000/R1</f>
        <v>1666.6666666666667</v>
      </c>
      <c r="E5" s="918">
        <f>H52</f>
        <v>24.91</v>
      </c>
      <c r="F5" s="1616">
        <v>1</v>
      </c>
      <c r="G5" s="944">
        <f>D5*E5</f>
        <v>41516.666666666672</v>
      </c>
      <c r="H5" s="1617">
        <f>G5*F5</f>
        <v>41516.666666666672</v>
      </c>
      <c r="I5" s="914">
        <f>VLOOKUP(B5,All_Ingredients!$A$1:$F$161,6,FALSE())</f>
        <v>0.86</v>
      </c>
      <c r="J5" s="940">
        <f>VLOOKUP(B5,All_Ingredients!$A$1:$J$161,10,FALSE())</f>
        <v>17.100000000000001</v>
      </c>
      <c r="K5" s="945">
        <f t="shared" ref="K5" si="0">(H5/I5)/1000</f>
        <v>48.275193798449621</v>
      </c>
      <c r="L5" s="945">
        <f t="shared" ref="L5" si="1">K5*J5</f>
        <v>825.50581395348854</v>
      </c>
      <c r="P5" s="80"/>
      <c r="AA5" s="73"/>
      <c r="AB5" s="89"/>
      <c r="AC5" s="172"/>
      <c r="AD5" s="90"/>
      <c r="AE5" s="91"/>
      <c r="AJ5" s="938" t="s">
        <v>220</v>
      </c>
      <c r="AK5" s="947" t="s">
        <v>227</v>
      </c>
      <c r="AL5" s="1618">
        <v>10</v>
      </c>
      <c r="AM5" s="1621">
        <f>$AO$1</f>
        <v>4.1516666666666673</v>
      </c>
      <c r="AN5" s="1616">
        <v>1</v>
      </c>
      <c r="AO5" s="940">
        <f>AL5*AM5</f>
        <v>41.516666666666673</v>
      </c>
      <c r="AP5" s="1617">
        <f>AN5*AO5</f>
        <v>41.516666666666673</v>
      </c>
      <c r="AQ5" s="952"/>
      <c r="AR5" s="953"/>
      <c r="AS5" s="1020"/>
      <c r="AT5" s="955"/>
    </row>
    <row r="6" spans="1:46" x14ac:dyDescent="0.25">
      <c r="B6" s="192"/>
      <c r="E6" s="80"/>
      <c r="F6" s="80"/>
      <c r="I6" s="61"/>
      <c r="J6" s="192"/>
      <c r="M6" s="80"/>
      <c r="N6" s="80"/>
      <c r="AJ6" s="1642" t="s">
        <v>193</v>
      </c>
      <c r="AK6" s="1643" t="s">
        <v>14</v>
      </c>
      <c r="AL6" s="1644">
        <v>240</v>
      </c>
      <c r="AM6" s="1637">
        <f t="shared" ref="AM6:AM12" si="2">$AO$1</f>
        <v>4.1516666666666673</v>
      </c>
      <c r="AN6" s="1616">
        <v>1</v>
      </c>
      <c r="AO6" s="940">
        <f t="shared" ref="AO6:AO12" si="3">AL6*AM6</f>
        <v>996.40000000000009</v>
      </c>
      <c r="AP6" s="1617">
        <f t="shared" ref="AP6:AP12" si="4">AN6*AO6</f>
        <v>996.40000000000009</v>
      </c>
      <c r="AQ6" s="955">
        <f>VLOOKUP(AJ6,Marination_Ordering!$A:$J,6,FALSE)</f>
        <v>1</v>
      </c>
      <c r="AR6" s="955">
        <f>VLOOKUP(AJ6,Marination_Ordering!$A:$J,10,FALSE)</f>
        <v>37.001287001286997</v>
      </c>
      <c r="AS6" s="1020">
        <f>AP6/AQ6</f>
        <v>996.40000000000009</v>
      </c>
      <c r="AT6" s="955">
        <f>AR6*(AS6/1000)</f>
        <v>36.868082368082369</v>
      </c>
    </row>
    <row r="7" spans="1:46" x14ac:dyDescent="0.25">
      <c r="B7" s="192"/>
      <c r="E7" s="80"/>
      <c r="F7" s="61"/>
      <c r="G7" s="192"/>
      <c r="I7" s="61"/>
      <c r="J7" s="192"/>
      <c r="M7" s="80"/>
      <c r="N7" s="80"/>
      <c r="AJ7" s="1642" t="s">
        <v>196</v>
      </c>
      <c r="AK7" s="1643" t="s">
        <v>14</v>
      </c>
      <c r="AL7" s="1644">
        <v>200</v>
      </c>
      <c r="AM7" s="1637">
        <f t="shared" si="2"/>
        <v>4.1516666666666673</v>
      </c>
      <c r="AN7" s="1616">
        <v>1</v>
      </c>
      <c r="AO7" s="940">
        <f t="shared" si="3"/>
        <v>830.33333333333348</v>
      </c>
      <c r="AP7" s="1617">
        <f t="shared" si="4"/>
        <v>830.33333333333348</v>
      </c>
      <c r="AQ7" s="955">
        <f>VLOOKUP(AJ7,Marination_Ordering!$A:$J,6,FALSE)</f>
        <v>1</v>
      </c>
      <c r="AR7" s="955">
        <f>VLOOKUP(AJ7,Marination_Ordering!$A:$J,10,FALSE)</f>
        <v>14.861111111111111</v>
      </c>
      <c r="AS7" s="1020">
        <f t="shared" ref="AS7:AS12" si="5">AP7/AQ7</f>
        <v>830.33333333333348</v>
      </c>
      <c r="AT7" s="955">
        <f t="shared" ref="AT7:AT12" si="6">AR7*(AS7/1000)</f>
        <v>12.339675925925928</v>
      </c>
    </row>
    <row r="8" spans="1:46" x14ac:dyDescent="0.25">
      <c r="B8" s="192"/>
      <c r="E8" s="80"/>
      <c r="F8" s="61"/>
      <c r="G8" s="192"/>
      <c r="I8" s="61"/>
      <c r="J8" s="192"/>
      <c r="M8" s="80"/>
      <c r="N8" s="80"/>
      <c r="AJ8" s="1642" t="s">
        <v>187</v>
      </c>
      <c r="AK8" s="1643" t="s">
        <v>14</v>
      </c>
      <c r="AL8" s="1644">
        <v>200</v>
      </c>
      <c r="AM8" s="1637">
        <f t="shared" si="2"/>
        <v>4.1516666666666673</v>
      </c>
      <c r="AN8" s="1616">
        <v>1</v>
      </c>
      <c r="AO8" s="940">
        <f t="shared" si="3"/>
        <v>830.33333333333348</v>
      </c>
      <c r="AP8" s="1617">
        <f t="shared" si="4"/>
        <v>830.33333333333348</v>
      </c>
      <c r="AQ8" s="955">
        <f>VLOOKUP(AJ8,Marination_Ordering!$A:$J,6,FALSE)</f>
        <v>0.9</v>
      </c>
      <c r="AR8" s="955">
        <f>VLOOKUP(AJ8,Marination_Ordering!$A:$J,10,FALSE)</f>
        <v>2.3199999999999998</v>
      </c>
      <c r="AS8" s="1020">
        <f t="shared" si="5"/>
        <v>922.59259259259272</v>
      </c>
      <c r="AT8" s="955">
        <f t="shared" si="6"/>
        <v>2.140414814814815</v>
      </c>
    </row>
    <row r="9" spans="1:46" x14ac:dyDescent="0.25">
      <c r="B9" s="192"/>
      <c r="E9" s="80"/>
      <c r="F9" s="61"/>
      <c r="G9" s="26"/>
      <c r="I9" s="61"/>
      <c r="J9" s="26"/>
      <c r="AJ9" s="1642" t="s">
        <v>149</v>
      </c>
      <c r="AK9" s="1643" t="s">
        <v>14</v>
      </c>
      <c r="AL9" s="1644">
        <v>150</v>
      </c>
      <c r="AM9" s="1637">
        <f t="shared" si="2"/>
        <v>4.1516666666666673</v>
      </c>
      <c r="AN9" s="1616">
        <v>1</v>
      </c>
      <c r="AO9" s="940">
        <f t="shared" si="3"/>
        <v>622.75000000000011</v>
      </c>
      <c r="AP9" s="1617">
        <f t="shared" si="4"/>
        <v>622.75000000000011</v>
      </c>
      <c r="AQ9" s="955">
        <f>VLOOKUP(AJ9,Marination_Ordering!$A:$J,6,FALSE)</f>
        <v>1</v>
      </c>
      <c r="AR9" s="955">
        <f>VLOOKUP(AJ9,Marination_Ordering!$A:$J,10,FALSE)</f>
        <v>10</v>
      </c>
      <c r="AS9" s="1020">
        <f t="shared" si="5"/>
        <v>622.75000000000011</v>
      </c>
      <c r="AT9" s="955">
        <f t="shared" si="6"/>
        <v>6.2275000000000009</v>
      </c>
    </row>
    <row r="10" spans="1:46" x14ac:dyDescent="0.25">
      <c r="I10" s="61"/>
      <c r="J10" s="26"/>
      <c r="AJ10" s="1642" t="s">
        <v>54</v>
      </c>
      <c r="AK10" s="1643" t="s">
        <v>14</v>
      </c>
      <c r="AL10" s="1644">
        <v>50</v>
      </c>
      <c r="AM10" s="1637">
        <f t="shared" si="2"/>
        <v>4.1516666666666673</v>
      </c>
      <c r="AN10" s="1616">
        <v>1</v>
      </c>
      <c r="AO10" s="940">
        <f t="shared" si="3"/>
        <v>207.58333333333337</v>
      </c>
      <c r="AP10" s="1617">
        <f t="shared" si="4"/>
        <v>207.58333333333337</v>
      </c>
      <c r="AQ10" s="955">
        <f>VLOOKUP(AJ10,Marination_Ordering!$A:$J,6,FALSE)</f>
        <v>0.87</v>
      </c>
      <c r="AR10" s="955">
        <f>VLOOKUP(AJ10,Marination_Ordering!$A:$J,10,FALSE)</f>
        <v>7</v>
      </c>
      <c r="AS10" s="1020">
        <f t="shared" si="5"/>
        <v>238.60153256704984</v>
      </c>
      <c r="AT10" s="955">
        <f t="shared" si="6"/>
        <v>1.670210727969349</v>
      </c>
    </row>
    <row r="11" spans="1:46" x14ac:dyDescent="0.25">
      <c r="I11" s="61"/>
      <c r="J11" s="26"/>
      <c r="AJ11" s="1642" t="s">
        <v>101</v>
      </c>
      <c r="AK11" s="1643" t="s">
        <v>14</v>
      </c>
      <c r="AL11" s="1644">
        <v>15</v>
      </c>
      <c r="AM11" s="1637">
        <f t="shared" si="2"/>
        <v>4.1516666666666673</v>
      </c>
      <c r="AN11" s="1616">
        <v>1</v>
      </c>
      <c r="AO11" s="940">
        <f t="shared" si="3"/>
        <v>62.275000000000006</v>
      </c>
      <c r="AP11" s="1617">
        <f t="shared" si="4"/>
        <v>62.275000000000006</v>
      </c>
      <c r="AQ11" s="955">
        <f>VLOOKUP(AJ11,Marination_Ordering!$A:$J,6,FALSE)</f>
        <v>1</v>
      </c>
      <c r="AR11" s="955">
        <f>VLOOKUP(AJ11,Marination_Ordering!$A:$J,10,FALSE)</f>
        <v>47</v>
      </c>
      <c r="AS11" s="1020">
        <f t="shared" si="5"/>
        <v>62.275000000000006</v>
      </c>
      <c r="AT11" s="955">
        <f t="shared" si="6"/>
        <v>2.9269250000000002</v>
      </c>
    </row>
    <row r="12" spans="1:46" x14ac:dyDescent="0.25">
      <c r="I12" s="61"/>
      <c r="J12" s="26"/>
      <c r="AJ12" s="1642" t="s">
        <v>203</v>
      </c>
      <c r="AK12" s="1643" t="s">
        <v>14</v>
      </c>
      <c r="AL12" s="1644">
        <v>400</v>
      </c>
      <c r="AM12" s="1637">
        <f t="shared" si="2"/>
        <v>4.1516666666666673</v>
      </c>
      <c r="AN12" s="1616">
        <v>1</v>
      </c>
      <c r="AO12" s="940">
        <f t="shared" si="3"/>
        <v>1660.666666666667</v>
      </c>
      <c r="AP12" s="1617">
        <f t="shared" si="4"/>
        <v>1660.666666666667</v>
      </c>
      <c r="AQ12" s="955">
        <f>VLOOKUP(AJ12,Marination_Ordering!$A:$J,6,FALSE)</f>
        <v>1</v>
      </c>
      <c r="AR12" s="955">
        <f>VLOOKUP(AJ12,Marination_Ordering!$A:$J,10,FALSE)</f>
        <v>0</v>
      </c>
      <c r="AS12" s="1020">
        <f t="shared" si="5"/>
        <v>1660.666666666667</v>
      </c>
      <c r="AT12" s="955">
        <f t="shared" si="6"/>
        <v>0</v>
      </c>
    </row>
    <row r="25" spans="18:32" ht="15.75" x14ac:dyDescent="0.25">
      <c r="R25" s="1885" t="s">
        <v>847</v>
      </c>
      <c r="S25" s="1850"/>
      <c r="T25" s="1850"/>
      <c r="U25" s="1850"/>
      <c r="V25" s="553"/>
      <c r="Z25" s="96" t="s">
        <v>252</v>
      </c>
      <c r="AA25" s="97">
        <v>1</v>
      </c>
      <c r="AB25" s="96" t="s">
        <v>249</v>
      </c>
      <c r="AC25" s="98">
        <f>(AA25*AF30)+(AA30*(AB28/R1))</f>
        <v>3.5704079598164636E-2</v>
      </c>
    </row>
    <row r="26" spans="18:32" ht="15.75" x14ac:dyDescent="0.25">
      <c r="R26" s="1891" t="s">
        <v>291</v>
      </c>
      <c r="S26" s="1867"/>
      <c r="T26" s="1867"/>
      <c r="U26" s="1867"/>
      <c r="V26" s="553"/>
    </row>
    <row r="27" spans="18:32" ht="15.75" thickBot="1" x14ac:dyDescent="0.3">
      <c r="R27" s="100" t="s">
        <v>254</v>
      </c>
      <c r="S27" s="101" t="s">
        <v>255</v>
      </c>
      <c r="T27" s="101" t="s">
        <v>311</v>
      </c>
      <c r="U27" s="101" t="s">
        <v>257</v>
      </c>
      <c r="V27" s="101" t="s">
        <v>746</v>
      </c>
      <c r="W27" s="101" t="s">
        <v>753</v>
      </c>
      <c r="Z27" s="96" t="s">
        <v>258</v>
      </c>
      <c r="AA27" s="580" t="s">
        <v>311</v>
      </c>
      <c r="AB27" s="102" t="s">
        <v>259</v>
      </c>
      <c r="AC27" s="102" t="s">
        <v>260</v>
      </c>
      <c r="AD27" s="102" t="s">
        <v>261</v>
      </c>
      <c r="AE27" s="581" t="s">
        <v>753</v>
      </c>
      <c r="AF27" s="102" t="s">
        <v>262</v>
      </c>
    </row>
    <row r="28" spans="18:32" ht="15.75" thickBot="1" x14ac:dyDescent="0.3">
      <c r="R28" s="103" t="s">
        <v>263</v>
      </c>
      <c r="S28" s="665">
        <f>$Z$1</f>
        <v>24410</v>
      </c>
      <c r="T28" s="682"/>
      <c r="U28" s="658">
        <f>S28</f>
        <v>24410</v>
      </c>
      <c r="V28" s="104">
        <f>SUM(AP5:AP13)</f>
        <v>5251.8583333333345</v>
      </c>
      <c r="W28" s="104">
        <f>SUM(H37:H38)</f>
        <v>171</v>
      </c>
      <c r="Z28" s="105"/>
      <c r="AA28" s="582"/>
      <c r="AB28" s="586">
        <f>AA25*$S$40</f>
        <v>1</v>
      </c>
      <c r="AC28" s="106"/>
      <c r="AD28" s="107"/>
      <c r="AE28" s="582"/>
      <c r="AF28" s="108">
        <f>SUM(AB28:AD28)</f>
        <v>1</v>
      </c>
    </row>
    <row r="29" spans="18:32" ht="15.75" thickBot="1" x14ac:dyDescent="0.3">
      <c r="R29" s="103" t="s">
        <v>264</v>
      </c>
      <c r="S29" s="684"/>
      <c r="T29" s="104"/>
      <c r="U29" s="682">
        <f>T29</f>
        <v>0</v>
      </c>
      <c r="V29" s="104"/>
      <c r="W29" s="104"/>
      <c r="Z29" s="105"/>
      <c r="AA29" s="583"/>
      <c r="AB29" s="110">
        <f>AB28/$AF$28</f>
        <v>1</v>
      </c>
      <c r="AC29" s="110">
        <v>0</v>
      </c>
      <c r="AD29" s="110">
        <v>0</v>
      </c>
      <c r="AE29" s="583"/>
      <c r="AF29" s="110">
        <f>AF28/$AF$28</f>
        <v>1</v>
      </c>
    </row>
    <row r="30" spans="18:32" ht="15.75" thickBot="1" x14ac:dyDescent="0.3">
      <c r="R30" s="103" t="s">
        <v>265</v>
      </c>
      <c r="S30" s="684">
        <f>$AB$1</f>
        <v>500</v>
      </c>
      <c r="T30" s="682"/>
      <c r="U30" s="684">
        <f>S30</f>
        <v>500</v>
      </c>
      <c r="V30" s="547"/>
      <c r="W30" s="547"/>
      <c r="Z30" s="96" t="s">
        <v>266</v>
      </c>
      <c r="AA30" s="584">
        <f>V35/(S32/R1)</f>
        <v>1.4975385508661371E-3</v>
      </c>
      <c r="AB30" s="111">
        <f>S35/(S32)</f>
        <v>3.3139534883720935E-2</v>
      </c>
      <c r="AC30" s="112"/>
      <c r="AD30" s="112"/>
      <c r="AE30" s="585">
        <f>W35/U32</f>
        <v>6.8647129666800485E-5</v>
      </c>
      <c r="AF30" s="587">
        <f>SUMPRODUCT(AB30:AD30,AB29:AD29)+AE30</f>
        <v>3.3208182013387738E-2</v>
      </c>
    </row>
    <row r="31" spans="18:32" ht="15.75" thickBot="1" x14ac:dyDescent="0.3">
      <c r="R31" s="103" t="s">
        <v>267</v>
      </c>
      <c r="S31" s="109"/>
      <c r="T31" s="104"/>
      <c r="U31" s="104">
        <f>T31</f>
        <v>0</v>
      </c>
      <c r="V31" s="104"/>
      <c r="W31" s="104"/>
    </row>
    <row r="32" spans="18:32" ht="15.75" thickBot="1" x14ac:dyDescent="0.3">
      <c r="R32" s="114" t="s">
        <v>257</v>
      </c>
      <c r="S32" s="104">
        <f>S28+S30</f>
        <v>24910</v>
      </c>
      <c r="T32" s="104"/>
      <c r="U32" s="104">
        <f>S32</f>
        <v>24910</v>
      </c>
      <c r="V32" s="104"/>
      <c r="W32" s="104">
        <f>SUM(W28:W30)</f>
        <v>171</v>
      </c>
    </row>
    <row r="33" spans="2:23" ht="15.75" thickBot="1" x14ac:dyDescent="0.3">
      <c r="R33" s="115" t="s">
        <v>268</v>
      </c>
      <c r="S33" s="109"/>
      <c r="T33" s="109"/>
      <c r="U33" s="109"/>
      <c r="V33" s="109"/>
      <c r="W33" s="109"/>
    </row>
    <row r="34" spans="2:23" ht="15.75" thickBot="1" x14ac:dyDescent="0.3">
      <c r="R34" s="116" t="s">
        <v>269</v>
      </c>
      <c r="S34" s="109"/>
      <c r="T34" s="104"/>
      <c r="U34" s="109"/>
      <c r="V34" s="109"/>
      <c r="W34" s="109"/>
    </row>
    <row r="35" spans="2:23" ht="16.5" thickBot="1" x14ac:dyDescent="0.3">
      <c r="B35" s="1892" t="s">
        <v>848</v>
      </c>
      <c r="C35" s="1892"/>
      <c r="D35" s="1892"/>
      <c r="E35" s="1892"/>
      <c r="F35" s="1892"/>
      <c r="G35" s="444"/>
      <c r="H35" s="444"/>
      <c r="I35" s="444"/>
      <c r="J35" s="444"/>
      <c r="K35" s="444"/>
      <c r="L35" s="444"/>
      <c r="R35" s="117" t="s">
        <v>249</v>
      </c>
      <c r="S35" s="548">
        <f>$L$5</f>
        <v>825.50581395348854</v>
      </c>
      <c r="T35" s="548"/>
      <c r="U35" s="548">
        <f>S35+T35+V35+W35</f>
        <v>889.38862279028103</v>
      </c>
      <c r="V35" s="548">
        <f>SUM(AT6:AT20)</f>
        <v>62.172808836792463</v>
      </c>
      <c r="W35" s="589">
        <f>SUM(L37:L38)</f>
        <v>1.7100000000000002</v>
      </c>
    </row>
    <row r="36" spans="2:23" ht="47.25" x14ac:dyDescent="0.25">
      <c r="B36" s="1004" t="s">
        <v>241</v>
      </c>
      <c r="C36" s="1004" t="s">
        <v>316</v>
      </c>
      <c r="D36" s="1002" t="s">
        <v>610</v>
      </c>
      <c r="E36" s="1003" t="s">
        <v>611</v>
      </c>
      <c r="F36" s="1002" t="s">
        <v>612</v>
      </c>
      <c r="G36" s="1001"/>
      <c r="H36" s="427" t="s">
        <v>612</v>
      </c>
      <c r="I36" s="427" t="s">
        <v>246</v>
      </c>
      <c r="J36" s="427" t="s">
        <v>247</v>
      </c>
      <c r="K36" s="427" t="s">
        <v>248</v>
      </c>
      <c r="L36" s="427" t="s">
        <v>249</v>
      </c>
    </row>
    <row r="37" spans="2:23" x14ac:dyDescent="0.25">
      <c r="B37" s="1006" t="s">
        <v>849</v>
      </c>
      <c r="C37" s="1006" t="s">
        <v>14</v>
      </c>
      <c r="D37" s="1645">
        <v>1</v>
      </c>
      <c r="E37" s="1005">
        <f>$AD$1</f>
        <v>171</v>
      </c>
      <c r="F37" s="1005">
        <f>D37*E37</f>
        <v>171</v>
      </c>
      <c r="G37"/>
      <c r="H37" s="425">
        <f>F37</f>
        <v>171</v>
      </c>
      <c r="I37" s="425">
        <f>VLOOKUP(B37,All_Ingredients!$A$1:$F$161,6,FALSE())</f>
        <v>1</v>
      </c>
      <c r="J37" s="425">
        <f>VLOOKUP(B37,All_Ingredients!$A$1:$J$161,10,FALSE())</f>
        <v>10</v>
      </c>
      <c r="K37" s="425">
        <f t="shared" ref="K37" si="7">(H37/I37)/1000</f>
        <v>0.17100000000000001</v>
      </c>
      <c r="L37" s="425">
        <f t="shared" ref="L37" si="8">K37*J37</f>
        <v>1.7100000000000002</v>
      </c>
    </row>
    <row r="40" spans="2:23" x14ac:dyDescent="0.25">
      <c r="R40" s="119" t="s">
        <v>270</v>
      </c>
      <c r="S40" s="163">
        <v>1</v>
      </c>
      <c r="T40" s="119" t="s">
        <v>271</v>
      </c>
      <c r="U40" s="163">
        <v>0</v>
      </c>
      <c r="V40" s="122">
        <f>S40+U40</f>
        <v>1</v>
      </c>
    </row>
    <row r="41" spans="2:23" x14ac:dyDescent="0.25">
      <c r="U41" s="123"/>
    </row>
    <row r="43" spans="2:23" x14ac:dyDescent="0.25">
      <c r="Q43" s="124" t="s">
        <v>272</v>
      </c>
      <c r="R43" s="124" t="s">
        <v>273</v>
      </c>
      <c r="S43" s="124" t="s">
        <v>274</v>
      </c>
      <c r="T43" s="124" t="s">
        <v>275</v>
      </c>
      <c r="U43" s="124" t="s">
        <v>276</v>
      </c>
      <c r="V43" s="124" t="s">
        <v>277</v>
      </c>
      <c r="W43" s="174" t="s">
        <v>278</v>
      </c>
    </row>
    <row r="44" spans="2:23" x14ac:dyDescent="0.25">
      <c r="Q44" s="126">
        <v>10000</v>
      </c>
      <c r="R44" s="127">
        <f>D51</f>
        <v>10000</v>
      </c>
      <c r="S44" s="128">
        <v>0</v>
      </c>
      <c r="T44" s="128">
        <v>0</v>
      </c>
      <c r="U44" s="165">
        <f>R44*S44</f>
        <v>0</v>
      </c>
      <c r="V44" s="129">
        <f>R44*T44</f>
        <v>0</v>
      </c>
      <c r="W44" s="175">
        <f>Q44-U44</f>
        <v>10000</v>
      </c>
    </row>
    <row r="50" spans="1:10" x14ac:dyDescent="0.25">
      <c r="B50" s="858"/>
      <c r="C50" s="100" t="s">
        <v>233</v>
      </c>
      <c r="D50" s="100" t="s">
        <v>279</v>
      </c>
      <c r="E50" s="135"/>
      <c r="F50" s="80"/>
      <c r="G50" s="100" t="s">
        <v>280</v>
      </c>
      <c r="H50" s="100" t="s">
        <v>233</v>
      </c>
      <c r="I50" s="100" t="s">
        <v>281</v>
      </c>
      <c r="J50" s="100" t="s">
        <v>282</v>
      </c>
    </row>
    <row r="51" spans="1:10" x14ac:dyDescent="0.25">
      <c r="B51" s="844" t="s">
        <v>283</v>
      </c>
      <c r="C51" s="133">
        <f>10/$K$1</f>
        <v>10.152284263959391</v>
      </c>
      <c r="D51" s="134">
        <f>$C$1*10</f>
        <v>10000</v>
      </c>
      <c r="E51" s="135"/>
      <c r="F51" s="80"/>
      <c r="G51" s="132" t="s">
        <v>283</v>
      </c>
      <c r="H51" s="182">
        <v>10</v>
      </c>
      <c r="I51" s="133">
        <f>J51/$R$1</f>
        <v>16666.666666666668</v>
      </c>
      <c r="J51" s="133">
        <f>$W$44</f>
        <v>10000</v>
      </c>
    </row>
    <row r="52" spans="1:10" x14ac:dyDescent="0.25">
      <c r="B52" s="846" t="s">
        <v>262</v>
      </c>
      <c r="C52" s="156">
        <f>$I$1</f>
        <v>25.289340101522843</v>
      </c>
      <c r="D52" s="157">
        <f>$E$1</f>
        <v>24910</v>
      </c>
      <c r="E52" s="80"/>
      <c r="F52" s="80"/>
      <c r="G52" s="103" t="s">
        <v>262</v>
      </c>
      <c r="H52" s="145">
        <f>I52/$D$5</f>
        <v>24.91</v>
      </c>
      <c r="I52" s="129">
        <f>J52/$R$1</f>
        <v>41516.666666666672</v>
      </c>
      <c r="J52" s="136">
        <f>$S$32</f>
        <v>24910</v>
      </c>
    </row>
    <row r="53" spans="1:10" x14ac:dyDescent="0.25">
      <c r="B53" s="846" t="s">
        <v>284</v>
      </c>
      <c r="C53" s="158">
        <f>MIN(C52, C51)</f>
        <v>10.152284263959391</v>
      </c>
      <c r="D53" s="157">
        <f>(C53*$K$1)*$C$1</f>
        <v>10000</v>
      </c>
      <c r="E53" s="80"/>
      <c r="F53" s="80"/>
      <c r="G53" s="103" t="s">
        <v>284</v>
      </c>
      <c r="H53" s="139">
        <f>MIN(H52,H51)</f>
        <v>10</v>
      </c>
      <c r="I53" s="129">
        <f>J53/$R$1</f>
        <v>16666.666666666668</v>
      </c>
      <c r="J53" s="129">
        <f>MIN(J52,J51)</f>
        <v>10000</v>
      </c>
    </row>
    <row r="54" spans="1:10" x14ac:dyDescent="0.25">
      <c r="B54" s="846" t="s">
        <v>285</v>
      </c>
      <c r="C54" s="158">
        <f>MIN(MAX(C52-C53,0),C51)</f>
        <v>10.152284263959391</v>
      </c>
      <c r="D54" s="157">
        <f>(C54*$K$1)*$C$1</f>
        <v>10000</v>
      </c>
      <c r="E54" s="80"/>
      <c r="F54" s="80"/>
      <c r="G54" s="103" t="s">
        <v>285</v>
      </c>
      <c r="H54" s="139">
        <f>MIN(MAX(H52-H53),H51)</f>
        <v>10</v>
      </c>
      <c r="I54" s="129">
        <f>J54/$R$1</f>
        <v>16666.666666666668</v>
      </c>
      <c r="J54" s="129">
        <f>MIN(MAX(J52-J53),J51)</f>
        <v>10000</v>
      </c>
    </row>
    <row r="55" spans="1:10" x14ac:dyDescent="0.25">
      <c r="B55" s="846" t="s">
        <v>286</v>
      </c>
      <c r="C55" s="158">
        <f>MIN(MAX(C52-C53-C54,0),C51)</f>
        <v>4.9847715736040605</v>
      </c>
      <c r="D55" s="157">
        <f>(C55*$K$1)*$C$1</f>
        <v>4909.9999999999991</v>
      </c>
      <c r="E55" s="80"/>
      <c r="F55" s="80"/>
      <c r="G55" s="100" t="s">
        <v>286</v>
      </c>
      <c r="H55" s="139">
        <f>MIN(MAX(H52-H53-H54),H51)</f>
        <v>4.91</v>
      </c>
      <c r="I55" s="129">
        <f>J55/$R$1</f>
        <v>8183.3333333333339</v>
      </c>
      <c r="J55" s="129">
        <f>MIN(MAX(J52-J53-J54),J51)</f>
        <v>4910</v>
      </c>
    </row>
    <row r="62" spans="1:10" x14ac:dyDescent="0.25">
      <c r="A62" s="867"/>
      <c r="B62" s="1804" t="s">
        <v>847</v>
      </c>
      <c r="C62" s="1804"/>
      <c r="D62" s="1804"/>
      <c r="E62" s="1804"/>
      <c r="F62" s="1804"/>
      <c r="G62" s="1804"/>
      <c r="H62" s="1804"/>
    </row>
    <row r="63" spans="1:10" x14ac:dyDescent="0.25">
      <c r="A63" s="867"/>
      <c r="B63" s="1804"/>
      <c r="C63" s="1804"/>
      <c r="D63" s="1804"/>
      <c r="E63" s="1804"/>
      <c r="F63" s="1804"/>
      <c r="G63" s="1804"/>
      <c r="H63" s="1804"/>
    </row>
    <row r="64" spans="1:10" ht="38.25" x14ac:dyDescent="0.2">
      <c r="A64" s="1350" t="s">
        <v>864</v>
      </c>
      <c r="B64" s="923" t="s">
        <v>241</v>
      </c>
      <c r="C64" s="934" t="s">
        <v>242</v>
      </c>
      <c r="D64" s="923" t="s">
        <v>231</v>
      </c>
      <c r="E64" s="935" t="s">
        <v>234</v>
      </c>
      <c r="F64" s="935" t="s">
        <v>243</v>
      </c>
      <c r="G64" s="923" t="s">
        <v>244</v>
      </c>
      <c r="H64" s="936" t="s">
        <v>245</v>
      </c>
    </row>
    <row r="65" spans="1:10" ht="30" x14ac:dyDescent="0.25">
      <c r="A65" s="1168" t="s">
        <v>901</v>
      </c>
      <c r="B65" s="1118" t="str">
        <f>B5</f>
        <v>Chicken - دجاج</v>
      </c>
      <c r="C65" s="947" t="str">
        <f>C5</f>
        <v>gm</v>
      </c>
      <c r="D65" s="1615">
        <f>D5</f>
        <v>1666.6666666666667</v>
      </c>
      <c r="E65" s="1646">
        <f>H52</f>
        <v>24.91</v>
      </c>
      <c r="F65" s="1616">
        <f>F5</f>
        <v>1</v>
      </c>
      <c r="G65" s="940">
        <f>D65*E65</f>
        <v>41516.666666666672</v>
      </c>
      <c r="H65" s="1617">
        <f>G65*F65</f>
        <v>41516.666666666672</v>
      </c>
    </row>
    <row r="66" spans="1:10" ht="15.75" x14ac:dyDescent="0.25">
      <c r="B66" s="1622" t="s">
        <v>287</v>
      </c>
      <c r="C66" s="307"/>
      <c r="D66" s="308"/>
      <c r="E66" s="309"/>
      <c r="F66" s="310"/>
      <c r="G66" s="311"/>
      <c r="H66" s="1634"/>
    </row>
    <row r="67" spans="1:10" ht="20.25" x14ac:dyDescent="0.3">
      <c r="A67" s="886"/>
      <c r="B67" s="1048">
        <f>$J$52</f>
        <v>24910</v>
      </c>
      <c r="C67" s="262"/>
      <c r="D67" s="263"/>
      <c r="E67" s="262"/>
      <c r="F67" s="263"/>
      <c r="G67" s="262"/>
      <c r="H67" s="264"/>
    </row>
    <row r="68" spans="1:10" x14ac:dyDescent="0.25">
      <c r="B68" s="450"/>
      <c r="C68" s="89"/>
      <c r="D68" s="172"/>
      <c r="E68" s="90"/>
      <c r="F68" s="91"/>
      <c r="G68" s="92"/>
      <c r="H68" s="93"/>
    </row>
    <row r="69" spans="1:10" x14ac:dyDescent="0.25">
      <c r="B69" s="450"/>
      <c r="C69" s="89"/>
      <c r="D69" s="172"/>
      <c r="E69" s="90"/>
      <c r="F69" s="91"/>
      <c r="G69" s="92"/>
      <c r="H69" s="93"/>
    </row>
    <row r="70" spans="1:10" x14ac:dyDescent="0.25">
      <c r="B70" s="450"/>
      <c r="C70" s="89"/>
      <c r="D70" s="172"/>
      <c r="E70" s="90"/>
      <c r="F70" s="91"/>
      <c r="G70" s="92"/>
      <c r="H70" s="93"/>
    </row>
    <row r="71" spans="1:10" x14ac:dyDescent="0.25">
      <c r="B71" s="450"/>
      <c r="C71" s="89"/>
      <c r="D71" s="172"/>
      <c r="E71" s="90"/>
      <c r="F71" s="91"/>
      <c r="G71" s="92"/>
      <c r="H71" s="93"/>
    </row>
    <row r="72" spans="1:10" x14ac:dyDescent="0.25">
      <c r="B72" s="450"/>
      <c r="C72" s="89"/>
      <c r="D72" s="172"/>
      <c r="E72" s="90"/>
      <c r="F72" s="91"/>
      <c r="G72" s="92"/>
      <c r="H72" s="93"/>
    </row>
    <row r="73" spans="1:10" x14ac:dyDescent="0.25">
      <c r="B73" s="450"/>
      <c r="C73" s="89"/>
      <c r="D73" s="172"/>
      <c r="E73" s="90"/>
      <c r="F73" s="91"/>
      <c r="G73" s="92"/>
      <c r="H73" s="93"/>
    </row>
    <row r="74" spans="1:10" x14ac:dyDescent="0.25">
      <c r="B74" s="450"/>
      <c r="C74" s="89"/>
      <c r="D74" s="172"/>
      <c r="E74" s="90"/>
      <c r="F74" s="91"/>
      <c r="G74" s="92"/>
      <c r="H74" s="93"/>
    </row>
    <row r="75" spans="1:10" x14ac:dyDescent="0.25">
      <c r="B75" s="450"/>
      <c r="C75" s="89"/>
      <c r="D75" s="172"/>
      <c r="E75" s="90"/>
      <c r="F75" s="91"/>
      <c r="G75" s="92"/>
      <c r="H75" s="93"/>
    </row>
    <row r="76" spans="1:10" ht="20.25" x14ac:dyDescent="0.3">
      <c r="B76" s="450"/>
      <c r="C76" s="89"/>
      <c r="D76" s="172"/>
      <c r="E76" s="90"/>
      <c r="F76" s="91"/>
      <c r="G76" s="92"/>
      <c r="H76" s="93"/>
      <c r="I76" s="142"/>
      <c r="J76" s="141"/>
    </row>
    <row r="77" spans="1:10" x14ac:dyDescent="0.25">
      <c r="B77" s="450"/>
      <c r="C77" s="89"/>
      <c r="D77" s="172"/>
      <c r="E77" s="90"/>
      <c r="F77" s="91"/>
      <c r="G77" s="92"/>
      <c r="H77" s="93"/>
    </row>
    <row r="78" spans="1:10" x14ac:dyDescent="0.25">
      <c r="B78" s="450"/>
      <c r="C78" s="89"/>
      <c r="D78" s="172"/>
      <c r="E78" s="90"/>
      <c r="F78" s="91"/>
      <c r="G78" s="92"/>
      <c r="H78" s="93"/>
    </row>
    <row r="79" spans="1:10" x14ac:dyDescent="0.25">
      <c r="B79" s="450"/>
      <c r="C79" s="89"/>
      <c r="D79" s="172"/>
      <c r="E79" s="90"/>
      <c r="F79" s="91"/>
      <c r="G79" s="92"/>
      <c r="H79" s="93"/>
    </row>
    <row r="80" spans="1:10" x14ac:dyDescent="0.25">
      <c r="B80" s="450"/>
      <c r="C80" s="89"/>
      <c r="D80" s="172"/>
      <c r="E80" s="90"/>
      <c r="F80" s="91"/>
      <c r="G80" s="92"/>
      <c r="H80" s="93"/>
    </row>
    <row r="81" spans="1:8" ht="20.25" x14ac:dyDescent="0.3">
      <c r="H81" s="141"/>
    </row>
    <row r="82" spans="1:8" x14ac:dyDescent="0.25">
      <c r="B82" s="80"/>
      <c r="C82" s="143"/>
      <c r="D82" s="144"/>
      <c r="E82" s="80"/>
      <c r="F82" s="80"/>
    </row>
    <row r="83" spans="1:8" x14ac:dyDescent="0.25">
      <c r="B83" s="192"/>
      <c r="E83" s="80"/>
      <c r="F83" s="80"/>
    </row>
    <row r="84" spans="1:8" x14ac:dyDescent="0.25">
      <c r="B84" s="192"/>
      <c r="C84" s="80"/>
      <c r="D84" s="80"/>
      <c r="E84" s="80"/>
      <c r="F84" s="80"/>
      <c r="G84" s="80"/>
      <c r="H84" s="80"/>
    </row>
    <row r="85" spans="1:8" x14ac:dyDescent="0.25">
      <c r="B85" s="192"/>
      <c r="C85" s="80"/>
      <c r="D85" s="80"/>
      <c r="E85" s="80"/>
      <c r="F85" s="80"/>
      <c r="G85" s="80"/>
      <c r="H85" s="80"/>
    </row>
    <row r="86" spans="1:8" ht="18" x14ac:dyDescent="0.25">
      <c r="B86" s="1803"/>
      <c r="C86" s="1799"/>
      <c r="D86" s="1799"/>
      <c r="E86" s="1799"/>
      <c r="F86" s="1799"/>
      <c r="G86" s="1799"/>
      <c r="H86" s="1799"/>
    </row>
    <row r="87" spans="1:8" ht="18" x14ac:dyDescent="0.25">
      <c r="B87" s="1803"/>
      <c r="C87" s="1796"/>
      <c r="D87" s="1796"/>
      <c r="E87" s="1796"/>
      <c r="F87" s="1796"/>
      <c r="G87" s="1796"/>
      <c r="H87" s="1796"/>
    </row>
    <row r="88" spans="1:8" x14ac:dyDescent="0.2">
      <c r="A88" s="876"/>
      <c r="B88" s="235"/>
      <c r="C88" s="227"/>
      <c r="D88" s="235"/>
      <c r="E88" s="235"/>
      <c r="F88" s="235"/>
      <c r="G88" s="235"/>
      <c r="H88" s="226"/>
    </row>
    <row r="89" spans="1:8" x14ac:dyDescent="0.25">
      <c r="B89" s="450"/>
      <c r="C89" s="73"/>
      <c r="D89" s="92"/>
      <c r="E89" s="90"/>
      <c r="F89" s="91"/>
      <c r="G89" s="92"/>
      <c r="H89" s="93"/>
    </row>
    <row r="90" spans="1:8" x14ac:dyDescent="0.25">
      <c r="B90" s="450"/>
      <c r="C90" s="73"/>
      <c r="D90" s="73"/>
      <c r="E90" s="90"/>
      <c r="F90" s="91"/>
      <c r="G90" s="92"/>
      <c r="H90" s="93"/>
    </row>
    <row r="91" spans="1:8" x14ac:dyDescent="0.25">
      <c r="B91" s="450"/>
      <c r="C91" s="73"/>
      <c r="D91" s="73"/>
      <c r="E91" s="90"/>
      <c r="F91" s="91"/>
      <c r="G91" s="92"/>
      <c r="H91" s="93"/>
    </row>
    <row r="92" spans="1:8" x14ac:dyDescent="0.25">
      <c r="B92" s="450"/>
      <c r="C92" s="73"/>
      <c r="D92" s="73"/>
      <c r="E92" s="90"/>
      <c r="F92" s="91"/>
      <c r="G92" s="92"/>
      <c r="H92" s="93"/>
    </row>
    <row r="93" spans="1:8" x14ac:dyDescent="0.25">
      <c r="B93" s="450"/>
      <c r="C93" s="73"/>
      <c r="D93" s="73"/>
      <c r="E93" s="90"/>
      <c r="F93" s="91"/>
      <c r="G93" s="92"/>
      <c r="H93" s="93"/>
    </row>
    <row r="94" spans="1:8" x14ac:dyDescent="0.25">
      <c r="B94" s="450"/>
      <c r="C94" s="73"/>
      <c r="D94" s="73"/>
      <c r="E94" s="90"/>
      <c r="F94" s="91"/>
      <c r="G94" s="92"/>
      <c r="H94" s="93"/>
    </row>
    <row r="95" spans="1:8" x14ac:dyDescent="0.25">
      <c r="B95" s="450"/>
      <c r="C95" s="73"/>
      <c r="D95" s="73"/>
      <c r="E95" s="90"/>
      <c r="F95" s="91"/>
      <c r="G95" s="92"/>
      <c r="H95" s="93"/>
    </row>
    <row r="96" spans="1:8" x14ac:dyDescent="0.25">
      <c r="B96" s="450"/>
      <c r="C96" s="73"/>
      <c r="D96" s="73"/>
      <c r="E96" s="90"/>
      <c r="F96" s="91"/>
      <c r="G96" s="92"/>
      <c r="H96" s="93"/>
    </row>
    <row r="97" spans="2:8" x14ac:dyDescent="0.25">
      <c r="B97" s="450"/>
      <c r="C97" s="73"/>
      <c r="D97" s="73"/>
      <c r="E97" s="90"/>
      <c r="F97" s="91"/>
      <c r="G97" s="92"/>
      <c r="H97" s="93"/>
    </row>
    <row r="98" spans="2:8" x14ac:dyDescent="0.25">
      <c r="B98" s="450"/>
      <c r="C98" s="73"/>
      <c r="D98" s="73"/>
      <c r="E98" s="90"/>
      <c r="F98" s="91"/>
      <c r="G98" s="92"/>
      <c r="H98" s="93"/>
    </row>
    <row r="99" spans="2:8" x14ac:dyDescent="0.25">
      <c r="B99" s="450"/>
      <c r="C99" s="73"/>
      <c r="D99" s="73"/>
      <c r="E99" s="90"/>
      <c r="F99" s="91"/>
      <c r="G99" s="92"/>
      <c r="H99" s="93"/>
    </row>
    <row r="100" spans="2:8" x14ac:dyDescent="0.25">
      <c r="B100" s="450"/>
      <c r="C100" s="73"/>
      <c r="D100" s="73"/>
      <c r="E100" s="90"/>
      <c r="F100" s="91"/>
      <c r="G100" s="92"/>
      <c r="H100" s="93"/>
    </row>
    <row r="101" spans="2:8" x14ac:dyDescent="0.25">
      <c r="B101" s="450"/>
      <c r="C101" s="73"/>
      <c r="D101" s="73"/>
      <c r="E101" s="90"/>
      <c r="F101" s="91"/>
      <c r="G101" s="92"/>
      <c r="H101" s="93"/>
    </row>
    <row r="102" spans="2:8" x14ac:dyDescent="0.25">
      <c r="B102" s="450"/>
      <c r="C102" s="73"/>
      <c r="D102" s="73"/>
      <c r="E102" s="90"/>
      <c r="F102" s="91"/>
      <c r="G102" s="92"/>
      <c r="H102" s="93"/>
    </row>
    <row r="103" spans="2:8" x14ac:dyDescent="0.25">
      <c r="B103" s="450"/>
      <c r="C103" s="73"/>
      <c r="D103" s="73"/>
      <c r="E103" s="90"/>
      <c r="F103" s="91"/>
      <c r="G103" s="92"/>
      <c r="H103" s="93"/>
    </row>
    <row r="104" spans="2:8" x14ac:dyDescent="0.25">
      <c r="B104" s="450"/>
      <c r="C104" s="73"/>
      <c r="D104" s="73"/>
      <c r="E104" s="90"/>
      <c r="F104" s="91"/>
      <c r="G104" s="92"/>
      <c r="H104" s="93"/>
    </row>
  </sheetData>
  <mergeCells count="9">
    <mergeCell ref="B86:H86"/>
    <mergeCell ref="B87:H87"/>
    <mergeCell ref="B2:H3"/>
    <mergeCell ref="AE2:AG3"/>
    <mergeCell ref="AL2:AM2"/>
    <mergeCell ref="R25:U25"/>
    <mergeCell ref="R26:U26"/>
    <mergeCell ref="B35:F35"/>
    <mergeCell ref="B62:H63"/>
  </mergeCells>
  <printOptions horizontalCentered="1"/>
  <pageMargins left="0.4" right="0.4" top="1" bottom="0.5" header="0.3" footer="0.511811023622047"/>
  <pageSetup paperSize="9" scale="53" orientation="landscape" r:id="rId1"/>
  <legacy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CB556-3C52-4776-B528-0B2E57B26D7F}">
  <sheetPr codeName="Sheet98">
    <tabColor rgb="FFFFFF00"/>
    <outlinePr summaryBelow="0" summaryRight="0"/>
    <pageSetUpPr fitToPage="1"/>
  </sheetPr>
  <dimension ref="A1:AD92"/>
  <sheetViews>
    <sheetView topLeftCell="A23" zoomScale="55" zoomScaleNormal="55" zoomScaleSheetLayoutView="55" workbookViewId="0">
      <selection activeCell="A70" sqref="A70"/>
    </sheetView>
  </sheetViews>
  <sheetFormatPr defaultColWidth="12.5" defaultRowHeight="15" x14ac:dyDescent="0.25"/>
  <cols>
    <col min="1" max="1" width="16.75" style="880" bestFit="1" customWidth="1"/>
    <col min="2" max="2" width="20.625" style="337" bestFit="1" customWidth="1"/>
    <col min="3" max="3" width="16.375" style="337" bestFit="1" customWidth="1"/>
    <col min="4" max="4" width="17.75" style="337" bestFit="1" customWidth="1"/>
    <col min="5" max="5" width="19" style="337" bestFit="1" customWidth="1"/>
    <col min="6" max="6" width="15.5" style="337" bestFit="1" customWidth="1"/>
    <col min="7" max="7" width="21.75" style="337" bestFit="1" customWidth="1"/>
    <col min="8" max="8" width="32.875" style="337" bestFit="1" customWidth="1"/>
    <col min="9" max="9" width="12.5" style="337"/>
    <col min="10" max="10" width="11.625" style="337" bestFit="1" customWidth="1"/>
    <col min="11" max="11" width="7.625" style="337" bestFit="1" customWidth="1"/>
    <col min="12" max="12" width="6.75" style="337" bestFit="1" customWidth="1"/>
    <col min="13" max="14" width="2.375" style="337" customWidth="1"/>
    <col min="15" max="15" width="16.875" style="337" bestFit="1" customWidth="1"/>
    <col min="16" max="16" width="4.25" style="337" bestFit="1" customWidth="1"/>
    <col min="17" max="17" width="14.375" style="337" bestFit="1" customWidth="1"/>
    <col min="18" max="19" width="9.375" style="337" bestFit="1" customWidth="1"/>
    <col min="20" max="24" width="2.375" style="337" customWidth="1"/>
    <col min="25" max="25" width="7.75" style="337" bestFit="1" customWidth="1"/>
    <col min="26" max="26" width="6.875" style="337" bestFit="1" customWidth="1"/>
    <col min="27" max="27" width="7.25" style="337" bestFit="1" customWidth="1"/>
    <col min="28" max="28" width="6" style="337" bestFit="1" customWidth="1"/>
    <col min="29" max="29" width="7.125" style="337" bestFit="1" customWidth="1"/>
    <col min="30" max="30" width="4.75" style="337" bestFit="1" customWidth="1"/>
    <col min="31" max="16384" width="12.5" style="337"/>
  </cols>
  <sheetData>
    <row r="1" spans="1:30" ht="25.5" x14ac:dyDescent="0.25">
      <c r="A1" s="61"/>
      <c r="B1" s="847" t="s">
        <v>231</v>
      </c>
      <c r="C1" s="333">
        <v>1000</v>
      </c>
      <c r="D1" s="334" t="s">
        <v>232</v>
      </c>
      <c r="E1" s="335">
        <f>S29</f>
        <v>24410</v>
      </c>
      <c r="F1" s="328" t="s">
        <v>233</v>
      </c>
      <c r="G1" s="335">
        <f>E1/C1</f>
        <v>24.41</v>
      </c>
      <c r="H1" s="328" t="s">
        <v>234</v>
      </c>
      <c r="I1" s="780">
        <f>G1/K1</f>
        <v>24.168316831683168</v>
      </c>
      <c r="J1" s="388" t="s">
        <v>235</v>
      </c>
      <c r="K1" s="389">
        <v>1.01</v>
      </c>
      <c r="L1" s="336"/>
      <c r="M1" s="336"/>
      <c r="N1" s="336"/>
      <c r="O1" s="781" t="s">
        <v>236</v>
      </c>
      <c r="P1" s="699" t="s">
        <v>289</v>
      </c>
      <c r="Q1" s="475" t="s">
        <v>850</v>
      </c>
      <c r="R1" s="779">
        <v>2.5</v>
      </c>
      <c r="S1" s="336"/>
      <c r="T1" s="336"/>
      <c r="U1" s="336"/>
      <c r="V1" s="336"/>
      <c r="Y1" s="72" t="s">
        <v>444</v>
      </c>
      <c r="Z1" s="422">
        <v>24410</v>
      </c>
      <c r="AA1" s="72" t="s">
        <v>544</v>
      </c>
      <c r="AB1" s="422">
        <v>0</v>
      </c>
      <c r="AC1" s="72" t="s">
        <v>537</v>
      </c>
      <c r="AD1" s="422">
        <v>171</v>
      </c>
    </row>
    <row r="2" spans="1:30" ht="15.75" x14ac:dyDescent="0.25">
      <c r="A2" s="863"/>
      <c r="B2" s="1893" t="s">
        <v>851</v>
      </c>
      <c r="C2" s="1893"/>
      <c r="D2" s="1893"/>
      <c r="E2" s="1893"/>
      <c r="F2" s="1893"/>
      <c r="G2" s="1893"/>
      <c r="H2" s="1893"/>
      <c r="I2" s="390"/>
      <c r="J2" s="390"/>
      <c r="K2" s="390"/>
      <c r="L2" s="336"/>
      <c r="M2" s="336"/>
      <c r="N2" s="336"/>
      <c r="O2" s="336"/>
      <c r="P2" s="336"/>
      <c r="Q2" s="336"/>
      <c r="R2" s="336"/>
      <c r="S2" s="336"/>
      <c r="T2" s="336"/>
      <c r="U2" s="336"/>
    </row>
    <row r="3" spans="1:30" ht="15.75" x14ac:dyDescent="0.25">
      <c r="A3" s="863"/>
      <c r="B3" s="1823"/>
      <c r="C3" s="1823"/>
      <c r="D3" s="1823"/>
      <c r="E3" s="1823"/>
      <c r="F3" s="1823"/>
      <c r="G3" s="1823"/>
      <c r="H3" s="1823"/>
      <c r="I3" s="390"/>
      <c r="J3" s="390"/>
      <c r="K3" s="390"/>
      <c r="L3" s="336"/>
      <c r="M3" s="336"/>
      <c r="N3" s="336"/>
      <c r="O3" s="336"/>
      <c r="P3" s="336"/>
      <c r="Q3" s="336"/>
      <c r="R3" s="336"/>
      <c r="S3" s="336"/>
      <c r="T3" s="336"/>
      <c r="U3" s="336"/>
    </row>
    <row r="4" spans="1:30" ht="63.75" x14ac:dyDescent="0.2">
      <c r="A4" s="1350" t="s">
        <v>864</v>
      </c>
      <c r="B4" s="1304" t="s">
        <v>241</v>
      </c>
      <c r="C4" s="1305" t="s">
        <v>242</v>
      </c>
      <c r="D4" s="1304" t="s">
        <v>231</v>
      </c>
      <c r="E4" s="1647" t="s">
        <v>234</v>
      </c>
      <c r="F4" s="1307" t="s">
        <v>243</v>
      </c>
      <c r="G4" s="1304" t="s">
        <v>244</v>
      </c>
      <c r="H4" s="1647" t="s">
        <v>503</v>
      </c>
      <c r="I4" s="923" t="s">
        <v>246</v>
      </c>
      <c r="J4" s="923" t="s">
        <v>247</v>
      </c>
      <c r="K4" s="923" t="s">
        <v>248</v>
      </c>
      <c r="L4" s="923" t="s">
        <v>249</v>
      </c>
      <c r="M4" s="336"/>
      <c r="N4" s="336"/>
      <c r="O4" s="336"/>
      <c r="P4" s="336"/>
      <c r="Q4" s="336"/>
      <c r="R4" s="336"/>
      <c r="S4" s="336"/>
      <c r="T4" s="336"/>
      <c r="U4" s="336"/>
    </row>
    <row r="5" spans="1:30" ht="16.5" x14ac:dyDescent="0.35">
      <c r="A5" s="1067"/>
      <c r="B5" s="1648"/>
      <c r="C5" s="1649"/>
      <c r="D5" s="1650"/>
      <c r="E5" s="1651"/>
      <c r="F5" s="1652"/>
      <c r="G5" s="1652"/>
      <c r="H5" s="1651"/>
      <c r="I5" s="914"/>
      <c r="J5" s="940"/>
      <c r="K5" s="945"/>
      <c r="L5" s="945"/>
    </row>
    <row r="6" spans="1:30" ht="16.5" x14ac:dyDescent="0.35">
      <c r="A6" s="1653"/>
      <c r="B6" s="1648" t="s">
        <v>851</v>
      </c>
      <c r="C6" s="1649" t="s">
        <v>14</v>
      </c>
      <c r="D6" s="1650">
        <f>1000/R1</f>
        <v>400</v>
      </c>
      <c r="E6" s="1654">
        <f>$I$1</f>
        <v>24.168316831683168</v>
      </c>
      <c r="F6" s="1655">
        <v>1</v>
      </c>
      <c r="G6" s="1656">
        <f>D6*E6</f>
        <v>9667.3267326732675</v>
      </c>
      <c r="H6" s="1657">
        <f>G6*F6</f>
        <v>9667.3267326732675</v>
      </c>
      <c r="I6" s="914">
        <f>VLOOKUP(B6,All_Ingredients!$A$1:$F$161,6,FALSE())</f>
        <v>1</v>
      </c>
      <c r="J6" s="940">
        <f>VLOOKUP(B6,All_Ingredients!$A$1:$J$161,10,FALSE())</f>
        <v>910</v>
      </c>
      <c r="K6" s="945">
        <f t="shared" ref="K6" si="0">(H6/I6)/1000</f>
        <v>9.667326732673267</v>
      </c>
      <c r="L6" s="945">
        <f t="shared" ref="L6" si="1">K6*J6</f>
        <v>8797.2673267326736</v>
      </c>
    </row>
    <row r="7" spans="1:30" x14ac:dyDescent="0.25">
      <c r="A7" s="1653"/>
      <c r="B7" s="1658" t="s">
        <v>152</v>
      </c>
      <c r="C7" s="1649" t="s">
        <v>14</v>
      </c>
      <c r="D7" s="1659">
        <v>10</v>
      </c>
      <c r="E7" s="1660">
        <f>$I$1</f>
        <v>24.168316831683168</v>
      </c>
      <c r="F7" s="1655">
        <v>1</v>
      </c>
      <c r="G7" s="1656">
        <f>D7*E7</f>
        <v>241.68316831683168</v>
      </c>
      <c r="H7" s="1657">
        <f>G7*F7</f>
        <v>241.68316831683168</v>
      </c>
      <c r="I7" s="914">
        <f>VLOOKUP(B7,All_Ingredients!$A$1:$F$161,6,FALSE())</f>
        <v>1</v>
      </c>
      <c r="J7" s="940">
        <f>VLOOKUP(B7,All_Ingredients!$A$1:$J$161,10,FALSE())</f>
        <v>30</v>
      </c>
      <c r="K7" s="945">
        <f t="shared" ref="K7" si="2">(H7/I7)/1000</f>
        <v>0.24168316831683168</v>
      </c>
      <c r="L7" s="945">
        <f t="shared" ref="L7" si="3">K7*J7</f>
        <v>7.2504950495049503</v>
      </c>
    </row>
    <row r="25" spans="18:29" x14ac:dyDescent="0.25">
      <c r="R25" s="1894" t="s">
        <v>851</v>
      </c>
      <c r="S25" s="1894"/>
      <c r="Z25" s="96" t="s">
        <v>14</v>
      </c>
      <c r="AA25" s="97">
        <v>1</v>
      </c>
      <c r="AB25" s="96" t="s">
        <v>249</v>
      </c>
      <c r="AC25" s="98">
        <f>(S33/S29)*AA25</f>
        <v>0.36069306930693074</v>
      </c>
    </row>
    <row r="26" spans="18:29" x14ac:dyDescent="0.25">
      <c r="R26" s="782" t="s">
        <v>254</v>
      </c>
      <c r="S26" s="782" t="s">
        <v>538</v>
      </c>
    </row>
    <row r="27" spans="18:29" x14ac:dyDescent="0.25">
      <c r="R27" s="782" t="s">
        <v>502</v>
      </c>
      <c r="S27" s="783">
        <f>Z1</f>
        <v>24410</v>
      </c>
    </row>
    <row r="28" spans="18:29" x14ac:dyDescent="0.25">
      <c r="R28" s="782" t="s">
        <v>265</v>
      </c>
      <c r="S28" s="784">
        <f>AB1</f>
        <v>0</v>
      </c>
    </row>
    <row r="29" spans="18:29" x14ac:dyDescent="0.25">
      <c r="R29" s="782" t="s">
        <v>257</v>
      </c>
      <c r="S29" s="785">
        <f>S27+S28</f>
        <v>24410</v>
      </c>
    </row>
    <row r="33" spans="18:19" ht="15.75" thickBot="1" x14ac:dyDescent="0.3">
      <c r="R33" s="117" t="s">
        <v>249</v>
      </c>
      <c r="S33" s="548">
        <f>SUM(L5:L9)</f>
        <v>8804.5178217821795</v>
      </c>
    </row>
    <row r="50" spans="2:8" x14ac:dyDescent="0.25">
      <c r="B50" s="848"/>
      <c r="C50" s="786" t="s">
        <v>233</v>
      </c>
      <c r="D50" s="786" t="s">
        <v>279</v>
      </c>
    </row>
    <row r="51" spans="2:8" x14ac:dyDescent="0.25">
      <c r="B51" s="844" t="s">
        <v>283</v>
      </c>
      <c r="C51" s="133">
        <f>10/$K$1</f>
        <v>9.9009900990099009</v>
      </c>
      <c r="D51" s="134">
        <f>$C$1*10</f>
        <v>10000</v>
      </c>
    </row>
    <row r="52" spans="2:8" x14ac:dyDescent="0.25">
      <c r="B52" s="849" t="s">
        <v>257</v>
      </c>
      <c r="C52" s="329">
        <f>G1</f>
        <v>24.41</v>
      </c>
      <c r="D52" s="329">
        <f>E1</f>
        <v>24410</v>
      </c>
    </row>
    <row r="53" spans="2:8" x14ac:dyDescent="0.25">
      <c r="B53" s="849" t="s">
        <v>284</v>
      </c>
      <c r="C53" s="330">
        <f>MIN($C$52, C51)</f>
        <v>9.9009900990099009</v>
      </c>
      <c r="D53" s="459">
        <f>(C53*$K$1)*$C$1</f>
        <v>10000</v>
      </c>
    </row>
    <row r="54" spans="2:8" x14ac:dyDescent="0.25">
      <c r="B54" s="849" t="s">
        <v>285</v>
      </c>
      <c r="C54" s="330">
        <f>MIN(MAX($C$52-C53,0),$C$51)</f>
        <v>9.9009900990099009</v>
      </c>
      <c r="D54" s="459">
        <f>(C54*$K$1)*$C$1</f>
        <v>10000</v>
      </c>
    </row>
    <row r="55" spans="2:8" x14ac:dyDescent="0.25">
      <c r="B55" s="849" t="s">
        <v>286</v>
      </c>
      <c r="C55" s="330">
        <f>MIN(MAX($C$52-C53-C54,0),$C$51)</f>
        <v>4.6080198019801983</v>
      </c>
      <c r="D55" s="459">
        <f>(C55*$K$1)*$C$1</f>
        <v>4654.1000000000004</v>
      </c>
    </row>
    <row r="56" spans="2:8" x14ac:dyDescent="0.25">
      <c r="B56" s="849" t="s">
        <v>293</v>
      </c>
      <c r="C56" s="330">
        <f>MIN(MAX($C$52-C53-C54-C55,0),$C$51)</f>
        <v>0</v>
      </c>
      <c r="D56" s="331">
        <f>C56*$K$1</f>
        <v>0</v>
      </c>
    </row>
    <row r="62" spans="2:8" ht="18" x14ac:dyDescent="0.25">
      <c r="B62" s="1871"/>
      <c r="C62" s="1880"/>
      <c r="D62" s="1880"/>
      <c r="E62" s="1880"/>
      <c r="F62" s="1880"/>
      <c r="G62" s="1880"/>
      <c r="H62" s="1880"/>
    </row>
    <row r="63" spans="2:8" x14ac:dyDescent="0.25">
      <c r="B63" s="1804" t="s">
        <v>851</v>
      </c>
      <c r="C63" s="1890"/>
      <c r="D63" s="1890"/>
      <c r="E63" s="1890"/>
      <c r="F63" s="1890"/>
      <c r="G63" s="1890"/>
      <c r="H63" s="1890"/>
    </row>
    <row r="64" spans="2:8" ht="39" customHeight="1" x14ac:dyDescent="0.25">
      <c r="B64" s="1104" t="s">
        <v>241</v>
      </c>
      <c r="C64" s="934" t="s">
        <v>242</v>
      </c>
      <c r="D64" s="1104" t="s">
        <v>231</v>
      </c>
      <c r="E64" s="936" t="s">
        <v>234</v>
      </c>
      <c r="F64" s="936" t="s">
        <v>243</v>
      </c>
      <c r="G64" s="1104" t="s">
        <v>244</v>
      </c>
      <c r="H64" s="936" t="s">
        <v>245</v>
      </c>
    </row>
    <row r="65" spans="2:8" x14ac:dyDescent="0.25">
      <c r="B65" s="1661" t="str">
        <f t="shared" ref="B65:D66" si="4">B6</f>
        <v>Noodles - نودلز</v>
      </c>
      <c r="C65" s="1662" t="str">
        <f t="shared" si="4"/>
        <v>gm</v>
      </c>
      <c r="D65" s="1663">
        <f t="shared" si="4"/>
        <v>400</v>
      </c>
      <c r="E65" s="1660">
        <f>$C$52</f>
        <v>24.41</v>
      </c>
      <c r="F65" s="1655">
        <f>F6</f>
        <v>1</v>
      </c>
      <c r="G65" s="1656">
        <f>D65*E65</f>
        <v>9764</v>
      </c>
      <c r="H65" s="1657">
        <f>G65*F65</f>
        <v>9764</v>
      </c>
    </row>
    <row r="66" spans="2:8" x14ac:dyDescent="0.25">
      <c r="B66" s="1661" t="str">
        <f t="shared" si="4"/>
        <v>Butter - زبدة</v>
      </c>
      <c r="C66" s="1662" t="str">
        <f t="shared" si="4"/>
        <v>gm</v>
      </c>
      <c r="D66" s="1663">
        <f t="shared" si="4"/>
        <v>10</v>
      </c>
      <c r="E66" s="1660">
        <f t="shared" ref="E66" si="5">$C$52</f>
        <v>24.41</v>
      </c>
      <c r="F66" s="1655">
        <f>F7</f>
        <v>1</v>
      </c>
      <c r="G66" s="1656">
        <f>D66*E66</f>
        <v>244.1</v>
      </c>
      <c r="H66" s="1657">
        <f>G66*F66</f>
        <v>244.1</v>
      </c>
    </row>
    <row r="67" spans="2:8" ht="15.75" x14ac:dyDescent="0.25">
      <c r="B67" s="1622" t="s">
        <v>682</v>
      </c>
      <c r="C67" s="1302"/>
      <c r="D67" s="1302"/>
      <c r="E67" s="1302"/>
      <c r="F67" s="1302"/>
      <c r="G67" s="1664"/>
      <c r="H67" s="1664"/>
    </row>
    <row r="68" spans="2:8" ht="20.25" x14ac:dyDescent="0.3">
      <c r="B68" s="1048">
        <f>$D$52</f>
        <v>24410</v>
      </c>
      <c r="C68" s="1664"/>
      <c r="D68" s="1664"/>
      <c r="E68" s="1664"/>
      <c r="F68" s="1665"/>
      <c r="G68" s="1664"/>
      <c r="H68" s="1664"/>
    </row>
    <row r="69" spans="2:8" x14ac:dyDescent="0.25">
      <c r="B69" s="336"/>
      <c r="E69" s="336"/>
      <c r="F69" s="336"/>
    </row>
    <row r="70" spans="2:8" x14ac:dyDescent="0.25">
      <c r="B70" s="604"/>
      <c r="C70" s="604"/>
      <c r="D70" s="604"/>
      <c r="E70" s="604"/>
      <c r="F70" s="604"/>
      <c r="G70" s="604"/>
      <c r="H70" s="604"/>
    </row>
    <row r="71" spans="2:8" ht="18" x14ac:dyDescent="0.25">
      <c r="B71" s="1819"/>
      <c r="C71" s="1820"/>
      <c r="D71" s="1820"/>
      <c r="E71" s="1820"/>
      <c r="F71" s="1820"/>
      <c r="G71" s="1820"/>
      <c r="H71" s="1820"/>
    </row>
    <row r="72" spans="2:8" ht="18" x14ac:dyDescent="0.25">
      <c r="B72" s="1819"/>
      <c r="C72" s="1820"/>
      <c r="D72" s="1820"/>
      <c r="E72" s="1820"/>
      <c r="F72" s="1820"/>
      <c r="G72" s="1820"/>
      <c r="H72" s="1820"/>
    </row>
    <row r="82" spans="2:8" ht="18" x14ac:dyDescent="0.25">
      <c r="B82" s="1819"/>
      <c r="C82" s="1820"/>
      <c r="D82" s="1820"/>
      <c r="E82" s="1820"/>
      <c r="F82" s="1820"/>
      <c r="G82" s="1820"/>
      <c r="H82" s="1820"/>
    </row>
    <row r="83" spans="2:8" ht="18" x14ac:dyDescent="0.25">
      <c r="B83" s="1819"/>
      <c r="C83" s="1820"/>
      <c r="D83" s="1820"/>
      <c r="E83" s="1820"/>
      <c r="F83" s="1820"/>
      <c r="G83" s="1820"/>
      <c r="H83" s="1820"/>
    </row>
    <row r="84" spans="2:8" x14ac:dyDescent="0.25">
      <c r="B84" s="787"/>
      <c r="C84" s="788"/>
      <c r="D84" s="787"/>
      <c r="E84" s="787"/>
      <c r="F84" s="787"/>
      <c r="G84" s="787"/>
      <c r="H84" s="787"/>
    </row>
    <row r="85" spans="2:8" x14ac:dyDescent="0.25">
      <c r="B85" s="789"/>
      <c r="C85" s="789"/>
      <c r="D85" s="789"/>
      <c r="E85" s="792"/>
      <c r="F85" s="793"/>
      <c r="G85" s="790"/>
      <c r="H85" s="791"/>
    </row>
    <row r="86" spans="2:8" x14ac:dyDescent="0.25">
      <c r="B86" s="789"/>
      <c r="C86" s="789"/>
      <c r="D86" s="789"/>
      <c r="E86" s="792"/>
      <c r="F86" s="793"/>
      <c r="G86" s="790"/>
      <c r="H86" s="791"/>
    </row>
    <row r="87" spans="2:8" x14ac:dyDescent="0.25">
      <c r="B87" s="789"/>
      <c r="C87" s="789"/>
      <c r="D87" s="789"/>
      <c r="E87" s="792"/>
      <c r="F87" s="793"/>
      <c r="G87" s="790"/>
      <c r="H87" s="791"/>
    </row>
    <row r="88" spans="2:8" x14ac:dyDescent="0.25">
      <c r="B88" s="789"/>
      <c r="C88" s="789"/>
      <c r="D88" s="789"/>
      <c r="E88" s="792"/>
      <c r="F88" s="793"/>
      <c r="G88" s="790"/>
      <c r="H88" s="791"/>
    </row>
    <row r="89" spans="2:8" ht="15.75" x14ac:dyDescent="0.25">
      <c r="B89" s="452"/>
      <c r="C89" s="603"/>
      <c r="D89" s="603"/>
      <c r="E89" s="604"/>
      <c r="F89" s="604"/>
      <c r="G89" s="603"/>
      <c r="H89" s="603"/>
    </row>
    <row r="90" spans="2:8" ht="20.25" x14ac:dyDescent="0.3">
      <c r="B90" s="453"/>
      <c r="C90" s="603"/>
      <c r="D90" s="603"/>
      <c r="E90" s="603"/>
      <c r="F90" s="603"/>
      <c r="G90" s="603"/>
      <c r="H90" s="603"/>
    </row>
    <row r="91" spans="2:8" ht="18" x14ac:dyDescent="0.25">
      <c r="B91" s="1819"/>
      <c r="C91" s="1820"/>
      <c r="D91" s="1820"/>
      <c r="E91" s="1820"/>
      <c r="F91" s="1820"/>
      <c r="G91" s="1820"/>
      <c r="H91" s="1820"/>
    </row>
    <row r="92" spans="2:8" ht="18" x14ac:dyDescent="0.25">
      <c r="B92" s="1819"/>
      <c r="C92" s="1820"/>
      <c r="D92" s="1820"/>
      <c r="E92" s="1820"/>
      <c r="F92" s="1820"/>
      <c r="G92" s="1820"/>
      <c r="H92" s="1820"/>
    </row>
  </sheetData>
  <mergeCells count="10">
    <mergeCell ref="R25:S25"/>
    <mergeCell ref="B62:H62"/>
    <mergeCell ref="B63:H63"/>
    <mergeCell ref="B71:H71"/>
    <mergeCell ref="B72:H72"/>
    <mergeCell ref="B82:H82"/>
    <mergeCell ref="B83:H83"/>
    <mergeCell ref="B91:H91"/>
    <mergeCell ref="B92:H92"/>
    <mergeCell ref="B2:H3"/>
  </mergeCells>
  <printOptions horizontalCentered="1"/>
  <pageMargins left="0.4" right="0.4" top="1" bottom="0.5" header="0.3" footer="0.3"/>
  <pageSetup paperSize="9" scale="33" fitToHeight="0" orientation="landscape"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1C439-03B0-4FEA-9999-27D773C4BA82}">
  <sheetPr codeName="Sheet100">
    <tabColor rgb="FFFFFF00"/>
    <pageSetUpPr fitToPage="1"/>
  </sheetPr>
  <dimension ref="A1:AG106"/>
  <sheetViews>
    <sheetView topLeftCell="A45" zoomScale="70" zoomScaleNormal="70" workbookViewId="0">
      <selection activeCell="A65" sqref="A65"/>
    </sheetView>
  </sheetViews>
  <sheetFormatPr defaultColWidth="12.5" defaultRowHeight="15" x14ac:dyDescent="0.25"/>
  <cols>
    <col min="1" max="1" width="20.5" style="61" customWidth="1"/>
    <col min="2" max="2" width="31.625" style="14" bestFit="1" customWidth="1"/>
    <col min="3" max="3" width="16" style="14" bestFit="1" customWidth="1"/>
    <col min="4" max="4" width="15.125" style="14" bestFit="1" customWidth="1"/>
    <col min="5" max="5" width="15.375" style="14" bestFit="1" customWidth="1"/>
    <col min="6" max="6" width="14" style="14" bestFit="1" customWidth="1"/>
    <col min="7" max="7" width="18.875" style="14" bestFit="1" customWidth="1"/>
    <col min="8" max="8" width="32.875" style="14" bestFit="1" customWidth="1"/>
    <col min="9" max="9" width="10.625" style="14" bestFit="1" customWidth="1"/>
    <col min="10" max="10" width="8.75" style="14" bestFit="1" customWidth="1"/>
    <col min="11" max="11" width="8.375" style="14" bestFit="1" customWidth="1"/>
    <col min="12" max="12" width="5.875" style="14" bestFit="1" customWidth="1"/>
    <col min="13" max="13" width="4.875" style="14" bestFit="1" customWidth="1"/>
    <col min="14" max="14" width="6.875" style="14" customWidth="1"/>
    <col min="15" max="15" width="7.875" style="14" bestFit="1" customWidth="1"/>
    <col min="16" max="16" width="5.75" style="14" bestFit="1" customWidth="1"/>
    <col min="17" max="17" width="11.875" style="14" bestFit="1" customWidth="1"/>
    <col min="18" max="18" width="7.375" style="14" bestFit="1" customWidth="1"/>
    <col min="19" max="19" width="16.625" style="14" bestFit="1" customWidth="1"/>
    <col min="20" max="20" width="6.375" style="14" bestFit="1" customWidth="1"/>
    <col min="21" max="24" width="12.5" style="14"/>
    <col min="25" max="25" width="6.5" style="14" bestFit="1" customWidth="1"/>
    <col min="26" max="26" width="5.25" style="14" bestFit="1" customWidth="1"/>
    <col min="27" max="27" width="5.875" style="14" bestFit="1" customWidth="1"/>
    <col min="28" max="28" width="4.375" style="14" bestFit="1" customWidth="1"/>
    <col min="29" max="29" width="5.5" style="14" bestFit="1" customWidth="1"/>
    <col min="30" max="30" width="3.5" style="14" bestFit="1" customWidth="1"/>
    <col min="31" max="16384" width="12.5" style="14"/>
  </cols>
  <sheetData>
    <row r="1" spans="1:33" ht="38.25" x14ac:dyDescent="0.25">
      <c r="B1" s="843" t="s">
        <v>231</v>
      </c>
      <c r="C1" s="63">
        <v>1000</v>
      </c>
      <c r="D1" s="64" t="s">
        <v>232</v>
      </c>
      <c r="E1" s="84">
        <f>S30</f>
        <v>9043.5</v>
      </c>
      <c r="F1" s="62" t="s">
        <v>233</v>
      </c>
      <c r="G1" s="84">
        <f>E1/C1</f>
        <v>9.0434999999999999</v>
      </c>
      <c r="H1" s="62" t="s">
        <v>234</v>
      </c>
      <c r="I1" s="84">
        <f>G1/K1</f>
        <v>9.0434999999999999</v>
      </c>
      <c r="J1" s="209" t="s">
        <v>235</v>
      </c>
      <c r="K1" s="210">
        <v>1</v>
      </c>
      <c r="L1" s="80"/>
      <c r="M1" s="80" t="s">
        <v>339</v>
      </c>
      <c r="N1" s="80"/>
      <c r="O1" s="781" t="s">
        <v>779</v>
      </c>
      <c r="P1" s="699" t="s">
        <v>852</v>
      </c>
      <c r="Q1" s="475" t="s">
        <v>238</v>
      </c>
      <c r="R1" s="779">
        <v>0.94</v>
      </c>
      <c r="S1" s="80"/>
      <c r="T1" s="80"/>
      <c r="U1" s="80"/>
      <c r="V1" s="80"/>
      <c r="Y1" s="72" t="s">
        <v>444</v>
      </c>
      <c r="Z1" s="422">
        <v>24410</v>
      </c>
      <c r="AA1" s="72" t="s">
        <v>544</v>
      </c>
      <c r="AB1" s="422">
        <v>500</v>
      </c>
      <c r="AC1" s="72" t="s">
        <v>537</v>
      </c>
      <c r="AD1" s="422">
        <v>171</v>
      </c>
    </row>
    <row r="2" spans="1:33" x14ac:dyDescent="0.25">
      <c r="A2" s="863"/>
      <c r="B2" s="1828" t="s">
        <v>853</v>
      </c>
      <c r="C2" s="1865"/>
      <c r="D2" s="1865"/>
      <c r="E2" s="1865"/>
      <c r="F2" s="1865"/>
      <c r="G2" s="1865"/>
      <c r="H2" s="1865"/>
      <c r="I2" s="80"/>
      <c r="J2" s="80"/>
      <c r="K2" s="80"/>
      <c r="L2" s="80"/>
      <c r="M2" s="80"/>
      <c r="N2" s="80"/>
      <c r="O2" s="80"/>
      <c r="P2" s="80"/>
      <c r="Q2" s="80"/>
      <c r="R2" s="80"/>
      <c r="S2" s="80"/>
      <c r="T2" s="80"/>
      <c r="U2" s="80"/>
      <c r="AE2" s="1821"/>
      <c r="AF2" s="1799"/>
      <c r="AG2" s="1799"/>
    </row>
    <row r="3" spans="1:33" x14ac:dyDescent="0.25">
      <c r="A3" s="863"/>
      <c r="B3" s="1796"/>
      <c r="C3" s="1796"/>
      <c r="D3" s="1796"/>
      <c r="E3" s="1796"/>
      <c r="F3" s="1796"/>
      <c r="G3" s="1796"/>
      <c r="H3" s="1796"/>
      <c r="I3" s="80"/>
      <c r="J3" s="80"/>
      <c r="K3" s="80"/>
      <c r="L3" s="80"/>
      <c r="M3" s="80"/>
      <c r="N3" s="80"/>
      <c r="O3" s="80"/>
      <c r="P3" s="80"/>
      <c r="Q3" s="80"/>
      <c r="R3" s="80"/>
      <c r="S3" s="80"/>
      <c r="T3" s="80"/>
      <c r="U3" s="80"/>
      <c r="AE3" s="1799"/>
      <c r="AF3" s="1799"/>
      <c r="AG3" s="1799"/>
    </row>
    <row r="4" spans="1:33" ht="38.25" x14ac:dyDescent="0.2">
      <c r="A4" s="1350" t="s">
        <v>864</v>
      </c>
      <c r="B4" s="923" t="s">
        <v>241</v>
      </c>
      <c r="C4" s="934" t="s">
        <v>242</v>
      </c>
      <c r="D4" s="923" t="s">
        <v>231</v>
      </c>
      <c r="E4" s="936" t="s">
        <v>234</v>
      </c>
      <c r="F4" s="935" t="s">
        <v>243</v>
      </c>
      <c r="G4" s="923" t="s">
        <v>244</v>
      </c>
      <c r="H4" s="934" t="s">
        <v>334</v>
      </c>
      <c r="I4" s="923" t="s">
        <v>246</v>
      </c>
      <c r="J4" s="923" t="s">
        <v>247</v>
      </c>
      <c r="K4" s="923" t="s">
        <v>248</v>
      </c>
      <c r="L4" s="923" t="s">
        <v>249</v>
      </c>
      <c r="N4" s="80"/>
      <c r="O4" s="80"/>
      <c r="P4" s="80"/>
      <c r="Q4" s="80"/>
      <c r="R4" s="80"/>
      <c r="S4" s="80"/>
      <c r="T4" s="80"/>
      <c r="U4" s="80"/>
    </row>
    <row r="5" spans="1:33" x14ac:dyDescent="0.2">
      <c r="A5" s="1067"/>
      <c r="B5" s="1658" t="s">
        <v>152</v>
      </c>
      <c r="C5" s="1649" t="s">
        <v>14</v>
      </c>
      <c r="D5" s="1666">
        <v>55</v>
      </c>
      <c r="E5" s="1667">
        <f>$G$1</f>
        <v>9.0434999999999999</v>
      </c>
      <c r="F5" s="1668">
        <v>1</v>
      </c>
      <c r="G5" s="940">
        <f t="shared" ref="G5:G16" si="0">D5*E5</f>
        <v>497.39249999999998</v>
      </c>
      <c r="H5" s="1617">
        <f t="shared" ref="H5:H16" si="1">G5*F5</f>
        <v>497.39249999999998</v>
      </c>
      <c r="I5" s="914">
        <f>VLOOKUP(B5,All_Ingredients!$A$1:$F$161,6,FALSE())</f>
        <v>1</v>
      </c>
      <c r="J5" s="940">
        <f>VLOOKUP(B5,All_Ingredients!$A$1:$J$161,10,FALSE())</f>
        <v>30</v>
      </c>
      <c r="K5" s="945">
        <f t="shared" ref="K5" si="2">(H5/I5)/1000</f>
        <v>0.49739249999999996</v>
      </c>
      <c r="L5" s="945">
        <f t="shared" ref="L5" si="3">K5*J5</f>
        <v>14.921774999999998</v>
      </c>
    </row>
    <row r="6" spans="1:33" ht="16.5" x14ac:dyDescent="0.35">
      <c r="A6" s="949" t="s">
        <v>1005</v>
      </c>
      <c r="B6" s="1669" t="s">
        <v>706</v>
      </c>
      <c r="C6" s="1649" t="s">
        <v>14</v>
      </c>
      <c r="D6" s="1666">
        <v>33.030553261767139</v>
      </c>
      <c r="E6" s="1667">
        <f t="shared" ref="E6:E16" si="4">$G$1</f>
        <v>9.0434999999999999</v>
      </c>
      <c r="F6" s="1668">
        <v>1</v>
      </c>
      <c r="G6" s="940">
        <f t="shared" si="0"/>
        <v>298.71180842279114</v>
      </c>
      <c r="H6" s="1617">
        <f t="shared" si="1"/>
        <v>298.71180842279114</v>
      </c>
      <c r="I6" s="914">
        <f>VLOOKUP(B6,All_Ingredients!$A$1:$F$161,6,FALSE())</f>
        <v>1</v>
      </c>
      <c r="J6" s="940">
        <f>VLOOKUP(B6,All_Ingredients!$A$1:$J$161,10,FALSE())</f>
        <v>10.5</v>
      </c>
      <c r="K6" s="945">
        <f t="shared" ref="K6:K16" si="5">(H6/I6)/1000</f>
        <v>0.29871180842279116</v>
      </c>
      <c r="L6" s="945">
        <f t="shared" ref="L6:L16" si="6">K6*J6</f>
        <v>3.1364739884393074</v>
      </c>
    </row>
    <row r="7" spans="1:33" ht="16.5" x14ac:dyDescent="0.35">
      <c r="A7" s="949"/>
      <c r="B7" s="1648" t="s">
        <v>193</v>
      </c>
      <c r="C7" s="1649" t="s">
        <v>14</v>
      </c>
      <c r="D7" s="1666">
        <v>150</v>
      </c>
      <c r="E7" s="1667">
        <f t="shared" si="4"/>
        <v>9.0434999999999999</v>
      </c>
      <c r="F7" s="1668">
        <v>1</v>
      </c>
      <c r="G7" s="940">
        <f t="shared" si="0"/>
        <v>1356.5250000000001</v>
      </c>
      <c r="H7" s="1617">
        <f t="shared" si="1"/>
        <v>1356.5250000000001</v>
      </c>
      <c r="I7" s="914">
        <f>VLOOKUP(B7,All_Ingredients!$A$1:$F$161,6,FALSE())</f>
        <v>1</v>
      </c>
      <c r="J7" s="940">
        <f>VLOOKUP(B7,All_Ingredients!$A$1:$J$161,10,FALSE())</f>
        <v>37.001287001286997</v>
      </c>
      <c r="K7" s="945">
        <f t="shared" si="5"/>
        <v>1.356525</v>
      </c>
      <c r="L7" s="945">
        <f t="shared" si="6"/>
        <v>50.193170849420845</v>
      </c>
    </row>
    <row r="8" spans="1:33" ht="16.5" x14ac:dyDescent="0.35">
      <c r="A8" s="949"/>
      <c r="B8" s="1648" t="s">
        <v>905</v>
      </c>
      <c r="C8" s="1649" t="s">
        <v>14</v>
      </c>
      <c r="D8" s="1666">
        <v>49.545829892650701</v>
      </c>
      <c r="E8" s="1667">
        <f t="shared" si="4"/>
        <v>9.0434999999999999</v>
      </c>
      <c r="F8" s="1668">
        <v>1</v>
      </c>
      <c r="G8" s="940">
        <f t="shared" si="0"/>
        <v>448.06771263418659</v>
      </c>
      <c r="H8" s="1617">
        <f t="shared" si="1"/>
        <v>448.06771263418659</v>
      </c>
      <c r="I8" s="914">
        <f>VLOOKUP(B8,All_Ingredients!$A$1:$F$161,6,FALSE())</f>
        <v>1</v>
      </c>
      <c r="J8" s="940">
        <f>VLOOKUP(B8,All_Ingredients!$A$1:$J$161,10,FALSE())</f>
        <v>33.333333333333336</v>
      </c>
      <c r="K8" s="945">
        <f t="shared" si="5"/>
        <v>0.4480677126341866</v>
      </c>
      <c r="L8" s="945">
        <f t="shared" si="6"/>
        <v>14.935590421139555</v>
      </c>
    </row>
    <row r="9" spans="1:33" ht="16.5" x14ac:dyDescent="0.35">
      <c r="A9" s="949"/>
      <c r="B9" s="1648" t="s">
        <v>196</v>
      </c>
      <c r="C9" s="1649" t="s">
        <v>14</v>
      </c>
      <c r="D9" s="1666">
        <v>99.091659785301403</v>
      </c>
      <c r="E9" s="1667">
        <f t="shared" si="4"/>
        <v>9.0434999999999999</v>
      </c>
      <c r="F9" s="1668">
        <v>1</v>
      </c>
      <c r="G9" s="940">
        <f t="shared" si="0"/>
        <v>896.13542526837318</v>
      </c>
      <c r="H9" s="1617">
        <f t="shared" si="1"/>
        <v>896.13542526837318</v>
      </c>
      <c r="I9" s="914">
        <f>VLOOKUP(B9,All_Ingredients!$A$1:$F$161,6,FALSE())</f>
        <v>1</v>
      </c>
      <c r="J9" s="940">
        <f>VLOOKUP(B9,All_Ingredients!$A$1:$J$161,10,FALSE())</f>
        <v>14.861111111111111</v>
      </c>
      <c r="K9" s="945">
        <f t="shared" si="5"/>
        <v>0.8961354252683732</v>
      </c>
      <c r="L9" s="945">
        <f t="shared" si="6"/>
        <v>13.317568125516102</v>
      </c>
    </row>
    <row r="10" spans="1:33" ht="16.5" x14ac:dyDescent="0.35">
      <c r="A10" s="949"/>
      <c r="B10" s="1648" t="s">
        <v>181</v>
      </c>
      <c r="C10" s="1649" t="s">
        <v>14</v>
      </c>
      <c r="D10" s="1666">
        <v>33.030553261767139</v>
      </c>
      <c r="E10" s="1667">
        <f t="shared" si="4"/>
        <v>9.0434999999999999</v>
      </c>
      <c r="F10" s="1668">
        <v>1</v>
      </c>
      <c r="G10" s="940">
        <f t="shared" si="0"/>
        <v>298.71180842279114</v>
      </c>
      <c r="H10" s="1617">
        <f t="shared" si="1"/>
        <v>298.71180842279114</v>
      </c>
      <c r="I10" s="914">
        <f>VLOOKUP(B10,All_Ingredients!$A$1:$F$161,6,FALSE())</f>
        <v>1</v>
      </c>
      <c r="J10" s="940">
        <f>VLOOKUP(B10,All_Ingredients!$A$1:$J$161,10,FALSE())</f>
        <v>6.5</v>
      </c>
      <c r="K10" s="945">
        <f t="shared" si="5"/>
        <v>0.29871180842279116</v>
      </c>
      <c r="L10" s="945">
        <f t="shared" si="6"/>
        <v>1.9416267547481425</v>
      </c>
    </row>
    <row r="11" spans="1:33" ht="16.5" x14ac:dyDescent="0.35">
      <c r="A11" s="949"/>
      <c r="B11" s="1648" t="s">
        <v>101</v>
      </c>
      <c r="C11" s="1649" t="s">
        <v>14</v>
      </c>
      <c r="D11" s="1666">
        <v>8.2576383154417847</v>
      </c>
      <c r="E11" s="1667">
        <f t="shared" si="4"/>
        <v>9.0434999999999999</v>
      </c>
      <c r="F11" s="1668">
        <v>1</v>
      </c>
      <c r="G11" s="940">
        <f t="shared" si="0"/>
        <v>74.677952105697784</v>
      </c>
      <c r="H11" s="1617">
        <f t="shared" si="1"/>
        <v>74.677952105697784</v>
      </c>
      <c r="I11" s="914">
        <f>VLOOKUP(B11,All_Ingredients!$A$1:$F$161,6,FALSE())</f>
        <v>1</v>
      </c>
      <c r="J11" s="940">
        <f>VLOOKUP(B11,All_Ingredients!$A$1:$J$161,10,FALSE())</f>
        <v>47</v>
      </c>
      <c r="K11" s="945">
        <f t="shared" si="5"/>
        <v>7.467795210569779E-2</v>
      </c>
      <c r="L11" s="945">
        <f t="shared" si="6"/>
        <v>3.509863748967796</v>
      </c>
    </row>
    <row r="12" spans="1:33" ht="16.5" x14ac:dyDescent="0.35">
      <c r="A12" s="949"/>
      <c r="B12" s="1648" t="s">
        <v>854</v>
      </c>
      <c r="C12" s="1649" t="s">
        <v>14</v>
      </c>
      <c r="D12" s="1666">
        <v>30</v>
      </c>
      <c r="E12" s="1667">
        <f>$G$1</f>
        <v>9.0434999999999999</v>
      </c>
      <c r="F12" s="1668">
        <v>1</v>
      </c>
      <c r="G12" s="940">
        <f t="shared" si="0"/>
        <v>271.30500000000001</v>
      </c>
      <c r="H12" s="1617">
        <f t="shared" si="1"/>
        <v>271.30500000000001</v>
      </c>
      <c r="I12" s="914">
        <f>VLOOKUP(B12,All_Ingredients!$A$1:$F$161,6,FALSE())</f>
        <v>1</v>
      </c>
      <c r="J12" s="940">
        <f>VLOOKUP(B12,All_Ingredients!$A$1:$J$161,10,FALSE())</f>
        <v>42</v>
      </c>
      <c r="K12" s="945">
        <f t="shared" si="5"/>
        <v>0.27130500000000002</v>
      </c>
      <c r="L12" s="945">
        <f t="shared" si="6"/>
        <v>11.394810000000001</v>
      </c>
    </row>
    <row r="13" spans="1:33" ht="16.5" x14ac:dyDescent="0.35">
      <c r="A13" s="949" t="s">
        <v>1006</v>
      </c>
      <c r="B13" s="1648" t="s">
        <v>855</v>
      </c>
      <c r="C13" s="1649" t="s">
        <v>14</v>
      </c>
      <c r="D13" s="1666">
        <v>330.30553261767142</v>
      </c>
      <c r="E13" s="1667">
        <f t="shared" si="4"/>
        <v>9.0434999999999999</v>
      </c>
      <c r="F13" s="1668">
        <v>1</v>
      </c>
      <c r="G13" s="940">
        <f t="shared" si="0"/>
        <v>2987.1180842279114</v>
      </c>
      <c r="H13" s="1617">
        <f t="shared" si="1"/>
        <v>2987.1180842279114</v>
      </c>
      <c r="I13" s="914">
        <f>VLOOKUP(B13,All_Ingredients!$A$1:$F$161,6,FALSE())</f>
        <v>0.8</v>
      </c>
      <c r="J13" s="940">
        <f>VLOOKUP(B13,All_Ingredients!$A$1:$J$161,10,FALSE())</f>
        <v>3</v>
      </c>
      <c r="K13" s="945">
        <f t="shared" si="5"/>
        <v>3.7338976052848887</v>
      </c>
      <c r="L13" s="945">
        <f t="shared" si="6"/>
        <v>11.201692815854667</v>
      </c>
    </row>
    <row r="14" spans="1:33" ht="16.5" x14ac:dyDescent="0.35">
      <c r="A14" s="949" t="s">
        <v>1007</v>
      </c>
      <c r="B14" s="1648" t="s">
        <v>19</v>
      </c>
      <c r="C14" s="1649" t="s">
        <v>14</v>
      </c>
      <c r="D14" s="1666">
        <v>247.72914946325355</v>
      </c>
      <c r="E14" s="1667">
        <f t="shared" si="4"/>
        <v>9.0434999999999999</v>
      </c>
      <c r="F14" s="1668">
        <v>1</v>
      </c>
      <c r="G14" s="940">
        <f t="shared" si="0"/>
        <v>2240.3385631709334</v>
      </c>
      <c r="H14" s="1617">
        <f t="shared" si="1"/>
        <v>2240.3385631709334</v>
      </c>
      <c r="I14" s="914">
        <f>VLOOKUP(B14,All_Ingredients!$A$1:$F$161,6,FALSE())</f>
        <v>0.8</v>
      </c>
      <c r="J14" s="940">
        <f>VLOOKUP(B14,All_Ingredients!$A$1:$J$161,10,FALSE())</f>
        <v>2.6</v>
      </c>
      <c r="K14" s="945">
        <f t="shared" si="5"/>
        <v>2.8004232039636667</v>
      </c>
      <c r="L14" s="945">
        <f t="shared" si="6"/>
        <v>7.2811003303055335</v>
      </c>
    </row>
    <row r="15" spans="1:33" ht="16.5" x14ac:dyDescent="0.35">
      <c r="A15" s="949" t="s">
        <v>1008</v>
      </c>
      <c r="B15" s="1669" t="s">
        <v>12</v>
      </c>
      <c r="C15" s="1649" t="s">
        <v>14</v>
      </c>
      <c r="D15" s="1666">
        <v>165.15276630883571</v>
      </c>
      <c r="E15" s="1667">
        <f t="shared" si="4"/>
        <v>9.0434999999999999</v>
      </c>
      <c r="F15" s="1668">
        <v>1</v>
      </c>
      <c r="G15" s="940">
        <f t="shared" si="0"/>
        <v>1493.5590421139557</v>
      </c>
      <c r="H15" s="1617">
        <f t="shared" si="1"/>
        <v>1493.5590421139557</v>
      </c>
      <c r="I15" s="914">
        <f>VLOOKUP(B15,All_Ingredients!$A$1:$F$161,6,FALSE())</f>
        <v>0.9</v>
      </c>
      <c r="J15" s="940">
        <f>VLOOKUP(B15,All_Ingredients!$A$1:$J$161,10,FALSE())</f>
        <v>3</v>
      </c>
      <c r="K15" s="945">
        <f t="shared" si="5"/>
        <v>1.6595100467932842</v>
      </c>
      <c r="L15" s="945">
        <f t="shared" si="6"/>
        <v>4.9785301403798528</v>
      </c>
    </row>
    <row r="16" spans="1:33" x14ac:dyDescent="0.25">
      <c r="A16" s="949"/>
      <c r="B16" s="1670" t="s">
        <v>203</v>
      </c>
      <c r="C16" s="1659" t="s">
        <v>160</v>
      </c>
      <c r="D16" s="1671">
        <v>200</v>
      </c>
      <c r="E16" s="1667">
        <f t="shared" si="4"/>
        <v>9.0434999999999999</v>
      </c>
      <c r="F16" s="1668">
        <v>1</v>
      </c>
      <c r="G16" s="940">
        <f t="shared" si="0"/>
        <v>1808.7</v>
      </c>
      <c r="H16" s="1617">
        <f t="shared" si="1"/>
        <v>1808.7</v>
      </c>
      <c r="I16" s="914">
        <f>VLOOKUP(B16,All_Ingredients!$A$1:$F$161,6,FALSE())</f>
        <v>1</v>
      </c>
      <c r="J16" s="940">
        <f>VLOOKUP(B16,All_Ingredients!$A$1:$J$161,10,FALSE())</f>
        <v>0</v>
      </c>
      <c r="K16" s="945">
        <f t="shared" si="5"/>
        <v>1.8087</v>
      </c>
      <c r="L16" s="945">
        <f t="shared" si="6"/>
        <v>0</v>
      </c>
    </row>
    <row r="25" spans="18:29" x14ac:dyDescent="0.25">
      <c r="R25" s="1886" t="s">
        <v>856</v>
      </c>
      <c r="S25" s="1850"/>
      <c r="T25" s="1850"/>
      <c r="Z25" s="96" t="s">
        <v>14</v>
      </c>
      <c r="AA25" s="97">
        <v>1</v>
      </c>
      <c r="AB25" s="96" t="s">
        <v>249</v>
      </c>
      <c r="AC25" s="98">
        <f>(S34/S30)*AA25</f>
        <v>1.292772676888284E-2</v>
      </c>
    </row>
    <row r="26" spans="18:29" x14ac:dyDescent="0.25">
      <c r="R26" s="1888" t="s">
        <v>337</v>
      </c>
      <c r="S26" s="1867"/>
      <c r="T26" s="1867"/>
    </row>
    <row r="27" spans="18:29" x14ac:dyDescent="0.25">
      <c r="R27" s="100" t="s">
        <v>254</v>
      </c>
      <c r="S27" s="100" t="s">
        <v>338</v>
      </c>
      <c r="T27" s="100" t="s">
        <v>257</v>
      </c>
    </row>
    <row r="28" spans="18:29" x14ac:dyDescent="0.25">
      <c r="R28" s="100" t="s">
        <v>263</v>
      </c>
      <c r="S28" s="400">
        <f>T28</f>
        <v>8543.5</v>
      </c>
      <c r="T28" s="398">
        <f>Z1*0.35</f>
        <v>8543.5</v>
      </c>
    </row>
    <row r="29" spans="18:29" x14ac:dyDescent="0.25">
      <c r="R29" s="100" t="s">
        <v>265</v>
      </c>
      <c r="S29" s="398">
        <f>AB1</f>
        <v>500</v>
      </c>
      <c r="T29" s="401">
        <f>S29</f>
        <v>500</v>
      </c>
    </row>
    <row r="30" spans="18:29" x14ac:dyDescent="0.25">
      <c r="R30" s="100" t="s">
        <v>257</v>
      </c>
      <c r="S30" s="218">
        <f>SUM(S28:S29)</f>
        <v>9043.5</v>
      </c>
      <c r="T30" s="218">
        <f>S30</f>
        <v>9043.5</v>
      </c>
    </row>
    <row r="34" spans="18:20" ht="15.75" thickBot="1" x14ac:dyDescent="0.3">
      <c r="R34" s="117" t="s">
        <v>249</v>
      </c>
      <c r="S34" s="548">
        <f>SUM(L6:L14)</f>
        <v>116.91189703439197</v>
      </c>
      <c r="T34" s="594">
        <f>S34</f>
        <v>116.91189703439197</v>
      </c>
    </row>
    <row r="50" spans="1:8" x14ac:dyDescent="0.25">
      <c r="B50" s="845"/>
      <c r="C50" s="150" t="s">
        <v>233</v>
      </c>
      <c r="D50" s="150" t="s">
        <v>279</v>
      </c>
    </row>
    <row r="51" spans="1:8" x14ac:dyDescent="0.25">
      <c r="B51" s="844" t="s">
        <v>283</v>
      </c>
      <c r="C51" s="133">
        <f>10/$K$1</f>
        <v>10</v>
      </c>
      <c r="D51" s="134">
        <f>$C$1*10</f>
        <v>10000</v>
      </c>
    </row>
    <row r="52" spans="1:8" x14ac:dyDescent="0.25">
      <c r="B52" s="846" t="s">
        <v>257</v>
      </c>
      <c r="C52" s="157">
        <f>G1</f>
        <v>9.0434999999999999</v>
      </c>
      <c r="D52" s="157">
        <f>E1</f>
        <v>9043.5</v>
      </c>
    </row>
    <row r="53" spans="1:8" x14ac:dyDescent="0.25">
      <c r="B53" s="846" t="s">
        <v>284</v>
      </c>
      <c r="C53" s="158">
        <f>MIN($C$52, $C$51)</f>
        <v>9.0434999999999999</v>
      </c>
      <c r="D53" s="157">
        <f>(C53*$K$1)*$C$1</f>
        <v>9043.5</v>
      </c>
    </row>
    <row r="54" spans="1:8" x14ac:dyDescent="0.25">
      <c r="B54" s="846" t="s">
        <v>285</v>
      </c>
      <c r="C54" s="158">
        <f>MIN(MAX($C$52-C53,0),$C$51)</f>
        <v>0</v>
      </c>
      <c r="D54" s="157">
        <f>(C54*$K$1)*$C$1</f>
        <v>0</v>
      </c>
    </row>
    <row r="55" spans="1:8" x14ac:dyDescent="0.25">
      <c r="B55" s="846" t="s">
        <v>286</v>
      </c>
      <c r="C55" s="158">
        <f>MIN(MAX($C$52-C53-C54,0),$C$51)</f>
        <v>0</v>
      </c>
      <c r="D55" s="157">
        <f>(C55*$K$1)*$C$1</f>
        <v>0</v>
      </c>
    </row>
    <row r="63" spans="1:8" x14ac:dyDescent="0.25">
      <c r="A63" s="867"/>
      <c r="B63" s="1871" t="s">
        <v>857</v>
      </c>
      <c r="C63" s="1880"/>
      <c r="D63" s="1880"/>
      <c r="E63" s="1880"/>
      <c r="F63" s="1880"/>
      <c r="G63" s="1880"/>
      <c r="H63" s="1880"/>
    </row>
    <row r="64" spans="1:8" ht="22.5" customHeight="1" x14ac:dyDescent="0.25">
      <c r="A64" s="867"/>
      <c r="B64" s="1872" t="s">
        <v>858</v>
      </c>
      <c r="C64" s="1883"/>
      <c r="D64" s="1883"/>
      <c r="E64" s="1883"/>
      <c r="F64" s="1883"/>
      <c r="G64" s="1883"/>
      <c r="H64" s="1883"/>
    </row>
    <row r="65" spans="1:8" ht="38.25" x14ac:dyDescent="0.2">
      <c r="A65" s="1350" t="s">
        <v>864</v>
      </c>
      <c r="B65" s="1104" t="s">
        <v>241</v>
      </c>
      <c r="C65" s="934" t="s">
        <v>242</v>
      </c>
      <c r="D65" s="1104" t="s">
        <v>231</v>
      </c>
      <c r="E65" s="936" t="s">
        <v>234</v>
      </c>
      <c r="F65" s="936" t="s">
        <v>243</v>
      </c>
      <c r="G65" s="1104" t="s">
        <v>244</v>
      </c>
      <c r="H65" s="936" t="s">
        <v>245</v>
      </c>
    </row>
    <row r="66" spans="1:8" x14ac:dyDescent="0.25">
      <c r="B66" s="1252" t="str">
        <f>B5</f>
        <v>Butter - زبدة</v>
      </c>
      <c r="C66" s="947" t="str">
        <f>C5</f>
        <v>gm</v>
      </c>
      <c r="D66" s="1617">
        <f>D5</f>
        <v>55</v>
      </c>
      <c r="E66" s="1615">
        <f>$C$52</f>
        <v>9.0434999999999999</v>
      </c>
      <c r="F66" s="1616">
        <f>F5</f>
        <v>1</v>
      </c>
      <c r="G66" s="940">
        <f t="shared" ref="G66:G76" si="7">D66*E66</f>
        <v>497.39249999999998</v>
      </c>
      <c r="H66" s="1617">
        <f t="shared" ref="H66:H76" si="8">G66*F66</f>
        <v>497.39249999999998</v>
      </c>
    </row>
    <row r="67" spans="1:8" x14ac:dyDescent="0.25">
      <c r="A67" s="949" t="s">
        <v>1005</v>
      </c>
      <c r="B67" s="1252" t="str">
        <f t="shared" ref="B67:D77" si="9">B6</f>
        <v>Garlic - ثوم مقشر</v>
      </c>
      <c r="C67" s="947" t="str">
        <f t="shared" si="9"/>
        <v>gm</v>
      </c>
      <c r="D67" s="1617">
        <f t="shared" si="9"/>
        <v>33.030553261767139</v>
      </c>
      <c r="E67" s="1615">
        <f t="shared" ref="E67:E77" si="10">$C$52</f>
        <v>9.0434999999999999</v>
      </c>
      <c r="F67" s="1616">
        <f t="shared" ref="F67:F77" si="11">F6</f>
        <v>1</v>
      </c>
      <c r="G67" s="940">
        <f t="shared" si="7"/>
        <v>298.71180842279114</v>
      </c>
      <c r="H67" s="1617">
        <f t="shared" si="8"/>
        <v>298.71180842279114</v>
      </c>
    </row>
    <row r="68" spans="1:8" x14ac:dyDescent="0.25">
      <c r="A68" s="949"/>
      <c r="B68" s="1252" t="str">
        <f t="shared" si="9"/>
        <v>Light Soy Sauce - صويا صوص خفيف</v>
      </c>
      <c r="C68" s="947" t="str">
        <f t="shared" si="9"/>
        <v>gm</v>
      </c>
      <c r="D68" s="1617">
        <f t="shared" si="9"/>
        <v>150</v>
      </c>
      <c r="E68" s="1615">
        <f t="shared" si="10"/>
        <v>9.0434999999999999</v>
      </c>
      <c r="F68" s="1616">
        <f t="shared" si="11"/>
        <v>1</v>
      </c>
      <c r="G68" s="940">
        <f t="shared" si="7"/>
        <v>1356.5250000000001</v>
      </c>
      <c r="H68" s="1617">
        <f t="shared" si="8"/>
        <v>1356.5250000000001</v>
      </c>
    </row>
    <row r="69" spans="1:8" x14ac:dyDescent="0.25">
      <c r="A69" s="949"/>
      <c r="B69" s="1252" t="str">
        <f t="shared" si="9"/>
        <v xml:space="preserve">Soy Sauce - صلصة الصويا  </v>
      </c>
      <c r="C69" s="947" t="str">
        <f t="shared" si="9"/>
        <v>gm</v>
      </c>
      <c r="D69" s="1617">
        <f t="shared" si="9"/>
        <v>49.545829892650701</v>
      </c>
      <c r="E69" s="1615">
        <f t="shared" si="10"/>
        <v>9.0434999999999999</v>
      </c>
      <c r="F69" s="1616">
        <f t="shared" si="11"/>
        <v>1</v>
      </c>
      <c r="G69" s="940">
        <f t="shared" si="7"/>
        <v>448.06771263418659</v>
      </c>
      <c r="H69" s="1617">
        <f t="shared" si="8"/>
        <v>448.06771263418659</v>
      </c>
    </row>
    <row r="70" spans="1:8" x14ac:dyDescent="0.25">
      <c r="A70" s="949"/>
      <c r="B70" s="1252" t="str">
        <f t="shared" si="9"/>
        <v>Oyster Sauce - صوص محار</v>
      </c>
      <c r="C70" s="947" t="str">
        <f t="shared" si="9"/>
        <v>gm</v>
      </c>
      <c r="D70" s="1617">
        <f t="shared" si="9"/>
        <v>99.091659785301403</v>
      </c>
      <c r="E70" s="1615">
        <f t="shared" si="10"/>
        <v>9.0434999999999999</v>
      </c>
      <c r="F70" s="1616">
        <f t="shared" si="11"/>
        <v>1</v>
      </c>
      <c r="G70" s="940">
        <f t="shared" si="7"/>
        <v>896.13542526837318</v>
      </c>
      <c r="H70" s="1617">
        <f t="shared" si="8"/>
        <v>896.13542526837318</v>
      </c>
    </row>
    <row r="71" spans="1:8" x14ac:dyDescent="0.25">
      <c r="A71" s="949"/>
      <c r="B71" s="1252" t="str">
        <f t="shared" si="9"/>
        <v>Brown Sugar - سكر بني</v>
      </c>
      <c r="C71" s="947" t="str">
        <f t="shared" si="9"/>
        <v>gm</v>
      </c>
      <c r="D71" s="1617">
        <f t="shared" si="9"/>
        <v>33.030553261767139</v>
      </c>
      <c r="E71" s="1615">
        <f t="shared" si="10"/>
        <v>9.0434999999999999</v>
      </c>
      <c r="F71" s="1616">
        <f t="shared" si="11"/>
        <v>1</v>
      </c>
      <c r="G71" s="940">
        <f t="shared" si="7"/>
        <v>298.71180842279114</v>
      </c>
      <c r="H71" s="1617">
        <f t="shared" si="8"/>
        <v>298.71180842279114</v>
      </c>
    </row>
    <row r="72" spans="1:8" x14ac:dyDescent="0.25">
      <c r="A72" s="949"/>
      <c r="B72" s="1252" t="str">
        <f t="shared" si="9"/>
        <v>White Pepper - فلفل أبيض</v>
      </c>
      <c r="C72" s="947" t="str">
        <f t="shared" si="9"/>
        <v>gm</v>
      </c>
      <c r="D72" s="1617">
        <f t="shared" si="9"/>
        <v>8.2576383154417847</v>
      </c>
      <c r="E72" s="1615">
        <f t="shared" si="10"/>
        <v>9.0434999999999999</v>
      </c>
      <c r="F72" s="1616">
        <f t="shared" si="11"/>
        <v>1</v>
      </c>
      <c r="G72" s="940">
        <f t="shared" si="7"/>
        <v>74.677952105697784</v>
      </c>
      <c r="H72" s="1617">
        <f t="shared" si="8"/>
        <v>74.677952105697784</v>
      </c>
    </row>
    <row r="73" spans="1:8" x14ac:dyDescent="0.25">
      <c r="A73" s="949"/>
      <c r="B73" s="1252" t="str">
        <f t="shared" si="9"/>
        <v>Chicken Stock Powder - بودرة مرق دجاج</v>
      </c>
      <c r="C73" s="947" t="str">
        <f t="shared" si="9"/>
        <v>gm</v>
      </c>
      <c r="D73" s="1617">
        <f t="shared" si="9"/>
        <v>30</v>
      </c>
      <c r="E73" s="1615">
        <f t="shared" si="10"/>
        <v>9.0434999999999999</v>
      </c>
      <c r="F73" s="1616">
        <f t="shared" si="11"/>
        <v>1</v>
      </c>
      <c r="G73" s="940">
        <f t="shared" si="7"/>
        <v>271.30500000000001</v>
      </c>
      <c r="H73" s="1617">
        <f t="shared" si="8"/>
        <v>271.30500000000001</v>
      </c>
    </row>
    <row r="74" spans="1:8" x14ac:dyDescent="0.25">
      <c r="A74" s="949" t="s">
        <v>1006</v>
      </c>
      <c r="B74" s="1252" t="str">
        <f t="shared" si="9"/>
        <v>White Cabbage - ملفوف أبيض</v>
      </c>
      <c r="C74" s="947" t="str">
        <f t="shared" si="9"/>
        <v>gm</v>
      </c>
      <c r="D74" s="1617">
        <f t="shared" si="9"/>
        <v>330.30553261767142</v>
      </c>
      <c r="E74" s="1615">
        <f t="shared" si="10"/>
        <v>9.0434999999999999</v>
      </c>
      <c r="F74" s="1616">
        <f t="shared" si="11"/>
        <v>1</v>
      </c>
      <c r="G74" s="940">
        <f t="shared" si="7"/>
        <v>2987.1180842279114</v>
      </c>
      <c r="H74" s="1617">
        <f t="shared" si="8"/>
        <v>2987.1180842279114</v>
      </c>
    </row>
    <row r="75" spans="1:8" x14ac:dyDescent="0.25">
      <c r="A75" s="949" t="s">
        <v>1007</v>
      </c>
      <c r="B75" s="1252" t="str">
        <f t="shared" si="9"/>
        <v>Carrot - جزر</v>
      </c>
      <c r="C75" s="947" t="str">
        <f t="shared" si="9"/>
        <v>gm</v>
      </c>
      <c r="D75" s="1617">
        <f t="shared" si="9"/>
        <v>247.72914946325355</v>
      </c>
      <c r="E75" s="1615">
        <f t="shared" si="10"/>
        <v>9.0434999999999999</v>
      </c>
      <c r="F75" s="1616">
        <f t="shared" si="11"/>
        <v>1</v>
      </c>
      <c r="G75" s="940">
        <f t="shared" si="7"/>
        <v>2240.3385631709334</v>
      </c>
      <c r="H75" s="1617">
        <f t="shared" si="8"/>
        <v>2240.3385631709334</v>
      </c>
    </row>
    <row r="76" spans="1:8" x14ac:dyDescent="0.25">
      <c r="A76" s="949" t="s">
        <v>1008</v>
      </c>
      <c r="B76" s="1252" t="str">
        <f t="shared" si="9"/>
        <v>Onion - بصل</v>
      </c>
      <c r="C76" s="947" t="str">
        <f t="shared" si="9"/>
        <v>gm</v>
      </c>
      <c r="D76" s="1617">
        <f t="shared" si="9"/>
        <v>165.15276630883571</v>
      </c>
      <c r="E76" s="1615">
        <f t="shared" si="10"/>
        <v>9.0434999999999999</v>
      </c>
      <c r="F76" s="1616">
        <f t="shared" si="11"/>
        <v>1</v>
      </c>
      <c r="G76" s="940">
        <f t="shared" si="7"/>
        <v>1493.5590421139557</v>
      </c>
      <c r="H76" s="1617">
        <f t="shared" si="8"/>
        <v>1493.5590421139557</v>
      </c>
    </row>
    <row r="77" spans="1:8" x14ac:dyDescent="0.25">
      <c r="B77" s="1252" t="str">
        <f t="shared" si="9"/>
        <v>Water - ماء</v>
      </c>
      <c r="C77" s="947" t="str">
        <f t="shared" si="9"/>
        <v>ml</v>
      </c>
      <c r="D77" s="1617">
        <f t="shared" si="9"/>
        <v>200</v>
      </c>
      <c r="E77" s="1615">
        <f t="shared" si="10"/>
        <v>9.0434999999999999</v>
      </c>
      <c r="F77" s="1616">
        <f t="shared" si="11"/>
        <v>1</v>
      </c>
      <c r="G77" s="940">
        <f t="shared" ref="G77" si="12">D77*E77</f>
        <v>1808.7</v>
      </c>
      <c r="H77" s="1617">
        <f t="shared" ref="H77" si="13">G77*F77</f>
        <v>1808.7</v>
      </c>
    </row>
    <row r="78" spans="1:8" ht="15.75" x14ac:dyDescent="0.25">
      <c r="B78" s="1622" t="s">
        <v>686</v>
      </c>
      <c r="C78" s="952"/>
      <c r="D78" s="952"/>
      <c r="E78" s="1208"/>
      <c r="F78" s="1208"/>
      <c r="G78" s="952"/>
      <c r="H78" s="952"/>
    </row>
    <row r="79" spans="1:8" ht="20.25" x14ac:dyDescent="0.3">
      <c r="B79" s="1048">
        <f>D52</f>
        <v>9043.5</v>
      </c>
      <c r="C79" s="1346"/>
      <c r="D79" s="1672"/>
      <c r="E79" s="1208"/>
      <c r="F79" s="1348"/>
      <c r="G79" s="952"/>
      <c r="H79" s="952"/>
    </row>
    <row r="80" spans="1:8" x14ac:dyDescent="0.25">
      <c r="B80" s="80"/>
      <c r="E80" s="80"/>
      <c r="F80" s="80"/>
    </row>
    <row r="81" spans="1:8" x14ac:dyDescent="0.25">
      <c r="B81" s="80"/>
      <c r="C81" s="80"/>
      <c r="D81" s="225"/>
      <c r="E81" s="80"/>
      <c r="F81" s="80"/>
      <c r="G81" s="80"/>
      <c r="H81" s="80"/>
    </row>
    <row r="83" spans="1:8" ht="18" x14ac:dyDescent="0.25">
      <c r="A83" s="887"/>
      <c r="B83" s="1819"/>
      <c r="C83" s="1820"/>
      <c r="D83" s="1820"/>
      <c r="E83" s="1820"/>
      <c r="F83" s="1820"/>
      <c r="G83" s="1820"/>
      <c r="H83" s="1820"/>
    </row>
    <row r="84" spans="1:8" ht="18" x14ac:dyDescent="0.25">
      <c r="A84" s="887"/>
      <c r="B84" s="799"/>
      <c r="C84" s="432"/>
      <c r="D84" s="432"/>
      <c r="E84" s="432"/>
      <c r="F84" s="432"/>
      <c r="G84" s="432"/>
      <c r="H84" s="432"/>
    </row>
    <row r="85" spans="1:8" x14ac:dyDescent="0.2">
      <c r="A85" s="888"/>
      <c r="B85" s="613"/>
      <c r="C85" s="614"/>
      <c r="D85" s="613"/>
      <c r="E85" s="615"/>
      <c r="F85" s="615"/>
      <c r="G85" s="613"/>
      <c r="H85" s="615"/>
    </row>
    <row r="86" spans="1:8" x14ac:dyDescent="0.25">
      <c r="A86" s="887"/>
      <c r="B86" s="616"/>
      <c r="C86" s="616"/>
      <c r="D86" s="621"/>
      <c r="E86" s="622"/>
      <c r="F86" s="618"/>
      <c r="G86" s="619"/>
      <c r="H86" s="620"/>
    </row>
    <row r="87" spans="1:8" x14ac:dyDescent="0.25">
      <c r="A87" s="887"/>
      <c r="B87" s="616"/>
      <c r="C87" s="616"/>
      <c r="D87" s="621"/>
      <c r="E87" s="622"/>
      <c r="F87" s="618"/>
      <c r="G87" s="619"/>
      <c r="H87" s="620"/>
    </row>
    <row r="88" spans="1:8" x14ac:dyDescent="0.25">
      <c r="A88" s="887"/>
      <c r="B88" s="616"/>
      <c r="C88" s="616"/>
      <c r="D88" s="621"/>
      <c r="E88" s="622"/>
      <c r="F88" s="618"/>
      <c r="G88" s="619"/>
      <c r="H88" s="620"/>
    </row>
    <row r="89" spans="1:8" x14ac:dyDescent="0.25">
      <c r="A89" s="887"/>
      <c r="B89" s="616"/>
      <c r="C89" s="616"/>
      <c r="D89" s="621"/>
      <c r="E89" s="622"/>
      <c r="F89" s="618"/>
      <c r="G89" s="619"/>
      <c r="H89" s="620"/>
    </row>
    <row r="90" spans="1:8" x14ac:dyDescent="0.25">
      <c r="A90" s="887"/>
      <c r="B90" s="616"/>
      <c r="C90" s="616"/>
      <c r="D90" s="621"/>
      <c r="E90" s="622"/>
      <c r="F90" s="618"/>
      <c r="G90" s="619"/>
      <c r="H90" s="620"/>
    </row>
    <row r="91" spans="1:8" x14ac:dyDescent="0.25">
      <c r="A91" s="887"/>
      <c r="B91" s="616"/>
      <c r="C91" s="616"/>
      <c r="D91" s="621"/>
      <c r="E91" s="622"/>
      <c r="F91" s="618"/>
      <c r="G91" s="619"/>
      <c r="H91" s="620"/>
    </row>
    <row r="92" spans="1:8" x14ac:dyDescent="0.25">
      <c r="A92" s="887"/>
      <c r="B92" s="616"/>
      <c r="C92" s="616"/>
      <c r="D92" s="621"/>
      <c r="E92" s="622"/>
      <c r="F92" s="618"/>
      <c r="G92" s="619"/>
      <c r="H92" s="620"/>
    </row>
    <row r="93" spans="1:8" x14ac:dyDescent="0.25">
      <c r="A93" s="887"/>
      <c r="B93" s="616"/>
      <c r="C93" s="616"/>
      <c r="D93" s="621"/>
      <c r="E93" s="622"/>
      <c r="F93" s="618"/>
      <c r="G93" s="619"/>
      <c r="H93" s="620"/>
    </row>
    <row r="94" spans="1:8" x14ac:dyDescent="0.25">
      <c r="A94" s="887"/>
      <c r="B94" s="616"/>
      <c r="C94" s="616"/>
      <c r="D94" s="623"/>
      <c r="E94" s="622"/>
      <c r="F94" s="618"/>
      <c r="G94" s="619"/>
      <c r="H94" s="620"/>
    </row>
    <row r="95" spans="1:8" ht="15.75" x14ac:dyDescent="0.25">
      <c r="A95" s="887"/>
      <c r="B95" s="452"/>
      <c r="C95" s="437"/>
      <c r="D95" s="437"/>
      <c r="E95" s="431"/>
      <c r="F95" s="431"/>
      <c r="G95" s="437"/>
      <c r="H95" s="437"/>
    </row>
    <row r="96" spans="1:8" ht="20.25" x14ac:dyDescent="0.3">
      <c r="A96" s="887"/>
      <c r="B96" s="453"/>
      <c r="C96" s="454"/>
      <c r="D96" s="624"/>
      <c r="E96" s="431"/>
      <c r="F96" s="625"/>
      <c r="G96" s="437"/>
      <c r="H96" s="437"/>
    </row>
    <row r="97" spans="1:8" x14ac:dyDescent="0.25">
      <c r="A97" s="887"/>
      <c r="B97" s="431"/>
      <c r="C97" s="431"/>
      <c r="D97" s="431"/>
      <c r="E97" s="431"/>
      <c r="F97" s="431"/>
      <c r="G97" s="431"/>
      <c r="H97" s="431"/>
    </row>
    <row r="98" spans="1:8" ht="18" x14ac:dyDescent="0.25">
      <c r="A98" s="887"/>
      <c r="B98" s="1819"/>
      <c r="C98" s="1820"/>
      <c r="D98" s="1820"/>
      <c r="E98" s="1820"/>
      <c r="F98" s="1820"/>
      <c r="G98" s="1820"/>
      <c r="H98" s="1820"/>
    </row>
    <row r="99" spans="1:8" ht="18" x14ac:dyDescent="0.25">
      <c r="A99" s="887"/>
      <c r="B99" s="1819"/>
      <c r="C99" s="1820"/>
      <c r="D99" s="1820"/>
      <c r="E99" s="1820"/>
      <c r="F99" s="1820"/>
      <c r="G99" s="1820"/>
      <c r="H99" s="1820"/>
    </row>
    <row r="100" spans="1:8" x14ac:dyDescent="0.2">
      <c r="A100" s="888"/>
      <c r="B100" s="613"/>
      <c r="C100" s="614"/>
      <c r="D100" s="613"/>
      <c r="E100" s="615"/>
      <c r="F100" s="615"/>
      <c r="G100" s="613"/>
      <c r="H100" s="615"/>
    </row>
    <row r="101" spans="1:8" x14ac:dyDescent="0.25">
      <c r="A101" s="887"/>
      <c r="B101" s="616"/>
      <c r="C101" s="616"/>
      <c r="D101" s="616"/>
      <c r="E101" s="617"/>
      <c r="F101" s="618"/>
      <c r="G101" s="619"/>
      <c r="H101" s="620"/>
    </row>
    <row r="102" spans="1:8" x14ac:dyDescent="0.25">
      <c r="A102" s="887"/>
      <c r="B102" s="616"/>
      <c r="C102" s="616"/>
      <c r="D102" s="616"/>
      <c r="E102" s="617"/>
      <c r="F102" s="618"/>
      <c r="G102" s="619"/>
      <c r="H102" s="620"/>
    </row>
    <row r="103" spans="1:8" x14ac:dyDescent="0.25">
      <c r="A103" s="887"/>
      <c r="B103" s="616"/>
      <c r="C103" s="616"/>
      <c r="D103" s="616"/>
      <c r="E103" s="617"/>
      <c r="F103" s="618"/>
      <c r="G103" s="619"/>
      <c r="H103" s="620"/>
    </row>
    <row r="104" spans="1:8" x14ac:dyDescent="0.25">
      <c r="A104" s="887"/>
      <c r="B104" s="616"/>
      <c r="C104" s="616"/>
      <c r="D104" s="616"/>
      <c r="E104" s="617"/>
      <c r="F104" s="618"/>
      <c r="G104" s="619"/>
      <c r="H104" s="620"/>
    </row>
    <row r="105" spans="1:8" x14ac:dyDescent="0.25">
      <c r="A105" s="887"/>
      <c r="B105" s="616"/>
      <c r="C105" s="616"/>
      <c r="D105" s="616"/>
      <c r="E105" s="617"/>
      <c r="F105" s="618"/>
      <c r="G105" s="619"/>
      <c r="H105" s="620"/>
    </row>
    <row r="106" spans="1:8" x14ac:dyDescent="0.25">
      <c r="A106" s="887"/>
      <c r="B106" s="616"/>
      <c r="C106" s="616"/>
      <c r="D106" s="616"/>
      <c r="E106" s="617"/>
      <c r="F106" s="618"/>
      <c r="G106" s="619"/>
      <c r="H106" s="620"/>
    </row>
  </sheetData>
  <mergeCells count="9">
    <mergeCell ref="B83:H83"/>
    <mergeCell ref="B98:H98"/>
    <mergeCell ref="B99:H99"/>
    <mergeCell ref="B2:H3"/>
    <mergeCell ref="AE2:AG3"/>
    <mergeCell ref="R25:T25"/>
    <mergeCell ref="R26:T26"/>
    <mergeCell ref="B63:H63"/>
    <mergeCell ref="B64:H64"/>
  </mergeCells>
  <printOptions horizontalCentered="1"/>
  <pageMargins left="0.4" right="0.4" top="1" bottom="0.5" header="0.3" footer="0.511811023622047"/>
  <pageSetup paperSize="9" scale="48" fitToHeight="0" orientation="landscape"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rgb="FFFFFF00"/>
    <pageSetUpPr fitToPage="1"/>
  </sheetPr>
  <dimension ref="A1:AG127"/>
  <sheetViews>
    <sheetView topLeftCell="A30" zoomScale="70" zoomScaleNormal="70" workbookViewId="0">
      <selection activeCell="R20" sqref="R20"/>
    </sheetView>
  </sheetViews>
  <sheetFormatPr defaultColWidth="12.5" defaultRowHeight="15" x14ac:dyDescent="0.25"/>
  <cols>
    <col min="1" max="1" width="16.75" style="61" bestFit="1" customWidth="1"/>
    <col min="2" max="2" width="26" style="14" bestFit="1" customWidth="1"/>
    <col min="3" max="3" width="16.375" style="14" bestFit="1" customWidth="1"/>
    <col min="4" max="4" width="17.75" style="14" bestFit="1" customWidth="1"/>
    <col min="5" max="5" width="15.375" style="14" bestFit="1" customWidth="1"/>
    <col min="6" max="6" width="15.5" style="14" bestFit="1" customWidth="1"/>
    <col min="7" max="7" width="21.75" style="14" bestFit="1" customWidth="1"/>
    <col min="8" max="8" width="39" style="14" bestFit="1" customWidth="1"/>
    <col min="9" max="9" width="6.25" style="14" customWidth="1"/>
    <col min="10" max="10" width="9.25" style="14" bestFit="1" customWidth="1"/>
    <col min="11" max="11" width="7.625" style="14" bestFit="1" customWidth="1"/>
    <col min="12" max="12" width="8" style="14" bestFit="1" customWidth="1"/>
    <col min="13" max="13" width="6.25" style="14" customWidth="1"/>
    <col min="14" max="14" width="8" style="14" bestFit="1" customWidth="1"/>
    <col min="15" max="15" width="10.125" style="14" bestFit="1" customWidth="1"/>
    <col min="16" max="17" width="6.25" style="14" customWidth="1"/>
    <col min="18" max="18" width="15" style="14" bestFit="1" customWidth="1"/>
    <col min="19" max="19" width="16.875" style="14" bestFit="1" customWidth="1"/>
    <col min="20" max="20" width="7.75" style="14" bestFit="1" customWidth="1"/>
    <col min="21" max="24" width="12.5" style="14"/>
    <col min="25" max="25" width="7.75" style="14" bestFit="1" customWidth="1"/>
    <col min="26" max="26" width="6.875" style="14" bestFit="1" customWidth="1"/>
    <col min="27" max="27" width="7.25" style="14" bestFit="1" customWidth="1"/>
    <col min="28" max="28" width="6" style="14" bestFit="1" customWidth="1"/>
    <col min="29" max="29" width="7.125" style="14" bestFit="1" customWidth="1"/>
    <col min="30" max="30" width="4.75" style="14" bestFit="1" customWidth="1"/>
    <col min="31" max="16384" width="12.5" style="14"/>
  </cols>
  <sheetData>
    <row r="1" spans="1:33" ht="25.5" x14ac:dyDescent="0.25">
      <c r="B1" s="843" t="s">
        <v>231</v>
      </c>
      <c r="C1" s="63">
        <v>1000</v>
      </c>
      <c r="D1" s="64" t="s">
        <v>232</v>
      </c>
      <c r="E1" s="84">
        <f>S30</f>
        <v>24660</v>
      </c>
      <c r="F1" s="62" t="s">
        <v>233</v>
      </c>
      <c r="G1" s="234">
        <f>E1/C1</f>
        <v>24.66</v>
      </c>
      <c r="H1" s="62" t="s">
        <v>234</v>
      </c>
      <c r="I1" s="84">
        <f>G1/K1</f>
        <v>24.415841584158414</v>
      </c>
      <c r="J1" s="209" t="s">
        <v>235</v>
      </c>
      <c r="K1" s="210">
        <v>1.01</v>
      </c>
      <c r="L1" s="209" t="s">
        <v>779</v>
      </c>
      <c r="M1" s="80"/>
      <c r="N1" s="209" t="s">
        <v>780</v>
      </c>
      <c r="O1" s="80">
        <v>0.91089108910891092</v>
      </c>
      <c r="P1" s="80"/>
      <c r="Q1" s="80"/>
      <c r="R1" s="80"/>
      <c r="S1" s="80"/>
      <c r="T1" s="80"/>
      <c r="U1" s="80"/>
      <c r="V1" s="80"/>
      <c r="Y1" s="72" t="s">
        <v>444</v>
      </c>
      <c r="Z1" s="422">
        <v>24660</v>
      </c>
      <c r="AA1" s="72" t="s">
        <v>544</v>
      </c>
      <c r="AB1" s="422">
        <v>0</v>
      </c>
      <c r="AC1" s="72" t="s">
        <v>537</v>
      </c>
      <c r="AD1" s="422">
        <v>175</v>
      </c>
    </row>
    <row r="2" spans="1:33" x14ac:dyDescent="0.25">
      <c r="A2" s="863"/>
      <c r="B2" s="1828" t="s">
        <v>342</v>
      </c>
      <c r="C2" s="1865"/>
      <c r="D2" s="1865"/>
      <c r="E2" s="1865"/>
      <c r="F2" s="1865"/>
      <c r="G2" s="1865"/>
      <c r="H2" s="1865"/>
      <c r="I2" s="80"/>
      <c r="J2" s="80"/>
      <c r="K2" s="80"/>
      <c r="L2" s="80"/>
      <c r="M2" s="80"/>
      <c r="N2" s="80"/>
      <c r="O2" s="80"/>
      <c r="P2" s="80"/>
      <c r="Q2" s="80"/>
      <c r="R2" s="80"/>
      <c r="S2" s="80"/>
      <c r="T2" s="80"/>
      <c r="U2" s="80"/>
      <c r="AE2" s="1821"/>
      <c r="AF2" s="1799"/>
      <c r="AG2" s="1799"/>
    </row>
    <row r="3" spans="1:33" x14ac:dyDescent="0.25">
      <c r="A3" s="863"/>
      <c r="B3" s="1796"/>
      <c r="C3" s="1796"/>
      <c r="D3" s="1796"/>
      <c r="E3" s="1796"/>
      <c r="F3" s="1796"/>
      <c r="G3" s="1796"/>
      <c r="H3" s="1796"/>
      <c r="I3" s="80"/>
      <c r="J3" s="80"/>
      <c r="K3" s="80"/>
      <c r="L3" s="80"/>
      <c r="M3" s="80"/>
      <c r="N3" s="80"/>
      <c r="O3" s="80"/>
      <c r="P3" s="80"/>
      <c r="Q3" s="80"/>
      <c r="R3" s="80"/>
      <c r="S3" s="80"/>
      <c r="T3" s="80"/>
      <c r="U3" s="80"/>
      <c r="AE3" s="1799"/>
      <c r="AF3" s="1799"/>
      <c r="AG3" s="1799"/>
    </row>
    <row r="4" spans="1:33" ht="63.75" x14ac:dyDescent="0.2">
      <c r="A4" s="1350" t="s">
        <v>864</v>
      </c>
      <c r="B4" s="923" t="s">
        <v>241</v>
      </c>
      <c r="C4" s="934" t="s">
        <v>242</v>
      </c>
      <c r="D4" s="923" t="s">
        <v>231</v>
      </c>
      <c r="E4" s="936" t="s">
        <v>234</v>
      </c>
      <c r="F4" s="935" t="s">
        <v>243</v>
      </c>
      <c r="G4" s="923" t="s">
        <v>244</v>
      </c>
      <c r="H4" s="934" t="s">
        <v>334</v>
      </c>
      <c r="I4" s="923" t="s">
        <v>246</v>
      </c>
      <c r="J4" s="923" t="s">
        <v>247</v>
      </c>
      <c r="K4" s="923" t="s">
        <v>248</v>
      </c>
      <c r="L4" s="923" t="s">
        <v>249</v>
      </c>
      <c r="M4" s="80"/>
      <c r="N4" s="80"/>
      <c r="O4" s="80"/>
      <c r="P4" s="80"/>
      <c r="Q4" s="80"/>
      <c r="R4" s="80"/>
      <c r="S4" s="80"/>
      <c r="T4" s="80"/>
      <c r="U4" s="80"/>
    </row>
    <row r="5" spans="1:33" x14ac:dyDescent="0.2">
      <c r="A5" s="1067"/>
      <c r="B5" s="1281"/>
      <c r="C5" s="1673"/>
      <c r="D5" s="1281"/>
      <c r="E5" s="1623"/>
      <c r="F5" s="1281"/>
      <c r="G5" s="1281"/>
      <c r="H5" s="1673"/>
      <c r="I5" s="914"/>
      <c r="J5" s="940"/>
      <c r="K5" s="945"/>
      <c r="L5" s="945"/>
    </row>
    <row r="6" spans="1:33" x14ac:dyDescent="0.25">
      <c r="A6" s="949"/>
      <c r="B6" s="1252" t="s">
        <v>21</v>
      </c>
      <c r="C6" s="947" t="s">
        <v>14</v>
      </c>
      <c r="D6" s="1615">
        <f>1175/O1</f>
        <v>1289.945652173913</v>
      </c>
      <c r="E6" s="1615">
        <f t="shared" ref="E6:E12" si="0">$I$1</f>
        <v>24.415841584158414</v>
      </c>
      <c r="F6" s="1616">
        <v>1</v>
      </c>
      <c r="G6" s="940">
        <f t="shared" ref="G6:G12" si="1">D6*E6</f>
        <v>31495.108695652172</v>
      </c>
      <c r="H6" s="1617">
        <f t="shared" ref="H6:H12" si="2">G6*F6</f>
        <v>31495.108695652172</v>
      </c>
      <c r="I6" s="914">
        <f>VLOOKUP(B6,All_Ingredients!$A$1:$F$161,6,FALSE())</f>
        <v>0.9</v>
      </c>
      <c r="J6" s="940">
        <f>VLOOKUP(B6,All_Ingredients!$A$1:$J$161,10,FALSE())</f>
        <v>2.2999999999999998</v>
      </c>
      <c r="K6" s="945">
        <f t="shared" ref="K6" si="3">(H6/I6)/1000</f>
        <v>34.994565217391305</v>
      </c>
      <c r="L6" s="945">
        <f t="shared" ref="L6" si="4">K6*J6</f>
        <v>80.487499999999997</v>
      </c>
    </row>
    <row r="7" spans="1:33" x14ac:dyDescent="0.25">
      <c r="A7" s="949"/>
      <c r="B7" s="1252" t="s">
        <v>54</v>
      </c>
      <c r="C7" s="947" t="s">
        <v>14</v>
      </c>
      <c r="D7" s="1615">
        <v>10</v>
      </c>
      <c r="E7" s="1615">
        <f t="shared" si="0"/>
        <v>24.415841584158414</v>
      </c>
      <c r="F7" s="1616">
        <v>1</v>
      </c>
      <c r="G7" s="940">
        <f t="shared" si="1"/>
        <v>244.15841584158414</v>
      </c>
      <c r="H7" s="1617">
        <f t="shared" si="2"/>
        <v>244.15841584158414</v>
      </c>
      <c r="I7" s="914">
        <f>VLOOKUP(B7,All_Ingredients!$A$1:$F$161,6,FALSE())</f>
        <v>0.87</v>
      </c>
      <c r="J7" s="940">
        <f>VLOOKUP(B7,All_Ingredients!$A$1:$J$161,10,FALSE())</f>
        <v>7</v>
      </c>
      <c r="K7" s="945">
        <f t="shared" ref="K7:K12" si="5">(H7/I7)/1000</f>
        <v>0.28064185728917718</v>
      </c>
      <c r="L7" s="945">
        <f t="shared" ref="L7:L12" si="6">K7*J7</f>
        <v>1.9644930010242403</v>
      </c>
    </row>
    <row r="8" spans="1:33" x14ac:dyDescent="0.25">
      <c r="A8" s="949"/>
      <c r="B8" s="1252" t="s">
        <v>60</v>
      </c>
      <c r="C8" s="947" t="s">
        <v>14</v>
      </c>
      <c r="D8" s="1615">
        <v>5</v>
      </c>
      <c r="E8" s="1615">
        <f t="shared" si="0"/>
        <v>24.415841584158414</v>
      </c>
      <c r="F8" s="1616">
        <v>1</v>
      </c>
      <c r="G8" s="940">
        <f t="shared" si="1"/>
        <v>122.07920792079207</v>
      </c>
      <c r="H8" s="1617">
        <f t="shared" si="2"/>
        <v>122.07920792079207</v>
      </c>
      <c r="I8" s="914">
        <f>VLOOKUP(B8,All_Ingredients!$A$1:$F$161,6,FALSE())</f>
        <v>0.94</v>
      </c>
      <c r="J8" s="940">
        <f>VLOOKUP(B8,All_Ingredients!$A$1:$J$161,10,FALSE())</f>
        <v>3.6363636363636367</v>
      </c>
      <c r="K8" s="945">
        <f t="shared" si="5"/>
        <v>0.12987149778807669</v>
      </c>
      <c r="L8" s="945">
        <f t="shared" si="6"/>
        <v>0.47225999195664253</v>
      </c>
    </row>
    <row r="9" spans="1:33" x14ac:dyDescent="0.25">
      <c r="A9" s="949"/>
      <c r="B9" s="1252" t="s">
        <v>152</v>
      </c>
      <c r="C9" s="947" t="s">
        <v>14</v>
      </c>
      <c r="D9" s="1615">
        <v>10</v>
      </c>
      <c r="E9" s="1615">
        <f t="shared" si="0"/>
        <v>24.415841584158414</v>
      </c>
      <c r="F9" s="1616">
        <v>1</v>
      </c>
      <c r="G9" s="940">
        <f t="shared" si="1"/>
        <v>244.15841584158414</v>
      </c>
      <c r="H9" s="1617">
        <f t="shared" si="2"/>
        <v>244.15841584158414</v>
      </c>
      <c r="I9" s="914">
        <f>VLOOKUP(B9,All_Ingredients!$A$1:$F$161,6,FALSE())</f>
        <v>1</v>
      </c>
      <c r="J9" s="940">
        <f>VLOOKUP(B9,All_Ingredients!$A$1:$J$161,10,FALSE())</f>
        <v>30</v>
      </c>
      <c r="K9" s="945">
        <f t="shared" si="5"/>
        <v>0.24415841584158415</v>
      </c>
      <c r="L9" s="945">
        <f t="shared" si="6"/>
        <v>7.324752475247525</v>
      </c>
    </row>
    <row r="10" spans="1:33" x14ac:dyDescent="0.25">
      <c r="A10" s="949"/>
      <c r="B10" s="1252" t="s">
        <v>101</v>
      </c>
      <c r="C10" s="947" t="s">
        <v>14</v>
      </c>
      <c r="D10" s="1615">
        <v>2</v>
      </c>
      <c r="E10" s="1615">
        <f t="shared" si="0"/>
        <v>24.415841584158414</v>
      </c>
      <c r="F10" s="1616">
        <v>0.75</v>
      </c>
      <c r="G10" s="940">
        <f t="shared" si="1"/>
        <v>48.831683168316829</v>
      </c>
      <c r="H10" s="1617">
        <f t="shared" si="2"/>
        <v>36.623762376237622</v>
      </c>
      <c r="I10" s="914">
        <f>VLOOKUP(B10,All_Ingredients!$A$1:$F$161,6,FALSE())</f>
        <v>1</v>
      </c>
      <c r="J10" s="940">
        <f>VLOOKUP(B10,All_Ingredients!$A$1:$J$161,10,FALSE())</f>
        <v>47</v>
      </c>
      <c r="K10" s="945">
        <f t="shared" si="5"/>
        <v>3.6623762376237622E-2</v>
      </c>
      <c r="L10" s="945">
        <f t="shared" si="6"/>
        <v>1.7213168316831682</v>
      </c>
    </row>
    <row r="11" spans="1:33" x14ac:dyDescent="0.25">
      <c r="A11" s="949"/>
      <c r="B11" s="1252" t="s">
        <v>93</v>
      </c>
      <c r="C11" s="947" t="s">
        <v>14</v>
      </c>
      <c r="D11" s="1615">
        <v>5</v>
      </c>
      <c r="E11" s="1615">
        <f t="shared" si="0"/>
        <v>24.415841584158414</v>
      </c>
      <c r="F11" s="1616">
        <v>0.75</v>
      </c>
      <c r="G11" s="940">
        <f t="shared" si="1"/>
        <v>122.07920792079207</v>
      </c>
      <c r="H11" s="1617">
        <f t="shared" si="2"/>
        <v>91.559405940594047</v>
      </c>
      <c r="I11" s="914">
        <f>VLOOKUP(B11,All_Ingredients!$A$1:$F$161,6,FALSE())</f>
        <v>1</v>
      </c>
      <c r="J11" s="940">
        <f>VLOOKUP(B11,All_Ingredients!$A$1:$J$161,10,FALSE())</f>
        <v>0.74</v>
      </c>
      <c r="K11" s="945">
        <f t="shared" si="5"/>
        <v>9.1559405940594044E-2</v>
      </c>
      <c r="L11" s="945">
        <f t="shared" si="6"/>
        <v>6.7753960396039592E-2</v>
      </c>
    </row>
    <row r="12" spans="1:33" x14ac:dyDescent="0.25">
      <c r="A12" s="949"/>
      <c r="B12" s="1252" t="s">
        <v>105</v>
      </c>
      <c r="C12" s="947" t="s">
        <v>14</v>
      </c>
      <c r="D12" s="1615">
        <v>1</v>
      </c>
      <c r="E12" s="1615">
        <f t="shared" si="0"/>
        <v>24.415841584158414</v>
      </c>
      <c r="F12" s="1616">
        <v>0.75</v>
      </c>
      <c r="G12" s="940">
        <f t="shared" si="1"/>
        <v>24.415841584158414</v>
      </c>
      <c r="H12" s="1617">
        <f t="shared" si="2"/>
        <v>18.311881188118811</v>
      </c>
      <c r="I12" s="914">
        <f>VLOOKUP(B12,All_Ingredients!$A$1:$F$161,6,FALSE())</f>
        <v>1</v>
      </c>
      <c r="J12" s="940">
        <f>VLOOKUP(B12,All_Ingredients!$A$1:$J$161,10,FALSE())</f>
        <v>15</v>
      </c>
      <c r="K12" s="945">
        <f t="shared" si="5"/>
        <v>1.8311881188118811E-2</v>
      </c>
      <c r="L12" s="945">
        <f t="shared" si="6"/>
        <v>0.27467821782178214</v>
      </c>
    </row>
    <row r="25" spans="18:29" x14ac:dyDescent="0.25">
      <c r="R25" s="1886" t="s">
        <v>344</v>
      </c>
      <c r="S25" s="1850"/>
      <c r="T25" s="1850"/>
      <c r="Z25" s="96" t="s">
        <v>14</v>
      </c>
      <c r="AA25" s="97">
        <v>1</v>
      </c>
      <c r="AB25" s="96" t="s">
        <v>249</v>
      </c>
      <c r="AC25" s="98">
        <f>(S34/S30)*AA25</f>
        <v>3.7434207006540711E-3</v>
      </c>
    </row>
    <row r="26" spans="18:29" x14ac:dyDescent="0.25">
      <c r="R26" s="233" t="s">
        <v>337</v>
      </c>
      <c r="S26" s="233"/>
      <c r="T26" s="233"/>
    </row>
    <row r="27" spans="18:29" x14ac:dyDescent="0.25">
      <c r="R27" s="100" t="s">
        <v>254</v>
      </c>
      <c r="S27" s="100" t="s">
        <v>338</v>
      </c>
      <c r="T27" s="100" t="s">
        <v>257</v>
      </c>
    </row>
    <row r="28" spans="18:29" x14ac:dyDescent="0.25">
      <c r="R28" s="100" t="s">
        <v>263</v>
      </c>
      <c r="S28" s="399">
        <f>T28</f>
        <v>24660</v>
      </c>
      <c r="T28" s="677">
        <f>Z1</f>
        <v>24660</v>
      </c>
    </row>
    <row r="29" spans="18:29" x14ac:dyDescent="0.25">
      <c r="R29" s="100" t="s">
        <v>265</v>
      </c>
      <c r="S29" s="692">
        <f>AB1</f>
        <v>0</v>
      </c>
      <c r="T29" s="401">
        <f>S29</f>
        <v>0</v>
      </c>
    </row>
    <row r="30" spans="18:29" x14ac:dyDescent="0.25">
      <c r="R30" s="100" t="s">
        <v>257</v>
      </c>
      <c r="S30" s="218">
        <f>SUM(S28:S29)</f>
        <v>24660</v>
      </c>
      <c r="T30" s="218">
        <f>S30</f>
        <v>24660</v>
      </c>
    </row>
    <row r="34" spans="18:20" ht="15.75" thickBot="1" x14ac:dyDescent="0.3">
      <c r="R34" s="117" t="s">
        <v>249</v>
      </c>
      <c r="S34" s="548">
        <f>SUM(L6:L12)</f>
        <v>92.312754478129392</v>
      </c>
      <c r="T34" s="594">
        <f>S34</f>
        <v>92.312754478129392</v>
      </c>
    </row>
    <row r="50" spans="1:8" x14ac:dyDescent="0.25">
      <c r="B50" s="845"/>
      <c r="C50" s="150" t="s">
        <v>233</v>
      </c>
      <c r="D50" s="150" t="s">
        <v>279</v>
      </c>
    </row>
    <row r="51" spans="1:8" x14ac:dyDescent="0.25">
      <c r="B51" s="844" t="s">
        <v>283</v>
      </c>
      <c r="C51" s="133">
        <f>10/$K$1</f>
        <v>9.9009900990099009</v>
      </c>
      <c r="D51" s="134">
        <f>$C$1*10</f>
        <v>10000</v>
      </c>
    </row>
    <row r="52" spans="1:8" x14ac:dyDescent="0.25">
      <c r="B52" s="846" t="s">
        <v>257</v>
      </c>
      <c r="C52" s="156">
        <f>G1</f>
        <v>24.66</v>
      </c>
      <c r="D52" s="157">
        <f>E1</f>
        <v>24660</v>
      </c>
    </row>
    <row r="53" spans="1:8" x14ac:dyDescent="0.25">
      <c r="B53" s="846" t="s">
        <v>284</v>
      </c>
      <c r="C53" s="158">
        <f>MIN($C$52, $C$51)</f>
        <v>9.9009900990099009</v>
      </c>
      <c r="D53" s="157">
        <f>(C53*$K$1)*$C$1</f>
        <v>10000</v>
      </c>
    </row>
    <row r="54" spans="1:8" x14ac:dyDescent="0.25">
      <c r="B54" s="846" t="s">
        <v>285</v>
      </c>
      <c r="C54" s="158">
        <f>MIN($C$52-C53, $C$51)</f>
        <v>9.9009900990099009</v>
      </c>
      <c r="D54" s="157">
        <f>(C54*$K$1)*$C$1</f>
        <v>10000</v>
      </c>
    </row>
    <row r="55" spans="1:8" x14ac:dyDescent="0.25">
      <c r="B55" s="846" t="s">
        <v>286</v>
      </c>
      <c r="C55" s="158">
        <f>MIN($C$52-C53-C54, $C$51)</f>
        <v>4.8580198019801983</v>
      </c>
      <c r="D55" s="157">
        <f>(C55*$K$1)*$C$1</f>
        <v>4906.6000000000004</v>
      </c>
    </row>
    <row r="56" spans="1:8" x14ac:dyDescent="0.25">
      <c r="B56" s="846" t="s">
        <v>293</v>
      </c>
      <c r="C56" s="158">
        <f>MIN($C$52-C53-C54-C55, $C$51)</f>
        <v>0</v>
      </c>
      <c r="D56" s="157">
        <f>(C56*$K$1)*$C$1</f>
        <v>0</v>
      </c>
    </row>
    <row r="57" spans="1:8" x14ac:dyDescent="0.25">
      <c r="B57" s="846" t="s">
        <v>343</v>
      </c>
      <c r="C57" s="158">
        <f>MIN($C$52-C53-C54-C55-C56, $C$51)</f>
        <v>0</v>
      </c>
      <c r="D57" s="157">
        <f>(C57*$K$1)*$C$1</f>
        <v>0</v>
      </c>
    </row>
    <row r="62" spans="1:8" x14ac:dyDescent="0.25">
      <c r="A62" s="867"/>
      <c r="B62" s="1871" t="s">
        <v>577</v>
      </c>
      <c r="C62" s="1880"/>
      <c r="D62" s="1880"/>
      <c r="E62" s="1880"/>
      <c r="F62" s="1880"/>
      <c r="G62" s="1880"/>
      <c r="H62" s="1880"/>
    </row>
    <row r="63" spans="1:8" x14ac:dyDescent="0.25">
      <c r="A63" s="867"/>
      <c r="B63" s="1872" t="s">
        <v>342</v>
      </c>
      <c r="C63" s="1883"/>
      <c r="D63" s="1883"/>
      <c r="E63" s="1883"/>
      <c r="F63" s="1883"/>
      <c r="G63" s="1883"/>
      <c r="H63" s="1883"/>
    </row>
    <row r="64" spans="1:8" ht="38.25" x14ac:dyDescent="0.2">
      <c r="A64" s="872"/>
      <c r="B64" s="1104" t="s">
        <v>241</v>
      </c>
      <c r="C64" s="934" t="s">
        <v>242</v>
      </c>
      <c r="D64" s="1104" t="s">
        <v>231</v>
      </c>
      <c r="E64" s="936" t="s">
        <v>234</v>
      </c>
      <c r="F64" s="936" t="s">
        <v>243</v>
      </c>
      <c r="G64" s="1104" t="s">
        <v>244</v>
      </c>
      <c r="H64" s="936" t="s">
        <v>245</v>
      </c>
    </row>
    <row r="65" spans="1:8" x14ac:dyDescent="0.25">
      <c r="B65" s="1252" t="str">
        <f t="shared" ref="B65:D71" si="7">B6</f>
        <v>Potato - بطاطس</v>
      </c>
      <c r="C65" s="947" t="str">
        <f t="shared" si="7"/>
        <v>gm</v>
      </c>
      <c r="D65" s="1615">
        <f t="shared" si="7"/>
        <v>1289.945652173913</v>
      </c>
      <c r="E65" s="1615">
        <f>$C$52</f>
        <v>24.66</v>
      </c>
      <c r="F65" s="1616">
        <f t="shared" ref="F65:F71" si="8">F6</f>
        <v>1</v>
      </c>
      <c r="G65" s="940">
        <f t="shared" ref="G65:G71" si="9">D65*E65</f>
        <v>31810.059782608696</v>
      </c>
      <c r="H65" s="1617">
        <f t="shared" ref="H65:H71" si="10">G65*F65</f>
        <v>31810.059782608696</v>
      </c>
    </row>
    <row r="66" spans="1:8" x14ac:dyDescent="0.25">
      <c r="B66" s="1252" t="str">
        <f t="shared" si="7"/>
        <v>Ginger - زنجبيل</v>
      </c>
      <c r="C66" s="947" t="str">
        <f t="shared" si="7"/>
        <v>gm</v>
      </c>
      <c r="D66" s="1618">
        <f t="shared" si="7"/>
        <v>10</v>
      </c>
      <c r="E66" s="1615">
        <f t="shared" ref="E66:E71" si="11">$C$52</f>
        <v>24.66</v>
      </c>
      <c r="F66" s="1616">
        <f t="shared" si="8"/>
        <v>1</v>
      </c>
      <c r="G66" s="940">
        <f t="shared" si="9"/>
        <v>246.6</v>
      </c>
      <c r="H66" s="1617">
        <f t="shared" si="10"/>
        <v>246.6</v>
      </c>
    </row>
    <row r="67" spans="1:8" x14ac:dyDescent="0.25">
      <c r="B67" s="1252" t="str">
        <f t="shared" si="7"/>
        <v>Coriander Leaves - كزبرة خضراء</v>
      </c>
      <c r="C67" s="947" t="str">
        <f t="shared" si="7"/>
        <v>gm</v>
      </c>
      <c r="D67" s="1618">
        <f t="shared" si="7"/>
        <v>5</v>
      </c>
      <c r="E67" s="1615">
        <f t="shared" si="11"/>
        <v>24.66</v>
      </c>
      <c r="F67" s="1616">
        <f t="shared" si="8"/>
        <v>1</v>
      </c>
      <c r="G67" s="940">
        <f t="shared" si="9"/>
        <v>123.3</v>
      </c>
      <c r="H67" s="1617">
        <f t="shared" si="10"/>
        <v>123.3</v>
      </c>
    </row>
    <row r="68" spans="1:8" x14ac:dyDescent="0.25">
      <c r="B68" s="1252" t="str">
        <f t="shared" si="7"/>
        <v>Butter - زبدة</v>
      </c>
      <c r="C68" s="947" t="str">
        <f t="shared" si="7"/>
        <v>gm</v>
      </c>
      <c r="D68" s="1618">
        <f t="shared" si="7"/>
        <v>10</v>
      </c>
      <c r="E68" s="1615">
        <f t="shared" si="11"/>
        <v>24.66</v>
      </c>
      <c r="F68" s="1616">
        <f t="shared" si="8"/>
        <v>1</v>
      </c>
      <c r="G68" s="940">
        <f t="shared" si="9"/>
        <v>246.6</v>
      </c>
      <c r="H68" s="1617">
        <f t="shared" si="10"/>
        <v>246.6</v>
      </c>
    </row>
    <row r="69" spans="1:8" x14ac:dyDescent="0.25">
      <c r="B69" s="1252" t="str">
        <f t="shared" si="7"/>
        <v>White Pepper - فلفل أبيض</v>
      </c>
      <c r="C69" s="947" t="str">
        <f t="shared" si="7"/>
        <v>gm</v>
      </c>
      <c r="D69" s="1618">
        <f t="shared" si="7"/>
        <v>2</v>
      </c>
      <c r="E69" s="1615">
        <f t="shared" si="11"/>
        <v>24.66</v>
      </c>
      <c r="F69" s="1616">
        <f t="shared" si="8"/>
        <v>0.75</v>
      </c>
      <c r="G69" s="940">
        <f t="shared" si="9"/>
        <v>49.32</v>
      </c>
      <c r="H69" s="1617">
        <f t="shared" si="10"/>
        <v>36.99</v>
      </c>
    </row>
    <row r="70" spans="1:8" x14ac:dyDescent="0.25">
      <c r="B70" s="1252" t="str">
        <f t="shared" si="7"/>
        <v>Salt - ملح</v>
      </c>
      <c r="C70" s="947" t="str">
        <f t="shared" si="7"/>
        <v>gm</v>
      </c>
      <c r="D70" s="1618">
        <f t="shared" si="7"/>
        <v>5</v>
      </c>
      <c r="E70" s="1615">
        <f t="shared" si="11"/>
        <v>24.66</v>
      </c>
      <c r="F70" s="1616">
        <f t="shared" si="8"/>
        <v>0.75</v>
      </c>
      <c r="G70" s="940">
        <f t="shared" si="9"/>
        <v>123.3</v>
      </c>
      <c r="H70" s="1617">
        <f t="shared" si="10"/>
        <v>92.474999999999994</v>
      </c>
    </row>
    <row r="71" spans="1:8" x14ac:dyDescent="0.25">
      <c r="B71" s="1252" t="str">
        <f t="shared" si="7"/>
        <v>Cumin Powder - كمون مطحون</v>
      </c>
      <c r="C71" s="947" t="str">
        <f t="shared" si="7"/>
        <v>gm</v>
      </c>
      <c r="D71" s="1618">
        <f t="shared" si="7"/>
        <v>1</v>
      </c>
      <c r="E71" s="1615">
        <f t="shared" si="11"/>
        <v>24.66</v>
      </c>
      <c r="F71" s="1616">
        <f t="shared" si="8"/>
        <v>0.75</v>
      </c>
      <c r="G71" s="940">
        <f t="shared" si="9"/>
        <v>24.66</v>
      </c>
      <c r="H71" s="1617">
        <f t="shared" si="10"/>
        <v>18.495000000000001</v>
      </c>
    </row>
    <row r="72" spans="1:8" ht="15.75" x14ac:dyDescent="0.25">
      <c r="B72" s="1622" t="s">
        <v>685</v>
      </c>
      <c r="C72" s="952"/>
      <c r="D72" s="952"/>
      <c r="E72" s="1208"/>
      <c r="F72" s="1208"/>
      <c r="G72" s="952"/>
      <c r="H72" s="952"/>
    </row>
    <row r="73" spans="1:8" ht="20.25" x14ac:dyDescent="0.3">
      <c r="B73" s="1048">
        <f>D52</f>
        <v>24660</v>
      </c>
      <c r="C73" s="1346"/>
      <c r="D73" s="1672"/>
      <c r="E73" s="1208"/>
      <c r="F73" s="1348"/>
      <c r="G73" s="952"/>
      <c r="H73" s="952"/>
    </row>
    <row r="74" spans="1:8" x14ac:dyDescent="0.25">
      <c r="B74" s="80"/>
      <c r="E74" s="80"/>
      <c r="F74" s="80"/>
    </row>
    <row r="75" spans="1:8" x14ac:dyDescent="0.25">
      <c r="B75" s="80"/>
      <c r="C75" s="80"/>
      <c r="D75" s="80"/>
      <c r="E75" s="80"/>
      <c r="F75" s="80"/>
      <c r="G75" s="80"/>
      <c r="H75" s="80"/>
    </row>
    <row r="76" spans="1:8" ht="18" x14ac:dyDescent="0.25">
      <c r="A76" s="887"/>
      <c r="B76" s="1819"/>
      <c r="C76" s="1819"/>
      <c r="D76" s="1819"/>
      <c r="E76" s="1819"/>
      <c r="F76" s="1819"/>
      <c r="G76" s="1819"/>
      <c r="H76" s="1819"/>
    </row>
    <row r="77" spans="1:8" ht="18" x14ac:dyDescent="0.25">
      <c r="A77" s="887"/>
      <c r="B77" s="1819"/>
      <c r="C77" s="1819"/>
      <c r="D77" s="1819"/>
      <c r="E77" s="1819"/>
      <c r="F77" s="1819"/>
      <c r="G77" s="1819"/>
      <c r="H77" s="1819"/>
    </row>
    <row r="78" spans="1:8" x14ac:dyDescent="0.2">
      <c r="A78" s="888"/>
      <c r="B78" s="613"/>
      <c r="C78" s="614"/>
      <c r="D78" s="613"/>
      <c r="E78" s="615"/>
      <c r="F78" s="615"/>
      <c r="G78" s="613"/>
      <c r="H78" s="615"/>
    </row>
    <row r="79" spans="1:8" x14ac:dyDescent="0.25">
      <c r="A79" s="887"/>
      <c r="B79" s="616"/>
      <c r="C79" s="616"/>
      <c r="D79" s="616"/>
      <c r="E79" s="617"/>
      <c r="F79" s="618"/>
      <c r="G79" s="619"/>
      <c r="H79" s="620"/>
    </row>
    <row r="80" spans="1:8" x14ac:dyDescent="0.25">
      <c r="A80" s="887"/>
      <c r="B80" s="616"/>
      <c r="C80" s="616"/>
      <c r="D80" s="616"/>
      <c r="E80" s="617"/>
      <c r="F80" s="618"/>
      <c r="G80" s="619"/>
      <c r="H80" s="620"/>
    </row>
    <row r="81" spans="1:8" x14ac:dyDescent="0.25">
      <c r="A81" s="887"/>
      <c r="B81" s="616"/>
      <c r="C81" s="616"/>
      <c r="D81" s="616"/>
      <c r="E81" s="617"/>
      <c r="F81" s="618"/>
      <c r="G81" s="619"/>
      <c r="H81" s="620"/>
    </row>
    <row r="82" spans="1:8" x14ac:dyDescent="0.25">
      <c r="A82" s="887"/>
      <c r="B82" s="616"/>
      <c r="C82" s="616"/>
      <c r="D82" s="616"/>
      <c r="E82" s="617"/>
      <c r="F82" s="618"/>
      <c r="G82" s="619"/>
      <c r="H82" s="620"/>
    </row>
    <row r="83" spans="1:8" x14ac:dyDescent="0.25">
      <c r="A83" s="887"/>
      <c r="B83" s="616"/>
      <c r="C83" s="616"/>
      <c r="D83" s="616"/>
      <c r="E83" s="617"/>
      <c r="F83" s="618"/>
      <c r="G83" s="619"/>
      <c r="H83" s="620"/>
    </row>
    <row r="84" spans="1:8" x14ac:dyDescent="0.25">
      <c r="A84" s="887"/>
      <c r="B84" s="616"/>
      <c r="C84" s="616"/>
      <c r="D84" s="616"/>
      <c r="E84" s="617"/>
      <c r="F84" s="618"/>
      <c r="G84" s="619"/>
      <c r="H84" s="620"/>
    </row>
    <row r="85" spans="1:8" x14ac:dyDescent="0.25">
      <c r="A85" s="887"/>
      <c r="B85" s="616"/>
      <c r="C85" s="616"/>
      <c r="D85" s="616"/>
      <c r="E85" s="617"/>
      <c r="F85" s="618"/>
      <c r="G85" s="619"/>
      <c r="H85" s="620"/>
    </row>
    <row r="86" spans="1:8" ht="15.75" x14ac:dyDescent="0.25">
      <c r="A86" s="887"/>
      <c r="B86" s="452"/>
      <c r="C86" s="437"/>
      <c r="D86" s="437"/>
      <c r="E86" s="431"/>
      <c r="F86" s="431"/>
      <c r="G86" s="437"/>
      <c r="H86" s="437"/>
    </row>
    <row r="87" spans="1:8" ht="20.25" x14ac:dyDescent="0.3">
      <c r="A87" s="887"/>
      <c r="B87" s="453"/>
      <c r="C87" s="454"/>
      <c r="D87" s="624"/>
      <c r="E87" s="431"/>
      <c r="F87" s="625"/>
      <c r="G87" s="437"/>
      <c r="H87" s="437"/>
    </row>
    <row r="88" spans="1:8" x14ac:dyDescent="0.25">
      <c r="A88" s="887"/>
      <c r="B88" s="431"/>
      <c r="C88" s="431"/>
      <c r="D88" s="431"/>
      <c r="E88" s="431"/>
      <c r="F88" s="431"/>
      <c r="G88" s="431"/>
      <c r="H88" s="431"/>
    </row>
    <row r="89" spans="1:8" x14ac:dyDescent="0.25">
      <c r="A89" s="887"/>
      <c r="B89" s="431"/>
      <c r="C89" s="431"/>
      <c r="D89" s="431"/>
      <c r="E89" s="431"/>
      <c r="F89" s="431"/>
      <c r="G89" s="431"/>
      <c r="H89" s="431"/>
    </row>
    <row r="90" spans="1:8" ht="18" x14ac:dyDescent="0.25">
      <c r="A90" s="887"/>
      <c r="B90" s="1819"/>
      <c r="C90" s="1820"/>
      <c r="D90" s="1820"/>
      <c r="E90" s="1820"/>
      <c r="F90" s="1820"/>
      <c r="G90" s="1820"/>
      <c r="H90" s="1820"/>
    </row>
    <row r="91" spans="1:8" ht="18" x14ac:dyDescent="0.25">
      <c r="A91" s="887"/>
      <c r="B91" s="1819"/>
      <c r="C91" s="1820"/>
      <c r="D91" s="1820"/>
      <c r="E91" s="1820"/>
      <c r="F91" s="1820"/>
      <c r="G91" s="1820"/>
      <c r="H91" s="1820"/>
    </row>
    <row r="92" spans="1:8" x14ac:dyDescent="0.2">
      <c r="A92" s="888"/>
      <c r="B92" s="613"/>
      <c r="C92" s="614"/>
      <c r="D92" s="613"/>
      <c r="E92" s="615"/>
      <c r="F92" s="615"/>
      <c r="G92" s="613"/>
      <c r="H92" s="615"/>
    </row>
    <row r="93" spans="1:8" x14ac:dyDescent="0.25">
      <c r="A93" s="887"/>
      <c r="B93" s="616"/>
      <c r="C93" s="616"/>
      <c r="D93" s="616"/>
      <c r="E93" s="617"/>
      <c r="F93" s="618"/>
      <c r="G93" s="619"/>
      <c r="H93" s="620"/>
    </row>
    <row r="94" spans="1:8" x14ac:dyDescent="0.25">
      <c r="A94" s="887"/>
      <c r="B94" s="616"/>
      <c r="C94" s="616"/>
      <c r="D94" s="616"/>
      <c r="E94" s="617"/>
      <c r="F94" s="618"/>
      <c r="G94" s="619"/>
      <c r="H94" s="620"/>
    </row>
    <row r="95" spans="1:8" x14ac:dyDescent="0.25">
      <c r="A95" s="887"/>
      <c r="B95" s="616"/>
      <c r="C95" s="616"/>
      <c r="D95" s="616"/>
      <c r="E95" s="617"/>
      <c r="F95" s="618"/>
      <c r="G95" s="619"/>
      <c r="H95" s="620"/>
    </row>
    <row r="96" spans="1:8" x14ac:dyDescent="0.25">
      <c r="A96" s="887"/>
      <c r="B96" s="616"/>
      <c r="C96" s="616"/>
      <c r="D96" s="616"/>
      <c r="E96" s="617"/>
      <c r="F96" s="618"/>
      <c r="G96" s="619"/>
      <c r="H96" s="620"/>
    </row>
    <row r="97" spans="1:8" x14ac:dyDescent="0.25">
      <c r="A97" s="887"/>
      <c r="B97" s="616"/>
      <c r="C97" s="616"/>
      <c r="D97" s="616"/>
      <c r="E97" s="617"/>
      <c r="F97" s="618"/>
      <c r="G97" s="619"/>
      <c r="H97" s="620"/>
    </row>
    <row r="98" spans="1:8" x14ac:dyDescent="0.25">
      <c r="A98" s="887"/>
      <c r="B98" s="616"/>
      <c r="C98" s="616"/>
      <c r="D98" s="616"/>
      <c r="E98" s="617"/>
      <c r="F98" s="618"/>
      <c r="G98" s="619"/>
      <c r="H98" s="620"/>
    </row>
    <row r="99" spans="1:8" x14ac:dyDescent="0.25">
      <c r="A99" s="887"/>
      <c r="B99" s="616"/>
      <c r="C99" s="616"/>
      <c r="D99" s="616"/>
      <c r="E99" s="617"/>
      <c r="F99" s="618"/>
      <c r="G99" s="619"/>
      <c r="H99" s="620"/>
    </row>
    <row r="100" spans="1:8" ht="15.75" x14ac:dyDescent="0.25">
      <c r="A100" s="887"/>
      <c r="B100" s="452"/>
      <c r="C100" s="437"/>
      <c r="D100" s="437"/>
      <c r="E100" s="431"/>
      <c r="F100" s="431"/>
      <c r="G100" s="437"/>
      <c r="H100" s="437"/>
    </row>
    <row r="101" spans="1:8" ht="20.25" x14ac:dyDescent="0.3">
      <c r="A101" s="887"/>
      <c r="B101" s="453"/>
      <c r="C101" s="454"/>
      <c r="D101" s="624"/>
      <c r="E101" s="431"/>
      <c r="F101" s="625"/>
      <c r="G101" s="437"/>
      <c r="H101" s="437"/>
    </row>
    <row r="102" spans="1:8" x14ac:dyDescent="0.25">
      <c r="A102" s="887"/>
      <c r="B102" s="437"/>
      <c r="C102" s="437"/>
      <c r="D102" s="437"/>
      <c r="E102" s="437"/>
      <c r="F102" s="437"/>
      <c r="G102" s="437"/>
      <c r="H102" s="437"/>
    </row>
    <row r="103" spans="1:8" x14ac:dyDescent="0.25">
      <c r="A103" s="887"/>
      <c r="B103" s="437"/>
      <c r="C103" s="437"/>
      <c r="D103" s="437"/>
      <c r="E103" s="437"/>
      <c r="F103" s="437"/>
      <c r="G103" s="437"/>
      <c r="H103" s="437"/>
    </row>
    <row r="104" spans="1:8" ht="18" x14ac:dyDescent="0.25">
      <c r="A104" s="887"/>
      <c r="B104" s="1819"/>
      <c r="C104" s="1820"/>
      <c r="D104" s="1820"/>
      <c r="E104" s="1820"/>
      <c r="F104" s="1820"/>
      <c r="G104" s="1820"/>
      <c r="H104" s="1820"/>
    </row>
    <row r="105" spans="1:8" ht="18" x14ac:dyDescent="0.25">
      <c r="A105" s="887"/>
      <c r="B105" s="1819"/>
      <c r="C105" s="1820"/>
      <c r="D105" s="1820"/>
      <c r="E105" s="1820"/>
      <c r="F105" s="1820"/>
      <c r="G105" s="1820"/>
      <c r="H105" s="1820"/>
    </row>
    <row r="106" spans="1:8" x14ac:dyDescent="0.2">
      <c r="A106" s="888"/>
      <c r="B106" s="613"/>
      <c r="C106" s="614"/>
      <c r="D106" s="613"/>
      <c r="E106" s="615"/>
      <c r="F106" s="615"/>
      <c r="G106" s="613"/>
      <c r="H106" s="615"/>
    </row>
    <row r="107" spans="1:8" x14ac:dyDescent="0.25">
      <c r="A107" s="887"/>
      <c r="B107" s="616"/>
      <c r="C107" s="616"/>
      <c r="D107" s="616"/>
      <c r="E107" s="617"/>
      <c r="F107" s="618"/>
      <c r="G107" s="619"/>
      <c r="H107" s="620"/>
    </row>
    <row r="108" spans="1:8" x14ac:dyDescent="0.25">
      <c r="A108" s="887"/>
      <c r="B108" s="616"/>
      <c r="C108" s="616"/>
      <c r="D108" s="616"/>
      <c r="E108" s="617"/>
      <c r="F108" s="618"/>
      <c r="G108" s="619"/>
      <c r="H108" s="620"/>
    </row>
    <row r="109" spans="1:8" x14ac:dyDescent="0.25">
      <c r="A109" s="887"/>
      <c r="B109" s="616"/>
      <c r="C109" s="616"/>
      <c r="D109" s="616"/>
      <c r="E109" s="617"/>
      <c r="F109" s="618"/>
      <c r="G109" s="619"/>
      <c r="H109" s="620"/>
    </row>
    <row r="110" spans="1:8" x14ac:dyDescent="0.25">
      <c r="A110" s="887"/>
      <c r="B110" s="616"/>
      <c r="C110" s="616"/>
      <c r="D110" s="616"/>
      <c r="E110" s="617"/>
      <c r="F110" s="618"/>
      <c r="G110" s="619"/>
      <c r="H110" s="620"/>
    </row>
    <row r="111" spans="1:8" x14ac:dyDescent="0.25">
      <c r="A111" s="887"/>
      <c r="B111" s="616"/>
      <c r="C111" s="616"/>
      <c r="D111" s="616"/>
      <c r="E111" s="617"/>
      <c r="F111" s="618"/>
      <c r="G111" s="619"/>
      <c r="H111" s="620"/>
    </row>
    <row r="112" spans="1:8" x14ac:dyDescent="0.25">
      <c r="A112" s="887"/>
      <c r="B112" s="616"/>
      <c r="C112" s="616"/>
      <c r="D112" s="616"/>
      <c r="E112" s="617"/>
      <c r="F112" s="618"/>
      <c r="G112" s="619"/>
      <c r="H112" s="620"/>
    </row>
    <row r="113" spans="1:8" x14ac:dyDescent="0.25">
      <c r="A113" s="887"/>
      <c r="B113" s="616"/>
      <c r="C113" s="616"/>
      <c r="D113" s="616"/>
      <c r="E113" s="617"/>
      <c r="F113" s="618"/>
      <c r="G113" s="619"/>
      <c r="H113" s="620"/>
    </row>
    <row r="114" spans="1:8" ht="15.75" x14ac:dyDescent="0.25">
      <c r="A114" s="887"/>
      <c r="B114" s="452"/>
      <c r="C114" s="437"/>
      <c r="D114" s="437"/>
      <c r="E114" s="431"/>
      <c r="F114" s="431"/>
      <c r="G114" s="437"/>
      <c r="H114" s="437"/>
    </row>
    <row r="115" spans="1:8" ht="20.25" x14ac:dyDescent="0.3">
      <c r="A115" s="887"/>
      <c r="B115" s="453"/>
      <c r="C115" s="454"/>
      <c r="D115" s="624"/>
      <c r="E115" s="431"/>
      <c r="F115" s="625"/>
      <c r="G115" s="437"/>
      <c r="H115" s="437"/>
    </row>
    <row r="116" spans="1:8" x14ac:dyDescent="0.25">
      <c r="A116" s="887"/>
      <c r="B116" s="437"/>
      <c r="C116" s="437"/>
      <c r="D116" s="437"/>
      <c r="E116" s="437"/>
      <c r="F116" s="437"/>
      <c r="G116" s="437"/>
      <c r="H116" s="437"/>
    </row>
    <row r="117" spans="1:8" ht="18" x14ac:dyDescent="0.25">
      <c r="A117" s="887"/>
      <c r="B117" s="1819"/>
      <c r="C117" s="1820"/>
      <c r="D117" s="1820"/>
      <c r="E117" s="1820"/>
      <c r="F117" s="1820"/>
      <c r="G117" s="1820"/>
      <c r="H117" s="1820"/>
    </row>
    <row r="118" spans="1:8" ht="18" x14ac:dyDescent="0.25">
      <c r="A118" s="887"/>
      <c r="B118" s="1819"/>
      <c r="C118" s="1820"/>
      <c r="D118" s="1820"/>
      <c r="E118" s="1820"/>
      <c r="F118" s="1820"/>
      <c r="G118" s="1820"/>
      <c r="H118" s="1820"/>
    </row>
    <row r="119" spans="1:8" x14ac:dyDescent="0.2">
      <c r="A119" s="888"/>
      <c r="B119" s="613"/>
      <c r="C119" s="614"/>
      <c r="D119" s="613"/>
      <c r="E119" s="615"/>
      <c r="F119" s="615"/>
      <c r="G119" s="613"/>
      <c r="H119" s="615"/>
    </row>
    <row r="120" spans="1:8" x14ac:dyDescent="0.25">
      <c r="A120" s="887"/>
      <c r="B120" s="616"/>
      <c r="C120" s="616"/>
      <c r="D120" s="616"/>
      <c r="E120" s="617"/>
      <c r="F120" s="618"/>
      <c r="G120" s="619"/>
      <c r="H120" s="620"/>
    </row>
    <row r="121" spans="1:8" x14ac:dyDescent="0.25">
      <c r="A121" s="887"/>
      <c r="B121" s="616"/>
      <c r="C121" s="616"/>
      <c r="D121" s="616"/>
      <c r="E121" s="617"/>
      <c r="F121" s="618"/>
      <c r="G121" s="619"/>
      <c r="H121" s="620"/>
    </row>
    <row r="122" spans="1:8" x14ac:dyDescent="0.25">
      <c r="A122" s="887"/>
      <c r="B122" s="616"/>
      <c r="C122" s="616"/>
      <c r="D122" s="616"/>
      <c r="E122" s="617"/>
      <c r="F122" s="618"/>
      <c r="G122" s="619"/>
      <c r="H122" s="620"/>
    </row>
    <row r="123" spans="1:8" x14ac:dyDescent="0.25">
      <c r="A123" s="887"/>
      <c r="B123" s="616"/>
      <c r="C123" s="616"/>
      <c r="D123" s="616"/>
      <c r="E123" s="617"/>
      <c r="F123" s="618"/>
      <c r="G123" s="619"/>
      <c r="H123" s="620"/>
    </row>
    <row r="124" spans="1:8" x14ac:dyDescent="0.25">
      <c r="A124" s="887"/>
      <c r="B124" s="616"/>
      <c r="C124" s="616"/>
      <c r="D124" s="616"/>
      <c r="E124" s="617"/>
      <c r="F124" s="618"/>
      <c r="G124" s="619"/>
      <c r="H124" s="620"/>
    </row>
    <row r="125" spans="1:8" x14ac:dyDescent="0.25">
      <c r="A125" s="887"/>
      <c r="B125" s="616"/>
      <c r="C125" s="616"/>
      <c r="D125" s="616"/>
      <c r="E125" s="617"/>
      <c r="F125" s="618"/>
      <c r="G125" s="619"/>
      <c r="H125" s="620"/>
    </row>
    <row r="126" spans="1:8" x14ac:dyDescent="0.25">
      <c r="A126" s="887"/>
      <c r="B126" s="616"/>
      <c r="C126" s="616"/>
      <c r="D126" s="616"/>
      <c r="E126" s="617"/>
      <c r="F126" s="618"/>
      <c r="G126" s="619"/>
      <c r="H126" s="620"/>
    </row>
    <row r="127" spans="1:8" ht="15.75" x14ac:dyDescent="0.25">
      <c r="A127" s="887"/>
      <c r="B127" s="452"/>
      <c r="C127" s="437"/>
      <c r="D127" s="437"/>
      <c r="E127" s="437"/>
      <c r="F127" s="437"/>
      <c r="G127" s="437"/>
      <c r="H127" s="437"/>
    </row>
  </sheetData>
  <mergeCells count="13">
    <mergeCell ref="AE2:AG3"/>
    <mergeCell ref="B118:H118"/>
    <mergeCell ref="B90:H90"/>
    <mergeCell ref="B105:H105"/>
    <mergeCell ref="B77:H77"/>
    <mergeCell ref="B91:H91"/>
    <mergeCell ref="B62:H62"/>
    <mergeCell ref="B117:H117"/>
    <mergeCell ref="B2:H3"/>
    <mergeCell ref="B104:H104"/>
    <mergeCell ref="R25:T25"/>
    <mergeCell ref="B76:H76"/>
    <mergeCell ref="B63:H63"/>
  </mergeCells>
  <printOptions horizontalCentered="1"/>
  <pageMargins left="0.4" right="0.4" top="1" bottom="0.5" header="0.3" footer="0.511811023622047"/>
  <pageSetup paperSize="9" scale="51" fitToHeight="0" orientation="landscape"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tabColor rgb="FFFFFF00"/>
    <pageSetUpPr fitToPage="1"/>
  </sheetPr>
  <dimension ref="A1:AG106"/>
  <sheetViews>
    <sheetView zoomScale="55" zoomScaleNormal="55" workbookViewId="0">
      <selection activeCell="B75" sqref="B75:B76"/>
    </sheetView>
  </sheetViews>
  <sheetFormatPr defaultColWidth="12.5" defaultRowHeight="15" x14ac:dyDescent="0.25"/>
  <cols>
    <col min="1" max="1" width="18.5" style="61" bestFit="1" customWidth="1"/>
    <col min="2" max="2" width="32" style="14" bestFit="1" customWidth="1"/>
    <col min="3" max="3" width="17" style="14" bestFit="1" customWidth="1"/>
    <col min="4" max="4" width="18.75" style="14" bestFit="1" customWidth="1"/>
    <col min="5" max="5" width="15.375" style="14" bestFit="1" customWidth="1"/>
    <col min="6" max="6" width="16.75" style="14" bestFit="1" customWidth="1"/>
    <col min="7" max="7" width="23.25" style="14" bestFit="1" customWidth="1"/>
    <col min="8" max="8" width="40.375" style="14" bestFit="1" customWidth="1"/>
    <col min="9" max="9" width="12" style="14" bestFit="1" customWidth="1"/>
    <col min="10" max="11" width="9.25" style="14" bestFit="1" customWidth="1"/>
    <col min="12" max="12" width="6.25" style="14" bestFit="1" customWidth="1"/>
    <col min="13" max="13" width="4.875" style="14" bestFit="1" customWidth="1"/>
    <col min="14" max="14" width="6.875" style="14" customWidth="1"/>
    <col min="15" max="15" width="4.625" style="14" bestFit="1" customWidth="1"/>
    <col min="16" max="16" width="5.625" style="14" bestFit="1" customWidth="1"/>
    <col min="17" max="17" width="4.625" style="14" bestFit="1" customWidth="1"/>
    <col min="18" max="18" width="8.125" style="14" bestFit="1" customWidth="1"/>
    <col min="19" max="19" width="17.375" style="14" bestFit="1" customWidth="1"/>
    <col min="20" max="20" width="7.875" style="14" bestFit="1" customWidth="1"/>
    <col min="21" max="24" width="12.5" style="14"/>
    <col min="25" max="25" width="8.75" style="14" bestFit="1" customWidth="1"/>
    <col min="26" max="26" width="7.625" style="14" bestFit="1" customWidth="1"/>
    <col min="27" max="27" width="8.5" style="14" bestFit="1" customWidth="1"/>
    <col min="28" max="28" width="6.25" style="14" bestFit="1" customWidth="1"/>
    <col min="29" max="29" width="7.625" style="14" bestFit="1" customWidth="1"/>
    <col min="30" max="30" width="4.25" style="14" bestFit="1" customWidth="1"/>
    <col min="31" max="16384" width="12.5" style="14"/>
  </cols>
  <sheetData>
    <row r="1" spans="1:33" ht="26.25" x14ac:dyDescent="0.25">
      <c r="B1" s="843" t="s">
        <v>231</v>
      </c>
      <c r="C1" s="63">
        <v>1000</v>
      </c>
      <c r="D1" s="64" t="s">
        <v>232</v>
      </c>
      <c r="E1" s="84">
        <f>S30</f>
        <v>10800</v>
      </c>
      <c r="F1" s="62" t="s">
        <v>233</v>
      </c>
      <c r="G1" s="84">
        <f>E1/C1</f>
        <v>10.8</v>
      </c>
      <c r="H1" s="62" t="s">
        <v>234</v>
      </c>
      <c r="I1" s="84">
        <f>G1/K1</f>
        <v>10.8</v>
      </c>
      <c r="J1" s="209" t="s">
        <v>235</v>
      </c>
      <c r="K1" s="210">
        <v>1</v>
      </c>
      <c r="L1" s="80"/>
      <c r="M1" s="80" t="s">
        <v>339</v>
      </c>
      <c r="N1" s="80"/>
      <c r="O1" s="80"/>
      <c r="P1" s="80"/>
      <c r="Q1" s="80"/>
      <c r="R1" s="80"/>
      <c r="S1" s="80"/>
      <c r="T1" s="80"/>
      <c r="U1" s="80"/>
      <c r="V1" s="80"/>
      <c r="Y1" s="72" t="s">
        <v>444</v>
      </c>
      <c r="Z1" s="422">
        <v>10800</v>
      </c>
      <c r="AA1" s="72" t="s">
        <v>544</v>
      </c>
      <c r="AB1" s="422">
        <v>0</v>
      </c>
      <c r="AC1" s="72" t="s">
        <v>537</v>
      </c>
      <c r="AD1" s="422">
        <v>72</v>
      </c>
    </row>
    <row r="2" spans="1:33" x14ac:dyDescent="0.25">
      <c r="A2" s="863"/>
      <c r="B2" s="1828" t="s">
        <v>340</v>
      </c>
      <c r="C2" s="1865"/>
      <c r="D2" s="1865"/>
      <c r="E2" s="1865"/>
      <c r="F2" s="1865"/>
      <c r="G2" s="1865"/>
      <c r="H2" s="1865"/>
      <c r="I2" s="80"/>
      <c r="J2" s="80"/>
      <c r="K2" s="80"/>
      <c r="L2" s="80"/>
      <c r="M2" s="80"/>
      <c r="N2" s="80"/>
      <c r="O2" s="80"/>
      <c r="P2" s="80"/>
      <c r="Q2" s="80"/>
      <c r="R2" s="80"/>
      <c r="S2" s="80"/>
      <c r="T2" s="80"/>
      <c r="U2" s="80"/>
      <c r="AE2" s="1821"/>
      <c r="AF2" s="1799"/>
      <c r="AG2" s="1799"/>
    </row>
    <row r="3" spans="1:33" x14ac:dyDescent="0.25">
      <c r="A3" s="863"/>
      <c r="B3" s="1796"/>
      <c r="C3" s="1796"/>
      <c r="D3" s="1796"/>
      <c r="E3" s="1796"/>
      <c r="F3" s="1796"/>
      <c r="G3" s="1796"/>
      <c r="H3" s="1796"/>
      <c r="I3" s="80"/>
      <c r="J3" s="80"/>
      <c r="K3" s="80"/>
      <c r="L3" s="80"/>
      <c r="M3" s="80"/>
      <c r="N3" s="80"/>
      <c r="O3" s="80"/>
      <c r="P3" s="80"/>
      <c r="Q3" s="80"/>
      <c r="R3" s="80"/>
      <c r="S3" s="80"/>
      <c r="T3" s="80"/>
      <c r="U3" s="80"/>
      <c r="AE3" s="1799"/>
      <c r="AF3" s="1799"/>
      <c r="AG3" s="1799"/>
    </row>
    <row r="4" spans="1:33" ht="38.25" x14ac:dyDescent="0.2">
      <c r="A4" s="1350" t="s">
        <v>864</v>
      </c>
      <c r="B4" s="923" t="s">
        <v>241</v>
      </c>
      <c r="C4" s="934" t="s">
        <v>242</v>
      </c>
      <c r="D4" s="923" t="s">
        <v>231</v>
      </c>
      <c r="E4" s="936" t="s">
        <v>234</v>
      </c>
      <c r="F4" s="935" t="s">
        <v>243</v>
      </c>
      <c r="G4" s="923" t="s">
        <v>244</v>
      </c>
      <c r="H4" s="934" t="s">
        <v>334</v>
      </c>
      <c r="I4" s="923" t="s">
        <v>246</v>
      </c>
      <c r="J4" s="923" t="s">
        <v>247</v>
      </c>
      <c r="K4" s="923" t="s">
        <v>248</v>
      </c>
      <c r="L4" s="923" t="s">
        <v>249</v>
      </c>
      <c r="N4" s="80"/>
      <c r="O4" s="80"/>
      <c r="P4" s="80"/>
      <c r="Q4" s="80"/>
      <c r="R4" s="80"/>
      <c r="S4" s="80"/>
      <c r="T4" s="80"/>
      <c r="U4" s="80"/>
    </row>
    <row r="5" spans="1:33" x14ac:dyDescent="0.2">
      <c r="A5" s="1067"/>
      <c r="B5" s="1281"/>
      <c r="C5" s="1673"/>
      <c r="D5" s="1281"/>
      <c r="E5" s="1623"/>
      <c r="F5" s="1281"/>
      <c r="G5" s="1281"/>
      <c r="H5" s="1673"/>
      <c r="I5" s="914"/>
      <c r="J5" s="940"/>
      <c r="K5" s="945"/>
      <c r="L5" s="945"/>
    </row>
    <row r="6" spans="1:33" x14ac:dyDescent="0.25">
      <c r="A6" s="949"/>
      <c r="B6" s="1252" t="s">
        <v>19</v>
      </c>
      <c r="C6" s="947" t="s">
        <v>14</v>
      </c>
      <c r="D6" s="1674">
        <v>450</v>
      </c>
      <c r="E6" s="1615">
        <f t="shared" ref="E6:E14" si="0">$I$1</f>
        <v>10.8</v>
      </c>
      <c r="F6" s="1616">
        <v>1</v>
      </c>
      <c r="G6" s="940">
        <f t="shared" ref="G6:G14" si="1">D6*E6</f>
        <v>4860</v>
      </c>
      <c r="H6" s="1617">
        <f t="shared" ref="H6:H14" si="2">G6*F6</f>
        <v>4860</v>
      </c>
      <c r="I6" s="914">
        <f>VLOOKUP(B6,All_Ingredients!$A$1:$F$161,6,FALSE())</f>
        <v>0.8</v>
      </c>
      <c r="J6" s="940">
        <f>VLOOKUP(B6,All_Ingredients!$A$1:$J$161,10,FALSE())</f>
        <v>2.6</v>
      </c>
      <c r="K6" s="945">
        <f t="shared" ref="K6:K14" si="3">(H6/I6)/1000</f>
        <v>6.0750000000000002</v>
      </c>
      <c r="L6" s="945">
        <f t="shared" ref="L6:L14" si="4">K6*J6</f>
        <v>15.795000000000002</v>
      </c>
    </row>
    <row r="7" spans="1:33" x14ac:dyDescent="0.25">
      <c r="A7" s="949"/>
      <c r="B7" s="1252" t="s">
        <v>47</v>
      </c>
      <c r="C7" s="947" t="s">
        <v>14</v>
      </c>
      <c r="D7" s="1674">
        <v>450</v>
      </c>
      <c r="E7" s="1615">
        <f t="shared" si="0"/>
        <v>10.8</v>
      </c>
      <c r="F7" s="1616">
        <v>1</v>
      </c>
      <c r="G7" s="940">
        <f t="shared" si="1"/>
        <v>4860</v>
      </c>
      <c r="H7" s="1617">
        <f t="shared" si="2"/>
        <v>4860</v>
      </c>
      <c r="I7" s="914">
        <f>VLOOKUP(B7,All_Ingredients!$A$1:$F$161,6,FALSE())</f>
        <v>0.78</v>
      </c>
      <c r="J7" s="940">
        <f>VLOOKUP(B7,All_Ingredients!$A$1:$J$161,10,FALSE())</f>
        <v>3.7</v>
      </c>
      <c r="K7" s="945">
        <f t="shared" si="3"/>
        <v>6.2307692307692308</v>
      </c>
      <c r="L7" s="945">
        <f t="shared" si="4"/>
        <v>23.053846153846155</v>
      </c>
    </row>
    <row r="8" spans="1:33" x14ac:dyDescent="0.25">
      <c r="A8" s="949"/>
      <c r="B8" s="1252" t="s">
        <v>28</v>
      </c>
      <c r="C8" s="947" t="s">
        <v>14</v>
      </c>
      <c r="D8" s="1674">
        <v>80</v>
      </c>
      <c r="E8" s="1615">
        <f t="shared" si="0"/>
        <v>10.8</v>
      </c>
      <c r="F8" s="1616">
        <v>1</v>
      </c>
      <c r="G8" s="940">
        <f t="shared" si="1"/>
        <v>864</v>
      </c>
      <c r="H8" s="1617">
        <f t="shared" si="2"/>
        <v>864</v>
      </c>
      <c r="I8" s="914">
        <f>VLOOKUP(B8,All_Ingredients!$A$1:$F$161,6,FALSE())</f>
        <v>0.73</v>
      </c>
      <c r="J8" s="940">
        <f>VLOOKUP(B8,All_Ingredients!$A$1:$J$161,10,FALSE())</f>
        <v>8.5</v>
      </c>
      <c r="K8" s="945">
        <f t="shared" si="3"/>
        <v>1.1835616438356165</v>
      </c>
      <c r="L8" s="945">
        <f t="shared" si="4"/>
        <v>10.06027397260274</v>
      </c>
    </row>
    <row r="9" spans="1:33" x14ac:dyDescent="0.25">
      <c r="A9" s="949"/>
      <c r="B9" s="1252" t="s">
        <v>30</v>
      </c>
      <c r="C9" s="947" t="s">
        <v>14</v>
      </c>
      <c r="D9" s="1674">
        <v>80</v>
      </c>
      <c r="E9" s="1615">
        <f t="shared" si="0"/>
        <v>10.8</v>
      </c>
      <c r="F9" s="1616">
        <v>1</v>
      </c>
      <c r="G9" s="940">
        <f t="shared" si="1"/>
        <v>864</v>
      </c>
      <c r="H9" s="1617">
        <f t="shared" si="2"/>
        <v>864</v>
      </c>
      <c r="I9" s="914">
        <f>VLOOKUP(B9,All_Ingredients!$A$1:$F$161,6,FALSE())</f>
        <v>0.71</v>
      </c>
      <c r="J9" s="940">
        <f>VLOOKUP(B9,All_Ingredients!$A$1:$J$161,10,FALSE())</f>
        <v>8.5</v>
      </c>
      <c r="K9" s="945">
        <f t="shared" si="3"/>
        <v>1.2169014084507044</v>
      </c>
      <c r="L9" s="945">
        <f t="shared" si="4"/>
        <v>10.343661971830986</v>
      </c>
    </row>
    <row r="10" spans="1:33" x14ac:dyDescent="0.25">
      <c r="A10" s="949"/>
      <c r="B10" s="1252" t="s">
        <v>32</v>
      </c>
      <c r="C10" s="947" t="s">
        <v>14</v>
      </c>
      <c r="D10" s="1674">
        <v>80</v>
      </c>
      <c r="E10" s="1615">
        <f t="shared" si="0"/>
        <v>10.8</v>
      </c>
      <c r="F10" s="1616">
        <v>1</v>
      </c>
      <c r="G10" s="940">
        <f t="shared" si="1"/>
        <v>864</v>
      </c>
      <c r="H10" s="1617">
        <f t="shared" si="2"/>
        <v>864</v>
      </c>
      <c r="I10" s="914">
        <f>VLOOKUP(B10,All_Ingredients!$A$1:$F$161,6,FALSE())</f>
        <v>0.69</v>
      </c>
      <c r="J10" s="940">
        <f>VLOOKUP(B10,All_Ingredients!$A$1:$J$161,10,FALSE())</f>
        <v>4</v>
      </c>
      <c r="K10" s="945">
        <f t="shared" si="3"/>
        <v>1.2521739130434784</v>
      </c>
      <c r="L10" s="945">
        <f t="shared" si="4"/>
        <v>5.0086956521739134</v>
      </c>
    </row>
    <row r="11" spans="1:33" x14ac:dyDescent="0.25">
      <c r="A11" s="949"/>
      <c r="B11" s="1252" t="s">
        <v>50</v>
      </c>
      <c r="C11" s="947" t="s">
        <v>14</v>
      </c>
      <c r="D11" s="1674">
        <v>80</v>
      </c>
      <c r="E11" s="1615">
        <f t="shared" si="0"/>
        <v>10.8</v>
      </c>
      <c r="F11" s="1616">
        <v>1</v>
      </c>
      <c r="G11" s="940">
        <f t="shared" si="1"/>
        <v>864</v>
      </c>
      <c r="H11" s="1617">
        <f t="shared" si="2"/>
        <v>864</v>
      </c>
      <c r="I11" s="914">
        <f>VLOOKUP(B11,All_Ingredients!$A$1:$F$161,6,FALSE())</f>
        <v>0.75</v>
      </c>
      <c r="J11" s="940">
        <f>VLOOKUP(B11,All_Ingredients!$A$1:$J$161,10,FALSE())</f>
        <v>20</v>
      </c>
      <c r="K11" s="945">
        <f t="shared" si="3"/>
        <v>1.1519999999999999</v>
      </c>
      <c r="L11" s="945">
        <f t="shared" si="4"/>
        <v>23.04</v>
      </c>
    </row>
    <row r="12" spans="1:33" x14ac:dyDescent="0.25">
      <c r="A12" s="949"/>
      <c r="B12" s="1252" t="s">
        <v>516</v>
      </c>
      <c r="C12" s="947" t="s">
        <v>14</v>
      </c>
      <c r="D12" s="1674">
        <v>80</v>
      </c>
      <c r="E12" s="1615">
        <f t="shared" si="0"/>
        <v>10.8</v>
      </c>
      <c r="F12" s="1616">
        <v>1</v>
      </c>
      <c r="G12" s="940">
        <f t="shared" si="1"/>
        <v>864</v>
      </c>
      <c r="H12" s="1617">
        <f t="shared" si="2"/>
        <v>864</v>
      </c>
      <c r="I12" s="914">
        <f>VLOOKUP(B12,All_Ingredients!$A$1:$F$161,6,FALSE())</f>
        <v>1</v>
      </c>
      <c r="J12" s="940">
        <f>VLOOKUP(B12,All_Ingredients!$A$1:$J$161,10,FALSE())</f>
        <v>10.196078431372548</v>
      </c>
      <c r="K12" s="945">
        <f t="shared" si="3"/>
        <v>0.86399999999999999</v>
      </c>
      <c r="L12" s="945">
        <f t="shared" si="4"/>
        <v>8.8094117647058816</v>
      </c>
    </row>
    <row r="13" spans="1:33" x14ac:dyDescent="0.25">
      <c r="A13" s="949"/>
      <c r="B13" s="1252" t="s">
        <v>93</v>
      </c>
      <c r="C13" s="947" t="s">
        <v>14</v>
      </c>
      <c r="D13" s="1615">
        <v>4</v>
      </c>
      <c r="E13" s="1615">
        <f t="shared" si="0"/>
        <v>10.8</v>
      </c>
      <c r="F13" s="1616">
        <v>0.75</v>
      </c>
      <c r="G13" s="940">
        <f t="shared" si="1"/>
        <v>43.2</v>
      </c>
      <c r="H13" s="1617">
        <f t="shared" si="2"/>
        <v>32.400000000000006</v>
      </c>
      <c r="I13" s="914">
        <f>VLOOKUP(B13,All_Ingredients!$A$1:$F$161,6,FALSE())</f>
        <v>1</v>
      </c>
      <c r="J13" s="940">
        <f>VLOOKUP(B13,All_Ingredients!$A$1:$J$161,10,FALSE())</f>
        <v>0.74</v>
      </c>
      <c r="K13" s="945">
        <f t="shared" si="3"/>
        <v>3.2400000000000005E-2</v>
      </c>
      <c r="L13" s="945">
        <f t="shared" si="4"/>
        <v>2.3976000000000004E-2</v>
      </c>
    </row>
    <row r="14" spans="1:33" x14ac:dyDescent="0.25">
      <c r="A14" s="949"/>
      <c r="B14" s="1252" t="s">
        <v>99</v>
      </c>
      <c r="C14" s="947" t="s">
        <v>14</v>
      </c>
      <c r="D14" s="1621">
        <v>0.5</v>
      </c>
      <c r="E14" s="1615">
        <f t="shared" si="0"/>
        <v>10.8</v>
      </c>
      <c r="F14" s="1616">
        <v>1</v>
      </c>
      <c r="G14" s="940">
        <f t="shared" si="1"/>
        <v>5.4</v>
      </c>
      <c r="H14" s="1617">
        <f t="shared" si="2"/>
        <v>5.4</v>
      </c>
      <c r="I14" s="914">
        <f>VLOOKUP(B14,All_Ingredients!$A$1:$F$161,6,FALSE())</f>
        <v>1</v>
      </c>
      <c r="J14" s="940">
        <f>VLOOKUP(B14,All_Ingredients!$A$1:$J$161,10,FALSE())</f>
        <v>31</v>
      </c>
      <c r="K14" s="945">
        <f t="shared" si="3"/>
        <v>5.4000000000000003E-3</v>
      </c>
      <c r="L14" s="945">
        <f t="shared" si="4"/>
        <v>0.16740000000000002</v>
      </c>
    </row>
    <row r="25" spans="18:29" x14ac:dyDescent="0.25">
      <c r="R25" s="1886" t="s">
        <v>341</v>
      </c>
      <c r="S25" s="1850"/>
      <c r="T25" s="1850"/>
      <c r="Z25" s="96" t="s">
        <v>14</v>
      </c>
      <c r="AA25" s="97">
        <v>1</v>
      </c>
      <c r="AB25" s="96" t="s">
        <v>249</v>
      </c>
      <c r="AC25" s="98">
        <f>(S34/S30)*AA25</f>
        <v>8.9168764365888595E-3</v>
      </c>
    </row>
    <row r="26" spans="18:29" x14ac:dyDescent="0.25">
      <c r="R26" s="1888" t="s">
        <v>337</v>
      </c>
      <c r="S26" s="1867"/>
      <c r="T26" s="1867"/>
    </row>
    <row r="27" spans="18:29" x14ac:dyDescent="0.25">
      <c r="R27" s="100" t="s">
        <v>254</v>
      </c>
      <c r="S27" s="100" t="s">
        <v>338</v>
      </c>
      <c r="T27" s="100" t="s">
        <v>257</v>
      </c>
    </row>
    <row r="28" spans="18:29" x14ac:dyDescent="0.25">
      <c r="R28" s="100" t="s">
        <v>263</v>
      </c>
      <c r="S28" s="400">
        <f>T28</f>
        <v>10800</v>
      </c>
      <c r="T28" s="398">
        <f>Z1</f>
        <v>10800</v>
      </c>
    </row>
    <row r="29" spans="18:29" x14ac:dyDescent="0.25">
      <c r="R29" s="100" t="s">
        <v>265</v>
      </c>
      <c r="S29" s="398">
        <f>AB1</f>
        <v>0</v>
      </c>
      <c r="T29" s="401">
        <f>S29</f>
        <v>0</v>
      </c>
    </row>
    <row r="30" spans="18:29" x14ac:dyDescent="0.25">
      <c r="R30" s="100" t="s">
        <v>257</v>
      </c>
      <c r="S30" s="218">
        <f>SUM(S28:S29)</f>
        <v>10800</v>
      </c>
      <c r="T30" s="218">
        <f>S30</f>
        <v>10800</v>
      </c>
    </row>
    <row r="34" spans="18:20" ht="15.75" thickBot="1" x14ac:dyDescent="0.3">
      <c r="R34" s="117" t="s">
        <v>249</v>
      </c>
      <c r="S34" s="548">
        <f>SUM(L6:L14)</f>
        <v>96.302265515159675</v>
      </c>
      <c r="T34" s="594">
        <f>S34</f>
        <v>96.302265515159675</v>
      </c>
    </row>
    <row r="50" spans="1:8" x14ac:dyDescent="0.25">
      <c r="B50" s="845"/>
      <c r="C50" s="150" t="s">
        <v>233</v>
      </c>
      <c r="D50" s="150" t="s">
        <v>279</v>
      </c>
    </row>
    <row r="51" spans="1:8" x14ac:dyDescent="0.25">
      <c r="B51" s="844" t="s">
        <v>283</v>
      </c>
      <c r="C51" s="133">
        <f>10/$K$1</f>
        <v>10</v>
      </c>
      <c r="D51" s="134">
        <f>$C$1*10</f>
        <v>10000</v>
      </c>
    </row>
    <row r="52" spans="1:8" x14ac:dyDescent="0.25">
      <c r="B52" s="846" t="s">
        <v>257</v>
      </c>
      <c r="C52" s="157">
        <f>G1</f>
        <v>10.8</v>
      </c>
      <c r="D52" s="157">
        <f>E1</f>
        <v>10800</v>
      </c>
    </row>
    <row r="53" spans="1:8" x14ac:dyDescent="0.25">
      <c r="B53" s="846" t="s">
        <v>284</v>
      </c>
      <c r="C53" s="158">
        <f>MIN($C$52, $C$51)</f>
        <v>10</v>
      </c>
      <c r="D53" s="157">
        <f>(C53*$K$1)*$C$1</f>
        <v>10000</v>
      </c>
    </row>
    <row r="54" spans="1:8" x14ac:dyDescent="0.25">
      <c r="B54" s="846" t="s">
        <v>285</v>
      </c>
      <c r="C54" s="158">
        <f>MIN(MAX($C$52-C53,0),$C$51)</f>
        <v>0.80000000000000071</v>
      </c>
      <c r="D54" s="157">
        <f>(C54*$K$1)*$C$1</f>
        <v>800.00000000000068</v>
      </c>
    </row>
    <row r="55" spans="1:8" x14ac:dyDescent="0.25">
      <c r="B55" s="846" t="s">
        <v>286</v>
      </c>
      <c r="C55" s="158">
        <f>MIN(MAX($C$52-C53-C54,0),$C$51)</f>
        <v>0</v>
      </c>
      <c r="D55" s="157">
        <f>(C55*$K$1)*$C$1</f>
        <v>0</v>
      </c>
    </row>
    <row r="63" spans="1:8" x14ac:dyDescent="0.25">
      <c r="A63" s="867"/>
      <c r="B63" s="1871" t="s">
        <v>761</v>
      </c>
      <c r="C63" s="1880"/>
      <c r="D63" s="1880"/>
      <c r="E63" s="1880"/>
      <c r="F63" s="1880"/>
      <c r="G63" s="1880"/>
      <c r="H63" s="1880"/>
    </row>
    <row r="64" spans="1:8" x14ac:dyDescent="0.25">
      <c r="A64" s="867"/>
      <c r="B64" s="1872" t="s">
        <v>340</v>
      </c>
      <c r="C64" s="1883"/>
      <c r="D64" s="1883"/>
      <c r="E64" s="1883"/>
      <c r="F64" s="1883"/>
      <c r="G64" s="1883"/>
      <c r="H64" s="1883"/>
    </row>
    <row r="65" spans="1:8" ht="38.25" x14ac:dyDescent="0.2">
      <c r="A65" s="872"/>
      <c r="B65" s="1104" t="s">
        <v>241</v>
      </c>
      <c r="C65" s="934" t="s">
        <v>242</v>
      </c>
      <c r="D65" s="1104" t="s">
        <v>231</v>
      </c>
      <c r="E65" s="936" t="s">
        <v>234</v>
      </c>
      <c r="F65" s="936" t="s">
        <v>243</v>
      </c>
      <c r="G65" s="1104" t="s">
        <v>244</v>
      </c>
      <c r="H65" s="936" t="s">
        <v>245</v>
      </c>
    </row>
    <row r="66" spans="1:8" x14ac:dyDescent="0.25">
      <c r="B66" s="1252" t="str">
        <f t="shared" ref="B66:D74" si="5">B6</f>
        <v>Carrot - جزر</v>
      </c>
      <c r="C66" s="947" t="str">
        <f t="shared" si="5"/>
        <v>gm</v>
      </c>
      <c r="D66" s="1615">
        <f t="shared" si="5"/>
        <v>450</v>
      </c>
      <c r="E66" s="1615">
        <f>$C$52</f>
        <v>10.8</v>
      </c>
      <c r="F66" s="1616">
        <f t="shared" ref="F66:F74" si="6">F6</f>
        <v>1</v>
      </c>
      <c r="G66" s="940">
        <f t="shared" ref="G66:G74" si="7">D66*E66</f>
        <v>4860</v>
      </c>
      <c r="H66" s="1617">
        <f t="shared" ref="H66:H74" si="8">G66*F66</f>
        <v>4860</v>
      </c>
    </row>
    <row r="67" spans="1:8" x14ac:dyDescent="0.25">
      <c r="B67" s="1252" t="str">
        <f t="shared" si="5"/>
        <v>Zucchini - كوسة</v>
      </c>
      <c r="C67" s="947" t="str">
        <f t="shared" si="5"/>
        <v>gm</v>
      </c>
      <c r="D67" s="1615">
        <f t="shared" si="5"/>
        <v>450</v>
      </c>
      <c r="E67" s="1615">
        <f t="shared" ref="E67:E74" si="9">$C$52</f>
        <v>10.8</v>
      </c>
      <c r="F67" s="1616">
        <f t="shared" si="6"/>
        <v>1</v>
      </c>
      <c r="G67" s="940">
        <f t="shared" si="7"/>
        <v>4860</v>
      </c>
      <c r="H67" s="1617">
        <f t="shared" si="8"/>
        <v>4860</v>
      </c>
    </row>
    <row r="68" spans="1:8" x14ac:dyDescent="0.25">
      <c r="B68" s="1252" t="str">
        <f t="shared" si="5"/>
        <v xml:space="preserve">Red Bell Pepper - فلفل أحمر </v>
      </c>
      <c r="C68" s="947" t="str">
        <f t="shared" si="5"/>
        <v>gm</v>
      </c>
      <c r="D68" s="1615">
        <f t="shared" si="5"/>
        <v>80</v>
      </c>
      <c r="E68" s="1615">
        <f t="shared" si="9"/>
        <v>10.8</v>
      </c>
      <c r="F68" s="1616">
        <f t="shared" si="6"/>
        <v>1</v>
      </c>
      <c r="G68" s="940">
        <f t="shared" si="7"/>
        <v>864</v>
      </c>
      <c r="H68" s="1617">
        <f t="shared" si="8"/>
        <v>864</v>
      </c>
    </row>
    <row r="69" spans="1:8" x14ac:dyDescent="0.25">
      <c r="B69" s="1252" t="str">
        <f t="shared" si="5"/>
        <v xml:space="preserve">Yellow Bell Pepper - فلفل أصفر </v>
      </c>
      <c r="C69" s="947" t="str">
        <f t="shared" si="5"/>
        <v>gm</v>
      </c>
      <c r="D69" s="1615">
        <f t="shared" si="5"/>
        <v>80</v>
      </c>
      <c r="E69" s="1615">
        <f t="shared" si="9"/>
        <v>10.8</v>
      </c>
      <c r="F69" s="1616">
        <f t="shared" si="6"/>
        <v>1</v>
      </c>
      <c r="G69" s="940">
        <f t="shared" si="7"/>
        <v>864</v>
      </c>
      <c r="H69" s="1617">
        <f t="shared" si="8"/>
        <v>864</v>
      </c>
    </row>
    <row r="70" spans="1:8" x14ac:dyDescent="0.25">
      <c r="B70" s="1252" t="str">
        <f t="shared" si="5"/>
        <v>Green Bell Pepper - فلفل أخضر رومى</v>
      </c>
      <c r="C70" s="947" t="str">
        <f t="shared" si="5"/>
        <v>gm</v>
      </c>
      <c r="D70" s="1615">
        <f t="shared" si="5"/>
        <v>80</v>
      </c>
      <c r="E70" s="1615">
        <f t="shared" si="9"/>
        <v>10.8</v>
      </c>
      <c r="F70" s="1616">
        <f t="shared" si="6"/>
        <v>1</v>
      </c>
      <c r="G70" s="940">
        <f t="shared" si="7"/>
        <v>864</v>
      </c>
      <c r="H70" s="1617">
        <f t="shared" si="8"/>
        <v>864</v>
      </c>
    </row>
    <row r="71" spans="1:8" x14ac:dyDescent="0.25">
      <c r="B71" s="1252" t="str">
        <f t="shared" si="5"/>
        <v>Chinese Cabbage - ملفوف صيني</v>
      </c>
      <c r="C71" s="947" t="str">
        <f t="shared" si="5"/>
        <v>gm</v>
      </c>
      <c r="D71" s="1615">
        <f t="shared" si="5"/>
        <v>80</v>
      </c>
      <c r="E71" s="1615">
        <f t="shared" si="9"/>
        <v>10.8</v>
      </c>
      <c r="F71" s="1616">
        <f t="shared" si="6"/>
        <v>1</v>
      </c>
      <c r="G71" s="940">
        <f t="shared" si="7"/>
        <v>864</v>
      </c>
      <c r="H71" s="1617">
        <f t="shared" si="8"/>
        <v>864</v>
      </c>
    </row>
    <row r="72" spans="1:8" x14ac:dyDescent="0.25">
      <c r="B72" s="1252" t="str">
        <f t="shared" si="5"/>
        <v>Sweet Corn - ذرة حلوة</v>
      </c>
      <c r="C72" s="947" t="str">
        <f t="shared" si="5"/>
        <v>gm</v>
      </c>
      <c r="D72" s="1615">
        <f t="shared" si="5"/>
        <v>80</v>
      </c>
      <c r="E72" s="1615">
        <f t="shared" si="9"/>
        <v>10.8</v>
      </c>
      <c r="F72" s="1616">
        <f t="shared" si="6"/>
        <v>1</v>
      </c>
      <c r="G72" s="940">
        <f t="shared" si="7"/>
        <v>864</v>
      </c>
      <c r="H72" s="1617">
        <f t="shared" si="8"/>
        <v>864</v>
      </c>
    </row>
    <row r="73" spans="1:8" x14ac:dyDescent="0.25">
      <c r="B73" s="1252" t="str">
        <f t="shared" si="5"/>
        <v>Salt - ملح</v>
      </c>
      <c r="C73" s="947" t="str">
        <f t="shared" si="5"/>
        <v>gm</v>
      </c>
      <c r="D73" s="1615">
        <f t="shared" si="5"/>
        <v>4</v>
      </c>
      <c r="E73" s="1615">
        <f t="shared" si="9"/>
        <v>10.8</v>
      </c>
      <c r="F73" s="1616">
        <f t="shared" si="6"/>
        <v>0.75</v>
      </c>
      <c r="G73" s="940">
        <f t="shared" si="7"/>
        <v>43.2</v>
      </c>
      <c r="H73" s="1617">
        <f t="shared" si="8"/>
        <v>32.400000000000006</v>
      </c>
    </row>
    <row r="74" spans="1:8" x14ac:dyDescent="0.25">
      <c r="B74" s="1252" t="str">
        <f t="shared" si="5"/>
        <v>Black Pepper Powder - فلفل أسود مطحون</v>
      </c>
      <c r="C74" s="947" t="str">
        <f t="shared" si="5"/>
        <v>gm</v>
      </c>
      <c r="D74" s="1621">
        <f t="shared" si="5"/>
        <v>0.5</v>
      </c>
      <c r="E74" s="1615">
        <f t="shared" si="9"/>
        <v>10.8</v>
      </c>
      <c r="F74" s="1616">
        <f t="shared" si="6"/>
        <v>1</v>
      </c>
      <c r="G74" s="940">
        <f t="shared" si="7"/>
        <v>5.4</v>
      </c>
      <c r="H74" s="1617">
        <f t="shared" si="8"/>
        <v>5.4</v>
      </c>
    </row>
    <row r="75" spans="1:8" ht="15.75" x14ac:dyDescent="0.25">
      <c r="B75" s="1622" t="s">
        <v>686</v>
      </c>
      <c r="C75" s="952"/>
      <c r="D75" s="952"/>
      <c r="E75" s="1208"/>
      <c r="F75" s="1208"/>
      <c r="G75" s="952"/>
      <c r="H75" s="952"/>
    </row>
    <row r="76" spans="1:8" ht="18.75" customHeight="1" x14ac:dyDescent="0.3">
      <c r="B76" s="1048">
        <f>D52</f>
        <v>10800</v>
      </c>
      <c r="C76" s="1346"/>
      <c r="D76" s="1672"/>
      <c r="E76" s="1208"/>
      <c r="F76" s="1348"/>
      <c r="G76" s="952"/>
      <c r="H76" s="952"/>
    </row>
    <row r="77" spans="1:8" x14ac:dyDescent="0.25">
      <c r="B77" s="80"/>
      <c r="E77" s="80"/>
      <c r="F77" s="80"/>
    </row>
    <row r="78" spans="1:8" x14ac:dyDescent="0.25">
      <c r="B78" s="80"/>
      <c r="C78" s="80"/>
      <c r="D78" s="225"/>
      <c r="E78" s="80"/>
      <c r="F78" s="80"/>
      <c r="G78" s="80"/>
      <c r="H78" s="80"/>
    </row>
    <row r="80" spans="1:8" ht="18" x14ac:dyDescent="0.25">
      <c r="A80" s="887"/>
      <c r="B80" s="1819"/>
      <c r="C80" s="1820"/>
      <c r="D80" s="1820"/>
      <c r="E80" s="1820"/>
      <c r="F80" s="1820"/>
      <c r="G80" s="1820"/>
      <c r="H80" s="1820"/>
    </row>
    <row r="81" spans="1:8" ht="18" x14ac:dyDescent="0.25">
      <c r="A81" s="887"/>
      <c r="B81" s="1819"/>
      <c r="C81" s="1820"/>
      <c r="D81" s="1820"/>
      <c r="E81" s="1820"/>
      <c r="F81" s="1820"/>
      <c r="G81" s="1820"/>
      <c r="H81" s="1820"/>
    </row>
    <row r="82" spans="1:8" x14ac:dyDescent="0.2">
      <c r="A82" s="888"/>
      <c r="B82" s="613"/>
      <c r="C82" s="614"/>
      <c r="D82" s="613"/>
      <c r="E82" s="615"/>
      <c r="F82" s="615"/>
      <c r="G82" s="613"/>
      <c r="H82" s="615"/>
    </row>
    <row r="83" spans="1:8" x14ac:dyDescent="0.25">
      <c r="A83" s="887"/>
      <c r="B83" s="616"/>
      <c r="C83" s="616"/>
      <c r="D83" s="621"/>
      <c r="E83" s="622"/>
      <c r="F83" s="618"/>
      <c r="G83" s="619"/>
      <c r="H83" s="620"/>
    </row>
    <row r="84" spans="1:8" x14ac:dyDescent="0.25">
      <c r="A84" s="887"/>
      <c r="B84" s="616"/>
      <c r="C84" s="616"/>
      <c r="D84" s="621"/>
      <c r="E84" s="622"/>
      <c r="F84" s="618"/>
      <c r="G84" s="619"/>
      <c r="H84" s="620"/>
    </row>
    <row r="85" spans="1:8" x14ac:dyDescent="0.25">
      <c r="A85" s="887"/>
      <c r="B85" s="616"/>
      <c r="C85" s="616"/>
      <c r="D85" s="621"/>
      <c r="E85" s="622"/>
      <c r="F85" s="618"/>
      <c r="G85" s="619"/>
      <c r="H85" s="620"/>
    </row>
    <row r="86" spans="1:8" x14ac:dyDescent="0.25">
      <c r="A86" s="887"/>
      <c r="B86" s="616"/>
      <c r="C86" s="616"/>
      <c r="D86" s="621"/>
      <c r="E86" s="622"/>
      <c r="F86" s="618"/>
      <c r="G86" s="619"/>
      <c r="H86" s="620"/>
    </row>
    <row r="87" spans="1:8" x14ac:dyDescent="0.25">
      <c r="A87" s="887"/>
      <c r="B87" s="616"/>
      <c r="C87" s="616"/>
      <c r="D87" s="621"/>
      <c r="E87" s="622"/>
      <c r="F87" s="618"/>
      <c r="G87" s="619"/>
      <c r="H87" s="620"/>
    </row>
    <row r="88" spans="1:8" x14ac:dyDescent="0.25">
      <c r="A88" s="887"/>
      <c r="B88" s="616"/>
      <c r="C88" s="616"/>
      <c r="D88" s="621"/>
      <c r="E88" s="622"/>
      <c r="F88" s="618"/>
      <c r="G88" s="619"/>
      <c r="H88" s="620"/>
    </row>
    <row r="89" spans="1:8" x14ac:dyDescent="0.25">
      <c r="A89" s="887"/>
      <c r="B89" s="616"/>
      <c r="C89" s="616"/>
      <c r="D89" s="621"/>
      <c r="E89" s="622"/>
      <c r="F89" s="618"/>
      <c r="G89" s="619"/>
      <c r="H89" s="620"/>
    </row>
    <row r="90" spans="1:8" x14ac:dyDescent="0.25">
      <c r="A90" s="887"/>
      <c r="B90" s="616"/>
      <c r="C90" s="616"/>
      <c r="D90" s="621"/>
      <c r="E90" s="622"/>
      <c r="F90" s="618"/>
      <c r="G90" s="619"/>
      <c r="H90" s="620"/>
    </row>
    <row r="91" spans="1:8" x14ac:dyDescent="0.25">
      <c r="A91" s="887"/>
      <c r="B91" s="616"/>
      <c r="C91" s="616"/>
      <c r="D91" s="623"/>
      <c r="E91" s="622"/>
      <c r="F91" s="618"/>
      <c r="G91" s="619"/>
      <c r="H91" s="620"/>
    </row>
    <row r="92" spans="1:8" ht="15.75" x14ac:dyDescent="0.25">
      <c r="A92" s="887"/>
      <c r="B92" s="452"/>
      <c r="C92" s="437"/>
      <c r="D92" s="437"/>
      <c r="E92" s="431"/>
      <c r="F92" s="431"/>
      <c r="G92" s="437"/>
      <c r="H92" s="437"/>
    </row>
    <row r="93" spans="1:8" ht="20.25" x14ac:dyDescent="0.3">
      <c r="A93" s="887"/>
      <c r="B93" s="453"/>
      <c r="C93" s="454"/>
      <c r="D93" s="624"/>
      <c r="E93" s="431"/>
      <c r="F93" s="625"/>
      <c r="G93" s="437"/>
      <c r="H93" s="437"/>
    </row>
    <row r="94" spans="1:8" x14ac:dyDescent="0.25">
      <c r="A94" s="887"/>
      <c r="B94" s="431"/>
      <c r="C94" s="431"/>
      <c r="D94" s="431"/>
      <c r="E94" s="431"/>
      <c r="F94" s="431"/>
      <c r="G94" s="431"/>
      <c r="H94" s="431"/>
    </row>
    <row r="95" spans="1:8" ht="18" x14ac:dyDescent="0.25">
      <c r="A95" s="887"/>
      <c r="B95" s="1819"/>
      <c r="C95" s="1820"/>
      <c r="D95" s="1820"/>
      <c r="E95" s="1820"/>
      <c r="F95" s="1820"/>
      <c r="G95" s="1820"/>
      <c r="H95" s="1820"/>
    </row>
    <row r="96" spans="1:8" ht="18" x14ac:dyDescent="0.25">
      <c r="A96" s="887"/>
      <c r="B96" s="1819"/>
      <c r="C96" s="1820"/>
      <c r="D96" s="1820"/>
      <c r="E96" s="1820"/>
      <c r="F96" s="1820"/>
      <c r="G96" s="1820"/>
      <c r="H96" s="1820"/>
    </row>
    <row r="97" spans="1:8" x14ac:dyDescent="0.2">
      <c r="A97" s="888"/>
      <c r="B97" s="613"/>
      <c r="C97" s="614"/>
      <c r="D97" s="613"/>
      <c r="E97" s="615"/>
      <c r="F97" s="615"/>
      <c r="G97" s="613"/>
      <c r="H97" s="615"/>
    </row>
    <row r="98" spans="1:8" x14ac:dyDescent="0.25">
      <c r="A98" s="887"/>
      <c r="B98" s="616"/>
      <c r="C98" s="616"/>
      <c r="D98" s="616"/>
      <c r="E98" s="617"/>
      <c r="F98" s="618"/>
      <c r="G98" s="619"/>
      <c r="H98" s="620"/>
    </row>
    <row r="99" spans="1:8" x14ac:dyDescent="0.25">
      <c r="A99" s="887"/>
      <c r="B99" s="616"/>
      <c r="C99" s="616"/>
      <c r="D99" s="616"/>
      <c r="E99" s="617"/>
      <c r="F99" s="618"/>
      <c r="G99" s="619"/>
      <c r="H99" s="620"/>
    </row>
    <row r="100" spans="1:8" x14ac:dyDescent="0.25">
      <c r="A100" s="887"/>
      <c r="B100" s="616"/>
      <c r="C100" s="616"/>
      <c r="D100" s="616"/>
      <c r="E100" s="617"/>
      <c r="F100" s="618"/>
      <c r="G100" s="619"/>
      <c r="H100" s="620"/>
    </row>
    <row r="101" spans="1:8" x14ac:dyDescent="0.25">
      <c r="A101" s="887"/>
      <c r="B101" s="616"/>
      <c r="C101" s="616"/>
      <c r="D101" s="616"/>
      <c r="E101" s="617"/>
      <c r="F101" s="618"/>
      <c r="G101" s="619"/>
      <c r="H101" s="620"/>
    </row>
    <row r="102" spans="1:8" x14ac:dyDescent="0.25">
      <c r="A102" s="887"/>
      <c r="B102" s="616"/>
      <c r="C102" s="616"/>
      <c r="D102" s="616"/>
      <c r="E102" s="617"/>
      <c r="F102" s="618"/>
      <c r="G102" s="619"/>
      <c r="H102" s="620"/>
    </row>
    <row r="103" spans="1:8" x14ac:dyDescent="0.25">
      <c r="A103" s="887"/>
      <c r="B103" s="616"/>
      <c r="C103" s="616"/>
      <c r="D103" s="616"/>
      <c r="E103" s="617"/>
      <c r="F103" s="618"/>
      <c r="G103" s="619"/>
      <c r="H103" s="620"/>
    </row>
    <row r="104" spans="1:8" x14ac:dyDescent="0.25">
      <c r="A104" s="887"/>
      <c r="B104" s="616"/>
      <c r="C104" s="616"/>
      <c r="D104" s="616"/>
      <c r="E104" s="617"/>
      <c r="F104" s="618"/>
      <c r="G104" s="619"/>
      <c r="H104" s="620"/>
    </row>
    <row r="105" spans="1:8" x14ac:dyDescent="0.25">
      <c r="A105" s="887"/>
      <c r="B105" s="616"/>
      <c r="C105" s="616"/>
      <c r="D105" s="616"/>
      <c r="E105" s="617"/>
      <c r="F105" s="618"/>
      <c r="G105" s="619"/>
      <c r="H105" s="620"/>
    </row>
    <row r="106" spans="1:8" x14ac:dyDescent="0.25">
      <c r="A106" s="887"/>
      <c r="B106" s="616"/>
      <c r="C106" s="616"/>
      <c r="D106" s="616"/>
      <c r="E106" s="617"/>
      <c r="F106" s="618"/>
      <c r="G106" s="627"/>
      <c r="H106" s="628"/>
    </row>
  </sheetData>
  <mergeCells count="10">
    <mergeCell ref="B96:H96"/>
    <mergeCell ref="B2:H3"/>
    <mergeCell ref="R25:T25"/>
    <mergeCell ref="B64:H64"/>
    <mergeCell ref="AE2:AG3"/>
    <mergeCell ref="B95:H95"/>
    <mergeCell ref="B80:H80"/>
    <mergeCell ref="B81:H81"/>
    <mergeCell ref="B63:H63"/>
    <mergeCell ref="R26:T26"/>
  </mergeCells>
  <printOptions horizontalCentered="1"/>
  <pageMargins left="0.4" right="0.4" top="1" bottom="0.5" header="0.3" footer="0.511811023622047"/>
  <pageSetup paperSize="9" scale="49" fitToHeight="0" orientation="landscape"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4E423-C4D7-42C3-8CBD-E01898735CEC}">
  <sheetPr codeName="Sheet101">
    <tabColor theme="6" tint="-0.249977111117893"/>
    <pageSetUpPr fitToPage="1"/>
  </sheetPr>
  <dimension ref="A1:AD82"/>
  <sheetViews>
    <sheetView topLeftCell="A45" zoomScaleNormal="100" workbookViewId="0">
      <selection activeCell="B70" sqref="B70"/>
    </sheetView>
  </sheetViews>
  <sheetFormatPr defaultColWidth="12.5" defaultRowHeight="15" x14ac:dyDescent="0.2"/>
  <cols>
    <col min="1" max="1" width="14.75" style="885" bestFit="1" customWidth="1"/>
    <col min="2" max="2" width="40.125" style="346" bestFit="1" customWidth="1"/>
    <col min="3" max="3" width="16" style="346" bestFit="1" customWidth="1"/>
    <col min="4" max="4" width="19.75" style="346" bestFit="1" customWidth="1"/>
    <col min="5" max="5" width="15.375" style="346" bestFit="1" customWidth="1"/>
    <col min="6" max="6" width="14" style="346" bestFit="1" customWidth="1"/>
    <col min="7" max="7" width="10.125" style="346" bestFit="1" customWidth="1"/>
    <col min="8" max="8" width="17.625" style="346" bestFit="1" customWidth="1"/>
    <col min="9" max="9" width="10.625" style="346" bestFit="1" customWidth="1"/>
    <col min="10" max="10" width="11.625" style="346" bestFit="1" customWidth="1"/>
    <col min="11" max="11" width="11.125" style="346" bestFit="1" customWidth="1"/>
    <col min="12" max="12" width="5" style="346" bestFit="1" customWidth="1"/>
    <col min="13" max="17" width="3.875" style="346" customWidth="1"/>
    <col min="18" max="18" width="9.625" style="346" bestFit="1" customWidth="1"/>
    <col min="19" max="19" width="8" style="346" bestFit="1" customWidth="1"/>
    <col min="20" max="20" width="9.875" style="346" bestFit="1" customWidth="1"/>
    <col min="21" max="24" width="12.5" style="346"/>
    <col min="25" max="25" width="6.5" style="346" bestFit="1" customWidth="1"/>
    <col min="26" max="26" width="6.375" style="346" bestFit="1" customWidth="1"/>
    <col min="27" max="27" width="5.875" style="346" bestFit="1" customWidth="1"/>
    <col min="28" max="28" width="4.5" style="346" bestFit="1" customWidth="1"/>
    <col min="29" max="29" width="5.5" style="346" bestFit="1" customWidth="1"/>
    <col min="30" max="30" width="2.625" style="346" bestFit="1" customWidth="1"/>
    <col min="31" max="16384" width="12.5" style="346"/>
  </cols>
  <sheetData>
    <row r="1" spans="1:30" ht="25.5" x14ac:dyDescent="0.2">
      <c r="B1" s="855" t="s">
        <v>521</v>
      </c>
      <c r="C1" s="379">
        <v>5000</v>
      </c>
      <c r="D1" s="378" t="s">
        <v>232</v>
      </c>
      <c r="E1" s="377">
        <f>T29</f>
        <v>1719</v>
      </c>
      <c r="F1" s="375" t="s">
        <v>233</v>
      </c>
      <c r="G1" s="376">
        <f>E1/C1</f>
        <v>0.34379999999999999</v>
      </c>
      <c r="H1" s="375" t="s">
        <v>234</v>
      </c>
      <c r="I1" s="374">
        <f>(G1/K1)</f>
        <v>0.34379999999999999</v>
      </c>
      <c r="J1" s="373" t="s">
        <v>235</v>
      </c>
      <c r="K1" s="372">
        <v>1</v>
      </c>
      <c r="L1" s="347"/>
      <c r="M1" s="347"/>
      <c r="N1" s="347"/>
      <c r="Y1" s="72" t="s">
        <v>444</v>
      </c>
      <c r="Z1" s="422">
        <v>11460</v>
      </c>
      <c r="AA1" s="72" t="s">
        <v>544</v>
      </c>
      <c r="AB1" s="422">
        <v>0</v>
      </c>
      <c r="AC1" s="72" t="s">
        <v>537</v>
      </c>
      <c r="AD1" s="422">
        <v>79</v>
      </c>
    </row>
    <row r="2" spans="1:30" ht="15.75" x14ac:dyDescent="0.2">
      <c r="A2" s="1806"/>
      <c r="B2" s="1808" t="s">
        <v>862</v>
      </c>
      <c r="C2" s="1808"/>
      <c r="D2" s="1808"/>
      <c r="E2" s="1808"/>
      <c r="F2" s="1808"/>
      <c r="G2" s="1808"/>
      <c r="H2" s="1808"/>
      <c r="I2" s="353"/>
      <c r="J2" s="353"/>
      <c r="K2" s="1896"/>
      <c r="L2" s="347"/>
      <c r="M2" s="347"/>
      <c r="N2" s="347"/>
    </row>
    <row r="3" spans="1:30" ht="15.75" x14ac:dyDescent="0.2">
      <c r="A3" s="1806"/>
      <c r="B3" s="1808"/>
      <c r="C3" s="1808"/>
      <c r="D3" s="1808"/>
      <c r="E3" s="1808"/>
      <c r="F3" s="1808"/>
      <c r="G3" s="1808"/>
      <c r="H3" s="1808"/>
      <c r="I3" s="352"/>
      <c r="J3" s="352"/>
      <c r="K3" s="1810"/>
      <c r="L3" s="347"/>
      <c r="M3" s="347"/>
      <c r="N3" s="347"/>
    </row>
    <row r="4" spans="1:30" ht="51" x14ac:dyDescent="0.2">
      <c r="A4" s="1542" t="s">
        <v>864</v>
      </c>
      <c r="B4" s="1219" t="s">
        <v>241</v>
      </c>
      <c r="C4" s="1220" t="s">
        <v>316</v>
      </c>
      <c r="D4" s="1220" t="s">
        <v>519</v>
      </c>
      <c r="E4" s="1221" t="s">
        <v>518</v>
      </c>
      <c r="F4" s="1675" t="s">
        <v>908</v>
      </c>
      <c r="G4" s="1223" t="s">
        <v>244</v>
      </c>
      <c r="H4" s="1224" t="s">
        <v>321</v>
      </c>
      <c r="I4" s="923" t="s">
        <v>246</v>
      </c>
      <c r="J4" s="923" t="s">
        <v>247</v>
      </c>
      <c r="K4" s="923" t="s">
        <v>248</v>
      </c>
      <c r="L4" s="923" t="s">
        <v>249</v>
      </c>
      <c r="M4" s="347"/>
      <c r="N4" s="347"/>
    </row>
    <row r="5" spans="1:30" x14ac:dyDescent="0.2">
      <c r="A5" s="1225"/>
      <c r="B5" s="1232" t="s">
        <v>54</v>
      </c>
      <c r="C5" s="1227" t="s">
        <v>14</v>
      </c>
      <c r="D5" s="1676">
        <v>125</v>
      </c>
      <c r="E5" s="1677">
        <f t="shared" ref="E5:E19" si="0">$G$1</f>
        <v>0.34379999999999999</v>
      </c>
      <c r="F5" s="1678">
        <v>1</v>
      </c>
      <c r="G5" s="1546">
        <f t="shared" ref="G5:G20" si="1">D5*E5</f>
        <v>42.975000000000001</v>
      </c>
      <c r="H5" s="1679">
        <f t="shared" ref="H5:H20" si="2">G5*F5</f>
        <v>42.975000000000001</v>
      </c>
      <c r="I5" s="914">
        <f>VLOOKUP(B5,All_Ingredients!$A$1:$F$161,6,FALSE())</f>
        <v>0.87</v>
      </c>
      <c r="J5" s="940">
        <f>VLOOKUP(B5,All_Ingredients!$A$1:$J$161,10,FALSE())</f>
        <v>7</v>
      </c>
      <c r="K5" s="945">
        <f t="shared" ref="K5:K20" si="3">(H5/I5)/1000</f>
        <v>4.9396551724137934E-2</v>
      </c>
      <c r="L5" s="945">
        <f t="shared" ref="L5:L20" si="4">K5*J5</f>
        <v>0.34577586206896554</v>
      </c>
    </row>
    <row r="6" spans="1:30" x14ac:dyDescent="0.2">
      <c r="A6" s="1225"/>
      <c r="B6" s="1232" t="s">
        <v>706</v>
      </c>
      <c r="C6" s="1227" t="s">
        <v>14</v>
      </c>
      <c r="D6" s="1676">
        <v>250</v>
      </c>
      <c r="E6" s="1677">
        <f t="shared" si="0"/>
        <v>0.34379999999999999</v>
      </c>
      <c r="F6" s="1678">
        <v>1</v>
      </c>
      <c r="G6" s="1546">
        <f t="shared" si="1"/>
        <v>85.95</v>
      </c>
      <c r="H6" s="1680">
        <f t="shared" si="2"/>
        <v>85.95</v>
      </c>
      <c r="I6" s="914">
        <f>VLOOKUP(B6,All_Ingredients!$A$1:$F$161,6,FALSE())</f>
        <v>1</v>
      </c>
      <c r="J6" s="940">
        <f>VLOOKUP(B6,All_Ingredients!$A$1:$J$161,10,FALSE())</f>
        <v>10.5</v>
      </c>
      <c r="K6" s="945">
        <f t="shared" si="3"/>
        <v>8.5949999999999999E-2</v>
      </c>
      <c r="L6" s="945">
        <f t="shared" si="4"/>
        <v>0.90247500000000003</v>
      </c>
    </row>
    <row r="7" spans="1:30" x14ac:dyDescent="0.2">
      <c r="A7" s="1225"/>
      <c r="B7" s="1232" t="s">
        <v>193</v>
      </c>
      <c r="C7" s="1227" t="s">
        <v>14</v>
      </c>
      <c r="D7" s="1676">
        <v>250</v>
      </c>
      <c r="E7" s="1677">
        <f t="shared" si="0"/>
        <v>0.34379999999999999</v>
      </c>
      <c r="F7" s="1678">
        <v>1</v>
      </c>
      <c r="G7" s="1546">
        <f t="shared" si="1"/>
        <v>85.95</v>
      </c>
      <c r="H7" s="1680">
        <f t="shared" si="2"/>
        <v>85.95</v>
      </c>
      <c r="I7" s="914">
        <f>VLOOKUP(B7,All_Ingredients!$A$1:$F$161,6,FALSE())</f>
        <v>1</v>
      </c>
      <c r="J7" s="940">
        <f>VLOOKUP(B7,All_Ingredients!$A$1:$J$161,10,FALSE())</f>
        <v>37.001287001286997</v>
      </c>
      <c r="K7" s="945">
        <f t="shared" si="3"/>
        <v>8.5949999999999999E-2</v>
      </c>
      <c r="L7" s="945">
        <f t="shared" si="4"/>
        <v>3.1802606177606174</v>
      </c>
    </row>
    <row r="8" spans="1:30" x14ac:dyDescent="0.2">
      <c r="A8" s="1225" t="s">
        <v>882</v>
      </c>
      <c r="B8" s="1232" t="s">
        <v>19</v>
      </c>
      <c r="C8" s="1227" t="s">
        <v>14</v>
      </c>
      <c r="D8" s="1676">
        <v>500</v>
      </c>
      <c r="E8" s="1677">
        <f t="shared" si="0"/>
        <v>0.34379999999999999</v>
      </c>
      <c r="F8" s="1678">
        <v>1</v>
      </c>
      <c r="G8" s="1546">
        <f t="shared" si="1"/>
        <v>171.9</v>
      </c>
      <c r="H8" s="1680">
        <f t="shared" si="2"/>
        <v>171.9</v>
      </c>
      <c r="I8" s="914">
        <f>VLOOKUP(B8,All_Ingredients!$A$1:$F$161,6,FALSE())</f>
        <v>0.8</v>
      </c>
      <c r="J8" s="940">
        <f>VLOOKUP(B8,All_Ingredients!$A$1:$J$161,10,FALSE())</f>
        <v>2.6</v>
      </c>
      <c r="K8" s="945">
        <f t="shared" si="3"/>
        <v>0.21487500000000001</v>
      </c>
      <c r="L8" s="945">
        <f t="shared" si="4"/>
        <v>0.55867500000000003</v>
      </c>
    </row>
    <row r="9" spans="1:30" x14ac:dyDescent="0.2">
      <c r="A9" s="1225"/>
      <c r="B9" s="1232" t="s">
        <v>524</v>
      </c>
      <c r="C9" s="1227" t="s">
        <v>14</v>
      </c>
      <c r="D9" s="1676">
        <v>250</v>
      </c>
      <c r="E9" s="1677">
        <f t="shared" si="0"/>
        <v>0.34379999999999999</v>
      </c>
      <c r="F9" s="1678">
        <v>1</v>
      </c>
      <c r="G9" s="1546">
        <f t="shared" si="1"/>
        <v>85.95</v>
      </c>
      <c r="H9" s="1680">
        <f t="shared" si="2"/>
        <v>85.95</v>
      </c>
      <c r="I9" s="914">
        <f>VLOOKUP(B9,All_Ingredients!$A$1:$F$161,6,FALSE())</f>
        <v>0.56999999999999995</v>
      </c>
      <c r="J9" s="940">
        <f>VLOOKUP(B9,All_Ingredients!$A$1:$J$161,10,FALSE())</f>
        <v>5</v>
      </c>
      <c r="K9" s="945">
        <f t="shared" si="3"/>
        <v>0.15078947368421056</v>
      </c>
      <c r="L9" s="945">
        <f t="shared" si="4"/>
        <v>0.75394736842105281</v>
      </c>
    </row>
    <row r="10" spans="1:30" x14ac:dyDescent="0.2">
      <c r="A10" s="1225"/>
      <c r="B10" s="1232" t="s">
        <v>99</v>
      </c>
      <c r="C10" s="1227" t="s">
        <v>14</v>
      </c>
      <c r="D10" s="1676">
        <v>10</v>
      </c>
      <c r="E10" s="1677">
        <f t="shared" si="0"/>
        <v>0.34379999999999999</v>
      </c>
      <c r="F10" s="1678">
        <v>1</v>
      </c>
      <c r="G10" s="1546">
        <f t="shared" si="1"/>
        <v>3.4379999999999997</v>
      </c>
      <c r="H10" s="1680">
        <f t="shared" si="2"/>
        <v>3.4379999999999997</v>
      </c>
      <c r="I10" s="914">
        <f>VLOOKUP(B10,All_Ingredients!$A$1:$F$161,6,FALSE())</f>
        <v>1</v>
      </c>
      <c r="J10" s="940">
        <f>VLOOKUP(B10,All_Ingredients!$A$1:$J$161,10,FALSE())</f>
        <v>31</v>
      </c>
      <c r="K10" s="945">
        <f t="shared" si="3"/>
        <v>3.4379999999999997E-3</v>
      </c>
      <c r="L10" s="945">
        <f t="shared" si="4"/>
        <v>0.10657799999999999</v>
      </c>
    </row>
    <row r="11" spans="1:30" x14ac:dyDescent="0.2">
      <c r="A11" s="1225" t="s">
        <v>880</v>
      </c>
      <c r="B11" s="1232" t="s">
        <v>28</v>
      </c>
      <c r="C11" s="1227" t="s">
        <v>14</v>
      </c>
      <c r="D11" s="1676">
        <v>250</v>
      </c>
      <c r="E11" s="1677">
        <f t="shared" si="0"/>
        <v>0.34379999999999999</v>
      </c>
      <c r="F11" s="1678">
        <v>1</v>
      </c>
      <c r="G11" s="1546">
        <f t="shared" si="1"/>
        <v>85.95</v>
      </c>
      <c r="H11" s="1680">
        <f t="shared" si="2"/>
        <v>85.95</v>
      </c>
      <c r="I11" s="914">
        <f>VLOOKUP(B11,All_Ingredients!$A$1:$F$161,6,FALSE())</f>
        <v>0.73</v>
      </c>
      <c r="J11" s="940">
        <f>VLOOKUP(B11,All_Ingredients!$A$1:$J$161,10,FALSE())</f>
        <v>8.5</v>
      </c>
      <c r="K11" s="945">
        <f t="shared" si="3"/>
        <v>0.11773972602739727</v>
      </c>
      <c r="L11" s="945">
        <f t="shared" si="4"/>
        <v>1.0007876712328767</v>
      </c>
    </row>
    <row r="12" spans="1:30" x14ac:dyDescent="0.2">
      <c r="A12" s="1225" t="s">
        <v>880</v>
      </c>
      <c r="B12" s="1232" t="s">
        <v>30</v>
      </c>
      <c r="C12" s="1227" t="s">
        <v>14</v>
      </c>
      <c r="D12" s="1676">
        <v>250</v>
      </c>
      <c r="E12" s="1677">
        <f t="shared" si="0"/>
        <v>0.34379999999999999</v>
      </c>
      <c r="F12" s="1678">
        <v>1</v>
      </c>
      <c r="G12" s="1546">
        <f t="shared" si="1"/>
        <v>85.95</v>
      </c>
      <c r="H12" s="1680">
        <f t="shared" si="2"/>
        <v>85.95</v>
      </c>
      <c r="I12" s="914">
        <f>VLOOKUP(B12,All_Ingredients!$A$1:$F$161,6,FALSE())</f>
        <v>0.71</v>
      </c>
      <c r="J12" s="940">
        <f>VLOOKUP(B12,All_Ingredients!$A$1:$J$161,10,FALSE())</f>
        <v>8.5</v>
      </c>
      <c r="K12" s="945">
        <f t="shared" si="3"/>
        <v>0.12105633802816902</v>
      </c>
      <c r="L12" s="945">
        <f t="shared" si="4"/>
        <v>1.0289788732394367</v>
      </c>
    </row>
    <row r="13" spans="1:30" x14ac:dyDescent="0.2">
      <c r="A13" s="1225" t="s">
        <v>880</v>
      </c>
      <c r="B13" s="1232" t="s">
        <v>32</v>
      </c>
      <c r="C13" s="1227" t="s">
        <v>14</v>
      </c>
      <c r="D13" s="1676">
        <v>250</v>
      </c>
      <c r="E13" s="1677">
        <f t="shared" si="0"/>
        <v>0.34379999999999999</v>
      </c>
      <c r="F13" s="1678">
        <v>1</v>
      </c>
      <c r="G13" s="1546">
        <f t="shared" si="1"/>
        <v>85.95</v>
      </c>
      <c r="H13" s="1680">
        <f t="shared" si="2"/>
        <v>85.95</v>
      </c>
      <c r="I13" s="914">
        <f>VLOOKUP(B13,All_Ingredients!$A$1:$F$161,6,FALSE())</f>
        <v>0.69</v>
      </c>
      <c r="J13" s="940">
        <f>VLOOKUP(B13,All_Ingredients!$A$1:$J$161,10,FALSE())</f>
        <v>4</v>
      </c>
      <c r="K13" s="945">
        <f t="shared" si="3"/>
        <v>0.12456521739130436</v>
      </c>
      <c r="L13" s="945">
        <f t="shared" si="4"/>
        <v>0.49826086956521742</v>
      </c>
    </row>
    <row r="14" spans="1:30" x14ac:dyDescent="0.2">
      <c r="A14" s="1225"/>
      <c r="B14" s="1232" t="s">
        <v>178</v>
      </c>
      <c r="C14" s="1227" t="s">
        <v>14</v>
      </c>
      <c r="D14" s="1676">
        <v>250</v>
      </c>
      <c r="E14" s="1677">
        <f t="shared" si="0"/>
        <v>0.34379999999999999</v>
      </c>
      <c r="F14" s="1678">
        <v>1</v>
      </c>
      <c r="G14" s="1546">
        <f t="shared" si="1"/>
        <v>85.95</v>
      </c>
      <c r="H14" s="1680">
        <f t="shared" si="2"/>
        <v>85.95</v>
      </c>
      <c r="I14" s="914">
        <f>VLOOKUP(B14,All_Ingredients!$A$1:$F$161,6,FALSE())</f>
        <v>1</v>
      </c>
      <c r="J14" s="940">
        <f>VLOOKUP(B14,All_Ingredients!$A$1:$J$161,10,FALSE())</f>
        <v>40</v>
      </c>
      <c r="K14" s="945">
        <f t="shared" si="3"/>
        <v>8.5949999999999999E-2</v>
      </c>
      <c r="L14" s="945">
        <f t="shared" si="4"/>
        <v>3.4379999999999997</v>
      </c>
      <c r="N14" s="1813"/>
      <c r="O14" s="1813"/>
    </row>
    <row r="15" spans="1:30" x14ac:dyDescent="0.2">
      <c r="A15" s="1225"/>
      <c r="B15" s="1232" t="s">
        <v>192</v>
      </c>
      <c r="C15" s="1227" t="s">
        <v>160</v>
      </c>
      <c r="D15" s="1676">
        <v>100</v>
      </c>
      <c r="E15" s="1677">
        <f t="shared" si="0"/>
        <v>0.34379999999999999</v>
      </c>
      <c r="F15" s="1678">
        <v>1</v>
      </c>
      <c r="G15" s="1546">
        <f t="shared" si="1"/>
        <v>34.380000000000003</v>
      </c>
      <c r="H15" s="1680">
        <f t="shared" si="2"/>
        <v>34.380000000000003</v>
      </c>
      <c r="I15" s="914">
        <f>VLOOKUP(B15,All_Ingredients!$A$1:$F$161,6,FALSE())</f>
        <v>1</v>
      </c>
      <c r="J15" s="940">
        <f>VLOOKUP(B15,All_Ingredients!$A$1:$J$161,10,FALSE())</f>
        <v>58.685446009389672</v>
      </c>
      <c r="K15" s="945">
        <f t="shared" si="3"/>
        <v>3.4380000000000001E-2</v>
      </c>
      <c r="L15" s="945">
        <f t="shared" si="4"/>
        <v>2.017605633802817</v>
      </c>
    </row>
    <row r="16" spans="1:30" x14ac:dyDescent="0.2">
      <c r="A16" s="1225"/>
      <c r="B16" s="1232" t="s">
        <v>523</v>
      </c>
      <c r="C16" s="1227" t="s">
        <v>14</v>
      </c>
      <c r="D16" s="1676">
        <v>100</v>
      </c>
      <c r="E16" s="1677">
        <f t="shared" si="0"/>
        <v>0.34379999999999999</v>
      </c>
      <c r="F16" s="1678">
        <v>1</v>
      </c>
      <c r="G16" s="1546">
        <f t="shared" si="1"/>
        <v>34.380000000000003</v>
      </c>
      <c r="H16" s="1680">
        <f t="shared" si="2"/>
        <v>34.380000000000003</v>
      </c>
      <c r="I16" s="914">
        <f>VLOOKUP(B16,All_Ingredients!$A$1:$F$161,6,FALSE())</f>
        <v>1</v>
      </c>
      <c r="J16" s="940">
        <f>VLOOKUP(B16,All_Ingredients!$A$1:$J$161,10,FALSE())</f>
        <v>0</v>
      </c>
      <c r="K16" s="945">
        <f t="shared" si="3"/>
        <v>3.4380000000000001E-2</v>
      </c>
      <c r="L16" s="945">
        <f t="shared" si="4"/>
        <v>0</v>
      </c>
    </row>
    <row r="17" spans="1:29" x14ac:dyDescent="0.25">
      <c r="A17" s="1225"/>
      <c r="B17" s="1232" t="s">
        <v>198</v>
      </c>
      <c r="C17" s="1157" t="s">
        <v>160</v>
      </c>
      <c r="D17" s="1676">
        <v>100</v>
      </c>
      <c r="E17" s="1677">
        <f t="shared" si="0"/>
        <v>0.34379999999999999</v>
      </c>
      <c r="F17" s="1678">
        <v>1</v>
      </c>
      <c r="G17" s="1546">
        <f t="shared" si="1"/>
        <v>34.380000000000003</v>
      </c>
      <c r="H17" s="1680">
        <f t="shared" si="2"/>
        <v>34.380000000000003</v>
      </c>
      <c r="I17" s="914">
        <f>VLOOKUP(B17,All_Ingredients!$A$1:$F$161,6,FALSE())</f>
        <v>1</v>
      </c>
      <c r="J17" s="940">
        <f>VLOOKUP(B17,All_Ingredients!$A$1:$J$161,10,FALSE())</f>
        <v>3.25</v>
      </c>
      <c r="K17" s="945">
        <f t="shared" si="3"/>
        <v>3.4380000000000001E-2</v>
      </c>
      <c r="L17" s="945">
        <f t="shared" si="4"/>
        <v>0.111735</v>
      </c>
    </row>
    <row r="18" spans="1:29" x14ac:dyDescent="0.2">
      <c r="A18" s="1225"/>
      <c r="B18" s="1232" t="s">
        <v>799</v>
      </c>
      <c r="C18" s="1227" t="s">
        <v>14</v>
      </c>
      <c r="D18" s="1676">
        <v>15</v>
      </c>
      <c r="E18" s="1677">
        <f t="shared" si="0"/>
        <v>0.34379999999999999</v>
      </c>
      <c r="F18" s="1678">
        <v>1</v>
      </c>
      <c r="G18" s="1546">
        <f t="shared" si="1"/>
        <v>5.157</v>
      </c>
      <c r="H18" s="1680">
        <f t="shared" si="2"/>
        <v>5.157</v>
      </c>
      <c r="I18" s="914">
        <f>VLOOKUP(B18,All_Ingredients!$A$1:$F$161,6,FALSE())</f>
        <v>1</v>
      </c>
      <c r="J18" s="940">
        <f>VLOOKUP(B18,All_Ingredients!$A$1:$J$161,10,FALSE())</f>
        <v>22.5</v>
      </c>
      <c r="K18" s="945">
        <f t="shared" si="3"/>
        <v>5.1570000000000001E-3</v>
      </c>
      <c r="L18" s="945">
        <f t="shared" si="4"/>
        <v>0.1160325</v>
      </c>
    </row>
    <row r="19" spans="1:29" x14ac:dyDescent="0.2">
      <c r="A19" s="1225"/>
      <c r="B19" s="1232" t="s">
        <v>469</v>
      </c>
      <c r="C19" s="1227" t="s">
        <v>14</v>
      </c>
      <c r="D19" s="1676">
        <v>125</v>
      </c>
      <c r="E19" s="1677">
        <f t="shared" si="0"/>
        <v>0.34379999999999999</v>
      </c>
      <c r="F19" s="1678">
        <v>1</v>
      </c>
      <c r="G19" s="1546">
        <f t="shared" si="1"/>
        <v>42.975000000000001</v>
      </c>
      <c r="H19" s="1680">
        <f t="shared" si="2"/>
        <v>42.975000000000001</v>
      </c>
      <c r="I19" s="914">
        <f>VLOOKUP(B19,All_Ingredients!$A$1:$F$161,6,FALSE())</f>
        <v>1</v>
      </c>
      <c r="J19" s="940">
        <f>VLOOKUP(B19,All_Ingredients!$A$1:$J$161,10,FALSE())</f>
        <v>16.666666666666668</v>
      </c>
      <c r="K19" s="945">
        <f t="shared" si="3"/>
        <v>4.2974999999999999E-2</v>
      </c>
      <c r="L19" s="945">
        <f t="shared" si="4"/>
        <v>0.71625000000000005</v>
      </c>
      <c r="R19" s="346" t="s">
        <v>522</v>
      </c>
    </row>
    <row r="20" spans="1:29" x14ac:dyDescent="0.2">
      <c r="A20" s="1225"/>
      <c r="B20" s="1313" t="s">
        <v>203</v>
      </c>
      <c r="C20" s="1681" t="s">
        <v>160</v>
      </c>
      <c r="D20" s="1682">
        <v>2000</v>
      </c>
      <c r="E20" s="1228">
        <f t="shared" ref="E20" si="5">$I$1</f>
        <v>0.34379999999999999</v>
      </c>
      <c r="F20" s="1678">
        <v>1</v>
      </c>
      <c r="G20" s="1230">
        <f t="shared" si="1"/>
        <v>687.6</v>
      </c>
      <c r="H20" s="1683">
        <f t="shared" si="2"/>
        <v>687.6</v>
      </c>
      <c r="I20" s="914">
        <f>VLOOKUP(B20,All_Ingredients!$A$1:$F$161,6,FALSE())</f>
        <v>1</v>
      </c>
      <c r="J20" s="940">
        <f>VLOOKUP(B20,All_Ingredients!$A$1:$J$161,10,FALSE())</f>
        <v>0</v>
      </c>
      <c r="K20" s="945">
        <f t="shared" si="3"/>
        <v>0.68759999999999999</v>
      </c>
      <c r="L20" s="945">
        <f t="shared" si="4"/>
        <v>0</v>
      </c>
    </row>
    <row r="21" spans="1:29" x14ac:dyDescent="0.2">
      <c r="N21" s="1813"/>
      <c r="O21" s="1813"/>
    </row>
    <row r="24" spans="1:29" x14ac:dyDescent="0.2">
      <c r="Z24" s="631"/>
    </row>
    <row r="25" spans="1:29" x14ac:dyDescent="0.2">
      <c r="R25" s="1895" t="s">
        <v>862</v>
      </c>
      <c r="S25" s="1895"/>
      <c r="T25" s="1895"/>
      <c r="Z25" s="96" t="s">
        <v>14</v>
      </c>
      <c r="AA25" s="639">
        <v>3.2</v>
      </c>
      <c r="AB25" s="96" t="s">
        <v>249</v>
      </c>
      <c r="AC25" s="98">
        <f>(T33/T29)*AA25</f>
        <v>2.750503761925023E-2</v>
      </c>
    </row>
    <row r="26" spans="1:29" x14ac:dyDescent="0.2">
      <c r="R26" s="351" t="s">
        <v>254</v>
      </c>
      <c r="S26" s="351" t="s">
        <v>501</v>
      </c>
      <c r="T26" s="351" t="s">
        <v>526</v>
      </c>
    </row>
    <row r="27" spans="1:29" x14ac:dyDescent="0.2">
      <c r="R27" s="351" t="s">
        <v>502</v>
      </c>
      <c r="S27" s="672">
        <f>Z1</f>
        <v>11460</v>
      </c>
      <c r="T27" s="674">
        <f>S27*0.15</f>
        <v>1719</v>
      </c>
    </row>
    <row r="28" spans="1:29" x14ac:dyDescent="0.2">
      <c r="O28" s="362"/>
      <c r="P28" s="362"/>
      <c r="Q28" s="362"/>
      <c r="R28" s="351"/>
      <c r="S28" s="673">
        <f>AB1</f>
        <v>0</v>
      </c>
      <c r="T28" s="680"/>
      <c r="U28" s="362"/>
    </row>
    <row r="29" spans="1:29" x14ac:dyDescent="0.2">
      <c r="O29" s="362"/>
      <c r="P29" s="362"/>
      <c r="Q29" s="362"/>
      <c r="R29" s="351"/>
      <c r="S29" s="681">
        <f>S27+S28</f>
        <v>11460</v>
      </c>
      <c r="T29" s="828">
        <f>S29*0.15</f>
        <v>1719</v>
      </c>
      <c r="U29" s="362"/>
    </row>
    <row r="30" spans="1:29" x14ac:dyDescent="0.2">
      <c r="O30" s="362"/>
      <c r="P30" s="362"/>
      <c r="Q30" s="362"/>
      <c r="U30" s="362"/>
    </row>
    <row r="31" spans="1:29" x14ac:dyDescent="0.25">
      <c r="O31" s="403"/>
      <c r="P31" s="371"/>
      <c r="Q31" s="371"/>
      <c r="R31" s="371"/>
      <c r="S31" s="362"/>
      <c r="T31" s="371"/>
      <c r="U31" s="362"/>
      <c r="Y31" s="346">
        <v>30000</v>
      </c>
      <c r="Z31" s="346">
        <v>5000</v>
      </c>
      <c r="AA31" s="346">
        <f>Y31+Z31</f>
        <v>35000</v>
      </c>
    </row>
    <row r="32" spans="1:29" ht="15.75" thickBot="1" x14ac:dyDescent="0.25">
      <c r="O32" s="371"/>
      <c r="P32" s="371"/>
      <c r="Q32" s="371"/>
      <c r="R32" s="371"/>
      <c r="S32" s="371"/>
      <c r="T32" s="362"/>
      <c r="U32" s="362"/>
      <c r="Y32" s="675">
        <f>Y31/AA31</f>
        <v>0.8571428571428571</v>
      </c>
      <c r="Z32" s="675">
        <f>Z31/AA31</f>
        <v>0.14285714285714285</v>
      </c>
    </row>
    <row r="33" spans="18:26" ht="15.75" thickBot="1" x14ac:dyDescent="0.25">
      <c r="R33" s="117" t="s">
        <v>249</v>
      </c>
      <c r="S33" s="548">
        <f>SUM(L5:L19)</f>
        <v>14.775362396090982</v>
      </c>
      <c r="T33" s="601">
        <f>SUM(L5:L19)</f>
        <v>14.775362396090982</v>
      </c>
      <c r="U33" s="362"/>
      <c r="Y33" s="364">
        <v>0.85</v>
      </c>
      <c r="Z33" s="364">
        <v>0.15</v>
      </c>
    </row>
    <row r="50" spans="1:8" x14ac:dyDescent="0.2">
      <c r="B50" s="845" t="s">
        <v>309</v>
      </c>
      <c r="C50" s="150" t="s">
        <v>233</v>
      </c>
      <c r="D50" s="150" t="s">
        <v>279</v>
      </c>
    </row>
    <row r="51" spans="1:8" x14ac:dyDescent="0.2">
      <c r="B51" s="844" t="s">
        <v>283</v>
      </c>
      <c r="C51" s="133">
        <f>5/$K$1</f>
        <v>5</v>
      </c>
      <c r="D51" s="134">
        <f>$C$1</f>
        <v>5000</v>
      </c>
    </row>
    <row r="52" spans="1:8" x14ac:dyDescent="0.2">
      <c r="B52" s="846" t="s">
        <v>257</v>
      </c>
      <c r="C52" s="156">
        <f>G1</f>
        <v>0.34379999999999999</v>
      </c>
      <c r="D52" s="157">
        <f>E1</f>
        <v>1719</v>
      </c>
    </row>
    <row r="53" spans="1:8" ht="18" x14ac:dyDescent="0.2">
      <c r="B53" s="846" t="s">
        <v>284</v>
      </c>
      <c r="C53" s="158">
        <f>MIN($C$52, $C$51)</f>
        <v>0.34379999999999999</v>
      </c>
      <c r="D53" s="157">
        <f>(C53*$K$1)*1000</f>
        <v>343.8</v>
      </c>
      <c r="E53" s="368"/>
      <c r="F53" s="368"/>
      <c r="G53" s="368"/>
      <c r="H53" s="368"/>
    </row>
    <row r="54" spans="1:8" ht="18" x14ac:dyDescent="0.2">
      <c r="B54" s="846" t="s">
        <v>285</v>
      </c>
      <c r="C54" s="158">
        <f>MIN(MAX($C$52-C53,0),$C$51)</f>
        <v>0</v>
      </c>
      <c r="D54" s="157">
        <f>(C54*$K$1)*1000</f>
        <v>0</v>
      </c>
      <c r="E54" s="368"/>
      <c r="F54" s="368"/>
      <c r="G54" s="368"/>
      <c r="H54" s="368"/>
    </row>
    <row r="55" spans="1:8" x14ac:dyDescent="0.2">
      <c r="B55" s="846" t="s">
        <v>286</v>
      </c>
      <c r="C55" s="158">
        <f>MIN(MAX($C$52-C53-C54,0),$C$51)</f>
        <v>0</v>
      </c>
      <c r="D55" s="157">
        <f>(C55*$K$1)*1000</f>
        <v>0</v>
      </c>
      <c r="E55" s="370"/>
      <c r="F55" s="367"/>
      <c r="G55" s="370"/>
      <c r="H55" s="369"/>
    </row>
    <row r="56" spans="1:8" x14ac:dyDescent="0.2">
      <c r="B56" s="347"/>
      <c r="C56" s="347"/>
      <c r="D56" s="347"/>
      <c r="E56" s="366"/>
      <c r="F56" s="365"/>
      <c r="G56" s="364"/>
      <c r="H56" s="363"/>
    </row>
    <row r="57" spans="1:8" x14ac:dyDescent="0.2">
      <c r="B57" s="347"/>
      <c r="C57" s="347"/>
      <c r="D57" s="347"/>
      <c r="E57" s="366"/>
      <c r="F57" s="365"/>
      <c r="G57" s="364"/>
      <c r="H57" s="363"/>
    </row>
    <row r="58" spans="1:8" x14ac:dyDescent="0.2">
      <c r="B58" s="347"/>
      <c r="C58" s="347"/>
      <c r="D58" s="347"/>
      <c r="E58" s="366"/>
      <c r="F58" s="365"/>
      <c r="G58" s="364"/>
      <c r="H58" s="363"/>
    </row>
    <row r="59" spans="1:8" x14ac:dyDescent="0.2">
      <c r="B59" s="347"/>
      <c r="C59" s="347"/>
      <c r="D59" s="347"/>
      <c r="E59" s="366"/>
      <c r="F59" s="365"/>
      <c r="G59" s="364"/>
      <c r="H59" s="363"/>
    </row>
    <row r="60" spans="1:8" x14ac:dyDescent="0.2">
      <c r="B60" s="347"/>
      <c r="C60" s="347"/>
      <c r="D60" s="347"/>
      <c r="E60" s="366"/>
      <c r="F60" s="365"/>
      <c r="G60" s="364"/>
      <c r="H60" s="363"/>
    </row>
    <row r="61" spans="1:8" x14ac:dyDescent="0.2">
      <c r="B61" s="347"/>
      <c r="C61" s="347"/>
      <c r="D61" s="347"/>
      <c r="E61" s="366"/>
      <c r="F61" s="365"/>
      <c r="G61" s="364"/>
      <c r="H61" s="363"/>
    </row>
    <row r="62" spans="1:8" ht="18" x14ac:dyDescent="0.25">
      <c r="A62" s="867"/>
      <c r="B62" s="1871"/>
      <c r="C62" s="1880"/>
      <c r="D62" s="1880"/>
      <c r="E62" s="1880"/>
      <c r="F62" s="1880"/>
      <c r="G62" s="1880"/>
      <c r="H62" s="1880"/>
    </row>
    <row r="63" spans="1:8" x14ac:dyDescent="0.25">
      <c r="A63" s="867"/>
      <c r="B63" s="1872" t="s">
        <v>862</v>
      </c>
      <c r="C63" s="1883"/>
      <c r="D63" s="1883"/>
      <c r="E63" s="1883"/>
      <c r="F63" s="1883"/>
      <c r="G63" s="1883"/>
      <c r="H63" s="1883"/>
    </row>
    <row r="64" spans="1:8" ht="51" x14ac:dyDescent="0.2">
      <c r="A64" s="1542" t="s">
        <v>864</v>
      </c>
      <c r="B64" s="1104" t="s">
        <v>241</v>
      </c>
      <c r="C64" s="934" t="s">
        <v>242</v>
      </c>
      <c r="D64" s="1104" t="s">
        <v>231</v>
      </c>
      <c r="E64" s="936" t="s">
        <v>234</v>
      </c>
      <c r="F64" s="936" t="s">
        <v>243</v>
      </c>
      <c r="G64" s="1104" t="s">
        <v>244</v>
      </c>
      <c r="H64" s="936" t="s">
        <v>245</v>
      </c>
    </row>
    <row r="65" spans="1:8" x14ac:dyDescent="0.2">
      <c r="A65" s="1225"/>
      <c r="B65" s="1252" t="str">
        <f>B5</f>
        <v>Ginger - زنجبيل</v>
      </c>
      <c r="C65" s="947" t="str">
        <f t="shared" ref="B65:D67" si="6">C5</f>
        <v>gm</v>
      </c>
      <c r="D65" s="1615">
        <f t="shared" si="6"/>
        <v>125</v>
      </c>
      <c r="E65" s="1628">
        <f>$C$52</f>
        <v>0.34379999999999999</v>
      </c>
      <c r="F65" s="1616">
        <f t="shared" ref="F65:F80" si="7">F5</f>
        <v>1</v>
      </c>
      <c r="G65" s="940">
        <f t="shared" ref="G65:G67" si="8">D65*E65</f>
        <v>42.975000000000001</v>
      </c>
      <c r="H65" s="1617">
        <f t="shared" ref="H65:H67" si="9">G65*F65</f>
        <v>42.975000000000001</v>
      </c>
    </row>
    <row r="66" spans="1:8" x14ac:dyDescent="0.2">
      <c r="A66" s="1225"/>
      <c r="B66" s="1252" t="str">
        <f t="shared" si="6"/>
        <v>Garlic - ثوم مقشر</v>
      </c>
      <c r="C66" s="947" t="str">
        <f t="shared" si="6"/>
        <v>gm</v>
      </c>
      <c r="D66" s="1615">
        <f t="shared" si="6"/>
        <v>250</v>
      </c>
      <c r="E66" s="1628">
        <f t="shared" ref="E66:E80" si="10">$C$52</f>
        <v>0.34379999999999999</v>
      </c>
      <c r="F66" s="1616">
        <f t="shared" si="7"/>
        <v>1</v>
      </c>
      <c r="G66" s="940">
        <f t="shared" si="8"/>
        <v>85.95</v>
      </c>
      <c r="H66" s="1617">
        <f t="shared" si="9"/>
        <v>85.95</v>
      </c>
    </row>
    <row r="67" spans="1:8" x14ac:dyDescent="0.2">
      <c r="A67" s="1225"/>
      <c r="B67" s="1252" t="str">
        <f t="shared" si="6"/>
        <v>Light Soy Sauce - صويا صوص خفيف</v>
      </c>
      <c r="C67" s="947" t="str">
        <f t="shared" si="6"/>
        <v>gm</v>
      </c>
      <c r="D67" s="1615">
        <f t="shared" si="6"/>
        <v>250</v>
      </c>
      <c r="E67" s="1628">
        <f t="shared" si="10"/>
        <v>0.34379999999999999</v>
      </c>
      <c r="F67" s="1616">
        <f t="shared" si="7"/>
        <v>1</v>
      </c>
      <c r="G67" s="940">
        <f t="shared" si="8"/>
        <v>85.95</v>
      </c>
      <c r="H67" s="1617">
        <f t="shared" si="9"/>
        <v>85.95</v>
      </c>
    </row>
    <row r="68" spans="1:8" x14ac:dyDescent="0.2">
      <c r="A68" s="1225" t="s">
        <v>882</v>
      </c>
      <c r="B68" s="1252" t="str">
        <f t="shared" ref="B68:D68" si="11">B8</f>
        <v>Carrot - جزر</v>
      </c>
      <c r="C68" s="947" t="str">
        <f t="shared" si="11"/>
        <v>gm</v>
      </c>
      <c r="D68" s="1615">
        <f t="shared" si="11"/>
        <v>500</v>
      </c>
      <c r="E68" s="1628">
        <f t="shared" si="10"/>
        <v>0.34379999999999999</v>
      </c>
      <c r="F68" s="1616">
        <f t="shared" si="7"/>
        <v>1</v>
      </c>
      <c r="G68" s="940">
        <f t="shared" ref="G68:G80" si="12">D68*E68</f>
        <v>171.9</v>
      </c>
      <c r="H68" s="1617">
        <f t="shared" ref="H68:H80" si="13">G68*F68</f>
        <v>171.9</v>
      </c>
    </row>
    <row r="69" spans="1:8" x14ac:dyDescent="0.2">
      <c r="A69" s="1225"/>
      <c r="B69" s="1252" t="str">
        <f t="shared" ref="B69:D69" si="14">B9</f>
        <v>Green Beans - فاصوليا خضراء</v>
      </c>
      <c r="C69" s="947" t="str">
        <f t="shared" si="14"/>
        <v>gm</v>
      </c>
      <c r="D69" s="1615">
        <f t="shared" si="14"/>
        <v>250</v>
      </c>
      <c r="E69" s="1628">
        <f t="shared" si="10"/>
        <v>0.34379999999999999</v>
      </c>
      <c r="F69" s="1616">
        <f t="shared" si="7"/>
        <v>1</v>
      </c>
      <c r="G69" s="940">
        <f t="shared" si="12"/>
        <v>85.95</v>
      </c>
      <c r="H69" s="1617">
        <f t="shared" si="13"/>
        <v>85.95</v>
      </c>
    </row>
    <row r="70" spans="1:8" x14ac:dyDescent="0.2">
      <c r="A70" s="1225"/>
      <c r="B70" s="1252" t="str">
        <f t="shared" ref="B70:D70" si="15">B10</f>
        <v>Black Pepper Powder - فلفل أسود مطحون</v>
      </c>
      <c r="C70" s="947" t="str">
        <f t="shared" si="15"/>
        <v>gm</v>
      </c>
      <c r="D70" s="1615">
        <f t="shared" si="15"/>
        <v>10</v>
      </c>
      <c r="E70" s="1628">
        <f t="shared" si="10"/>
        <v>0.34379999999999999</v>
      </c>
      <c r="F70" s="1616">
        <f t="shared" si="7"/>
        <v>1</v>
      </c>
      <c r="G70" s="940">
        <f t="shared" si="12"/>
        <v>3.4379999999999997</v>
      </c>
      <c r="H70" s="1617">
        <f t="shared" si="13"/>
        <v>3.4379999999999997</v>
      </c>
    </row>
    <row r="71" spans="1:8" x14ac:dyDescent="0.2">
      <c r="A71" s="1225" t="s">
        <v>880</v>
      </c>
      <c r="B71" s="1252" t="str">
        <f t="shared" ref="B71:D71" si="16">B11</f>
        <v xml:space="preserve">Red Bell Pepper - فلفل أحمر </v>
      </c>
      <c r="C71" s="947" t="str">
        <f t="shared" si="16"/>
        <v>gm</v>
      </c>
      <c r="D71" s="1615">
        <f t="shared" si="16"/>
        <v>250</v>
      </c>
      <c r="E71" s="1628">
        <f t="shared" si="10"/>
        <v>0.34379999999999999</v>
      </c>
      <c r="F71" s="1616">
        <f t="shared" si="7"/>
        <v>1</v>
      </c>
      <c r="G71" s="940">
        <f t="shared" si="12"/>
        <v>85.95</v>
      </c>
      <c r="H71" s="1617">
        <f t="shared" si="13"/>
        <v>85.95</v>
      </c>
    </row>
    <row r="72" spans="1:8" x14ac:dyDescent="0.2">
      <c r="A72" s="1225" t="s">
        <v>880</v>
      </c>
      <c r="B72" s="1252" t="str">
        <f t="shared" ref="B72:D72" si="17">B12</f>
        <v xml:space="preserve">Yellow Bell Pepper - فلفل أصفر </v>
      </c>
      <c r="C72" s="947" t="str">
        <f t="shared" si="17"/>
        <v>gm</v>
      </c>
      <c r="D72" s="1615">
        <f t="shared" si="17"/>
        <v>250</v>
      </c>
      <c r="E72" s="1628">
        <f t="shared" si="10"/>
        <v>0.34379999999999999</v>
      </c>
      <c r="F72" s="1616">
        <f t="shared" si="7"/>
        <v>1</v>
      </c>
      <c r="G72" s="940">
        <f t="shared" si="12"/>
        <v>85.95</v>
      </c>
      <c r="H72" s="1617">
        <f t="shared" si="13"/>
        <v>85.95</v>
      </c>
    </row>
    <row r="73" spans="1:8" x14ac:dyDescent="0.2">
      <c r="A73" s="1225" t="s">
        <v>880</v>
      </c>
      <c r="B73" s="1252" t="str">
        <f t="shared" ref="B73:D73" si="18">B13</f>
        <v>Green Bell Pepper - فلفل أخضر رومى</v>
      </c>
      <c r="C73" s="947" t="str">
        <f t="shared" si="18"/>
        <v>gm</v>
      </c>
      <c r="D73" s="1615">
        <f t="shared" si="18"/>
        <v>250</v>
      </c>
      <c r="E73" s="1628">
        <f t="shared" si="10"/>
        <v>0.34379999999999999</v>
      </c>
      <c r="F73" s="1616">
        <f t="shared" si="7"/>
        <v>1</v>
      </c>
      <c r="G73" s="940">
        <f t="shared" si="12"/>
        <v>85.95</v>
      </c>
      <c r="H73" s="1617">
        <f t="shared" si="13"/>
        <v>85.95</v>
      </c>
    </row>
    <row r="74" spans="1:8" x14ac:dyDescent="0.2">
      <c r="A74" s="1225"/>
      <c r="B74" s="1252" t="str">
        <f t="shared" ref="B74:D74" si="19">B14</f>
        <v>Cashew Nut - كاجو</v>
      </c>
      <c r="C74" s="947" t="str">
        <f t="shared" si="19"/>
        <v>gm</v>
      </c>
      <c r="D74" s="1615">
        <f t="shared" si="19"/>
        <v>250</v>
      </c>
      <c r="E74" s="1628">
        <f t="shared" si="10"/>
        <v>0.34379999999999999</v>
      </c>
      <c r="F74" s="1616">
        <f t="shared" si="7"/>
        <v>1</v>
      </c>
      <c r="G74" s="940">
        <f t="shared" si="12"/>
        <v>85.95</v>
      </c>
      <c r="H74" s="1617">
        <f t="shared" si="13"/>
        <v>85.95</v>
      </c>
    </row>
    <row r="75" spans="1:8" x14ac:dyDescent="0.2">
      <c r="A75" s="1225"/>
      <c r="B75" s="1252" t="str">
        <f t="shared" ref="B75:D75" si="20">B15</f>
        <v>Sriracha Sauce - صوص سريراتشا</v>
      </c>
      <c r="C75" s="947" t="str">
        <f t="shared" si="20"/>
        <v>ml</v>
      </c>
      <c r="D75" s="1615">
        <f t="shared" si="20"/>
        <v>100</v>
      </c>
      <c r="E75" s="1628">
        <f t="shared" si="10"/>
        <v>0.34379999999999999</v>
      </c>
      <c r="F75" s="1616">
        <f t="shared" si="7"/>
        <v>1</v>
      </c>
      <c r="G75" s="940">
        <f t="shared" si="12"/>
        <v>34.380000000000003</v>
      </c>
      <c r="H75" s="1617">
        <f t="shared" si="13"/>
        <v>34.380000000000003</v>
      </c>
    </row>
    <row r="76" spans="1:8" x14ac:dyDescent="0.2">
      <c r="A76" s="1225"/>
      <c r="B76" s="1252" t="str">
        <f t="shared" ref="B76:D76" si="21">B16</f>
        <v>Chicken Stock - مرق دجاج</v>
      </c>
      <c r="C76" s="947" t="str">
        <f t="shared" si="21"/>
        <v>gm</v>
      </c>
      <c r="D76" s="1615">
        <f t="shared" si="21"/>
        <v>100</v>
      </c>
      <c r="E76" s="1628">
        <f t="shared" si="10"/>
        <v>0.34379999999999999</v>
      </c>
      <c r="F76" s="1616">
        <f t="shared" si="7"/>
        <v>1</v>
      </c>
      <c r="G76" s="940">
        <f t="shared" si="12"/>
        <v>34.380000000000003</v>
      </c>
      <c r="H76" s="1617">
        <f t="shared" si="13"/>
        <v>34.380000000000003</v>
      </c>
    </row>
    <row r="77" spans="1:8" x14ac:dyDescent="0.2">
      <c r="A77" s="1225"/>
      <c r="B77" s="1252" t="str">
        <f t="shared" ref="B77:D77" si="22">B17</f>
        <v>Tomato Ketchup - كاتشب طماطم</v>
      </c>
      <c r="C77" s="947" t="str">
        <f t="shared" si="22"/>
        <v>ml</v>
      </c>
      <c r="D77" s="1615">
        <f t="shared" si="22"/>
        <v>100</v>
      </c>
      <c r="E77" s="1628">
        <f t="shared" si="10"/>
        <v>0.34379999999999999</v>
      </c>
      <c r="F77" s="1616">
        <f t="shared" si="7"/>
        <v>1</v>
      </c>
      <c r="G77" s="940">
        <f t="shared" si="12"/>
        <v>34.380000000000003</v>
      </c>
      <c r="H77" s="1617">
        <f t="shared" si="13"/>
        <v>34.380000000000003</v>
      </c>
    </row>
    <row r="78" spans="1:8" x14ac:dyDescent="0.2">
      <c r="A78" s="1225"/>
      <c r="B78" s="1252" t="str">
        <f t="shared" ref="B78:D78" si="23">B18</f>
        <v>Saffron yellow color powder - لون صفار زعفران بودر</v>
      </c>
      <c r="C78" s="947" t="str">
        <f t="shared" si="23"/>
        <v>gm</v>
      </c>
      <c r="D78" s="1615">
        <f t="shared" si="23"/>
        <v>15</v>
      </c>
      <c r="E78" s="1628">
        <f t="shared" si="10"/>
        <v>0.34379999999999999</v>
      </c>
      <c r="F78" s="1616">
        <f t="shared" si="7"/>
        <v>1</v>
      </c>
      <c r="G78" s="940">
        <f t="shared" si="12"/>
        <v>5.157</v>
      </c>
      <c r="H78" s="1617">
        <f t="shared" si="13"/>
        <v>5.157</v>
      </c>
    </row>
    <row r="79" spans="1:8" x14ac:dyDescent="0.2">
      <c r="A79" s="1225"/>
      <c r="B79" s="1252" t="str">
        <f t="shared" ref="B79:D80" si="24">B19</f>
        <v>Frozen Green Peas - بازلاء خضراء مجمده</v>
      </c>
      <c r="C79" s="947" t="str">
        <f t="shared" si="24"/>
        <v>gm</v>
      </c>
      <c r="D79" s="1615">
        <f t="shared" si="24"/>
        <v>125</v>
      </c>
      <c r="E79" s="1628">
        <f t="shared" si="10"/>
        <v>0.34379999999999999</v>
      </c>
      <c r="F79" s="1616">
        <f t="shared" si="7"/>
        <v>1</v>
      </c>
      <c r="G79" s="940">
        <f t="shared" si="12"/>
        <v>42.975000000000001</v>
      </c>
      <c r="H79" s="1617">
        <f t="shared" si="13"/>
        <v>42.975000000000001</v>
      </c>
    </row>
    <row r="80" spans="1:8" x14ac:dyDescent="0.25">
      <c r="A80" s="61"/>
      <c r="B80" s="1252" t="str">
        <f t="shared" si="24"/>
        <v>Water - ماء</v>
      </c>
      <c r="C80" s="947" t="str">
        <f t="shared" si="24"/>
        <v>ml</v>
      </c>
      <c r="D80" s="1615">
        <f t="shared" si="24"/>
        <v>2000</v>
      </c>
      <c r="E80" s="1628">
        <f t="shared" si="10"/>
        <v>0.34379999999999999</v>
      </c>
      <c r="F80" s="1616">
        <f t="shared" si="7"/>
        <v>1</v>
      </c>
      <c r="G80" s="940">
        <f t="shared" si="12"/>
        <v>687.6</v>
      </c>
      <c r="H80" s="1617">
        <f t="shared" si="13"/>
        <v>687.6</v>
      </c>
    </row>
    <row r="81" spans="2:8" ht="15.75" x14ac:dyDescent="0.2">
      <c r="B81" s="1622" t="s">
        <v>686</v>
      </c>
      <c r="C81" s="1227"/>
      <c r="D81" s="1227"/>
      <c r="E81" s="1227"/>
      <c r="F81" s="1227"/>
      <c r="G81" s="1227"/>
      <c r="H81" s="1227"/>
    </row>
    <row r="82" spans="2:8" ht="20.25" x14ac:dyDescent="0.3">
      <c r="B82" s="1048">
        <f>D52</f>
        <v>1719</v>
      </c>
      <c r="C82" s="1227"/>
      <c r="D82" s="1227"/>
      <c r="E82" s="1227"/>
      <c r="F82" s="1227"/>
      <c r="G82" s="1227"/>
      <c r="H82" s="1227"/>
    </row>
  </sheetData>
  <mergeCells count="8">
    <mergeCell ref="B62:H62"/>
    <mergeCell ref="B63:H63"/>
    <mergeCell ref="R25:T25"/>
    <mergeCell ref="A2:A3"/>
    <mergeCell ref="B2:H3"/>
    <mergeCell ref="K2:K3"/>
    <mergeCell ref="N14:O14"/>
    <mergeCell ref="N21:O21"/>
  </mergeCells>
  <printOptions horizontalCentered="1"/>
  <pageMargins left="0.4" right="0.4" top="1" bottom="0.5" header="0.3" footer="0.511811023622047"/>
  <pageSetup paperSize="9" scale="32" fitToHeight="0" orientation="landscape" r:id="rId1"/>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tabColor theme="5" tint="-0.249977111117893"/>
    <pageSetUpPr fitToPage="1"/>
  </sheetPr>
  <dimension ref="A1:AT99"/>
  <sheetViews>
    <sheetView topLeftCell="L27" zoomScale="55" zoomScaleNormal="55" workbookViewId="0">
      <selection activeCell="Q44" sqref="Q44"/>
    </sheetView>
  </sheetViews>
  <sheetFormatPr defaultColWidth="12.5" defaultRowHeight="15" x14ac:dyDescent="0.25"/>
  <cols>
    <col min="1" max="1" width="17.5" style="61" bestFit="1" customWidth="1"/>
    <col min="2" max="2" width="28" style="14" bestFit="1" customWidth="1"/>
    <col min="3" max="3" width="16.875" style="14" bestFit="1" customWidth="1"/>
    <col min="4" max="4" width="16.5" style="14" bestFit="1" customWidth="1"/>
    <col min="5" max="5" width="15.375" style="14" bestFit="1" customWidth="1"/>
    <col min="6" max="6" width="22.625" style="14" bestFit="1" customWidth="1"/>
    <col min="7" max="7" width="24" style="14" bestFit="1" customWidth="1"/>
    <col min="8" max="8" width="43.125" style="14" bestFit="1" customWidth="1"/>
    <col min="9" max="9" width="17.375" style="14" bestFit="1" customWidth="1"/>
    <col min="10" max="10" width="14.625" style="14" bestFit="1" customWidth="1"/>
    <col min="11" max="12" width="14.25" style="14" bestFit="1" customWidth="1"/>
    <col min="13" max="14" width="4.75" style="14" customWidth="1"/>
    <col min="15" max="15" width="18.625" style="14" bestFit="1" customWidth="1"/>
    <col min="16" max="16" width="10.625" style="14" bestFit="1" customWidth="1"/>
    <col min="17" max="17" width="15.75" style="14" bestFit="1" customWidth="1"/>
    <col min="18" max="18" width="42.375" style="14" bestFit="1" customWidth="1"/>
    <col min="19" max="19" width="10.875" style="14" bestFit="1" customWidth="1"/>
    <col min="20" max="20" width="48.125" style="14" bestFit="1" customWidth="1"/>
    <col min="21" max="21" width="12.25" style="14" bestFit="1" customWidth="1"/>
    <col min="22" max="22" width="13.375" style="14" bestFit="1" customWidth="1"/>
    <col min="23" max="23" width="41.5" style="14" bestFit="1" customWidth="1"/>
    <col min="24" max="24" width="21.75" style="14" bestFit="1" customWidth="1"/>
    <col min="25" max="25" width="8.5" style="14" bestFit="1" customWidth="1"/>
    <col min="26" max="26" width="12.25" style="14" bestFit="1" customWidth="1"/>
    <col min="27" max="27" width="13" style="14" bestFit="1" customWidth="1"/>
    <col min="28" max="28" width="14.625" style="14" bestFit="1" customWidth="1"/>
    <col min="29" max="29" width="15" style="14" bestFit="1" customWidth="1"/>
    <col min="30" max="30" width="12.25" style="14" bestFit="1" customWidth="1"/>
    <col min="31" max="31" width="9.25" style="14" bestFit="1" customWidth="1"/>
    <col min="32" max="34" width="5.375" style="14" customWidth="1"/>
    <col min="35" max="35" width="12.375" style="14" bestFit="1" customWidth="1"/>
    <col min="36" max="36" width="31.75" style="14" bestFit="1" customWidth="1"/>
    <col min="37" max="37" width="7.125" style="14" bestFit="1" customWidth="1"/>
    <col min="38" max="38" width="16.5" style="14" bestFit="1" customWidth="1"/>
    <col min="39" max="39" width="12.25" style="14" bestFit="1" customWidth="1"/>
    <col min="40" max="40" width="12.375" style="14" bestFit="1" customWidth="1"/>
    <col min="41" max="41" width="12.5" style="14"/>
    <col min="42" max="42" width="19.625" style="14" bestFit="1" customWidth="1"/>
    <col min="43" max="43" width="12.375" style="14" bestFit="1" customWidth="1"/>
    <col min="44" max="44" width="11.625" style="14" bestFit="1" customWidth="1"/>
    <col min="45" max="45" width="11.125" style="14" bestFit="1" customWidth="1"/>
    <col min="46" max="46" width="6.625" style="14" bestFit="1" customWidth="1"/>
    <col min="47" max="16384" width="12.5" style="14"/>
  </cols>
  <sheetData>
    <row r="1" spans="1:46" ht="25.5" x14ac:dyDescent="0.25">
      <c r="B1" s="843" t="s">
        <v>231</v>
      </c>
      <c r="C1" s="63">
        <v>1000</v>
      </c>
      <c r="D1" s="64" t="s">
        <v>232</v>
      </c>
      <c r="E1" s="84">
        <f>T32</f>
        <v>5105.1000000000004</v>
      </c>
      <c r="F1" s="62" t="s">
        <v>233</v>
      </c>
      <c r="G1" s="63">
        <f>E1/C1</f>
        <v>5.1051000000000002</v>
      </c>
      <c r="H1" s="62" t="s">
        <v>234</v>
      </c>
      <c r="I1" s="167">
        <f>(G1/K1)</f>
        <v>5.3737894736842113</v>
      </c>
      <c r="J1" s="68" t="s">
        <v>235</v>
      </c>
      <c r="K1" s="63">
        <v>0.95</v>
      </c>
      <c r="L1" s="80"/>
      <c r="M1" s="70"/>
      <c r="N1" s="71"/>
      <c r="O1" s="72" t="s">
        <v>236</v>
      </c>
      <c r="P1" s="73" t="s">
        <v>237</v>
      </c>
      <c r="Q1" s="74" t="s">
        <v>238</v>
      </c>
      <c r="R1" s="73">
        <v>0.59</v>
      </c>
      <c r="Y1" s="72" t="s">
        <v>444</v>
      </c>
      <c r="Z1" s="422">
        <v>14470</v>
      </c>
      <c r="AA1" s="72" t="s">
        <v>544</v>
      </c>
      <c r="AB1" s="422">
        <v>1000</v>
      </c>
      <c r="AC1" s="72" t="s">
        <v>537</v>
      </c>
      <c r="AD1" s="422">
        <v>99</v>
      </c>
      <c r="AE1" s="168"/>
      <c r="AF1" s="170"/>
      <c r="AG1" s="73"/>
      <c r="AI1" s="61"/>
      <c r="AJ1" s="75" t="s">
        <v>250</v>
      </c>
      <c r="AK1" s="75">
        <v>10000</v>
      </c>
      <c r="AL1" s="318" t="s">
        <v>474</v>
      </c>
      <c r="AM1" s="319">
        <f>$S$32</f>
        <v>10504.130000000001</v>
      </c>
      <c r="AN1" s="75" t="s">
        <v>239</v>
      </c>
      <c r="AO1" s="212">
        <f>((S32)/$R$1)/$AK$1</f>
        <v>1.7803610169491526</v>
      </c>
      <c r="AP1" s="76"/>
    </row>
    <row r="2" spans="1:46" ht="15.75" x14ac:dyDescent="0.25">
      <c r="A2" s="863"/>
      <c r="B2" s="78"/>
      <c r="C2" s="78"/>
      <c r="D2" s="78"/>
      <c r="E2" s="78"/>
      <c r="F2" s="1898" t="s">
        <v>123</v>
      </c>
      <c r="G2" s="78"/>
      <c r="H2" s="78"/>
      <c r="I2" s="78"/>
      <c r="J2" s="78"/>
      <c r="K2" s="78"/>
      <c r="L2" s="187"/>
      <c r="M2" s="80"/>
      <c r="N2" s="80"/>
      <c r="O2" s="80"/>
      <c r="P2" s="80"/>
      <c r="Q2" s="80"/>
      <c r="R2" s="80"/>
      <c r="AC2" s="79"/>
      <c r="AD2" s="79"/>
      <c r="AE2" s="1795"/>
      <c r="AF2" s="1799"/>
      <c r="AG2" s="1799"/>
      <c r="AI2" s="61"/>
      <c r="AJ2" s="81"/>
      <c r="AK2" s="1873" t="s">
        <v>429</v>
      </c>
      <c r="AL2" s="1873"/>
      <c r="AM2" s="1873"/>
      <c r="AN2" s="1873"/>
      <c r="AO2" s="81"/>
      <c r="AP2" s="81"/>
    </row>
    <row r="3" spans="1:46" ht="15.75" x14ac:dyDescent="0.25">
      <c r="A3" s="863"/>
      <c r="B3" s="78"/>
      <c r="C3" s="78"/>
      <c r="D3" s="78"/>
      <c r="E3" s="78"/>
      <c r="F3" s="1796"/>
      <c r="G3" s="78"/>
      <c r="H3" s="78"/>
      <c r="I3" s="78"/>
      <c r="J3" s="78"/>
      <c r="K3" s="78"/>
      <c r="L3" s="187"/>
      <c r="M3" s="80"/>
      <c r="N3" s="80"/>
      <c r="O3" s="80"/>
      <c r="P3" s="80"/>
      <c r="Q3" s="80"/>
      <c r="R3" s="80"/>
      <c r="AC3" s="79"/>
      <c r="AD3" s="79"/>
      <c r="AE3" s="1799"/>
      <c r="AF3" s="1799"/>
      <c r="AG3" s="1799"/>
      <c r="AI3" s="61"/>
      <c r="AJ3" s="81"/>
      <c r="AK3" s="81"/>
      <c r="AL3" s="81"/>
      <c r="AM3" s="81"/>
      <c r="AN3" s="1799"/>
      <c r="AO3" s="81"/>
      <c r="AP3" s="81"/>
    </row>
    <row r="4" spans="1:46" ht="38.25" x14ac:dyDescent="0.25">
      <c r="A4" s="1350" t="s">
        <v>864</v>
      </c>
      <c r="B4" s="923" t="s">
        <v>241</v>
      </c>
      <c r="C4" s="934" t="s">
        <v>242</v>
      </c>
      <c r="D4" s="923" t="s">
        <v>231</v>
      </c>
      <c r="E4" s="935" t="s">
        <v>234</v>
      </c>
      <c r="F4" s="935" t="s">
        <v>243</v>
      </c>
      <c r="G4" s="923" t="s">
        <v>244</v>
      </c>
      <c r="H4" s="1635" t="s">
        <v>334</v>
      </c>
      <c r="I4" s="923" t="s">
        <v>246</v>
      </c>
      <c r="J4" s="923" t="s">
        <v>247</v>
      </c>
      <c r="K4" s="923" t="s">
        <v>248</v>
      </c>
      <c r="L4" s="923" t="s">
        <v>249</v>
      </c>
      <c r="M4" s="80"/>
      <c r="N4" s="80"/>
      <c r="O4" s="80"/>
      <c r="P4" s="80"/>
      <c r="AC4" s="169"/>
      <c r="AD4" s="171"/>
      <c r="AE4" s="169"/>
      <c r="AF4" s="169"/>
      <c r="AG4" s="169"/>
      <c r="AI4" s="61"/>
      <c r="AJ4" s="926" t="s">
        <v>241</v>
      </c>
      <c r="AK4" s="1169" t="s">
        <v>242</v>
      </c>
      <c r="AL4" s="926" t="s">
        <v>250</v>
      </c>
      <c r="AM4" s="926" t="s">
        <v>234</v>
      </c>
      <c r="AN4" s="926" t="s">
        <v>243</v>
      </c>
      <c r="AO4" s="926" t="s">
        <v>244</v>
      </c>
      <c r="AP4" s="926" t="s">
        <v>334</v>
      </c>
      <c r="AQ4" s="923" t="s">
        <v>246</v>
      </c>
      <c r="AR4" s="923" t="s">
        <v>247</v>
      </c>
      <c r="AS4" s="923" t="s">
        <v>248</v>
      </c>
      <c r="AT4" s="923" t="s">
        <v>249</v>
      </c>
    </row>
    <row r="5" spans="1:46" x14ac:dyDescent="0.25">
      <c r="A5" s="876" t="s">
        <v>873</v>
      </c>
      <c r="B5" s="1614" t="s">
        <v>220</v>
      </c>
      <c r="C5" s="939" t="s">
        <v>14</v>
      </c>
      <c r="D5" s="944">
        <f>I51/10</f>
        <v>3389.8305084745762</v>
      </c>
      <c r="E5" s="941">
        <f>H52</f>
        <v>5.2520650000000009</v>
      </c>
      <c r="F5" s="1626">
        <v>1</v>
      </c>
      <c r="G5" s="940">
        <f t="shared" ref="G5:G16" si="0">D5*E5</f>
        <v>17803.610169491527</v>
      </c>
      <c r="H5" s="1038">
        <f t="shared" ref="H5:H16" si="1">G5*F5</f>
        <v>17803.610169491527</v>
      </c>
      <c r="I5" s="914">
        <f>VLOOKUP(B5,All_Ingredients!$A$1:$F$161,6,FALSE())</f>
        <v>0.86</v>
      </c>
      <c r="J5" s="940">
        <f>VLOOKUP(B5,All_Ingredients!$A$1:$J$161,10,FALSE())</f>
        <v>17.100000000000001</v>
      </c>
      <c r="K5" s="945">
        <f t="shared" ref="K5" si="2">(H5/I5)/1000</f>
        <v>20.701872290106429</v>
      </c>
      <c r="L5" s="945">
        <f t="shared" ref="L5" si="3">K5*J5</f>
        <v>354.00201616081995</v>
      </c>
      <c r="M5" s="80"/>
      <c r="N5" s="80"/>
      <c r="O5" s="80"/>
      <c r="P5" s="80"/>
      <c r="AC5" s="73"/>
      <c r="AD5" s="89"/>
      <c r="AE5" s="172"/>
      <c r="AF5" s="90"/>
      <c r="AG5" s="91"/>
      <c r="AI5" s="61"/>
      <c r="AJ5" s="1686" t="s">
        <v>220</v>
      </c>
      <c r="AK5" s="939" t="s">
        <v>227</v>
      </c>
      <c r="AL5" s="1618">
        <v>10</v>
      </c>
      <c r="AM5" s="1621">
        <f t="shared" ref="AM5:AM13" si="4">$AO$1</f>
        <v>1.7803610169491526</v>
      </c>
      <c r="AN5" s="1626">
        <v>1</v>
      </c>
      <c r="AO5" s="940">
        <f t="shared" ref="AO5:AO13" si="5">AL5*AM5</f>
        <v>17.803610169491527</v>
      </c>
      <c r="AP5" s="1038">
        <f t="shared" ref="AP5:AP13" si="6">AO5*AN5</f>
        <v>17.803610169491527</v>
      </c>
      <c r="AQ5" s="952"/>
      <c r="AR5" s="953"/>
      <c r="AS5" s="1020"/>
      <c r="AT5" s="955"/>
    </row>
    <row r="6" spans="1:46" x14ac:dyDescent="0.25">
      <c r="A6" s="949"/>
      <c r="B6" s="1131" t="s">
        <v>198</v>
      </c>
      <c r="C6" s="1157" t="s">
        <v>160</v>
      </c>
      <c r="D6" s="1618">
        <v>500</v>
      </c>
      <c r="E6" s="1621">
        <f t="shared" ref="E6:E17" si="7">$I$1</f>
        <v>5.3737894736842113</v>
      </c>
      <c r="F6" s="1626">
        <v>1</v>
      </c>
      <c r="G6" s="940">
        <f t="shared" si="0"/>
        <v>2686.8947368421059</v>
      </c>
      <c r="H6" s="1038">
        <f t="shared" si="1"/>
        <v>2686.8947368421059</v>
      </c>
      <c r="I6" s="914">
        <f>VLOOKUP(B6,All_Ingredients!$A$1:$F$161,6,FALSE())</f>
        <v>1</v>
      </c>
      <c r="J6" s="940">
        <f>VLOOKUP(B6,All_Ingredients!$A$1:$J$161,10,FALSE())</f>
        <v>3.25</v>
      </c>
      <c r="K6" s="945">
        <f t="shared" ref="K6:K17" si="8">(H6/I6)/1000</f>
        <v>2.6868947368421057</v>
      </c>
      <c r="L6" s="945">
        <f t="shared" ref="L6:L17" si="9">K6*J6</f>
        <v>8.7324078947368431</v>
      </c>
      <c r="AI6" s="61" t="s">
        <v>55</v>
      </c>
      <c r="AJ6" s="1131" t="s">
        <v>54</v>
      </c>
      <c r="AK6" s="939" t="s">
        <v>14</v>
      </c>
      <c r="AL6" s="1618">
        <v>100</v>
      </c>
      <c r="AM6" s="1621">
        <f t="shared" si="4"/>
        <v>1.7803610169491526</v>
      </c>
      <c r="AN6" s="1626">
        <v>1</v>
      </c>
      <c r="AO6" s="940">
        <f t="shared" si="5"/>
        <v>178.03610169491526</v>
      </c>
      <c r="AP6" s="1038">
        <f t="shared" si="6"/>
        <v>178.03610169491526</v>
      </c>
      <c r="AQ6" s="955">
        <f>VLOOKUP(AJ6,Marination_Ordering!$A:$J,6,FALSE)</f>
        <v>0.87</v>
      </c>
      <c r="AR6" s="955">
        <f>VLOOKUP(AJ6,Marination_Ordering!$A:$J,10,FALSE)</f>
        <v>7</v>
      </c>
      <c r="AS6" s="1020">
        <f>AP6/AQ6</f>
        <v>204.6391973504773</v>
      </c>
      <c r="AT6" s="955">
        <f>AR6*(AS6/1000)</f>
        <v>1.4324743814533412</v>
      </c>
    </row>
    <row r="7" spans="1:46" x14ac:dyDescent="0.25">
      <c r="A7" s="949"/>
      <c r="B7" s="1131" t="s">
        <v>192</v>
      </c>
      <c r="C7" s="939" t="s">
        <v>160</v>
      </c>
      <c r="D7" s="1618">
        <v>40</v>
      </c>
      <c r="E7" s="1621">
        <f t="shared" si="7"/>
        <v>5.3737894736842113</v>
      </c>
      <c r="F7" s="1626">
        <v>0.75</v>
      </c>
      <c r="G7" s="940">
        <f t="shared" si="0"/>
        <v>214.95157894736846</v>
      </c>
      <c r="H7" s="1038">
        <f t="shared" si="1"/>
        <v>161.21368421052634</v>
      </c>
      <c r="I7" s="914">
        <f>VLOOKUP(B7,All_Ingredients!$A$1:$F$161,6,FALSE())</f>
        <v>1</v>
      </c>
      <c r="J7" s="940">
        <f>VLOOKUP(B7,All_Ingredients!$A$1:$J$161,10,FALSE())</f>
        <v>58.685446009389672</v>
      </c>
      <c r="K7" s="945">
        <f t="shared" si="8"/>
        <v>0.16121368421052634</v>
      </c>
      <c r="L7" s="945">
        <f t="shared" si="9"/>
        <v>9.46089696071164</v>
      </c>
      <c r="AI7" s="61" t="s">
        <v>13</v>
      </c>
      <c r="AJ7" s="1131" t="s">
        <v>706</v>
      </c>
      <c r="AK7" s="939" t="s">
        <v>14</v>
      </c>
      <c r="AL7" s="1618">
        <v>100</v>
      </c>
      <c r="AM7" s="1621">
        <f t="shared" si="4"/>
        <v>1.7803610169491526</v>
      </c>
      <c r="AN7" s="1626">
        <v>1</v>
      </c>
      <c r="AO7" s="940">
        <f t="shared" si="5"/>
        <v>178.03610169491526</v>
      </c>
      <c r="AP7" s="1038">
        <f t="shared" si="6"/>
        <v>178.03610169491526</v>
      </c>
      <c r="AQ7" s="955">
        <f>VLOOKUP(AJ7,Marination_Ordering!$A:$J,6,FALSE)</f>
        <v>1</v>
      </c>
      <c r="AR7" s="955">
        <f>VLOOKUP(AJ7,Marination_Ordering!$A:$J,10,FALSE)</f>
        <v>10.5</v>
      </c>
      <c r="AS7" s="1020">
        <f t="shared" ref="AS7:AS8" si="10">AP7/AQ7</f>
        <v>178.03610169491526</v>
      </c>
      <c r="AT7" s="955">
        <f t="shared" ref="AT7:AT8" si="11">AR7*(AS7/1000)</f>
        <v>1.8693790677966102</v>
      </c>
    </row>
    <row r="8" spans="1:46" x14ac:dyDescent="0.25">
      <c r="A8" s="949"/>
      <c r="B8" s="1131" t="s">
        <v>193</v>
      </c>
      <c r="C8" s="939" t="s">
        <v>160</v>
      </c>
      <c r="D8" s="1618">
        <v>60</v>
      </c>
      <c r="E8" s="1621">
        <f t="shared" si="7"/>
        <v>5.3737894736842113</v>
      </c>
      <c r="F8" s="1626">
        <v>0.9</v>
      </c>
      <c r="G8" s="940">
        <f t="shared" si="0"/>
        <v>322.42736842105268</v>
      </c>
      <c r="H8" s="1038">
        <f t="shared" si="1"/>
        <v>290.1846315789474</v>
      </c>
      <c r="I8" s="914">
        <f>VLOOKUP(B8,All_Ingredients!$A$1:$F$161,6,FALSE())</f>
        <v>1</v>
      </c>
      <c r="J8" s="940">
        <f>VLOOKUP(B8,All_Ingredients!$A$1:$J$161,10,FALSE())</f>
        <v>37.001287001286997</v>
      </c>
      <c r="K8" s="945">
        <f t="shared" si="8"/>
        <v>0.29018463157894742</v>
      </c>
      <c r="L8" s="945">
        <f t="shared" si="9"/>
        <v>10.737204836415364</v>
      </c>
      <c r="AI8" s="61" t="s">
        <v>204</v>
      </c>
      <c r="AJ8" s="1131" t="s">
        <v>212</v>
      </c>
      <c r="AK8" s="939" t="s">
        <v>160</v>
      </c>
      <c r="AL8" s="1618">
        <v>200</v>
      </c>
      <c r="AM8" s="1621">
        <f t="shared" si="4"/>
        <v>1.7803610169491526</v>
      </c>
      <c r="AN8" s="1626">
        <v>1</v>
      </c>
      <c r="AO8" s="940">
        <f t="shared" si="5"/>
        <v>356.07220338983052</v>
      </c>
      <c r="AP8" s="1038">
        <f t="shared" si="6"/>
        <v>356.07220338983052</v>
      </c>
      <c r="AQ8" s="955">
        <f>VLOOKUP(AJ8,Marination_Ordering!$A:$J,6,FALSE)</f>
        <v>1</v>
      </c>
      <c r="AR8" s="955">
        <f>VLOOKUP(AJ8,Marination_Ordering!$A:$J,10,FALSE)</f>
        <v>5</v>
      </c>
      <c r="AS8" s="1020">
        <f t="shared" si="10"/>
        <v>356.07220338983052</v>
      </c>
      <c r="AT8" s="955">
        <f t="shared" si="11"/>
        <v>1.7803610169491526</v>
      </c>
    </row>
    <row r="9" spans="1:46" x14ac:dyDescent="0.25">
      <c r="A9" s="949"/>
      <c r="B9" s="1131" t="s">
        <v>194</v>
      </c>
      <c r="C9" s="939" t="s">
        <v>160</v>
      </c>
      <c r="D9" s="1618">
        <v>40</v>
      </c>
      <c r="E9" s="1621">
        <f t="shared" si="7"/>
        <v>5.3737894736842113</v>
      </c>
      <c r="F9" s="1626">
        <v>1</v>
      </c>
      <c r="G9" s="940">
        <f t="shared" si="0"/>
        <v>214.95157894736846</v>
      </c>
      <c r="H9" s="1038">
        <f t="shared" si="1"/>
        <v>214.95157894736846</v>
      </c>
      <c r="I9" s="914">
        <f>VLOOKUP(B9,All_Ingredients!$A$1:$F$161,6,FALSE())</f>
        <v>1</v>
      </c>
      <c r="J9" s="940">
        <f>VLOOKUP(B9,All_Ingredients!$A$1:$J$161,10,FALSE())</f>
        <v>22.666666666666668</v>
      </c>
      <c r="K9" s="945">
        <f t="shared" si="8"/>
        <v>0.21495157894736847</v>
      </c>
      <c r="L9" s="945">
        <f t="shared" si="9"/>
        <v>4.8722357894736854</v>
      </c>
      <c r="AI9" s="61" t="s">
        <v>204</v>
      </c>
      <c r="AJ9" s="1131" t="s">
        <v>208</v>
      </c>
      <c r="AK9" s="947" t="s">
        <v>160</v>
      </c>
      <c r="AL9" s="1618">
        <v>150</v>
      </c>
      <c r="AM9" s="1621">
        <f t="shared" si="4"/>
        <v>1.7803610169491526</v>
      </c>
      <c r="AN9" s="1626">
        <v>1</v>
      </c>
      <c r="AO9" s="940">
        <f t="shared" si="5"/>
        <v>267.05415254237289</v>
      </c>
      <c r="AP9" s="1038">
        <f t="shared" si="6"/>
        <v>267.05415254237289</v>
      </c>
      <c r="AQ9" s="955">
        <f>VLOOKUP(AJ9,Marination_Ordering!$A:$J,6,FALSE)</f>
        <v>1</v>
      </c>
      <c r="AR9" s="955">
        <f>VLOOKUP(AJ9,Marination_Ordering!$A:$J,10,FALSE)</f>
        <v>2.1621621621621623</v>
      </c>
      <c r="AS9" s="1020">
        <f t="shared" ref="AS9:AS13" si="12">AP9/AQ9</f>
        <v>267.05415254237289</v>
      </c>
      <c r="AT9" s="955">
        <f t="shared" ref="AT9:AT13" si="13">AR9*(AS9/1000)</f>
        <v>0.57741438387540089</v>
      </c>
    </row>
    <row r="10" spans="1:46" x14ac:dyDescent="0.25">
      <c r="A10" s="949" t="s">
        <v>868</v>
      </c>
      <c r="B10" s="1131" t="s">
        <v>706</v>
      </c>
      <c r="C10" s="939" t="s">
        <v>14</v>
      </c>
      <c r="D10" s="1618">
        <v>40</v>
      </c>
      <c r="E10" s="1621">
        <f t="shared" si="7"/>
        <v>5.3737894736842113</v>
      </c>
      <c r="F10" s="1626">
        <v>1</v>
      </c>
      <c r="G10" s="940">
        <f t="shared" si="0"/>
        <v>214.95157894736846</v>
      </c>
      <c r="H10" s="1038">
        <f t="shared" si="1"/>
        <v>214.95157894736846</v>
      </c>
      <c r="I10" s="914">
        <f>VLOOKUP(B10,All_Ingredients!$A$1:$F$161,6,FALSE())</f>
        <v>1</v>
      </c>
      <c r="J10" s="940">
        <f>VLOOKUP(B10,All_Ingredients!$A$1:$J$161,10,FALSE())</f>
        <v>10.5</v>
      </c>
      <c r="K10" s="945">
        <f t="shared" si="8"/>
        <v>0.21495157894736847</v>
      </c>
      <c r="L10" s="945">
        <f t="shared" si="9"/>
        <v>2.2569915789473689</v>
      </c>
      <c r="AI10" s="61" t="s">
        <v>94</v>
      </c>
      <c r="AJ10" s="1131" t="s">
        <v>93</v>
      </c>
      <c r="AK10" s="939" t="s">
        <v>14</v>
      </c>
      <c r="AL10" s="1618">
        <v>2</v>
      </c>
      <c r="AM10" s="1621">
        <f t="shared" si="4"/>
        <v>1.7803610169491526</v>
      </c>
      <c r="AN10" s="1626">
        <v>1</v>
      </c>
      <c r="AO10" s="940">
        <f t="shared" si="5"/>
        <v>3.5607220338983052</v>
      </c>
      <c r="AP10" s="1038">
        <f t="shared" si="6"/>
        <v>3.5607220338983052</v>
      </c>
      <c r="AQ10" s="955">
        <f>VLOOKUP(AJ10,Marination_Ordering!$A:$J,6,FALSE)</f>
        <v>1</v>
      </c>
      <c r="AR10" s="955">
        <f>VLOOKUP(AJ10,Marination_Ordering!$A:$J,10,FALSE)</f>
        <v>0.74</v>
      </c>
      <c r="AS10" s="1020">
        <f t="shared" si="12"/>
        <v>3.5607220338983052</v>
      </c>
      <c r="AT10" s="955">
        <f t="shared" si="13"/>
        <v>2.6349343050847459E-3</v>
      </c>
    </row>
    <row r="11" spans="1:46" x14ac:dyDescent="0.25">
      <c r="A11" s="949"/>
      <c r="B11" s="1684" t="s">
        <v>187</v>
      </c>
      <c r="C11" s="939" t="s">
        <v>14</v>
      </c>
      <c r="D11" s="1618">
        <v>40</v>
      </c>
      <c r="E11" s="1621">
        <f t="shared" si="7"/>
        <v>5.3737894736842113</v>
      </c>
      <c r="F11" s="1626">
        <v>0.95</v>
      </c>
      <c r="G11" s="940">
        <f t="shared" si="0"/>
        <v>214.95157894736846</v>
      </c>
      <c r="H11" s="1038">
        <f t="shared" si="1"/>
        <v>204.20400000000004</v>
      </c>
      <c r="I11" s="914">
        <f>VLOOKUP(B11,All_Ingredients!$A$1:$F$161,6,FALSE())</f>
        <v>0.9</v>
      </c>
      <c r="J11" s="940">
        <f>VLOOKUP(B11,All_Ingredients!$A$1:$J$161,10,FALSE())</f>
        <v>2.3199999999999998</v>
      </c>
      <c r="K11" s="945">
        <f t="shared" si="8"/>
        <v>0.22689333333333336</v>
      </c>
      <c r="L11" s="945">
        <f t="shared" si="9"/>
        <v>0.52639253333333336</v>
      </c>
      <c r="AI11" s="61" t="s">
        <v>94</v>
      </c>
      <c r="AJ11" s="1131" t="s">
        <v>99</v>
      </c>
      <c r="AK11" s="939" t="s">
        <v>14</v>
      </c>
      <c r="AL11" s="1618">
        <v>5</v>
      </c>
      <c r="AM11" s="1621">
        <f t="shared" si="4"/>
        <v>1.7803610169491526</v>
      </c>
      <c r="AN11" s="1626">
        <v>1</v>
      </c>
      <c r="AO11" s="940">
        <f t="shared" si="5"/>
        <v>8.9018050847457637</v>
      </c>
      <c r="AP11" s="1038">
        <f t="shared" si="6"/>
        <v>8.9018050847457637</v>
      </c>
      <c r="AQ11" s="955">
        <f>VLOOKUP(AJ11,Marination_Ordering!$A:$J,6,FALSE)</f>
        <v>1</v>
      </c>
      <c r="AR11" s="955">
        <f>VLOOKUP(AJ11,Marination_Ordering!$A:$J,10,FALSE)</f>
        <v>31</v>
      </c>
      <c r="AS11" s="1020">
        <f t="shared" si="12"/>
        <v>8.9018050847457637</v>
      </c>
      <c r="AT11" s="955">
        <f t="shared" si="13"/>
        <v>0.27595595762711866</v>
      </c>
    </row>
    <row r="12" spans="1:46" x14ac:dyDescent="0.25">
      <c r="A12" s="949"/>
      <c r="B12" s="1131" t="s">
        <v>93</v>
      </c>
      <c r="C12" s="939" t="s">
        <v>14</v>
      </c>
      <c r="D12" s="1618">
        <v>11</v>
      </c>
      <c r="E12" s="1621">
        <f t="shared" si="7"/>
        <v>5.3737894736842113</v>
      </c>
      <c r="F12" s="1626">
        <v>0.75</v>
      </c>
      <c r="G12" s="940">
        <f t="shared" si="0"/>
        <v>59.111684210526327</v>
      </c>
      <c r="H12" s="1038">
        <f t="shared" si="1"/>
        <v>44.333763157894744</v>
      </c>
      <c r="I12" s="914">
        <f>VLOOKUP(B12,All_Ingredients!$A$1:$F$161,6,FALSE())</f>
        <v>1</v>
      </c>
      <c r="J12" s="940">
        <f>VLOOKUP(B12,All_Ingredients!$A$1:$J$161,10,FALSE())</f>
        <v>0.74</v>
      </c>
      <c r="K12" s="945">
        <f t="shared" si="8"/>
        <v>4.4333763157894744E-2</v>
      </c>
      <c r="L12" s="945">
        <f t="shared" si="9"/>
        <v>3.2806984736842112E-2</v>
      </c>
      <c r="AI12" s="61" t="s">
        <v>213</v>
      </c>
      <c r="AJ12" s="1131" t="s">
        <v>214</v>
      </c>
      <c r="AK12" s="939" t="s">
        <v>14</v>
      </c>
      <c r="AL12" s="1618">
        <v>25</v>
      </c>
      <c r="AM12" s="1621">
        <f t="shared" si="4"/>
        <v>1.7803610169491526</v>
      </c>
      <c r="AN12" s="1626">
        <v>1</v>
      </c>
      <c r="AO12" s="940">
        <f t="shared" si="5"/>
        <v>44.509025423728815</v>
      </c>
      <c r="AP12" s="1038">
        <f t="shared" si="6"/>
        <v>44.509025423728815</v>
      </c>
      <c r="AQ12" s="955">
        <f>VLOOKUP(AJ12,Marination_Ordering!$A:$J,6,FALSE)</f>
        <v>1</v>
      </c>
      <c r="AR12" s="955">
        <f>VLOOKUP(AJ12,Marination_Ordering!$A:$J,10,FALSE)</f>
        <v>35</v>
      </c>
      <c r="AS12" s="1020">
        <f t="shared" si="12"/>
        <v>44.509025423728815</v>
      </c>
      <c r="AT12" s="955">
        <f t="shared" si="13"/>
        <v>1.5578158898305086</v>
      </c>
    </row>
    <row r="13" spans="1:46" x14ac:dyDescent="0.25">
      <c r="A13" s="949" t="s">
        <v>867</v>
      </c>
      <c r="B13" s="1131" t="s">
        <v>54</v>
      </c>
      <c r="C13" s="939" t="s">
        <v>14</v>
      </c>
      <c r="D13" s="1618">
        <v>40</v>
      </c>
      <c r="E13" s="1621">
        <f t="shared" si="7"/>
        <v>5.3737894736842113</v>
      </c>
      <c r="F13" s="1626">
        <v>1</v>
      </c>
      <c r="G13" s="940">
        <f t="shared" si="0"/>
        <v>214.95157894736846</v>
      </c>
      <c r="H13" s="1038">
        <f t="shared" si="1"/>
        <v>214.95157894736846</v>
      </c>
      <c r="I13" s="914">
        <f>VLOOKUP(B13,All_Ingredients!$A$1:$F$161,6,FALSE())</f>
        <v>0.87</v>
      </c>
      <c r="J13" s="940">
        <f>VLOOKUP(B13,All_Ingredients!$A$1:$J$161,10,FALSE())</f>
        <v>7</v>
      </c>
      <c r="K13" s="945">
        <f t="shared" si="8"/>
        <v>0.2470707803992741</v>
      </c>
      <c r="L13" s="945">
        <f t="shared" si="9"/>
        <v>1.7294954627949188</v>
      </c>
      <c r="AI13" s="61" t="s">
        <v>190</v>
      </c>
      <c r="AJ13" s="1131" t="s">
        <v>192</v>
      </c>
      <c r="AK13" s="939" t="s">
        <v>14</v>
      </c>
      <c r="AL13" s="1618">
        <v>20</v>
      </c>
      <c r="AM13" s="1621">
        <f t="shared" si="4"/>
        <v>1.7803610169491526</v>
      </c>
      <c r="AN13" s="1626">
        <v>1</v>
      </c>
      <c r="AO13" s="940">
        <f t="shared" si="5"/>
        <v>35.607220338983055</v>
      </c>
      <c r="AP13" s="1038">
        <f t="shared" si="6"/>
        <v>35.607220338983055</v>
      </c>
      <c r="AQ13" s="955">
        <f>VLOOKUP(AJ13,Marination_Ordering!$A:$J,6,FALSE)</f>
        <v>1</v>
      </c>
      <c r="AR13" s="955">
        <f>VLOOKUP(AJ13,Marination_Ordering!$A:$J,10,FALSE)</f>
        <v>58.685446009389672</v>
      </c>
      <c r="AS13" s="1020">
        <f t="shared" si="12"/>
        <v>35.607220338983055</v>
      </c>
      <c r="AT13" s="955">
        <f t="shared" si="13"/>
        <v>2.0896256067478318</v>
      </c>
    </row>
    <row r="14" spans="1:46" x14ac:dyDescent="0.25">
      <c r="A14" s="949"/>
      <c r="B14" s="1131" t="s">
        <v>183</v>
      </c>
      <c r="C14" s="939" t="s">
        <v>14</v>
      </c>
      <c r="D14" s="1618">
        <v>40</v>
      </c>
      <c r="E14" s="1621">
        <f t="shared" si="7"/>
        <v>5.3737894736842113</v>
      </c>
      <c r="F14" s="1626">
        <v>1</v>
      </c>
      <c r="G14" s="940">
        <f t="shared" si="0"/>
        <v>214.95157894736846</v>
      </c>
      <c r="H14" s="1038">
        <f t="shared" si="1"/>
        <v>214.95157894736846</v>
      </c>
      <c r="I14" s="914">
        <f>VLOOKUP(B14,All_Ingredients!$A$1:$F$161,6,FALSE())</f>
        <v>1</v>
      </c>
      <c r="J14" s="940">
        <f>VLOOKUP(B14,All_Ingredients!$A$1:$J$161,10,FALSE())</f>
        <v>17</v>
      </c>
      <c r="K14" s="945">
        <f t="shared" si="8"/>
        <v>0.21495157894736847</v>
      </c>
      <c r="L14" s="945">
        <f t="shared" si="9"/>
        <v>3.6541768421052638</v>
      </c>
    </row>
    <row r="15" spans="1:46" x14ac:dyDescent="0.25">
      <c r="A15" s="949"/>
      <c r="B15" s="1252" t="s">
        <v>678</v>
      </c>
      <c r="C15" s="939" t="s">
        <v>14</v>
      </c>
      <c r="D15" s="1618">
        <v>45</v>
      </c>
      <c r="E15" s="1621">
        <f t="shared" si="7"/>
        <v>5.3737894736842113</v>
      </c>
      <c r="F15" s="1626">
        <v>1</v>
      </c>
      <c r="G15" s="940">
        <f t="shared" si="0"/>
        <v>241.82052631578952</v>
      </c>
      <c r="H15" s="1038">
        <f t="shared" si="1"/>
        <v>241.82052631578952</v>
      </c>
      <c r="I15" s="914">
        <f>VLOOKUP(B15,All_Ingredients!$A$1:$F$161,6,FALSE())</f>
        <v>1</v>
      </c>
      <c r="J15" s="940">
        <f>VLOOKUP(B15,All_Ingredients!$A$1:$J$161,10,FALSE())</f>
        <v>8.1520833333333336</v>
      </c>
      <c r="K15" s="945">
        <f t="shared" si="8"/>
        <v>0.24182052631578951</v>
      </c>
      <c r="L15" s="945">
        <f t="shared" si="9"/>
        <v>1.9713410822368425</v>
      </c>
    </row>
    <row r="16" spans="1:46" x14ac:dyDescent="0.25">
      <c r="A16" s="949"/>
      <c r="B16" s="959" t="s">
        <v>152</v>
      </c>
      <c r="C16" s="939" t="s">
        <v>14</v>
      </c>
      <c r="D16" s="1618">
        <v>30</v>
      </c>
      <c r="E16" s="1621">
        <f t="shared" si="7"/>
        <v>5.3737894736842113</v>
      </c>
      <c r="F16" s="1626">
        <v>1</v>
      </c>
      <c r="G16" s="940">
        <f t="shared" si="0"/>
        <v>161.21368421052634</v>
      </c>
      <c r="H16" s="1038">
        <f t="shared" si="1"/>
        <v>161.21368421052634</v>
      </c>
      <c r="I16" s="914">
        <f>VLOOKUP(B16,All_Ingredients!$A$1:$F$161,6,FALSE())</f>
        <v>1</v>
      </c>
      <c r="J16" s="940">
        <f>VLOOKUP(B16,All_Ingredients!$A$1:$J$161,10,FALSE())</f>
        <v>30</v>
      </c>
      <c r="K16" s="945">
        <f t="shared" si="8"/>
        <v>0.16121368421052634</v>
      </c>
      <c r="L16" s="945">
        <f t="shared" si="9"/>
        <v>4.8364105263157899</v>
      </c>
    </row>
    <row r="17" spans="1:31" x14ac:dyDescent="0.25">
      <c r="A17" s="949"/>
      <c r="B17" s="959" t="s">
        <v>214</v>
      </c>
      <c r="C17" s="939" t="s">
        <v>14</v>
      </c>
      <c r="D17" s="1618">
        <v>2</v>
      </c>
      <c r="E17" s="1621">
        <f t="shared" si="7"/>
        <v>5.3737894736842113</v>
      </c>
      <c r="F17" s="1626">
        <v>1</v>
      </c>
      <c r="G17" s="940">
        <f>D17*E17</f>
        <v>10.747578947368423</v>
      </c>
      <c r="H17" s="1038">
        <f>G17*F17</f>
        <v>10.747578947368423</v>
      </c>
      <c r="I17" s="914">
        <f>VLOOKUP(B17,All_Ingredients!$A$1:$F$161,6,FALSE())</f>
        <v>1</v>
      </c>
      <c r="J17" s="940">
        <f>VLOOKUP(B17,All_Ingredients!$A$1:$J$161,10,FALSE())</f>
        <v>35</v>
      </c>
      <c r="K17" s="945">
        <f t="shared" si="8"/>
        <v>1.0747578947368422E-2</v>
      </c>
      <c r="L17" s="945">
        <f t="shared" si="9"/>
        <v>0.37616526315789478</v>
      </c>
      <c r="M17" s="87"/>
      <c r="N17" s="87"/>
    </row>
    <row r="18" spans="1:31" x14ac:dyDescent="0.25">
      <c r="A18" s="949"/>
      <c r="B18" s="959"/>
      <c r="C18" s="939"/>
      <c r="D18" s="1618" t="s">
        <v>541</v>
      </c>
      <c r="E18" s="1621"/>
      <c r="F18" s="1626"/>
      <c r="G18" s="940"/>
      <c r="H18" s="1038"/>
      <c r="I18" s="914"/>
      <c r="J18" s="1685"/>
      <c r="K18" s="914"/>
      <c r="L18" s="940"/>
      <c r="M18" s="87"/>
      <c r="N18" s="87"/>
    </row>
    <row r="19" spans="1:31" x14ac:dyDescent="0.25">
      <c r="I19" s="73"/>
      <c r="J19" s="94"/>
      <c r="K19" s="73"/>
      <c r="L19" s="92"/>
      <c r="M19" s="87"/>
      <c r="N19" s="87"/>
    </row>
    <row r="20" spans="1:31" x14ac:dyDescent="0.25">
      <c r="I20" s="73"/>
      <c r="J20" s="94"/>
      <c r="K20" s="73"/>
      <c r="L20" s="92"/>
      <c r="M20" s="87"/>
      <c r="N20" s="87"/>
    </row>
    <row r="21" spans="1:31" x14ac:dyDescent="0.25">
      <c r="I21" s="73"/>
      <c r="J21" s="94"/>
      <c r="K21" s="73"/>
      <c r="L21" s="92"/>
      <c r="M21" s="87"/>
      <c r="N21" s="87"/>
    </row>
    <row r="22" spans="1:31" x14ac:dyDescent="0.25">
      <c r="I22" s="73"/>
      <c r="J22" s="94"/>
      <c r="K22" s="73"/>
      <c r="L22" s="92"/>
      <c r="M22" s="87"/>
      <c r="N22" s="87"/>
    </row>
    <row r="23" spans="1:31" x14ac:dyDescent="0.25">
      <c r="I23" s="73"/>
      <c r="J23" s="94"/>
      <c r="K23" s="73"/>
      <c r="L23" s="92"/>
      <c r="M23" s="87"/>
      <c r="N23" s="87"/>
    </row>
    <row r="24" spans="1:31" x14ac:dyDescent="0.25">
      <c r="I24" s="73"/>
      <c r="J24" s="94"/>
      <c r="K24" s="73"/>
      <c r="L24" s="92"/>
      <c r="M24" s="87"/>
      <c r="N24" s="87"/>
      <c r="Z24" s="597"/>
    </row>
    <row r="25" spans="1:31" ht="15.75" x14ac:dyDescent="0.25">
      <c r="B25" s="437"/>
      <c r="C25" s="437"/>
      <c r="D25" s="437"/>
      <c r="E25" s="437"/>
      <c r="F25" s="437"/>
      <c r="G25" s="437"/>
      <c r="H25" s="437"/>
      <c r="I25" s="73"/>
      <c r="J25" s="94"/>
      <c r="K25" s="73"/>
      <c r="L25" s="92"/>
      <c r="M25" s="87"/>
      <c r="N25" s="87"/>
      <c r="R25" s="1878" t="s">
        <v>429</v>
      </c>
      <c r="S25" s="1879"/>
      <c r="T25" s="1879"/>
      <c r="U25" s="1879"/>
      <c r="V25" s="592"/>
      <c r="W25" s="592"/>
      <c r="Z25" s="96" t="s">
        <v>252</v>
      </c>
      <c r="AA25" s="97">
        <v>1</v>
      </c>
      <c r="AB25" s="96" t="s">
        <v>249</v>
      </c>
      <c r="AC25" s="98">
        <f>(AA25*1.1)*(AE30)+(AA30*(AB28/R1))</f>
        <v>2.9066589091899006E-2</v>
      </c>
    </row>
    <row r="26" spans="1:31" x14ac:dyDescent="0.25">
      <c r="B26" s="437"/>
      <c r="C26" s="437"/>
      <c r="D26" s="437"/>
      <c r="E26" s="437"/>
      <c r="F26" s="437"/>
      <c r="G26" s="437"/>
      <c r="H26" s="437"/>
      <c r="I26" s="73"/>
      <c r="J26" s="94"/>
      <c r="K26" s="73"/>
      <c r="L26" s="92"/>
      <c r="M26" s="87"/>
      <c r="N26" s="87"/>
      <c r="R26" s="1897" t="s">
        <v>430</v>
      </c>
      <c r="S26" s="1879"/>
      <c r="T26" s="1879"/>
      <c r="U26" s="1879"/>
      <c r="V26" s="592"/>
      <c r="W26" s="592"/>
    </row>
    <row r="27" spans="1:31" ht="15.75" thickBot="1" x14ac:dyDescent="0.3">
      <c r="I27" s="73"/>
      <c r="J27" s="94"/>
      <c r="K27" s="73"/>
      <c r="L27" s="92"/>
      <c r="M27" s="87"/>
      <c r="N27" s="87"/>
      <c r="R27" s="100" t="s">
        <v>254</v>
      </c>
      <c r="S27" s="101" t="s">
        <v>255</v>
      </c>
      <c r="T27" s="101" t="s">
        <v>256</v>
      </c>
      <c r="U27" s="101" t="s">
        <v>257</v>
      </c>
      <c r="V27" s="101" t="s">
        <v>746</v>
      </c>
      <c r="W27" s="101" t="s">
        <v>753</v>
      </c>
      <c r="Z27" s="96" t="s">
        <v>258</v>
      </c>
      <c r="AA27" s="580" t="s">
        <v>311</v>
      </c>
      <c r="AB27" s="102" t="s">
        <v>259</v>
      </c>
      <c r="AC27" s="102" t="s">
        <v>260</v>
      </c>
      <c r="AD27" s="581" t="s">
        <v>753</v>
      </c>
      <c r="AE27" s="102" t="s">
        <v>262</v>
      </c>
    </row>
    <row r="28" spans="1:31" ht="15.75" thickBot="1" x14ac:dyDescent="0.3">
      <c r="I28" s="73"/>
      <c r="J28" s="94"/>
      <c r="K28" s="73"/>
      <c r="L28" s="92"/>
      <c r="M28" s="87"/>
      <c r="N28" s="87"/>
      <c r="R28" s="103" t="s">
        <v>263</v>
      </c>
      <c r="S28" s="380">
        <f>U28*S40</f>
        <v>9825.130000000001</v>
      </c>
      <c r="T28" s="671">
        <f>U28*U40</f>
        <v>4775.1000000000004</v>
      </c>
      <c r="U28" s="385">
        <f>$Z$1</f>
        <v>14470</v>
      </c>
      <c r="V28" s="104">
        <f>SUM(AP5:AP13)</f>
        <v>1089.5809423728815</v>
      </c>
      <c r="W28" s="104">
        <f>H37</f>
        <v>6.9300000000000006</v>
      </c>
      <c r="Z28" s="105"/>
      <c r="AA28" s="582"/>
      <c r="AB28" s="106">
        <f>AA25*$S$40</f>
        <v>0.67900000000000005</v>
      </c>
      <c r="AC28" s="106">
        <f>AA25*$U$40</f>
        <v>0.33</v>
      </c>
      <c r="AD28" s="582"/>
      <c r="AE28" s="108">
        <f>SUM(AB28:AC28)</f>
        <v>1.0090000000000001</v>
      </c>
    </row>
    <row r="29" spans="1:31" ht="15.75" thickBot="1" x14ac:dyDescent="0.3">
      <c r="I29" s="73"/>
      <c r="J29" s="94"/>
      <c r="K29" s="73"/>
      <c r="L29" s="92"/>
      <c r="M29" s="87"/>
      <c r="N29" s="87"/>
      <c r="R29" s="103" t="s">
        <v>264</v>
      </c>
      <c r="S29" s="382"/>
      <c r="T29" s="380"/>
      <c r="U29" s="655">
        <f>T29</f>
        <v>0</v>
      </c>
      <c r="V29" s="104"/>
      <c r="W29" s="104"/>
      <c r="Z29" s="105"/>
      <c r="AA29" s="583"/>
      <c r="AB29" s="110">
        <f>AB28/$AE$28</f>
        <v>0.67294350842418238</v>
      </c>
      <c r="AC29" s="110">
        <f>AC28/$AE$28</f>
        <v>0.32705649157581762</v>
      </c>
      <c r="AD29" s="583"/>
      <c r="AE29" s="110">
        <f>AE28/$AE$28</f>
        <v>1</v>
      </c>
    </row>
    <row r="30" spans="1:31" ht="15.75" thickBot="1" x14ac:dyDescent="0.3">
      <c r="B30"/>
      <c r="C30" s="168"/>
      <c r="D30" s="172"/>
      <c r="E30" s="189"/>
      <c r="F30" s="290"/>
      <c r="G30" s="437"/>
      <c r="H30" s="437"/>
      <c r="I30" s="73"/>
      <c r="J30" s="94"/>
      <c r="K30" s="73"/>
      <c r="L30" s="92"/>
      <c r="M30" s="87"/>
      <c r="N30" s="87"/>
      <c r="R30" s="103" t="s">
        <v>265</v>
      </c>
      <c r="S30" s="654">
        <f>U30*S40</f>
        <v>679</v>
      </c>
      <c r="T30" s="654">
        <f>U30*U40</f>
        <v>330</v>
      </c>
      <c r="U30" s="385">
        <f>$AB$1</f>
        <v>1000</v>
      </c>
      <c r="V30" s="547"/>
      <c r="W30" s="547"/>
      <c r="Z30" s="96" t="s">
        <v>266</v>
      </c>
      <c r="AA30" s="584">
        <f>V35/(S32/R1)</f>
        <v>5.3841109456615431E-4</v>
      </c>
      <c r="AB30" s="111">
        <f>S35/(S32)</f>
        <v>3.3701221915648408E-2</v>
      </c>
      <c r="AC30" s="112">
        <f>T35/T32</f>
        <v>9.6347820326665081E-3</v>
      </c>
      <c r="AD30" s="585">
        <f>W35/U32</f>
        <v>3.0736252253905588E-5</v>
      </c>
      <c r="AE30" s="587">
        <f>SUMPRODUCT(AB30:AC30,AB29:AC29)+AD30</f>
        <v>2.586087277505392E-2</v>
      </c>
    </row>
    <row r="31" spans="1:31" ht="15.75" thickBot="1" x14ac:dyDescent="0.3">
      <c r="B31" s="437"/>
      <c r="C31" s="437"/>
      <c r="D31" s="437"/>
      <c r="E31" s="437"/>
      <c r="F31" s="437"/>
      <c r="G31" s="437"/>
      <c r="H31" s="437"/>
      <c r="I31" s="73"/>
      <c r="J31" s="94"/>
      <c r="K31" s="73"/>
      <c r="L31" s="92"/>
      <c r="M31" s="87"/>
      <c r="N31" s="87"/>
      <c r="R31" s="383" t="s">
        <v>267</v>
      </c>
      <c r="S31" s="109"/>
      <c r="T31" s="104"/>
      <c r="U31" s="104"/>
      <c r="V31" s="104"/>
      <c r="W31" s="104"/>
    </row>
    <row r="32" spans="1:31" ht="15.75" thickBot="1" x14ac:dyDescent="0.3">
      <c r="B32"/>
      <c r="C32" s="168"/>
      <c r="D32" s="172"/>
      <c r="E32" s="189"/>
      <c r="F32" s="290"/>
      <c r="G32" s="92"/>
      <c r="H32" s="291"/>
      <c r="I32" s="73"/>
      <c r="J32" s="94"/>
      <c r="K32" s="73"/>
      <c r="L32" s="92"/>
      <c r="M32" s="87"/>
      <c r="N32" s="87"/>
      <c r="R32" s="114" t="s">
        <v>257</v>
      </c>
      <c r="S32" s="595">
        <f>SUM(S28:S30)</f>
        <v>10504.130000000001</v>
      </c>
      <c r="T32" s="595">
        <f>SUM(T28:T30)</f>
        <v>5105.1000000000004</v>
      </c>
      <c r="U32" s="104">
        <f>SUM(S32:T32)</f>
        <v>15609.230000000001</v>
      </c>
      <c r="V32" s="104"/>
      <c r="W32" s="104">
        <f>SUM(W28:W30)</f>
        <v>6.9300000000000006</v>
      </c>
    </row>
    <row r="33" spans="2:23" ht="15.75" thickBot="1" x14ac:dyDescent="0.3">
      <c r="B33"/>
      <c r="C33" s="168"/>
      <c r="D33" s="172"/>
      <c r="E33" s="189"/>
      <c r="F33" s="290"/>
      <c r="G33" s="92"/>
      <c r="H33" s="291"/>
      <c r="I33" s="73"/>
      <c r="J33" s="94"/>
      <c r="K33" s="73"/>
      <c r="L33" s="92"/>
      <c r="M33" s="87"/>
      <c r="N33" s="87"/>
      <c r="R33" s="115" t="s">
        <v>268</v>
      </c>
      <c r="S33" s="109"/>
      <c r="T33" s="109">
        <f>F79+F99</f>
        <v>0</v>
      </c>
      <c r="U33" s="109"/>
      <c r="V33" s="109"/>
      <c r="W33" s="109"/>
    </row>
    <row r="34" spans="2:23" ht="15.75" thickBot="1" x14ac:dyDescent="0.3">
      <c r="B34"/>
      <c r="C34" s="168"/>
      <c r="D34" s="172"/>
      <c r="E34" s="189"/>
      <c r="F34" s="290"/>
      <c r="G34" s="92"/>
      <c r="H34" s="291"/>
      <c r="I34" s="73"/>
      <c r="J34" s="94"/>
      <c r="K34" s="73"/>
      <c r="L34" s="92"/>
      <c r="M34" s="87"/>
      <c r="N34" s="87"/>
      <c r="R34" s="116" t="s">
        <v>269</v>
      </c>
      <c r="S34" s="109"/>
      <c r="T34" s="104">
        <f>T33-(T28+T29)</f>
        <v>-4775.1000000000004</v>
      </c>
      <c r="U34" s="109"/>
      <c r="V34" s="109"/>
      <c r="W34" s="109"/>
    </row>
    <row r="35" spans="2:23" ht="16.5" thickBot="1" x14ac:dyDescent="0.3">
      <c r="B35" s="1877" t="s">
        <v>652</v>
      </c>
      <c r="C35" s="1877"/>
      <c r="D35" s="1877"/>
      <c r="E35" s="1877"/>
      <c r="F35" s="1877"/>
      <c r="G35" s="438"/>
      <c r="H35" s="438"/>
      <c r="I35" s="444"/>
      <c r="J35" s="444"/>
      <c r="K35" s="444"/>
      <c r="L35" s="444"/>
      <c r="M35" s="87"/>
      <c r="N35" s="87"/>
      <c r="R35" s="117" t="s">
        <v>249</v>
      </c>
      <c r="S35" s="589">
        <f>$L$5</f>
        <v>354.00201616081995</v>
      </c>
      <c r="T35" s="589">
        <f>SUM(L6:L17)</f>
        <v>49.186525754965793</v>
      </c>
      <c r="U35" s="548">
        <f>S35+T35+V35+W35</f>
        <v>413.25397238514</v>
      </c>
      <c r="V35" s="548">
        <f>SUM(AT6:AT13)</f>
        <v>9.5856612385850486</v>
      </c>
      <c r="W35" s="589">
        <f>L37</f>
        <v>0.47976923076923078</v>
      </c>
    </row>
    <row r="36" spans="2:23" ht="47.25" x14ac:dyDescent="0.25">
      <c r="B36" s="1004" t="s">
        <v>241</v>
      </c>
      <c r="C36" s="1004" t="s">
        <v>316</v>
      </c>
      <c r="D36" s="1002" t="s">
        <v>610</v>
      </c>
      <c r="E36" s="1003" t="s">
        <v>611</v>
      </c>
      <c r="F36" s="1002" t="s">
        <v>612</v>
      </c>
      <c r="G36" s="1001"/>
      <c r="H36" s="427" t="s">
        <v>612</v>
      </c>
      <c r="I36" s="427" t="s">
        <v>246</v>
      </c>
      <c r="J36" s="427" t="s">
        <v>247</v>
      </c>
      <c r="K36" s="427" t="s">
        <v>248</v>
      </c>
      <c r="L36" s="427" t="s">
        <v>249</v>
      </c>
      <c r="M36" s="87"/>
      <c r="N36" s="87"/>
    </row>
    <row r="37" spans="2:23" x14ac:dyDescent="0.25">
      <c r="B37" s="1005" t="s">
        <v>666</v>
      </c>
      <c r="C37" s="1006" t="s">
        <v>14</v>
      </c>
      <c r="D37" s="1645">
        <v>7.0000000000000007E-2</v>
      </c>
      <c r="E37" s="1005">
        <f>$AD$1</f>
        <v>99</v>
      </c>
      <c r="F37" s="1005">
        <f>D37*E37</f>
        <v>6.9300000000000006</v>
      </c>
      <c r="G37" s="437"/>
      <c r="H37" s="425">
        <f>F37</f>
        <v>6.9300000000000006</v>
      </c>
      <c r="I37" s="425">
        <f>VLOOKUP(B37,All_Ingredients!$A$1:$F$161,6,FALSE())</f>
        <v>0.65</v>
      </c>
      <c r="J37" s="425">
        <f>VLOOKUP(B37,All_Ingredients!$A$1:$J$161,10,FALSE())</f>
        <v>45</v>
      </c>
      <c r="K37" s="425">
        <f>(H37/I37)/1000</f>
        <v>1.0661538461538462E-2</v>
      </c>
      <c r="L37" s="425">
        <f>K37*J37</f>
        <v>0.47976923076923078</v>
      </c>
      <c r="M37" s="87"/>
      <c r="N37" s="87"/>
    </row>
    <row r="38" spans="2:23" x14ac:dyDescent="0.25">
      <c r="B38"/>
      <c r="C38" s="168"/>
      <c r="D38" s="172"/>
      <c r="E38" s="189"/>
      <c r="F38" s="290"/>
      <c r="G38" s="92"/>
      <c r="H38" s="291"/>
      <c r="I38" s="73"/>
      <c r="J38" s="94"/>
      <c r="K38" s="73"/>
      <c r="L38" s="92"/>
      <c r="M38" s="87"/>
      <c r="N38" s="87"/>
    </row>
    <row r="39" spans="2:23" x14ac:dyDescent="0.25">
      <c r="B39"/>
      <c r="C39" s="168"/>
      <c r="D39" s="172"/>
      <c r="E39" s="189"/>
      <c r="F39" s="290"/>
      <c r="G39" s="92"/>
      <c r="H39" s="291"/>
      <c r="I39" s="73"/>
      <c r="J39" s="94"/>
      <c r="K39" s="73"/>
      <c r="L39" s="92"/>
      <c r="M39" s="87"/>
      <c r="N39" s="87"/>
    </row>
    <row r="40" spans="2:23" x14ac:dyDescent="0.25">
      <c r="B40"/>
      <c r="C40" s="168"/>
      <c r="D40" s="172"/>
      <c r="E40" s="189"/>
      <c r="F40" s="290"/>
      <c r="G40" s="92"/>
      <c r="H40" s="291"/>
      <c r="I40" s="73"/>
      <c r="J40" s="94"/>
      <c r="K40" s="73"/>
      <c r="L40" s="92"/>
      <c r="M40" s="87"/>
      <c r="N40" s="87"/>
      <c r="R40" s="119" t="s">
        <v>270</v>
      </c>
      <c r="S40" s="163">
        <v>0.67900000000000005</v>
      </c>
      <c r="T40" s="119" t="s">
        <v>271</v>
      </c>
      <c r="U40" s="163">
        <v>0.33</v>
      </c>
      <c r="V40" s="122">
        <f>U40+S40</f>
        <v>1.0090000000000001</v>
      </c>
      <c r="W40" s="245">
        <v>1.1000000000000001</v>
      </c>
    </row>
    <row r="41" spans="2:23" x14ac:dyDescent="0.25">
      <c r="B41"/>
      <c r="C41" s="168"/>
      <c r="D41" s="172"/>
      <c r="E41" s="189"/>
      <c r="F41" s="290"/>
      <c r="G41" s="92"/>
      <c r="H41" s="291"/>
      <c r="I41" s="73"/>
      <c r="J41" s="94"/>
      <c r="K41" s="73"/>
      <c r="L41" s="92"/>
      <c r="M41" s="87"/>
      <c r="N41" s="87"/>
      <c r="U41" s="123"/>
    </row>
    <row r="43" spans="2:23" x14ac:dyDescent="0.25">
      <c r="L43" s="190"/>
      <c r="Q43" s="124" t="s">
        <v>272</v>
      </c>
      <c r="R43" s="124" t="s">
        <v>273</v>
      </c>
      <c r="S43" s="124" t="s">
        <v>274</v>
      </c>
      <c r="T43" s="124" t="s">
        <v>275</v>
      </c>
      <c r="U43" s="124" t="s">
        <v>276</v>
      </c>
      <c r="V43" s="124" t="s">
        <v>277</v>
      </c>
      <c r="W43" s="174" t="s">
        <v>278</v>
      </c>
    </row>
    <row r="44" spans="2:23" x14ac:dyDescent="0.25">
      <c r="L44" s="190"/>
      <c r="Q44" s="126">
        <v>30000</v>
      </c>
      <c r="R44" s="127">
        <f>D51</f>
        <v>10000</v>
      </c>
      <c r="S44" s="128">
        <v>1</v>
      </c>
      <c r="T44" s="128">
        <v>0</v>
      </c>
      <c r="U44" s="165">
        <f>R44*S44</f>
        <v>10000</v>
      </c>
      <c r="V44" s="129">
        <f>R44*T44</f>
        <v>0</v>
      </c>
      <c r="W44" s="175">
        <f>Q44-U44</f>
        <v>20000</v>
      </c>
    </row>
    <row r="50" spans="1:10" x14ac:dyDescent="0.25">
      <c r="B50" s="181"/>
      <c r="C50" s="100" t="s">
        <v>233</v>
      </c>
      <c r="D50" s="100" t="s">
        <v>279</v>
      </c>
      <c r="E50" s="80"/>
      <c r="F50" s="80"/>
      <c r="G50" s="100" t="s">
        <v>280</v>
      </c>
      <c r="H50" s="100" t="s">
        <v>233</v>
      </c>
      <c r="I50" s="100" t="s">
        <v>281</v>
      </c>
      <c r="J50" s="100" t="s">
        <v>282</v>
      </c>
    </row>
    <row r="51" spans="1:10" x14ac:dyDescent="0.25">
      <c r="B51" s="844" t="s">
        <v>283</v>
      </c>
      <c r="C51" s="133">
        <f>10/$K$1</f>
        <v>10.526315789473685</v>
      </c>
      <c r="D51" s="134">
        <f>$C$1*10</f>
        <v>10000</v>
      </c>
      <c r="E51" s="135"/>
      <c r="F51" s="80"/>
      <c r="G51" s="132" t="s">
        <v>283</v>
      </c>
      <c r="H51" s="182">
        <f>I51/$D$5</f>
        <v>10</v>
      </c>
      <c r="I51" s="133">
        <f>J51/$R$1</f>
        <v>33898.305084745763</v>
      </c>
      <c r="J51" s="133">
        <f>$W$44</f>
        <v>20000</v>
      </c>
    </row>
    <row r="52" spans="1:10" x14ac:dyDescent="0.25">
      <c r="B52" s="846" t="s">
        <v>262</v>
      </c>
      <c r="C52" s="156">
        <f>$I$1</f>
        <v>5.3737894736842113</v>
      </c>
      <c r="D52" s="157">
        <f>$E$1</f>
        <v>5105.1000000000004</v>
      </c>
      <c r="E52" s="80"/>
      <c r="F52" s="80"/>
      <c r="G52" s="103" t="s">
        <v>262</v>
      </c>
      <c r="H52" s="145">
        <f>I52/$D$5</f>
        <v>5.2520650000000009</v>
      </c>
      <c r="I52" s="129">
        <f>J52/$R$1</f>
        <v>17803.610169491527</v>
      </c>
      <c r="J52" s="136">
        <f>$S$32</f>
        <v>10504.130000000001</v>
      </c>
    </row>
    <row r="53" spans="1:10" x14ac:dyDescent="0.25">
      <c r="B53" s="846" t="s">
        <v>284</v>
      </c>
      <c r="C53" s="158">
        <f>MIN(C52, C51)</f>
        <v>5.3737894736842113</v>
      </c>
      <c r="D53" s="157">
        <f>(C53*$K$1)*$C$1</f>
        <v>5105.1000000000004</v>
      </c>
      <c r="E53" s="80"/>
      <c r="F53" s="80"/>
      <c r="G53" s="103" t="s">
        <v>284</v>
      </c>
      <c r="H53" s="139">
        <f>MIN(H52,H51)</f>
        <v>5.2520650000000009</v>
      </c>
      <c r="I53" s="129">
        <f>J53/$R$1</f>
        <v>17803.610169491527</v>
      </c>
      <c r="J53" s="129">
        <f>MIN(J52,J51)</f>
        <v>10504.130000000001</v>
      </c>
    </row>
    <row r="54" spans="1:10" x14ac:dyDescent="0.25">
      <c r="B54" s="846" t="s">
        <v>285</v>
      </c>
      <c r="C54" s="158">
        <f>MIN(MAX(C52-C53,0),C51)</f>
        <v>0</v>
      </c>
      <c r="D54" s="157">
        <f>(C54*$K$1)*$C$1</f>
        <v>0</v>
      </c>
      <c r="E54" s="80"/>
      <c r="F54" s="80"/>
      <c r="G54" s="103" t="s">
        <v>285</v>
      </c>
      <c r="H54" s="139">
        <f>MIN(MAX(H52-H53),H51)</f>
        <v>0</v>
      </c>
      <c r="I54" s="129">
        <f>J54/$R$1</f>
        <v>0</v>
      </c>
      <c r="J54" s="129">
        <f>MIN(MAX(J52-J53),J51)</f>
        <v>0</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62" spans="1:10" x14ac:dyDescent="0.25">
      <c r="A62" s="867"/>
      <c r="B62" s="1871" t="str">
        <f>"دجاج سيراتشا 1 / " &amp; COUNTIF($C$53:$C$55, "&gt;0")</f>
        <v>دجاج سيراتشا 1 / 1</v>
      </c>
      <c r="C62" s="1880"/>
      <c r="D62" s="1880"/>
      <c r="E62" s="1880"/>
      <c r="F62" s="1880"/>
      <c r="G62" s="1880"/>
      <c r="H62" s="1880"/>
    </row>
    <row r="63" spans="1:10" x14ac:dyDescent="0.25">
      <c r="A63" s="867"/>
      <c r="B63" s="1872" t="str">
        <f>"Sriracha Chicken 1 / " &amp; COUNTIF($C$53:$C$55, "&gt;0")</f>
        <v>Sriracha Chicken 1 / 1</v>
      </c>
      <c r="C63" s="1883"/>
      <c r="D63" s="1883"/>
      <c r="E63" s="1883"/>
      <c r="F63" s="1883"/>
      <c r="G63" s="1883"/>
      <c r="H63" s="1883"/>
    </row>
    <row r="64" spans="1:10" ht="38.25" x14ac:dyDescent="0.2">
      <c r="A64" s="1350" t="s">
        <v>864</v>
      </c>
      <c r="B64" s="1104" t="s">
        <v>241</v>
      </c>
      <c r="C64" s="934" t="s">
        <v>242</v>
      </c>
      <c r="D64" s="1104" t="s">
        <v>231</v>
      </c>
      <c r="E64" s="936" t="s">
        <v>234</v>
      </c>
      <c r="F64" s="936" t="s">
        <v>243</v>
      </c>
      <c r="G64" s="1104" t="s">
        <v>244</v>
      </c>
      <c r="H64" s="936" t="s">
        <v>245</v>
      </c>
    </row>
    <row r="65" spans="1:8" x14ac:dyDescent="0.2">
      <c r="A65" s="876" t="s">
        <v>873</v>
      </c>
      <c r="B65" s="938" t="str">
        <f t="shared" ref="B65:D75" si="14">B5</f>
        <v>Chicken - دجاج</v>
      </c>
      <c r="C65" s="938" t="str">
        <f t="shared" si="14"/>
        <v>gm</v>
      </c>
      <c r="D65" s="1127">
        <f t="shared" si="14"/>
        <v>3389.8305084745762</v>
      </c>
      <c r="E65" s="1687">
        <f>H53</f>
        <v>5.2520650000000009</v>
      </c>
      <c r="F65" s="1616">
        <f t="shared" ref="F65:F77" si="15">F5</f>
        <v>1</v>
      </c>
      <c r="G65" s="941">
        <f t="shared" ref="G65:G75" si="16">D65*E65</f>
        <v>17803.610169491527</v>
      </c>
      <c r="H65" s="1617">
        <f t="shared" ref="H65:H75" si="17">G65*F65</f>
        <v>17803.610169491527</v>
      </c>
    </row>
    <row r="66" spans="1:8" x14ac:dyDescent="0.25">
      <c r="B66" s="938" t="str">
        <f t="shared" si="14"/>
        <v>Tomato Ketchup - كاتشب طماطم</v>
      </c>
      <c r="C66" s="938" t="str">
        <f t="shared" si="14"/>
        <v>ml</v>
      </c>
      <c r="D66" s="938">
        <f t="shared" si="14"/>
        <v>500</v>
      </c>
      <c r="E66" s="1687">
        <f>$C$53</f>
        <v>5.3737894736842113</v>
      </c>
      <c r="F66" s="1616">
        <f t="shared" si="15"/>
        <v>1</v>
      </c>
      <c r="G66" s="941">
        <f t="shared" si="16"/>
        <v>2686.8947368421059</v>
      </c>
      <c r="H66" s="1617">
        <f t="shared" si="17"/>
        <v>2686.8947368421059</v>
      </c>
    </row>
    <row r="67" spans="1:8" x14ac:dyDescent="0.25">
      <c r="B67" s="938" t="str">
        <f t="shared" si="14"/>
        <v>Sriracha Sauce - صوص سريراتشا</v>
      </c>
      <c r="C67" s="938" t="str">
        <f t="shared" si="14"/>
        <v>ml</v>
      </c>
      <c r="D67" s="938">
        <f t="shared" si="14"/>
        <v>40</v>
      </c>
      <c r="E67" s="1687">
        <f t="shared" ref="E67:E77" si="18">$C$53</f>
        <v>5.3737894736842113</v>
      </c>
      <c r="F67" s="1616">
        <f t="shared" si="15"/>
        <v>0.75</v>
      </c>
      <c r="G67" s="941">
        <f t="shared" si="16"/>
        <v>214.95157894736846</v>
      </c>
      <c r="H67" s="1617">
        <f t="shared" si="17"/>
        <v>161.21368421052634</v>
      </c>
    </row>
    <row r="68" spans="1:8" x14ac:dyDescent="0.25">
      <c r="B68" s="938" t="str">
        <f t="shared" si="14"/>
        <v>Light Soy Sauce - صويا صوص خفيف</v>
      </c>
      <c r="C68" s="938" t="str">
        <f t="shared" si="14"/>
        <v>ml</v>
      </c>
      <c r="D68" s="938">
        <f t="shared" si="14"/>
        <v>60</v>
      </c>
      <c r="E68" s="1687">
        <f t="shared" si="18"/>
        <v>5.3737894736842113</v>
      </c>
      <c r="F68" s="1616">
        <f t="shared" si="15"/>
        <v>0.9</v>
      </c>
      <c r="G68" s="941">
        <f t="shared" si="16"/>
        <v>322.42736842105268</v>
      </c>
      <c r="H68" s="1617">
        <f t="shared" si="17"/>
        <v>290.1846315789474</v>
      </c>
    </row>
    <row r="69" spans="1:8" x14ac:dyDescent="0.25">
      <c r="B69" s="938" t="str">
        <f t="shared" si="14"/>
        <v>Sweet Soy Sauce - صويا صوص حلو</v>
      </c>
      <c r="C69" s="938" t="str">
        <f t="shared" si="14"/>
        <v>ml</v>
      </c>
      <c r="D69" s="938">
        <f t="shared" si="14"/>
        <v>40</v>
      </c>
      <c r="E69" s="1687">
        <f t="shared" si="18"/>
        <v>5.3737894736842113</v>
      </c>
      <c r="F69" s="1616">
        <f t="shared" si="15"/>
        <v>1</v>
      </c>
      <c r="G69" s="941">
        <f t="shared" si="16"/>
        <v>214.95157894736846</v>
      </c>
      <c r="H69" s="1617">
        <f t="shared" si="17"/>
        <v>214.95157894736846</v>
      </c>
    </row>
    <row r="70" spans="1:8" x14ac:dyDescent="0.25">
      <c r="A70" s="61" t="s">
        <v>868</v>
      </c>
      <c r="B70" s="938" t="str">
        <f t="shared" si="14"/>
        <v>Garlic - ثوم مقشر</v>
      </c>
      <c r="C70" s="938" t="str">
        <f t="shared" si="14"/>
        <v>gm</v>
      </c>
      <c r="D70" s="938">
        <f t="shared" si="14"/>
        <v>40</v>
      </c>
      <c r="E70" s="1687">
        <f t="shared" si="18"/>
        <v>5.3737894736842113</v>
      </c>
      <c r="F70" s="1616">
        <f t="shared" si="15"/>
        <v>1</v>
      </c>
      <c r="G70" s="941">
        <f t="shared" si="16"/>
        <v>214.95157894736846</v>
      </c>
      <c r="H70" s="1617">
        <f t="shared" si="17"/>
        <v>214.95157894736846</v>
      </c>
    </row>
    <row r="71" spans="1:8" x14ac:dyDescent="0.25">
      <c r="B71" s="938" t="str">
        <f t="shared" si="14"/>
        <v>Corn Starch - نشا ذرة</v>
      </c>
      <c r="C71" s="938" t="str">
        <f t="shared" si="14"/>
        <v>gm</v>
      </c>
      <c r="D71" s="938">
        <f t="shared" si="14"/>
        <v>40</v>
      </c>
      <c r="E71" s="1687">
        <f t="shared" si="18"/>
        <v>5.3737894736842113</v>
      </c>
      <c r="F71" s="1616">
        <f t="shared" si="15"/>
        <v>0.95</v>
      </c>
      <c r="G71" s="941">
        <f t="shared" si="16"/>
        <v>214.95157894736846</v>
      </c>
      <c r="H71" s="1617">
        <f t="shared" si="17"/>
        <v>204.20400000000004</v>
      </c>
    </row>
    <row r="72" spans="1:8" x14ac:dyDescent="0.25">
      <c r="B72" s="938" t="str">
        <f t="shared" si="14"/>
        <v>Salt - ملح</v>
      </c>
      <c r="C72" s="938" t="str">
        <f t="shared" si="14"/>
        <v>gm</v>
      </c>
      <c r="D72" s="938">
        <f t="shared" si="14"/>
        <v>11</v>
      </c>
      <c r="E72" s="1687">
        <f t="shared" si="18"/>
        <v>5.3737894736842113</v>
      </c>
      <c r="F72" s="1616">
        <f t="shared" si="15"/>
        <v>0.75</v>
      </c>
      <c r="G72" s="941">
        <f t="shared" si="16"/>
        <v>59.111684210526327</v>
      </c>
      <c r="H72" s="1617">
        <f t="shared" si="17"/>
        <v>44.333763157894744</v>
      </c>
    </row>
    <row r="73" spans="1:8" x14ac:dyDescent="0.25">
      <c r="A73" s="61" t="s">
        <v>867</v>
      </c>
      <c r="B73" s="938" t="str">
        <f t="shared" si="14"/>
        <v>Ginger - زنجبيل</v>
      </c>
      <c r="C73" s="938" t="str">
        <f t="shared" si="14"/>
        <v>gm</v>
      </c>
      <c r="D73" s="938">
        <f t="shared" si="14"/>
        <v>40</v>
      </c>
      <c r="E73" s="1687">
        <f t="shared" si="18"/>
        <v>5.3737894736842113</v>
      </c>
      <c r="F73" s="1616">
        <f t="shared" si="15"/>
        <v>1</v>
      </c>
      <c r="G73" s="941">
        <f t="shared" si="16"/>
        <v>214.95157894736846</v>
      </c>
      <c r="H73" s="1617">
        <f t="shared" si="17"/>
        <v>214.95157894736846</v>
      </c>
    </row>
    <row r="74" spans="1:8" x14ac:dyDescent="0.25">
      <c r="B74" s="938" t="str">
        <f t="shared" si="14"/>
        <v>Honey - عسل</v>
      </c>
      <c r="C74" s="938" t="str">
        <f t="shared" si="14"/>
        <v>gm</v>
      </c>
      <c r="D74" s="938">
        <f t="shared" si="14"/>
        <v>40</v>
      </c>
      <c r="E74" s="1687">
        <f t="shared" si="18"/>
        <v>5.3737894736842113</v>
      </c>
      <c r="F74" s="1616">
        <f t="shared" si="15"/>
        <v>1</v>
      </c>
      <c r="G74" s="941">
        <f t="shared" si="16"/>
        <v>214.95157894736846</v>
      </c>
      <c r="H74" s="1617">
        <f t="shared" si="17"/>
        <v>214.95157894736846</v>
      </c>
    </row>
    <row r="75" spans="1:8" x14ac:dyDescent="0.25">
      <c r="B75" s="938" t="str">
        <f t="shared" si="14"/>
        <v>Tomato Paste - صلصة طماطم</v>
      </c>
      <c r="C75" s="938" t="str">
        <f t="shared" si="14"/>
        <v>gm</v>
      </c>
      <c r="D75" s="938">
        <f t="shared" si="14"/>
        <v>45</v>
      </c>
      <c r="E75" s="1687">
        <f t="shared" si="18"/>
        <v>5.3737894736842113</v>
      </c>
      <c r="F75" s="1616">
        <f t="shared" si="15"/>
        <v>1</v>
      </c>
      <c r="G75" s="941">
        <f t="shared" si="16"/>
        <v>241.82052631578952</v>
      </c>
      <c r="H75" s="1617">
        <f t="shared" si="17"/>
        <v>241.82052631578952</v>
      </c>
    </row>
    <row r="76" spans="1:8" x14ac:dyDescent="0.25">
      <c r="B76" s="938" t="str">
        <f t="shared" ref="B76:D77" si="19">B16</f>
        <v>Butter - زبدة</v>
      </c>
      <c r="C76" s="938" t="str">
        <f t="shared" si="19"/>
        <v>gm</v>
      </c>
      <c r="D76" s="938">
        <f t="shared" si="19"/>
        <v>30</v>
      </c>
      <c r="E76" s="1687">
        <f t="shared" si="18"/>
        <v>5.3737894736842113</v>
      </c>
      <c r="F76" s="1616">
        <f t="shared" si="15"/>
        <v>1</v>
      </c>
      <c r="G76" s="941">
        <f>D76*E76</f>
        <v>161.21368421052634</v>
      </c>
      <c r="H76" s="1617">
        <f>G76*F76</f>
        <v>161.21368421052634</v>
      </c>
    </row>
    <row r="77" spans="1:8" x14ac:dyDescent="0.25">
      <c r="B77" s="938" t="str">
        <f t="shared" si="19"/>
        <v>Orange Color - لون برتقالي</v>
      </c>
      <c r="C77" s="938" t="str">
        <f t="shared" si="19"/>
        <v>gm</v>
      </c>
      <c r="D77" s="938">
        <f t="shared" si="19"/>
        <v>2</v>
      </c>
      <c r="E77" s="1687">
        <f t="shared" si="18"/>
        <v>5.3737894736842113</v>
      </c>
      <c r="F77" s="1616">
        <f t="shared" si="15"/>
        <v>1</v>
      </c>
      <c r="G77" s="941">
        <f>D77*E77</f>
        <v>10.747578947368423</v>
      </c>
      <c r="H77" s="1617">
        <f>G77*F77</f>
        <v>10.747578947368423</v>
      </c>
    </row>
    <row r="78" spans="1:8" ht="18" x14ac:dyDescent="0.25">
      <c r="A78" s="861"/>
      <c r="B78" s="1622" t="s">
        <v>287</v>
      </c>
      <c r="C78" s="1042" t="s">
        <v>273</v>
      </c>
      <c r="D78" s="952"/>
      <c r="E78" s="1042" t="s">
        <v>288</v>
      </c>
      <c r="F78" s="952"/>
      <c r="G78" s="1045" t="s">
        <v>264</v>
      </c>
      <c r="H78" s="1045" t="s">
        <v>661</v>
      </c>
    </row>
    <row r="79" spans="1:8" ht="20.25" x14ac:dyDescent="0.3">
      <c r="A79" s="861"/>
      <c r="B79" s="1048">
        <f>$J$53</f>
        <v>10504.130000000001</v>
      </c>
      <c r="C79" s="1048">
        <f>E79+G79</f>
        <v>5105.1000000000004</v>
      </c>
      <c r="D79" s="1629"/>
      <c r="E79" s="1048">
        <f>$D$53*$S$44</f>
        <v>5105.1000000000004</v>
      </c>
      <c r="F79" s="1050"/>
      <c r="G79" s="1048">
        <f>$D$53*$T$44</f>
        <v>0</v>
      </c>
      <c r="H79" s="1048">
        <f>B79+E79</f>
        <v>15609.230000000001</v>
      </c>
    </row>
    <row r="80" spans="1:8" x14ac:dyDescent="0.25">
      <c r="B80" s="80"/>
      <c r="E80" s="80"/>
      <c r="F80" s="80"/>
    </row>
    <row r="81" spans="1:8" x14ac:dyDescent="0.25">
      <c r="B81" s="80"/>
      <c r="E81" s="80"/>
      <c r="F81" s="80"/>
    </row>
    <row r="82" spans="1:8" x14ac:dyDescent="0.25">
      <c r="A82" s="863"/>
      <c r="B82" s="1871" t="str">
        <f>"دجاج سيراتشا 2 / " &amp; COUNTIF($C$53:$C$55, "&gt;0")</f>
        <v>دجاج سيراتشا 2 / 1</v>
      </c>
      <c r="C82" s="1850"/>
      <c r="D82" s="1850"/>
      <c r="E82" s="1850"/>
      <c r="F82" s="1850"/>
      <c r="G82" s="1850"/>
      <c r="H82" s="1850"/>
    </row>
    <row r="83" spans="1:8" x14ac:dyDescent="0.25">
      <c r="A83" s="863"/>
      <c r="B83" s="1872" t="str">
        <f>"Sriracha Chicken 2 / " &amp; COUNTIF($C$53:$C$55, "&gt;0")</f>
        <v>Sriracha Chicken 2 / 1</v>
      </c>
      <c r="C83" s="1865"/>
      <c r="D83" s="1865"/>
      <c r="E83" s="1865"/>
      <c r="F83" s="1865"/>
      <c r="G83" s="1865"/>
      <c r="H83" s="1865"/>
    </row>
    <row r="84" spans="1:8" ht="38.25" x14ac:dyDescent="0.2">
      <c r="A84" s="1350" t="s">
        <v>864</v>
      </c>
      <c r="B84" s="1104" t="s">
        <v>241</v>
      </c>
      <c r="C84" s="934" t="s">
        <v>242</v>
      </c>
      <c r="D84" s="1104" t="s">
        <v>231</v>
      </c>
      <c r="E84" s="936" t="s">
        <v>234</v>
      </c>
      <c r="F84" s="936" t="s">
        <v>243</v>
      </c>
      <c r="G84" s="1104" t="s">
        <v>244</v>
      </c>
      <c r="H84" s="936" t="s">
        <v>245</v>
      </c>
    </row>
    <row r="85" spans="1:8" x14ac:dyDescent="0.2">
      <c r="A85" s="876" t="s">
        <v>873</v>
      </c>
      <c r="B85" s="938" t="str">
        <f t="shared" ref="B85:D97" si="20">B5</f>
        <v>Chicken - دجاج</v>
      </c>
      <c r="C85" s="938" t="str">
        <f t="shared" si="20"/>
        <v>gm</v>
      </c>
      <c r="D85" s="1125">
        <f t="shared" si="20"/>
        <v>3389.8305084745762</v>
      </c>
      <c r="E85" s="1646">
        <f>H54</f>
        <v>0</v>
      </c>
      <c r="F85" s="1616">
        <f t="shared" ref="F85:F97" si="21">F5</f>
        <v>1</v>
      </c>
      <c r="G85" s="941">
        <f t="shared" ref="G85:G95" si="22">D85*E85</f>
        <v>0</v>
      </c>
      <c r="H85" s="1617">
        <f t="shared" ref="H85:H95" si="23">G85*F85</f>
        <v>0</v>
      </c>
    </row>
    <row r="86" spans="1:8" x14ac:dyDescent="0.25">
      <c r="B86" s="938" t="str">
        <f t="shared" si="20"/>
        <v>Tomato Ketchup - كاتشب طماطم</v>
      </c>
      <c r="C86" s="938" t="str">
        <f t="shared" si="20"/>
        <v>ml</v>
      </c>
      <c r="D86" s="938">
        <f t="shared" si="20"/>
        <v>500</v>
      </c>
      <c r="E86" s="1646">
        <f t="shared" ref="E86:E97" si="24">$C$54</f>
        <v>0</v>
      </c>
      <c r="F86" s="1616">
        <f t="shared" si="21"/>
        <v>1</v>
      </c>
      <c r="G86" s="941">
        <f t="shared" si="22"/>
        <v>0</v>
      </c>
      <c r="H86" s="1617">
        <f t="shared" si="23"/>
        <v>0</v>
      </c>
    </row>
    <row r="87" spans="1:8" x14ac:dyDescent="0.25">
      <c r="B87" s="938" t="str">
        <f t="shared" si="20"/>
        <v>Sriracha Sauce - صوص سريراتشا</v>
      </c>
      <c r="C87" s="938" t="str">
        <f t="shared" si="20"/>
        <v>ml</v>
      </c>
      <c r="D87" s="938">
        <f t="shared" si="20"/>
        <v>40</v>
      </c>
      <c r="E87" s="1646">
        <f t="shared" si="24"/>
        <v>0</v>
      </c>
      <c r="F87" s="1616">
        <f t="shared" si="21"/>
        <v>0.75</v>
      </c>
      <c r="G87" s="941">
        <f t="shared" si="22"/>
        <v>0</v>
      </c>
      <c r="H87" s="1617">
        <f t="shared" si="23"/>
        <v>0</v>
      </c>
    </row>
    <row r="88" spans="1:8" x14ac:dyDescent="0.25">
      <c r="B88" s="938" t="str">
        <f t="shared" si="20"/>
        <v>Light Soy Sauce - صويا صوص خفيف</v>
      </c>
      <c r="C88" s="938" t="str">
        <f t="shared" si="20"/>
        <v>ml</v>
      </c>
      <c r="D88" s="938">
        <f t="shared" si="20"/>
        <v>60</v>
      </c>
      <c r="E88" s="1646">
        <f t="shared" si="24"/>
        <v>0</v>
      </c>
      <c r="F88" s="1616">
        <f t="shared" si="21"/>
        <v>0.9</v>
      </c>
      <c r="G88" s="941">
        <f t="shared" si="22"/>
        <v>0</v>
      </c>
      <c r="H88" s="1617">
        <f t="shared" si="23"/>
        <v>0</v>
      </c>
    </row>
    <row r="89" spans="1:8" x14ac:dyDescent="0.25">
      <c r="B89" s="938" t="str">
        <f t="shared" si="20"/>
        <v>Sweet Soy Sauce - صويا صوص حلو</v>
      </c>
      <c r="C89" s="938" t="str">
        <f t="shared" si="20"/>
        <v>ml</v>
      </c>
      <c r="D89" s="938">
        <f t="shared" si="20"/>
        <v>40</v>
      </c>
      <c r="E89" s="1646">
        <f t="shared" si="24"/>
        <v>0</v>
      </c>
      <c r="F89" s="1616">
        <f t="shared" si="21"/>
        <v>1</v>
      </c>
      <c r="G89" s="941">
        <f t="shared" si="22"/>
        <v>0</v>
      </c>
      <c r="H89" s="1617">
        <f t="shared" si="23"/>
        <v>0</v>
      </c>
    </row>
    <row r="90" spans="1:8" x14ac:dyDescent="0.25">
      <c r="A90" s="61" t="s">
        <v>868</v>
      </c>
      <c r="B90" s="938" t="str">
        <f t="shared" si="20"/>
        <v>Garlic - ثوم مقشر</v>
      </c>
      <c r="C90" s="938" t="str">
        <f t="shared" si="20"/>
        <v>gm</v>
      </c>
      <c r="D90" s="938">
        <f t="shared" si="20"/>
        <v>40</v>
      </c>
      <c r="E90" s="1646">
        <f t="shared" si="24"/>
        <v>0</v>
      </c>
      <c r="F90" s="1616">
        <f t="shared" si="21"/>
        <v>1</v>
      </c>
      <c r="G90" s="941">
        <f t="shared" si="22"/>
        <v>0</v>
      </c>
      <c r="H90" s="1617">
        <f t="shared" si="23"/>
        <v>0</v>
      </c>
    </row>
    <row r="91" spans="1:8" x14ac:dyDescent="0.25">
      <c r="B91" s="938" t="str">
        <f t="shared" si="20"/>
        <v>Corn Starch - نشا ذرة</v>
      </c>
      <c r="C91" s="938" t="str">
        <f t="shared" si="20"/>
        <v>gm</v>
      </c>
      <c r="D91" s="938">
        <f t="shared" si="20"/>
        <v>40</v>
      </c>
      <c r="E91" s="1646">
        <f t="shared" si="24"/>
        <v>0</v>
      </c>
      <c r="F91" s="1616">
        <f t="shared" si="21"/>
        <v>0.95</v>
      </c>
      <c r="G91" s="941">
        <f t="shared" si="22"/>
        <v>0</v>
      </c>
      <c r="H91" s="1617">
        <f t="shared" si="23"/>
        <v>0</v>
      </c>
    </row>
    <row r="92" spans="1:8" x14ac:dyDescent="0.25">
      <c r="B92" s="938" t="str">
        <f t="shared" si="20"/>
        <v>Salt - ملح</v>
      </c>
      <c r="C92" s="938" t="str">
        <f t="shared" si="20"/>
        <v>gm</v>
      </c>
      <c r="D92" s="938">
        <f t="shared" si="20"/>
        <v>11</v>
      </c>
      <c r="E92" s="1646">
        <f t="shared" si="24"/>
        <v>0</v>
      </c>
      <c r="F92" s="1616">
        <f t="shared" si="21"/>
        <v>0.75</v>
      </c>
      <c r="G92" s="941">
        <f t="shared" si="22"/>
        <v>0</v>
      </c>
      <c r="H92" s="1617">
        <f t="shared" si="23"/>
        <v>0</v>
      </c>
    </row>
    <row r="93" spans="1:8" x14ac:dyDescent="0.25">
      <c r="A93" s="61" t="s">
        <v>867</v>
      </c>
      <c r="B93" s="938" t="str">
        <f t="shared" si="20"/>
        <v>Ginger - زنجبيل</v>
      </c>
      <c r="C93" s="938" t="str">
        <f t="shared" si="20"/>
        <v>gm</v>
      </c>
      <c r="D93" s="938">
        <f t="shared" si="20"/>
        <v>40</v>
      </c>
      <c r="E93" s="1646">
        <f t="shared" si="24"/>
        <v>0</v>
      </c>
      <c r="F93" s="1616">
        <f t="shared" si="21"/>
        <v>1</v>
      </c>
      <c r="G93" s="941">
        <f t="shared" si="22"/>
        <v>0</v>
      </c>
      <c r="H93" s="1617">
        <f t="shared" si="23"/>
        <v>0</v>
      </c>
    </row>
    <row r="94" spans="1:8" x14ac:dyDescent="0.25">
      <c r="B94" s="938" t="str">
        <f t="shared" si="20"/>
        <v>Honey - عسل</v>
      </c>
      <c r="C94" s="938" t="str">
        <f t="shared" si="20"/>
        <v>gm</v>
      </c>
      <c r="D94" s="938">
        <f t="shared" si="20"/>
        <v>40</v>
      </c>
      <c r="E94" s="1646">
        <f t="shared" si="24"/>
        <v>0</v>
      </c>
      <c r="F94" s="1616">
        <f t="shared" si="21"/>
        <v>1</v>
      </c>
      <c r="G94" s="941">
        <f t="shared" si="22"/>
        <v>0</v>
      </c>
      <c r="H94" s="1617">
        <f t="shared" si="23"/>
        <v>0</v>
      </c>
    </row>
    <row r="95" spans="1:8" x14ac:dyDescent="0.25">
      <c r="B95" s="938" t="str">
        <f t="shared" si="20"/>
        <v>Tomato Paste - صلصة طماطم</v>
      </c>
      <c r="C95" s="938" t="str">
        <f t="shared" si="20"/>
        <v>gm</v>
      </c>
      <c r="D95" s="938">
        <f t="shared" si="20"/>
        <v>45</v>
      </c>
      <c r="E95" s="1646">
        <f t="shared" si="24"/>
        <v>0</v>
      </c>
      <c r="F95" s="1616">
        <f t="shared" si="21"/>
        <v>1</v>
      </c>
      <c r="G95" s="941">
        <f t="shared" si="22"/>
        <v>0</v>
      </c>
      <c r="H95" s="1617">
        <f t="shared" si="23"/>
        <v>0</v>
      </c>
    </row>
    <row r="96" spans="1:8" x14ac:dyDescent="0.25">
      <c r="B96" s="938" t="str">
        <f t="shared" si="20"/>
        <v>Butter - زبدة</v>
      </c>
      <c r="C96" s="938" t="str">
        <f t="shared" si="20"/>
        <v>gm</v>
      </c>
      <c r="D96" s="938">
        <f t="shared" si="20"/>
        <v>30</v>
      </c>
      <c r="E96" s="1646">
        <f t="shared" si="24"/>
        <v>0</v>
      </c>
      <c r="F96" s="1616">
        <f t="shared" si="21"/>
        <v>1</v>
      </c>
      <c r="G96" s="941">
        <f>D96*E96</f>
        <v>0</v>
      </c>
      <c r="H96" s="1617">
        <f>G96*F96</f>
        <v>0</v>
      </c>
    </row>
    <row r="97" spans="1:8" x14ac:dyDescent="0.25">
      <c r="B97" s="938" t="str">
        <f t="shared" si="20"/>
        <v>Orange Color - لون برتقالي</v>
      </c>
      <c r="C97" s="938" t="str">
        <f t="shared" si="20"/>
        <v>gm</v>
      </c>
      <c r="D97" s="938">
        <f t="shared" si="20"/>
        <v>2</v>
      </c>
      <c r="E97" s="1646">
        <f t="shared" si="24"/>
        <v>0</v>
      </c>
      <c r="F97" s="1616">
        <f t="shared" si="21"/>
        <v>1</v>
      </c>
      <c r="G97" s="941">
        <f>D97*E97</f>
        <v>0</v>
      </c>
      <c r="H97" s="1617">
        <f>G97*F97</f>
        <v>0</v>
      </c>
    </row>
    <row r="98" spans="1:8" ht="18" x14ac:dyDescent="0.25">
      <c r="A98" s="861"/>
      <c r="B98" s="1622" t="s">
        <v>287</v>
      </c>
      <c r="C98" s="1042" t="s">
        <v>273</v>
      </c>
      <c r="D98" s="952"/>
      <c r="E98" s="1042" t="s">
        <v>288</v>
      </c>
      <c r="F98" s="952"/>
      <c r="G98" s="1045" t="s">
        <v>264</v>
      </c>
      <c r="H98" s="1045" t="s">
        <v>661</v>
      </c>
    </row>
    <row r="99" spans="1:8" ht="20.25" x14ac:dyDescent="0.3">
      <c r="A99" s="861"/>
      <c r="B99" s="1048">
        <f>$J$54</f>
        <v>0</v>
      </c>
      <c r="C99" s="1048">
        <f>E99+G99</f>
        <v>0</v>
      </c>
      <c r="D99" s="1629"/>
      <c r="E99" s="1048">
        <f>$D$54*$S$44</f>
        <v>0</v>
      </c>
      <c r="F99" s="1050"/>
      <c r="G99" s="1048">
        <f>$D$54*$T$44</f>
        <v>0</v>
      </c>
      <c r="H99" s="1048">
        <f>B99+E99</f>
        <v>0</v>
      </c>
    </row>
  </sheetData>
  <mergeCells count="11">
    <mergeCell ref="AE2:AG3"/>
    <mergeCell ref="B83:H83"/>
    <mergeCell ref="R26:U26"/>
    <mergeCell ref="AN2:AN3"/>
    <mergeCell ref="B62:H62"/>
    <mergeCell ref="R25:U25"/>
    <mergeCell ref="F2:F3"/>
    <mergeCell ref="B82:H82"/>
    <mergeCell ref="B63:H63"/>
    <mergeCell ref="AK2:AM2"/>
    <mergeCell ref="B35:F35"/>
  </mergeCells>
  <printOptions horizontalCentered="1"/>
  <pageMargins left="0.4" right="0.4" top="1" bottom="0.5" header="0.3" footer="0.511811023622047"/>
  <pageSetup paperSize="9" scale="69" orientation="landscape" r:id="rId1"/>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C55A11"/>
    <pageSetUpPr fitToPage="1"/>
  </sheetPr>
  <dimension ref="A1:AT169"/>
  <sheetViews>
    <sheetView topLeftCell="L29" zoomScale="55" zoomScaleNormal="55" workbookViewId="0">
      <selection activeCell="Q44" sqref="Q44"/>
    </sheetView>
  </sheetViews>
  <sheetFormatPr defaultColWidth="12.5" defaultRowHeight="15" x14ac:dyDescent="0.25"/>
  <cols>
    <col min="1" max="1" width="18.5" style="1" bestFit="1" customWidth="1"/>
    <col min="2" max="2" width="34.875" bestFit="1" customWidth="1"/>
    <col min="3" max="3" width="17.375" bestFit="1" customWidth="1"/>
    <col min="4" max="4" width="18.75" bestFit="1" customWidth="1"/>
    <col min="5" max="5" width="19.625" bestFit="1" customWidth="1"/>
    <col min="6" max="6" width="22.625" bestFit="1" customWidth="1"/>
    <col min="7" max="7" width="23.25" bestFit="1" customWidth="1"/>
    <col min="8" max="8" width="40.625" bestFit="1" customWidth="1"/>
    <col min="9" max="9" width="17.375" bestFit="1" customWidth="1"/>
    <col min="10" max="10" width="14.5" bestFit="1" customWidth="1"/>
    <col min="11" max="11" width="14" bestFit="1" customWidth="1"/>
    <col min="12" max="12" width="13.25" bestFit="1" customWidth="1"/>
    <col min="13" max="14" width="5.75" customWidth="1"/>
    <col min="15" max="15" width="17.375" bestFit="1" customWidth="1"/>
    <col min="16" max="16" width="9.625" bestFit="1" customWidth="1"/>
    <col min="17" max="17" width="14.875" bestFit="1" customWidth="1"/>
    <col min="18" max="18" width="41.25" bestFit="1" customWidth="1"/>
    <col min="19" max="19" width="10.625" bestFit="1" customWidth="1"/>
    <col min="20" max="20" width="47" bestFit="1" customWidth="1"/>
    <col min="21" max="21" width="12" bestFit="1" customWidth="1"/>
    <col min="22" max="22" width="12.625" bestFit="1" customWidth="1"/>
    <col min="23" max="23" width="39.625" bestFit="1" customWidth="1"/>
    <col min="25" max="25" width="8.75" bestFit="1" customWidth="1"/>
    <col min="26" max="26" width="12" bestFit="1" customWidth="1"/>
    <col min="27" max="27" width="12.375" bestFit="1" customWidth="1"/>
    <col min="28" max="28" width="14.25" bestFit="1" customWidth="1"/>
    <col min="29" max="29" width="14.625" bestFit="1" customWidth="1"/>
    <col min="30" max="30" width="16" bestFit="1" customWidth="1"/>
    <col min="31" max="31" width="12.125" bestFit="1" customWidth="1"/>
    <col min="32" max="32" width="9.5" bestFit="1" customWidth="1"/>
    <col min="33" max="34" width="5.875" customWidth="1"/>
    <col min="35" max="35" width="10.75" bestFit="1" customWidth="1"/>
    <col min="36" max="36" width="30.625" bestFit="1" customWidth="1"/>
    <col min="37" max="37" width="7.375" bestFit="1" customWidth="1"/>
    <col min="38" max="38" width="16" bestFit="1" customWidth="1"/>
    <col min="39" max="39" width="12.625" bestFit="1" customWidth="1"/>
    <col min="40" max="40" width="12.375" bestFit="1" customWidth="1"/>
    <col min="42" max="42" width="18.125" bestFit="1" customWidth="1"/>
    <col min="43" max="43" width="12" bestFit="1" customWidth="1"/>
    <col min="44" max="44" width="11.625" bestFit="1" customWidth="1"/>
    <col min="45" max="45" width="11.125" bestFit="1" customWidth="1"/>
    <col min="46" max="46" width="6.25" bestFit="1" customWidth="1"/>
  </cols>
  <sheetData>
    <row r="1" spans="1:46" s="89" customFormat="1" ht="25.5" x14ac:dyDescent="0.25">
      <c r="A1" s="177"/>
      <c r="B1" s="843" t="s">
        <v>231</v>
      </c>
      <c r="C1" s="63">
        <v>1000</v>
      </c>
      <c r="D1" s="64" t="s">
        <v>232</v>
      </c>
      <c r="E1" s="65">
        <f>T32</f>
        <v>20852.116666666665</v>
      </c>
      <c r="F1" s="62" t="s">
        <v>233</v>
      </c>
      <c r="G1" s="66">
        <f>E1/C1</f>
        <v>20.852116666666664</v>
      </c>
      <c r="H1" s="62" t="s">
        <v>234</v>
      </c>
      <c r="I1" s="67">
        <f>(G1/K1)</f>
        <v>21.949596491228068</v>
      </c>
      <c r="J1" s="68" t="s">
        <v>235</v>
      </c>
      <c r="K1" s="67">
        <v>0.95</v>
      </c>
      <c r="L1" s="238"/>
      <c r="M1" s="70"/>
      <c r="N1" s="71"/>
      <c r="O1" s="72" t="s">
        <v>236</v>
      </c>
      <c r="P1" s="73" t="s">
        <v>237</v>
      </c>
      <c r="Q1" s="74" t="s">
        <v>238</v>
      </c>
      <c r="R1" s="73">
        <v>0.59</v>
      </c>
      <c r="S1" s="73"/>
      <c r="T1" s="73"/>
      <c r="Y1" s="72" t="s">
        <v>444</v>
      </c>
      <c r="Z1" s="422">
        <v>35950</v>
      </c>
      <c r="AA1" s="72" t="s">
        <v>544</v>
      </c>
      <c r="AB1" s="422">
        <v>1000</v>
      </c>
      <c r="AC1" s="72" t="s">
        <v>537</v>
      </c>
      <c r="AD1" s="422">
        <v>254</v>
      </c>
      <c r="AE1" s="168"/>
      <c r="AF1" s="170"/>
      <c r="AG1" s="73"/>
      <c r="AI1" s="1"/>
      <c r="AJ1" s="75" t="s">
        <v>250</v>
      </c>
      <c r="AK1" s="75">
        <v>10000</v>
      </c>
      <c r="AL1" s="318" t="s">
        <v>474</v>
      </c>
      <c r="AM1" s="319">
        <f>$S$32</f>
        <v>28414.55</v>
      </c>
      <c r="AN1" s="75" t="s">
        <v>239</v>
      </c>
      <c r="AO1" s="212">
        <f>((S32)/$R$1)/$AK$1</f>
        <v>4.8160254237288136</v>
      </c>
      <c r="AP1" s="77"/>
    </row>
    <row r="2" spans="1:46" ht="15.75" x14ac:dyDescent="0.25">
      <c r="A2" s="860"/>
      <c r="B2" s="78"/>
      <c r="C2" s="78"/>
      <c r="D2" s="78"/>
      <c r="E2" s="78"/>
      <c r="F2" s="1828" t="s">
        <v>125</v>
      </c>
      <c r="G2" s="78"/>
      <c r="H2" s="78"/>
      <c r="I2" s="78"/>
      <c r="J2" s="78"/>
      <c r="K2" s="78"/>
      <c r="L2" s="78"/>
      <c r="M2" s="79"/>
      <c r="N2" s="79"/>
      <c r="O2" s="80"/>
      <c r="P2" s="80"/>
      <c r="Q2" s="80"/>
      <c r="R2" s="80"/>
      <c r="S2" s="80"/>
      <c r="T2" s="80"/>
      <c r="U2" s="80"/>
      <c r="AC2" s="79"/>
      <c r="AD2" s="79"/>
      <c r="AE2" s="1795"/>
      <c r="AF2" s="1796"/>
      <c r="AG2" s="1796"/>
      <c r="AI2" s="1"/>
      <c r="AJ2" s="81"/>
      <c r="AK2" s="1873" t="s">
        <v>431</v>
      </c>
      <c r="AL2" s="1873"/>
      <c r="AM2" s="1873"/>
      <c r="AN2" s="1873"/>
      <c r="AO2" s="81"/>
      <c r="AP2" s="81"/>
    </row>
    <row r="3" spans="1:46" ht="15.75" x14ac:dyDescent="0.25">
      <c r="A3" s="860"/>
      <c r="B3" s="78"/>
      <c r="C3" s="78"/>
      <c r="D3" s="78"/>
      <c r="E3" s="78"/>
      <c r="F3" s="1796"/>
      <c r="G3" s="78"/>
      <c r="H3" s="78"/>
      <c r="I3" s="78"/>
      <c r="J3" s="78"/>
      <c r="K3" s="78"/>
      <c r="L3" s="78"/>
      <c r="M3" s="79"/>
      <c r="N3" s="79"/>
      <c r="O3" s="80"/>
      <c r="P3" s="80"/>
      <c r="Q3" s="80"/>
      <c r="R3" s="80"/>
      <c r="S3" s="80"/>
      <c r="T3" s="80"/>
      <c r="U3" s="80"/>
      <c r="AC3" s="79"/>
      <c r="AD3" s="79"/>
      <c r="AE3" s="1796"/>
      <c r="AF3" s="1796"/>
      <c r="AG3" s="1796"/>
      <c r="AI3" s="1"/>
      <c r="AJ3" s="81"/>
      <c r="AK3" s="81"/>
      <c r="AL3" s="81"/>
      <c r="AM3" s="81"/>
      <c r="AN3" s="1796"/>
      <c r="AO3" s="81"/>
      <c r="AP3" s="81"/>
    </row>
    <row r="4" spans="1:46" ht="38.25" x14ac:dyDescent="0.25">
      <c r="A4" s="1350" t="s">
        <v>864</v>
      </c>
      <c r="B4" s="923" t="s">
        <v>241</v>
      </c>
      <c r="C4" s="934" t="s">
        <v>242</v>
      </c>
      <c r="D4" s="923" t="s">
        <v>231</v>
      </c>
      <c r="E4" s="935" t="s">
        <v>234</v>
      </c>
      <c r="F4" s="935" t="s">
        <v>243</v>
      </c>
      <c r="G4" s="923" t="s">
        <v>244</v>
      </c>
      <c r="H4" s="1635" t="s">
        <v>334</v>
      </c>
      <c r="I4" s="923" t="s">
        <v>246</v>
      </c>
      <c r="J4" s="923" t="s">
        <v>247</v>
      </c>
      <c r="K4" s="923" t="s">
        <v>248</v>
      </c>
      <c r="L4" s="923" t="s">
        <v>249</v>
      </c>
      <c r="M4" s="235"/>
      <c r="N4" s="235"/>
      <c r="O4" s="80"/>
      <c r="P4" s="80"/>
      <c r="Q4" s="80"/>
      <c r="R4" s="80"/>
      <c r="S4" s="80"/>
      <c r="T4" s="80"/>
      <c r="U4" s="80"/>
      <c r="AC4" s="169"/>
      <c r="AD4" s="171"/>
      <c r="AE4" s="169"/>
      <c r="AF4" s="169"/>
      <c r="AG4" s="169"/>
      <c r="AI4" s="1"/>
      <c r="AJ4" s="926" t="s">
        <v>241</v>
      </c>
      <c r="AK4" s="1169" t="s">
        <v>242</v>
      </c>
      <c r="AL4" s="926" t="s">
        <v>250</v>
      </c>
      <c r="AM4" s="926" t="s">
        <v>234</v>
      </c>
      <c r="AN4" s="926" t="s">
        <v>243</v>
      </c>
      <c r="AO4" s="926" t="s">
        <v>244</v>
      </c>
      <c r="AP4" s="926" t="s">
        <v>334</v>
      </c>
      <c r="AQ4" s="923" t="s">
        <v>246</v>
      </c>
      <c r="AR4" s="923" t="s">
        <v>247</v>
      </c>
      <c r="AS4" s="923" t="s">
        <v>248</v>
      </c>
      <c r="AT4" s="923" t="s">
        <v>249</v>
      </c>
    </row>
    <row r="5" spans="1:46" x14ac:dyDescent="0.25">
      <c r="A5" s="235" t="s">
        <v>891</v>
      </c>
      <c r="B5" s="1614" t="s">
        <v>220</v>
      </c>
      <c r="C5" s="939" t="s">
        <v>14</v>
      </c>
      <c r="D5" s="944">
        <f>I51/10</f>
        <v>2311.3713405238827</v>
      </c>
      <c r="E5" s="941">
        <f>H52</f>
        <v>20.836225401311932</v>
      </c>
      <c r="F5" s="1616">
        <v>1</v>
      </c>
      <c r="G5" s="940">
        <f t="shared" ref="G5:G25" si="0">D5*E5</f>
        <v>48160.254237288136</v>
      </c>
      <c r="H5" s="1617">
        <f t="shared" ref="H5:H25" si="1">G5*F5</f>
        <v>48160.254237288136</v>
      </c>
      <c r="I5" s="914">
        <f>VLOOKUP(B5,All_Ingredients!$A$1:$F$161,6,FALSE())</f>
        <v>0.86</v>
      </c>
      <c r="J5" s="940">
        <f>VLOOKUP(B5,All_Ingredients!$A$1:$J$161,10,FALSE())</f>
        <v>17.100000000000001</v>
      </c>
      <c r="K5" s="945">
        <f t="shared" ref="K5" si="2">(H5/I5)/1000</f>
        <v>56.000295624753647</v>
      </c>
      <c r="L5" s="945">
        <f t="shared" ref="L5" si="3">K5*J5</f>
        <v>957.6050551832875</v>
      </c>
      <c r="M5" s="87"/>
      <c r="N5" s="87"/>
      <c r="O5" s="80"/>
      <c r="P5" s="80"/>
      <c r="Q5" s="80"/>
      <c r="R5" s="80"/>
      <c r="S5" s="80"/>
      <c r="T5" s="80"/>
      <c r="U5" s="80"/>
      <c r="AC5" s="73"/>
      <c r="AD5" s="89"/>
      <c r="AE5" s="172"/>
      <c r="AF5" s="90"/>
      <c r="AG5" s="91"/>
      <c r="AI5" s="1"/>
      <c r="AJ5" s="1686" t="s">
        <v>220</v>
      </c>
      <c r="AK5" s="947" t="s">
        <v>227</v>
      </c>
      <c r="AL5" s="1618">
        <v>10</v>
      </c>
      <c r="AM5" s="1615">
        <f t="shared" ref="AM5:AM19" si="4">$AO$1</f>
        <v>4.8160254237288136</v>
      </c>
      <c r="AN5" s="1616">
        <v>1</v>
      </c>
      <c r="AO5" s="940">
        <f t="shared" ref="AO5:AO19" si="5">AL5*AM5</f>
        <v>48.160254237288136</v>
      </c>
      <c r="AP5" s="1038">
        <f t="shared" ref="AP5:AP19" si="6">AO5*AN5</f>
        <v>48.160254237288136</v>
      </c>
      <c r="AQ5" s="952"/>
      <c r="AR5" s="953"/>
      <c r="AS5" s="1020"/>
      <c r="AT5" s="955"/>
    </row>
    <row r="6" spans="1:46" x14ac:dyDescent="0.25">
      <c r="A6" s="1117" t="s">
        <v>866</v>
      </c>
      <c r="B6" s="938" t="s">
        <v>12</v>
      </c>
      <c r="C6" s="947" t="s">
        <v>14</v>
      </c>
      <c r="D6" s="1618">
        <v>80</v>
      </c>
      <c r="E6" s="1615">
        <f t="shared" ref="E6:E25" si="7">$I$1</f>
        <v>21.949596491228068</v>
      </c>
      <c r="F6" s="1616">
        <v>1</v>
      </c>
      <c r="G6" s="940">
        <f t="shared" si="0"/>
        <v>1755.9677192982454</v>
      </c>
      <c r="H6" s="1617">
        <f t="shared" si="1"/>
        <v>1755.9677192982454</v>
      </c>
      <c r="I6" s="914">
        <f>VLOOKUP(B6,All_Ingredients!$A$1:$F$161,6,FALSE())</f>
        <v>0.9</v>
      </c>
      <c r="J6" s="940">
        <f>VLOOKUP(B6,All_Ingredients!$A$1:$J$161,10,FALSE())</f>
        <v>3</v>
      </c>
      <c r="K6" s="945">
        <f t="shared" ref="K6:K25" si="8">(H6/I6)/1000</f>
        <v>1.951075243664717</v>
      </c>
      <c r="L6" s="945">
        <f t="shared" ref="L6:L25" si="9">K6*J6</f>
        <v>5.8532257309941507</v>
      </c>
      <c r="M6" s="87"/>
      <c r="N6" s="87"/>
      <c r="AI6" s="1" t="s">
        <v>94</v>
      </c>
      <c r="AJ6" s="947" t="s">
        <v>105</v>
      </c>
      <c r="AK6" s="947" t="s">
        <v>14</v>
      </c>
      <c r="AL6" s="1618">
        <v>25</v>
      </c>
      <c r="AM6" s="1615">
        <f t="shared" si="4"/>
        <v>4.8160254237288136</v>
      </c>
      <c r="AN6" s="1616">
        <v>1</v>
      </c>
      <c r="AO6" s="940">
        <f t="shared" si="5"/>
        <v>120.40063559322034</v>
      </c>
      <c r="AP6" s="1038">
        <f t="shared" si="6"/>
        <v>120.40063559322034</v>
      </c>
      <c r="AQ6" s="955">
        <f>VLOOKUP(AJ6,Marination_Ordering!$A:$J,6,FALSE)</f>
        <v>1</v>
      </c>
      <c r="AR6" s="955">
        <f>VLOOKUP(AJ6,Marination_Ordering!$A:$J,10,FALSE)</f>
        <v>15</v>
      </c>
      <c r="AS6" s="1020">
        <f>AP6/AQ6</f>
        <v>120.40063559322034</v>
      </c>
      <c r="AT6" s="955">
        <f>AR6*(AS6/1000)</f>
        <v>1.8060095338983051</v>
      </c>
    </row>
    <row r="7" spans="1:46" x14ac:dyDescent="0.25">
      <c r="A7" s="1117" t="s">
        <v>870</v>
      </c>
      <c r="B7" s="938" t="s">
        <v>17</v>
      </c>
      <c r="C7" s="947" t="s">
        <v>14</v>
      </c>
      <c r="D7" s="1618">
        <v>400</v>
      </c>
      <c r="E7" s="1615">
        <f t="shared" si="7"/>
        <v>21.949596491228068</v>
      </c>
      <c r="F7" s="1616">
        <v>1</v>
      </c>
      <c r="G7" s="940">
        <f t="shared" si="0"/>
        <v>8779.8385964912268</v>
      </c>
      <c r="H7" s="1617">
        <f t="shared" si="1"/>
        <v>8779.8385964912268</v>
      </c>
      <c r="I7" s="914">
        <f>VLOOKUP(B7,All_Ingredients!$A$1:$F$161,6,FALSE())</f>
        <v>0.98</v>
      </c>
      <c r="J7" s="940">
        <f>VLOOKUP(B7,All_Ingredients!$A$1:$J$161,10,FALSE())</f>
        <v>3.5</v>
      </c>
      <c r="K7" s="945">
        <f t="shared" si="8"/>
        <v>8.9590189760114551</v>
      </c>
      <c r="L7" s="945">
        <f t="shared" si="9"/>
        <v>31.356566416040092</v>
      </c>
      <c r="M7" s="87"/>
      <c r="N7" s="87"/>
      <c r="AI7" s="1" t="s">
        <v>94</v>
      </c>
      <c r="AJ7" s="947" t="s">
        <v>107</v>
      </c>
      <c r="AK7" s="947" t="s">
        <v>14</v>
      </c>
      <c r="AL7" s="1618">
        <v>15</v>
      </c>
      <c r="AM7" s="1615">
        <f t="shared" si="4"/>
        <v>4.8160254237288136</v>
      </c>
      <c r="AN7" s="1616">
        <v>1</v>
      </c>
      <c r="AO7" s="940">
        <f t="shared" si="5"/>
        <v>72.2403813559322</v>
      </c>
      <c r="AP7" s="1038">
        <f t="shared" si="6"/>
        <v>72.2403813559322</v>
      </c>
      <c r="AQ7" s="955">
        <f>VLOOKUP(AJ7,Marination_Ordering!$A:$J,6,FALSE)</f>
        <v>1</v>
      </c>
      <c r="AR7" s="955">
        <f>VLOOKUP(AJ7,Marination_Ordering!$A:$J,10,FALSE)</f>
        <v>8</v>
      </c>
      <c r="AS7" s="1020">
        <f t="shared" ref="AS7:AS8" si="10">AP7/AQ7</f>
        <v>72.2403813559322</v>
      </c>
      <c r="AT7" s="955">
        <f t="shared" ref="AT7:AT8" si="11">AR7*(AS7/1000)</f>
        <v>0.57792305084745765</v>
      </c>
    </row>
    <row r="8" spans="1:46" x14ac:dyDescent="0.25">
      <c r="A8" s="1117"/>
      <c r="B8" s="938" t="s">
        <v>178</v>
      </c>
      <c r="C8" s="947" t="s">
        <v>14</v>
      </c>
      <c r="D8" s="1618">
        <v>50</v>
      </c>
      <c r="E8" s="1615">
        <f t="shared" si="7"/>
        <v>21.949596491228068</v>
      </c>
      <c r="F8" s="1616">
        <v>0.5</v>
      </c>
      <c r="G8" s="940">
        <f t="shared" si="0"/>
        <v>1097.4798245614033</v>
      </c>
      <c r="H8" s="1617">
        <f t="shared" si="1"/>
        <v>548.73991228070167</v>
      </c>
      <c r="I8" s="914">
        <f>VLOOKUP(B8,All_Ingredients!$A$1:$F$161,6,FALSE())</f>
        <v>1</v>
      </c>
      <c r="J8" s="940">
        <f>VLOOKUP(B8,All_Ingredients!$A$1:$J$161,10,FALSE())</f>
        <v>40</v>
      </c>
      <c r="K8" s="945">
        <f t="shared" si="8"/>
        <v>0.54873991228070162</v>
      </c>
      <c r="L8" s="945">
        <f t="shared" si="9"/>
        <v>21.949596491228064</v>
      </c>
      <c r="M8" s="87"/>
      <c r="N8" s="87"/>
      <c r="AI8" s="1" t="s">
        <v>153</v>
      </c>
      <c r="AJ8" s="947" t="s">
        <v>163</v>
      </c>
      <c r="AK8" s="947" t="s">
        <v>14</v>
      </c>
      <c r="AL8" s="1618">
        <v>500</v>
      </c>
      <c r="AM8" s="1615">
        <f t="shared" si="4"/>
        <v>4.8160254237288136</v>
      </c>
      <c r="AN8" s="1616">
        <v>1</v>
      </c>
      <c r="AO8" s="940">
        <f t="shared" si="5"/>
        <v>2408.0127118644068</v>
      </c>
      <c r="AP8" s="1038">
        <f t="shared" si="6"/>
        <v>2408.0127118644068</v>
      </c>
      <c r="AQ8" s="955">
        <f>VLOOKUP(AJ8,Marination_Ordering!$A:$J,6,FALSE)</f>
        <v>1</v>
      </c>
      <c r="AR8" s="955">
        <f>VLOOKUP(AJ8,Marination_Ordering!$A:$J,10,FALSE)</f>
        <v>6.6959999999999997</v>
      </c>
      <c r="AS8" s="1020">
        <f t="shared" si="10"/>
        <v>2408.0127118644068</v>
      </c>
      <c r="AT8" s="955">
        <f t="shared" si="11"/>
        <v>16.124053118644067</v>
      </c>
    </row>
    <row r="9" spans="1:46" ht="25.5" x14ac:dyDescent="0.25">
      <c r="A9" s="1117"/>
      <c r="B9" s="938" t="s">
        <v>115</v>
      </c>
      <c r="C9" s="947" t="s">
        <v>14</v>
      </c>
      <c r="D9" s="1618">
        <v>5</v>
      </c>
      <c r="E9" s="1615">
        <f t="shared" si="7"/>
        <v>21.949596491228068</v>
      </c>
      <c r="F9" s="1616">
        <v>0.75</v>
      </c>
      <c r="G9" s="940">
        <f t="shared" si="0"/>
        <v>109.74798245614033</v>
      </c>
      <c r="H9" s="1617">
        <f t="shared" si="1"/>
        <v>82.310986842105251</v>
      </c>
      <c r="I9" s="914">
        <f>VLOOKUP(B9,All_Ingredients!$A$1:$F$161,6,FALSE())</f>
        <v>1</v>
      </c>
      <c r="J9" s="940">
        <f>VLOOKUP(B9,All_Ingredients!$A$1:$J$161,10,FALSE())</f>
        <v>14.5</v>
      </c>
      <c r="K9" s="945">
        <f t="shared" si="8"/>
        <v>8.2310986842105249E-2</v>
      </c>
      <c r="L9" s="945">
        <f t="shared" si="9"/>
        <v>1.1935093092105262</v>
      </c>
      <c r="M9" s="87"/>
      <c r="N9" s="87"/>
      <c r="AI9" s="1" t="s">
        <v>94</v>
      </c>
      <c r="AJ9" s="947" t="s">
        <v>113</v>
      </c>
      <c r="AK9" s="947" t="s">
        <v>14</v>
      </c>
      <c r="AL9" s="1618">
        <v>5</v>
      </c>
      <c r="AM9" s="1615">
        <f t="shared" si="4"/>
        <v>4.8160254237288136</v>
      </c>
      <c r="AN9" s="1616">
        <v>1</v>
      </c>
      <c r="AO9" s="940">
        <f t="shared" si="5"/>
        <v>24.080127118644068</v>
      </c>
      <c r="AP9" s="1038">
        <f t="shared" si="6"/>
        <v>24.080127118644068</v>
      </c>
      <c r="AQ9" s="955">
        <f>VLOOKUP(AJ9,Marination_Ordering!$A:$J,6,FALSE)</f>
        <v>1</v>
      </c>
      <c r="AR9" s="955">
        <f>VLOOKUP(AJ9,Marination_Ordering!$A:$J,10,FALSE)</f>
        <v>20</v>
      </c>
      <c r="AS9" s="1020">
        <f t="shared" ref="AS9:AS19" si="12">AP9/AQ9</f>
        <v>24.080127118644068</v>
      </c>
      <c r="AT9" s="955">
        <f t="shared" ref="AT9:AT19" si="13">AR9*(AS9/1000)</f>
        <v>0.48160254237288136</v>
      </c>
    </row>
    <row r="10" spans="1:46" x14ac:dyDescent="0.25">
      <c r="A10" s="1117" t="s">
        <v>867</v>
      </c>
      <c r="B10" s="938" t="s">
        <v>54</v>
      </c>
      <c r="C10" s="947" t="s">
        <v>14</v>
      </c>
      <c r="D10" s="1618">
        <v>5</v>
      </c>
      <c r="E10" s="1615">
        <f t="shared" si="7"/>
        <v>21.949596491228068</v>
      </c>
      <c r="F10" s="1616">
        <v>1</v>
      </c>
      <c r="G10" s="940">
        <f t="shared" si="0"/>
        <v>109.74798245614033</v>
      </c>
      <c r="H10" s="1617">
        <f t="shared" si="1"/>
        <v>109.74798245614033</v>
      </c>
      <c r="I10" s="914">
        <f>VLOOKUP(B10,All_Ingredients!$A$1:$F$161,6,FALSE())</f>
        <v>0.87</v>
      </c>
      <c r="J10" s="940">
        <f>VLOOKUP(B10,All_Ingredients!$A$1:$J$161,10,FALSE())</f>
        <v>7</v>
      </c>
      <c r="K10" s="945">
        <f t="shared" si="8"/>
        <v>0.12614710627142567</v>
      </c>
      <c r="L10" s="945">
        <f t="shared" si="9"/>
        <v>0.88302974389997968</v>
      </c>
      <c r="M10" s="87"/>
      <c r="N10" s="87"/>
      <c r="AI10" s="1" t="s">
        <v>94</v>
      </c>
      <c r="AJ10" s="947" t="s">
        <v>118</v>
      </c>
      <c r="AK10" s="947" t="s">
        <v>14</v>
      </c>
      <c r="AL10" s="1618">
        <v>15</v>
      </c>
      <c r="AM10" s="1615">
        <f t="shared" si="4"/>
        <v>4.8160254237288136</v>
      </c>
      <c r="AN10" s="1616">
        <v>1</v>
      </c>
      <c r="AO10" s="940">
        <f t="shared" si="5"/>
        <v>72.2403813559322</v>
      </c>
      <c r="AP10" s="1038">
        <f t="shared" si="6"/>
        <v>72.2403813559322</v>
      </c>
      <c r="AQ10" s="955">
        <f>VLOOKUP(AJ10,Marination_Ordering!$A:$J,6,FALSE)</f>
        <v>1</v>
      </c>
      <c r="AR10" s="955">
        <f>VLOOKUP(AJ10,Marination_Ordering!$A:$J,10,FALSE)</f>
        <v>15</v>
      </c>
      <c r="AS10" s="1020">
        <f t="shared" si="12"/>
        <v>72.2403813559322</v>
      </c>
      <c r="AT10" s="955">
        <f t="shared" si="13"/>
        <v>1.0836057203389831</v>
      </c>
    </row>
    <row r="11" spans="1:46" x14ac:dyDescent="0.25">
      <c r="A11" s="1117" t="s">
        <v>868</v>
      </c>
      <c r="B11" s="938" t="s">
        <v>706</v>
      </c>
      <c r="C11" s="947" t="s">
        <v>14</v>
      </c>
      <c r="D11" s="1618">
        <v>20</v>
      </c>
      <c r="E11" s="1615">
        <f t="shared" si="7"/>
        <v>21.949596491228068</v>
      </c>
      <c r="F11" s="1616">
        <v>1</v>
      </c>
      <c r="G11" s="940">
        <f t="shared" si="0"/>
        <v>438.99192982456134</v>
      </c>
      <c r="H11" s="1617">
        <f t="shared" si="1"/>
        <v>438.99192982456134</v>
      </c>
      <c r="I11" s="914">
        <f>VLOOKUP(B11,All_Ingredients!$A$1:$F$161,6,FALSE())</f>
        <v>1</v>
      </c>
      <c r="J11" s="940">
        <f>VLOOKUP(B11,All_Ingredients!$A$1:$J$161,10,FALSE())</f>
        <v>10.5</v>
      </c>
      <c r="K11" s="945">
        <f t="shared" si="8"/>
        <v>0.43899192982456137</v>
      </c>
      <c r="L11" s="945">
        <f t="shared" si="9"/>
        <v>4.609415263157894</v>
      </c>
      <c r="M11" s="87"/>
      <c r="N11" s="87"/>
      <c r="AI11" s="1" t="s">
        <v>94</v>
      </c>
      <c r="AJ11" s="947" t="s">
        <v>703</v>
      </c>
      <c r="AK11" s="947" t="s">
        <v>14</v>
      </c>
      <c r="AL11" s="1618">
        <v>5</v>
      </c>
      <c r="AM11" s="1615">
        <f t="shared" si="4"/>
        <v>4.8160254237288136</v>
      </c>
      <c r="AN11" s="1616">
        <v>1</v>
      </c>
      <c r="AO11" s="940">
        <f t="shared" si="5"/>
        <v>24.080127118644068</v>
      </c>
      <c r="AP11" s="1038">
        <f t="shared" si="6"/>
        <v>24.080127118644068</v>
      </c>
      <c r="AQ11" s="955">
        <f>VLOOKUP(AJ11,Marination_Ordering!$A:$J,6,FALSE)</f>
        <v>1</v>
      </c>
      <c r="AR11" s="955">
        <f>VLOOKUP(AJ11,Marination_Ordering!$A:$J,10,FALSE)</f>
        <v>52</v>
      </c>
      <c r="AS11" s="1020">
        <f t="shared" si="12"/>
        <v>24.080127118644068</v>
      </c>
      <c r="AT11" s="955">
        <f t="shared" si="13"/>
        <v>1.2521666101694915</v>
      </c>
    </row>
    <row r="12" spans="1:46" x14ac:dyDescent="0.25">
      <c r="A12" s="1117" t="s">
        <v>869</v>
      </c>
      <c r="B12" s="938" t="s">
        <v>60</v>
      </c>
      <c r="C12" s="947" t="s">
        <v>14</v>
      </c>
      <c r="D12" s="1618">
        <v>10</v>
      </c>
      <c r="E12" s="1615">
        <f t="shared" si="7"/>
        <v>21.949596491228068</v>
      </c>
      <c r="F12" s="1616">
        <v>1</v>
      </c>
      <c r="G12" s="940">
        <f t="shared" si="0"/>
        <v>219.49596491228067</v>
      </c>
      <c r="H12" s="1617">
        <f t="shared" si="1"/>
        <v>219.49596491228067</v>
      </c>
      <c r="I12" s="914">
        <f>VLOOKUP(B12,All_Ingredients!$A$1:$F$161,6,FALSE())</f>
        <v>0.94</v>
      </c>
      <c r="J12" s="940">
        <f>VLOOKUP(B12,All_Ingredients!$A$1:$J$161,10,FALSE())</f>
        <v>3.6363636363636367</v>
      </c>
      <c r="K12" s="945">
        <f t="shared" si="8"/>
        <v>0.23350634565136244</v>
      </c>
      <c r="L12" s="945">
        <f t="shared" si="9"/>
        <v>0.84911398418677253</v>
      </c>
      <c r="M12" s="87"/>
      <c r="N12" s="87"/>
      <c r="AI12" s="1" t="s">
        <v>94</v>
      </c>
      <c r="AJ12" s="947" t="s">
        <v>93</v>
      </c>
      <c r="AK12" s="947" t="s">
        <v>14</v>
      </c>
      <c r="AL12" s="1618">
        <v>5</v>
      </c>
      <c r="AM12" s="1615">
        <f t="shared" si="4"/>
        <v>4.8160254237288136</v>
      </c>
      <c r="AN12" s="1616">
        <v>1</v>
      </c>
      <c r="AO12" s="940">
        <f t="shared" si="5"/>
        <v>24.080127118644068</v>
      </c>
      <c r="AP12" s="1038">
        <f t="shared" si="6"/>
        <v>24.080127118644068</v>
      </c>
      <c r="AQ12" s="955">
        <f>VLOOKUP(AJ12,Marination_Ordering!$A:$J,6,FALSE)</f>
        <v>1</v>
      </c>
      <c r="AR12" s="955">
        <f>VLOOKUP(AJ12,Marination_Ordering!$A:$J,10,FALSE)</f>
        <v>0.74</v>
      </c>
      <c r="AS12" s="1020">
        <f t="shared" si="12"/>
        <v>24.080127118644068</v>
      </c>
      <c r="AT12" s="955">
        <f t="shared" si="13"/>
        <v>1.7819294067796608E-2</v>
      </c>
    </row>
    <row r="13" spans="1:46" x14ac:dyDescent="0.25">
      <c r="A13" s="1117"/>
      <c r="B13" s="938" t="s">
        <v>183</v>
      </c>
      <c r="C13" s="947" t="s">
        <v>14</v>
      </c>
      <c r="D13" s="1618">
        <v>30</v>
      </c>
      <c r="E13" s="1615">
        <f t="shared" si="7"/>
        <v>21.949596491228068</v>
      </c>
      <c r="F13" s="1616">
        <v>1</v>
      </c>
      <c r="G13" s="940">
        <f t="shared" si="0"/>
        <v>658.48789473684201</v>
      </c>
      <c r="H13" s="1617">
        <f t="shared" si="1"/>
        <v>658.48789473684201</v>
      </c>
      <c r="I13" s="914">
        <f>VLOOKUP(B13,All_Ingredients!$A$1:$F$161,6,FALSE())</f>
        <v>1</v>
      </c>
      <c r="J13" s="940">
        <f>VLOOKUP(B13,All_Ingredients!$A$1:$J$161,10,FALSE())</f>
        <v>17</v>
      </c>
      <c r="K13" s="945">
        <f t="shared" si="8"/>
        <v>0.65848789473684199</v>
      </c>
      <c r="L13" s="945">
        <f t="shared" si="9"/>
        <v>11.194294210526314</v>
      </c>
      <c r="M13" s="87"/>
      <c r="N13" s="87"/>
      <c r="AI13" s="1" t="s">
        <v>213</v>
      </c>
      <c r="AJ13" s="947" t="s">
        <v>214</v>
      </c>
      <c r="AK13" s="947" t="s">
        <v>14</v>
      </c>
      <c r="AL13" s="1618">
        <v>3</v>
      </c>
      <c r="AM13" s="1615">
        <f t="shared" si="4"/>
        <v>4.8160254237288136</v>
      </c>
      <c r="AN13" s="1616">
        <v>1</v>
      </c>
      <c r="AO13" s="940">
        <f t="shared" si="5"/>
        <v>14.448076271186441</v>
      </c>
      <c r="AP13" s="1038">
        <f t="shared" si="6"/>
        <v>14.448076271186441</v>
      </c>
      <c r="AQ13" s="955">
        <f>VLOOKUP(AJ13,Marination_Ordering!$A:$J,6,FALSE)</f>
        <v>1</v>
      </c>
      <c r="AR13" s="955">
        <f>VLOOKUP(AJ13,Marination_Ordering!$A:$J,10,FALSE)</f>
        <v>35</v>
      </c>
      <c r="AS13" s="1020">
        <f t="shared" si="12"/>
        <v>14.448076271186441</v>
      </c>
      <c r="AT13" s="955">
        <f t="shared" si="13"/>
        <v>0.50568266949152541</v>
      </c>
    </row>
    <row r="14" spans="1:46" x14ac:dyDescent="0.25">
      <c r="A14" s="1117"/>
      <c r="B14" s="938" t="s">
        <v>93</v>
      </c>
      <c r="C14" s="947" t="s">
        <v>14</v>
      </c>
      <c r="D14" s="1618">
        <v>13</v>
      </c>
      <c r="E14" s="1615">
        <f t="shared" si="7"/>
        <v>21.949596491228068</v>
      </c>
      <c r="F14" s="1616">
        <v>0.75</v>
      </c>
      <c r="G14" s="940">
        <f t="shared" si="0"/>
        <v>285.3447543859649</v>
      </c>
      <c r="H14" s="1617">
        <f t="shared" si="1"/>
        <v>214.00856578947366</v>
      </c>
      <c r="I14" s="914">
        <f>VLOOKUP(B14,All_Ingredients!$A$1:$F$161,6,FALSE())</f>
        <v>1</v>
      </c>
      <c r="J14" s="940">
        <f>VLOOKUP(B14,All_Ingredients!$A$1:$J$161,10,FALSE())</f>
        <v>0.74</v>
      </c>
      <c r="K14" s="945">
        <f t="shared" si="8"/>
        <v>0.21400856578947366</v>
      </c>
      <c r="L14" s="945">
        <f t="shared" si="9"/>
        <v>0.15836633868421052</v>
      </c>
      <c r="M14" s="87"/>
      <c r="N14" s="87"/>
      <c r="AI14" s="1" t="s">
        <v>94</v>
      </c>
      <c r="AJ14" s="947" t="s">
        <v>126</v>
      </c>
      <c r="AK14" s="947" t="s">
        <v>14</v>
      </c>
      <c r="AL14" s="1618">
        <v>10</v>
      </c>
      <c r="AM14" s="1615">
        <f t="shared" si="4"/>
        <v>4.8160254237288136</v>
      </c>
      <c r="AN14" s="1616">
        <v>1</v>
      </c>
      <c r="AO14" s="940">
        <f t="shared" si="5"/>
        <v>48.160254237288136</v>
      </c>
      <c r="AP14" s="1038">
        <f t="shared" si="6"/>
        <v>48.160254237288136</v>
      </c>
      <c r="AQ14" s="955">
        <f>VLOOKUP(AJ14,Marination_Ordering!$A:$J,6,FALSE)</f>
        <v>1</v>
      </c>
      <c r="AR14" s="955">
        <f>VLOOKUP(AJ14,Marination_Ordering!$A:$J,10,FALSE)</f>
        <v>125</v>
      </c>
      <c r="AS14" s="1020">
        <f t="shared" si="12"/>
        <v>48.160254237288136</v>
      </c>
      <c r="AT14" s="955">
        <f t="shared" si="13"/>
        <v>6.020031779661017</v>
      </c>
    </row>
    <row r="15" spans="1:46" x14ac:dyDescent="0.25">
      <c r="A15" s="1117"/>
      <c r="B15" s="938" t="s">
        <v>166</v>
      </c>
      <c r="C15" s="947" t="s">
        <v>160</v>
      </c>
      <c r="D15" s="1618">
        <v>350</v>
      </c>
      <c r="E15" s="1615">
        <f t="shared" si="7"/>
        <v>21.949596491228068</v>
      </c>
      <c r="F15" s="1616">
        <v>1</v>
      </c>
      <c r="G15" s="940">
        <f t="shared" si="0"/>
        <v>7682.3587719298239</v>
      </c>
      <c r="H15" s="1617">
        <f t="shared" si="1"/>
        <v>7682.3587719298239</v>
      </c>
      <c r="I15" s="914">
        <f>VLOOKUP(B15,All_Ingredients!$A$1:$F$161,6,FALSE())</f>
        <v>1</v>
      </c>
      <c r="J15" s="940">
        <f>VLOOKUP(B15,All_Ingredients!$A$1:$J$161,10,FALSE())</f>
        <v>12.666666666666666</v>
      </c>
      <c r="K15" s="945">
        <f t="shared" si="8"/>
        <v>7.6823587719298239</v>
      </c>
      <c r="L15" s="945">
        <f t="shared" si="9"/>
        <v>97.309877777777771</v>
      </c>
      <c r="M15" s="87"/>
      <c r="N15" s="87"/>
      <c r="AI15" s="1" t="s">
        <v>94</v>
      </c>
      <c r="AJ15" s="947" t="s">
        <v>122</v>
      </c>
      <c r="AK15" s="947" t="s">
        <v>14</v>
      </c>
      <c r="AL15" s="1618">
        <v>5</v>
      </c>
      <c r="AM15" s="1615">
        <f t="shared" si="4"/>
        <v>4.8160254237288136</v>
      </c>
      <c r="AN15" s="1616">
        <v>1</v>
      </c>
      <c r="AO15" s="940">
        <f t="shared" si="5"/>
        <v>24.080127118644068</v>
      </c>
      <c r="AP15" s="1038">
        <f t="shared" si="6"/>
        <v>24.080127118644068</v>
      </c>
      <c r="AQ15" s="955">
        <f>VLOOKUP(AJ15,Marination_Ordering!$A:$J,6,FALSE)</f>
        <v>1</v>
      </c>
      <c r="AR15" s="955">
        <f>VLOOKUP(AJ15,Marination_Ordering!$A:$J,10,FALSE)</f>
        <v>14</v>
      </c>
      <c r="AS15" s="1020">
        <f t="shared" si="12"/>
        <v>24.080127118644068</v>
      </c>
      <c r="AT15" s="955">
        <f t="shared" si="13"/>
        <v>0.33712177966101692</v>
      </c>
    </row>
    <row r="16" spans="1:46" x14ac:dyDescent="0.25">
      <c r="A16" s="1117"/>
      <c r="B16" s="938" t="s">
        <v>203</v>
      </c>
      <c r="C16" s="947" t="s">
        <v>160</v>
      </c>
      <c r="D16" s="1618">
        <v>250</v>
      </c>
      <c r="E16" s="1615">
        <f t="shared" si="7"/>
        <v>21.949596491228068</v>
      </c>
      <c r="F16" s="1616">
        <v>1</v>
      </c>
      <c r="G16" s="940">
        <f t="shared" si="0"/>
        <v>5487.3991228070172</v>
      </c>
      <c r="H16" s="1617">
        <f t="shared" si="1"/>
        <v>5487.3991228070172</v>
      </c>
      <c r="I16" s="914">
        <f>VLOOKUP(B16,All_Ingredients!$A$1:$F$161,6,FALSE())</f>
        <v>1</v>
      </c>
      <c r="J16" s="940">
        <f>VLOOKUP(B16,All_Ingredients!$A$1:$J$161,10,FALSE())</f>
        <v>0</v>
      </c>
      <c r="K16" s="945">
        <f t="shared" si="8"/>
        <v>5.4873991228070169</v>
      </c>
      <c r="L16" s="945">
        <f t="shared" si="9"/>
        <v>0</v>
      </c>
      <c r="M16" s="87"/>
      <c r="N16" s="87"/>
      <c r="AI16" s="1" t="s">
        <v>55</v>
      </c>
      <c r="AJ16" s="947" t="s">
        <v>54</v>
      </c>
      <c r="AK16" s="947" t="s">
        <v>14</v>
      </c>
      <c r="AL16" s="1618">
        <v>100</v>
      </c>
      <c r="AM16" s="1615">
        <f t="shared" si="4"/>
        <v>4.8160254237288136</v>
      </c>
      <c r="AN16" s="1616">
        <v>1</v>
      </c>
      <c r="AO16" s="940">
        <f t="shared" si="5"/>
        <v>481.60254237288137</v>
      </c>
      <c r="AP16" s="1038">
        <f t="shared" si="6"/>
        <v>481.60254237288137</v>
      </c>
      <c r="AQ16" s="955">
        <f>VLOOKUP(AJ16,Marination_Ordering!$A:$J,6,FALSE)</f>
        <v>0.87</v>
      </c>
      <c r="AR16" s="955">
        <f>VLOOKUP(AJ16,Marination_Ordering!$A:$J,10,FALSE)</f>
        <v>7</v>
      </c>
      <c r="AS16" s="1020">
        <f t="shared" si="12"/>
        <v>553.5661406584843</v>
      </c>
      <c r="AT16" s="955">
        <f t="shared" si="13"/>
        <v>3.87496298460939</v>
      </c>
    </row>
    <row r="17" spans="1:46" x14ac:dyDescent="0.25">
      <c r="A17" s="1117"/>
      <c r="B17" s="938" t="s">
        <v>152</v>
      </c>
      <c r="C17" s="947" t="s">
        <v>14</v>
      </c>
      <c r="D17" s="1618">
        <v>50</v>
      </c>
      <c r="E17" s="1615">
        <f t="shared" si="7"/>
        <v>21.949596491228068</v>
      </c>
      <c r="F17" s="1616">
        <v>1</v>
      </c>
      <c r="G17" s="940">
        <f t="shared" si="0"/>
        <v>1097.4798245614033</v>
      </c>
      <c r="H17" s="1617">
        <f t="shared" si="1"/>
        <v>1097.4798245614033</v>
      </c>
      <c r="I17" s="914">
        <f>VLOOKUP(B17,All_Ingredients!$A$1:$F$161,6,FALSE())</f>
        <v>1</v>
      </c>
      <c r="J17" s="940">
        <f>VLOOKUP(B17,All_Ingredients!$A$1:$J$161,10,FALSE())</f>
        <v>30</v>
      </c>
      <c r="K17" s="945">
        <f t="shared" si="8"/>
        <v>1.0974798245614032</v>
      </c>
      <c r="L17" s="945">
        <f t="shared" si="9"/>
        <v>32.924394736842096</v>
      </c>
      <c r="M17" s="87"/>
      <c r="N17" s="87"/>
      <c r="AI17" s="1" t="s">
        <v>13</v>
      </c>
      <c r="AJ17" s="947" t="s">
        <v>706</v>
      </c>
      <c r="AK17" s="947" t="s">
        <v>14</v>
      </c>
      <c r="AL17" s="1618">
        <v>150</v>
      </c>
      <c r="AM17" s="1615">
        <f t="shared" si="4"/>
        <v>4.8160254237288136</v>
      </c>
      <c r="AN17" s="1616">
        <v>1</v>
      </c>
      <c r="AO17" s="940">
        <f t="shared" si="5"/>
        <v>722.40381355932209</v>
      </c>
      <c r="AP17" s="1038">
        <f t="shared" si="6"/>
        <v>722.40381355932209</v>
      </c>
      <c r="AQ17" s="955">
        <f>VLOOKUP(AJ17,Marination_Ordering!$A:$J,6,FALSE)</f>
        <v>1</v>
      </c>
      <c r="AR17" s="955">
        <f>VLOOKUP(AJ17,Marination_Ordering!$A:$J,10,FALSE)</f>
        <v>10.5</v>
      </c>
      <c r="AS17" s="1020">
        <f t="shared" si="12"/>
        <v>722.40381355932209</v>
      </c>
      <c r="AT17" s="955">
        <f t="shared" si="13"/>
        <v>7.585240042372881</v>
      </c>
    </row>
    <row r="18" spans="1:46" x14ac:dyDescent="0.25">
      <c r="A18" s="1117"/>
      <c r="B18" s="938" t="s">
        <v>214</v>
      </c>
      <c r="C18" s="947" t="s">
        <v>14</v>
      </c>
      <c r="D18" s="1618">
        <v>2</v>
      </c>
      <c r="E18" s="1615">
        <f t="shared" si="7"/>
        <v>21.949596491228068</v>
      </c>
      <c r="F18" s="1616">
        <v>0.75</v>
      </c>
      <c r="G18" s="940">
        <f t="shared" si="0"/>
        <v>43.899192982456135</v>
      </c>
      <c r="H18" s="1617">
        <f t="shared" si="1"/>
        <v>32.924394736842103</v>
      </c>
      <c r="I18" s="914">
        <f>VLOOKUP(B18,All_Ingredients!$A$1:$F$161,6,FALSE())</f>
        <v>1</v>
      </c>
      <c r="J18" s="940">
        <f>VLOOKUP(B18,All_Ingredients!$A$1:$J$161,10,FALSE())</f>
        <v>35</v>
      </c>
      <c r="K18" s="945">
        <f t="shared" si="8"/>
        <v>3.2924394736842104E-2</v>
      </c>
      <c r="L18" s="945">
        <f t="shared" si="9"/>
        <v>1.1523538157894737</v>
      </c>
      <c r="M18" s="87"/>
      <c r="N18" s="87"/>
      <c r="AI18" s="1" t="s">
        <v>204</v>
      </c>
      <c r="AJ18" s="947" t="s">
        <v>212</v>
      </c>
      <c r="AK18" s="947" t="s">
        <v>160</v>
      </c>
      <c r="AL18" s="1618">
        <v>300</v>
      </c>
      <c r="AM18" s="1615">
        <f t="shared" si="4"/>
        <v>4.8160254237288136</v>
      </c>
      <c r="AN18" s="1616">
        <v>1</v>
      </c>
      <c r="AO18" s="940">
        <f t="shared" si="5"/>
        <v>1444.8076271186442</v>
      </c>
      <c r="AP18" s="1038">
        <f t="shared" si="6"/>
        <v>1444.8076271186442</v>
      </c>
      <c r="AQ18" s="955">
        <f>VLOOKUP(AJ18,Marination_Ordering!$A:$J,6,FALSE)</f>
        <v>1</v>
      </c>
      <c r="AR18" s="955">
        <f>VLOOKUP(AJ18,Marination_Ordering!$A:$J,10,FALSE)</f>
        <v>5</v>
      </c>
      <c r="AS18" s="1020">
        <f t="shared" si="12"/>
        <v>1444.8076271186442</v>
      </c>
      <c r="AT18" s="955">
        <f t="shared" si="13"/>
        <v>7.2240381355932204</v>
      </c>
    </row>
    <row r="19" spans="1:46" x14ac:dyDescent="0.25">
      <c r="A19" s="1117"/>
      <c r="B19" s="947" t="s">
        <v>703</v>
      </c>
      <c r="C19" s="947" t="s">
        <v>14</v>
      </c>
      <c r="D19" s="1618">
        <v>1</v>
      </c>
      <c r="E19" s="1615">
        <f t="shared" si="7"/>
        <v>21.949596491228068</v>
      </c>
      <c r="F19" s="1616">
        <v>1</v>
      </c>
      <c r="G19" s="940">
        <f t="shared" si="0"/>
        <v>21.949596491228068</v>
      </c>
      <c r="H19" s="1617">
        <f t="shared" si="1"/>
        <v>21.949596491228068</v>
      </c>
      <c r="I19" s="914">
        <f>VLOOKUP(B19,All_Ingredients!$A$1:$F$161,6,FALSE())</f>
        <v>1</v>
      </c>
      <c r="J19" s="940">
        <f>VLOOKUP(B19,All_Ingredients!$A$1:$J$161,10,FALSE())</f>
        <v>52</v>
      </c>
      <c r="K19" s="945">
        <f t="shared" si="8"/>
        <v>2.1949596491228067E-2</v>
      </c>
      <c r="L19" s="945">
        <f t="shared" si="9"/>
        <v>1.1413790175438594</v>
      </c>
      <c r="M19" s="87"/>
      <c r="N19" s="87"/>
      <c r="AI19" s="1" t="s">
        <v>204</v>
      </c>
      <c r="AJ19" s="947" t="s">
        <v>208</v>
      </c>
      <c r="AK19" s="947" t="s">
        <v>160</v>
      </c>
      <c r="AL19" s="1618">
        <v>50</v>
      </c>
      <c r="AM19" s="1615">
        <f t="shared" si="4"/>
        <v>4.8160254237288136</v>
      </c>
      <c r="AN19" s="1616">
        <v>1</v>
      </c>
      <c r="AO19" s="940">
        <f t="shared" si="5"/>
        <v>240.80127118644069</v>
      </c>
      <c r="AP19" s="1038">
        <f t="shared" si="6"/>
        <v>240.80127118644069</v>
      </c>
      <c r="AQ19" s="955">
        <f>VLOOKUP(AJ19,Marination_Ordering!$A:$J,6,FALSE)</f>
        <v>1</v>
      </c>
      <c r="AR19" s="955">
        <f>VLOOKUP(AJ19,Marination_Ordering!$A:$J,10,FALSE)</f>
        <v>2.1621621621621623</v>
      </c>
      <c r="AS19" s="1020">
        <f t="shared" si="12"/>
        <v>240.80127118644069</v>
      </c>
      <c r="AT19" s="955">
        <f t="shared" si="13"/>
        <v>0.52065139715987174</v>
      </c>
    </row>
    <row r="20" spans="1:46" x14ac:dyDescent="0.25">
      <c r="A20" s="1117"/>
      <c r="B20" s="947" t="s">
        <v>97</v>
      </c>
      <c r="C20" s="947" t="s">
        <v>14</v>
      </c>
      <c r="D20" s="1618">
        <v>1</v>
      </c>
      <c r="E20" s="1615">
        <f t="shared" si="7"/>
        <v>21.949596491228068</v>
      </c>
      <c r="F20" s="1616">
        <v>1</v>
      </c>
      <c r="G20" s="940">
        <f t="shared" si="0"/>
        <v>21.949596491228068</v>
      </c>
      <c r="H20" s="1617">
        <f t="shared" si="1"/>
        <v>21.949596491228068</v>
      </c>
      <c r="I20" s="914">
        <f>VLOOKUP(B20,All_Ingredients!$A$1:$F$161,6,FALSE())</f>
        <v>1</v>
      </c>
      <c r="J20" s="940">
        <f>VLOOKUP(B20,All_Ingredients!$A$1:$J$161,10,FALSE())</f>
        <v>38</v>
      </c>
      <c r="K20" s="945">
        <f t="shared" si="8"/>
        <v>2.1949596491228067E-2</v>
      </c>
      <c r="L20" s="945">
        <f t="shared" si="9"/>
        <v>0.83408466666666659</v>
      </c>
      <c r="M20" s="87"/>
      <c r="N20" s="87"/>
    </row>
    <row r="21" spans="1:46" x14ac:dyDescent="0.25">
      <c r="A21" s="1117"/>
      <c r="B21" s="947" t="s">
        <v>103</v>
      </c>
      <c r="C21" s="947" t="s">
        <v>14</v>
      </c>
      <c r="D21" s="1618">
        <v>1</v>
      </c>
      <c r="E21" s="1615">
        <f t="shared" si="7"/>
        <v>21.949596491228068</v>
      </c>
      <c r="F21" s="1616">
        <v>1</v>
      </c>
      <c r="G21" s="940">
        <f t="shared" si="0"/>
        <v>21.949596491228068</v>
      </c>
      <c r="H21" s="1617">
        <f t="shared" si="1"/>
        <v>21.949596491228068</v>
      </c>
      <c r="I21" s="914">
        <f>VLOOKUP(B21,All_Ingredients!$A$1:$F$161,6,FALSE())</f>
        <v>1</v>
      </c>
      <c r="J21" s="940">
        <f>VLOOKUP(B21,All_Ingredients!$A$1:$J$161,10,FALSE())</f>
        <v>19</v>
      </c>
      <c r="K21" s="945">
        <f t="shared" si="8"/>
        <v>2.1949596491228067E-2</v>
      </c>
      <c r="L21" s="945">
        <f t="shared" si="9"/>
        <v>0.41704233333333329</v>
      </c>
      <c r="M21" s="87"/>
      <c r="N21" s="87"/>
    </row>
    <row r="22" spans="1:46" x14ac:dyDescent="0.25">
      <c r="A22" s="1117"/>
      <c r="B22" s="947" t="s">
        <v>124</v>
      </c>
      <c r="C22" s="947" t="s">
        <v>14</v>
      </c>
      <c r="D22" s="1618">
        <v>1</v>
      </c>
      <c r="E22" s="1615">
        <f t="shared" si="7"/>
        <v>21.949596491228068</v>
      </c>
      <c r="F22" s="1616">
        <v>1</v>
      </c>
      <c r="G22" s="940">
        <f t="shared" si="0"/>
        <v>21.949596491228068</v>
      </c>
      <c r="H22" s="1617">
        <f t="shared" si="1"/>
        <v>21.949596491228068</v>
      </c>
      <c r="I22" s="914">
        <f>VLOOKUP(B22,All_Ingredients!$A$1:$F$161,6,FALSE())</f>
        <v>1</v>
      </c>
      <c r="J22" s="940">
        <f>VLOOKUP(B22,All_Ingredients!$A$1:$J$161,10,FALSE())</f>
        <v>37</v>
      </c>
      <c r="K22" s="945">
        <f t="shared" si="8"/>
        <v>2.1949596491228067E-2</v>
      </c>
      <c r="L22" s="945">
        <f t="shared" si="9"/>
        <v>0.81213507017543851</v>
      </c>
      <c r="M22" s="87"/>
      <c r="N22" s="87"/>
    </row>
    <row r="23" spans="1:46" x14ac:dyDescent="0.25">
      <c r="A23" s="1117"/>
      <c r="B23" s="947" t="s">
        <v>120</v>
      </c>
      <c r="C23" s="947" t="s">
        <v>14</v>
      </c>
      <c r="D23" s="1618">
        <v>0.5</v>
      </c>
      <c r="E23" s="1615">
        <f t="shared" si="7"/>
        <v>21.949596491228068</v>
      </c>
      <c r="F23" s="1616">
        <v>1</v>
      </c>
      <c r="G23" s="940">
        <f t="shared" si="0"/>
        <v>10.974798245614034</v>
      </c>
      <c r="H23" s="1617">
        <f t="shared" si="1"/>
        <v>10.974798245614034</v>
      </c>
      <c r="I23" s="914">
        <f>VLOOKUP(B23,All_Ingredients!$A$1:$F$161,6,FALSE())</f>
        <v>1</v>
      </c>
      <c r="J23" s="940">
        <f>VLOOKUP(B23,All_Ingredients!$A$1:$J$161,10,FALSE())</f>
        <v>15</v>
      </c>
      <c r="K23" s="945">
        <f t="shared" si="8"/>
        <v>1.0974798245614033E-2</v>
      </c>
      <c r="L23" s="945">
        <f t="shared" si="9"/>
        <v>0.1646219736842105</v>
      </c>
      <c r="M23" s="87"/>
      <c r="N23" s="87"/>
    </row>
    <row r="24" spans="1:46" x14ac:dyDescent="0.25">
      <c r="A24" s="1117"/>
      <c r="B24" s="938" t="s">
        <v>126</v>
      </c>
      <c r="C24" s="947" t="s">
        <v>14</v>
      </c>
      <c r="D24" s="1618">
        <v>0.5</v>
      </c>
      <c r="E24" s="1615">
        <f t="shared" si="7"/>
        <v>21.949596491228068</v>
      </c>
      <c r="F24" s="1616">
        <v>1</v>
      </c>
      <c r="G24" s="940">
        <f t="shared" si="0"/>
        <v>10.974798245614034</v>
      </c>
      <c r="H24" s="1617">
        <f t="shared" si="1"/>
        <v>10.974798245614034</v>
      </c>
      <c r="I24" s="914">
        <f>VLOOKUP(B24,All_Ingredients!$A$1:$F$161,6,FALSE())</f>
        <v>1</v>
      </c>
      <c r="J24" s="940">
        <f>VLOOKUP(B24,All_Ingredients!$A$1:$J$161,10,FALSE())</f>
        <v>125</v>
      </c>
      <c r="K24" s="945">
        <f t="shared" si="8"/>
        <v>1.0974798245614033E-2</v>
      </c>
      <c r="L24" s="945">
        <f t="shared" si="9"/>
        <v>1.3718497807017542</v>
      </c>
      <c r="M24" s="87"/>
      <c r="N24" s="87"/>
      <c r="Z24" s="630"/>
    </row>
    <row r="25" spans="1:46" ht="15.75" x14ac:dyDescent="0.25">
      <c r="A25" s="1117"/>
      <c r="B25" s="947" t="s">
        <v>198</v>
      </c>
      <c r="C25" s="1157" t="s">
        <v>160</v>
      </c>
      <c r="D25" s="1618">
        <v>50</v>
      </c>
      <c r="E25" s="1615">
        <f t="shared" si="7"/>
        <v>21.949596491228068</v>
      </c>
      <c r="F25" s="1616">
        <v>1</v>
      </c>
      <c r="G25" s="940">
        <f t="shared" si="0"/>
        <v>1097.4798245614033</v>
      </c>
      <c r="H25" s="1617">
        <f t="shared" si="1"/>
        <v>1097.4798245614033</v>
      </c>
      <c r="I25" s="914">
        <f>VLOOKUP(B25,All_Ingredients!$A$1:$F$161,6,FALSE())</f>
        <v>1</v>
      </c>
      <c r="J25" s="940">
        <f>VLOOKUP(B25,All_Ingredients!$A$1:$J$161,10,FALSE())</f>
        <v>3.25</v>
      </c>
      <c r="K25" s="945">
        <f t="shared" si="8"/>
        <v>1.0974798245614032</v>
      </c>
      <c r="L25" s="945">
        <f t="shared" si="9"/>
        <v>3.5668094298245605</v>
      </c>
      <c r="M25" s="87"/>
      <c r="N25" s="87"/>
      <c r="R25" s="1885" t="s">
        <v>431</v>
      </c>
      <c r="S25" s="1850"/>
      <c r="T25" s="1850"/>
      <c r="U25" s="1850"/>
      <c r="V25" s="553"/>
      <c r="Z25" s="96" t="s">
        <v>252</v>
      </c>
      <c r="AA25" s="97">
        <v>1</v>
      </c>
      <c r="AB25" s="96" t="s">
        <v>249</v>
      </c>
      <c r="AC25" s="98">
        <f>(AA25*(4/3))*AF30+(AA30*(AB28/R1))</f>
        <v>3.3147876942066737E-2</v>
      </c>
      <c r="AD25" s="14"/>
    </row>
    <row r="26" spans="1:46" x14ac:dyDescent="0.25">
      <c r="B26" s="89"/>
      <c r="C26" s="89"/>
      <c r="D26" s="172"/>
      <c r="E26" s="215"/>
      <c r="F26" s="91"/>
      <c r="G26" s="92"/>
      <c r="H26" s="93"/>
      <c r="I26" s="73"/>
      <c r="J26" s="94"/>
      <c r="K26" s="73"/>
      <c r="L26" s="92"/>
      <c r="M26" s="87"/>
      <c r="N26" s="87"/>
      <c r="R26" s="1897" t="s">
        <v>253</v>
      </c>
      <c r="S26" s="1850"/>
      <c r="T26" s="1850"/>
      <c r="U26" s="1850"/>
      <c r="V26" s="553"/>
      <c r="Z26" s="14"/>
      <c r="AA26" s="14"/>
      <c r="AB26" s="14"/>
      <c r="AC26" s="14"/>
      <c r="AD26" s="14"/>
    </row>
    <row r="27" spans="1:46" ht="15.75" thickBot="1" x14ac:dyDescent="0.3">
      <c r="B27" s="89"/>
      <c r="C27" s="89"/>
      <c r="D27" s="172"/>
      <c r="E27" s="215"/>
      <c r="F27" s="91"/>
      <c r="G27" s="92"/>
      <c r="H27" s="93"/>
      <c r="I27" s="73"/>
      <c r="J27" s="94"/>
      <c r="K27" s="73"/>
      <c r="L27" s="92"/>
      <c r="M27" s="87"/>
      <c r="N27" s="87"/>
      <c r="R27" s="100" t="s">
        <v>254</v>
      </c>
      <c r="S27" s="101" t="s">
        <v>255</v>
      </c>
      <c r="T27" s="101" t="s">
        <v>256</v>
      </c>
      <c r="U27" s="101" t="s">
        <v>257</v>
      </c>
      <c r="V27" s="101" t="s">
        <v>746</v>
      </c>
      <c r="W27" s="101" t="s">
        <v>753</v>
      </c>
      <c r="Z27" s="96" t="s">
        <v>258</v>
      </c>
      <c r="AA27" s="102" t="s">
        <v>746</v>
      </c>
      <c r="AB27" s="102" t="s">
        <v>259</v>
      </c>
      <c r="AC27" s="102" t="s">
        <v>260</v>
      </c>
      <c r="AD27" s="102" t="s">
        <v>261</v>
      </c>
      <c r="AE27" s="581" t="s">
        <v>753</v>
      </c>
      <c r="AF27" s="102" t="s">
        <v>262</v>
      </c>
    </row>
    <row r="28" spans="1:46" ht="15.75" thickBot="1" x14ac:dyDescent="0.3">
      <c r="I28" s="73"/>
      <c r="J28" s="94"/>
      <c r="K28" s="73"/>
      <c r="L28" s="92"/>
      <c r="M28" s="87"/>
      <c r="N28" s="87"/>
      <c r="R28" s="103" t="s">
        <v>263</v>
      </c>
      <c r="S28" s="380">
        <f>U28*S40</f>
        <v>27645.55</v>
      </c>
      <c r="T28" s="380">
        <f>U28*U40</f>
        <v>8304.4500000000007</v>
      </c>
      <c r="U28" s="667">
        <f>$Z$1</f>
        <v>35950</v>
      </c>
      <c r="V28" s="104">
        <f>SUM(AP5:AP13)</f>
        <v>2807.7428220338988</v>
      </c>
      <c r="W28" s="104">
        <f>SUM(H37:H38)</f>
        <v>271.77999999999997</v>
      </c>
      <c r="Z28" s="105"/>
      <c r="AA28" s="591"/>
      <c r="AB28" s="106">
        <f>AA25*$S$40</f>
        <v>0.76900000000000002</v>
      </c>
      <c r="AC28" s="106">
        <f>AA25*$U$40</f>
        <v>0.23100000000000001</v>
      </c>
      <c r="AD28" s="107">
        <f>AA25*(1/3)</f>
        <v>0.33333333333333331</v>
      </c>
      <c r="AE28" s="582"/>
      <c r="AF28" s="108">
        <f>SUM(AB28:AD28)</f>
        <v>1.3333333333333333</v>
      </c>
    </row>
    <row r="29" spans="1:46" ht="15.75" thickBot="1" x14ac:dyDescent="0.3">
      <c r="I29" s="73"/>
      <c r="J29" s="94"/>
      <c r="K29" s="73"/>
      <c r="L29" s="92"/>
      <c r="M29" s="87"/>
      <c r="N29" s="87"/>
      <c r="R29" s="103" t="s">
        <v>264</v>
      </c>
      <c r="S29" s="109"/>
      <c r="T29" s="104">
        <f>U28*(1/3)</f>
        <v>11983.333333333332</v>
      </c>
      <c r="U29" s="380">
        <f>T29</f>
        <v>11983.333333333332</v>
      </c>
      <c r="V29" s="104"/>
      <c r="W29" s="104"/>
      <c r="Z29" s="105"/>
      <c r="AA29" s="591"/>
      <c r="AB29" s="110">
        <f>AB28/$AF$28</f>
        <v>0.5767500000000001</v>
      </c>
      <c r="AC29" s="110">
        <f>AC28/$AF$28</f>
        <v>0.17325000000000002</v>
      </c>
      <c r="AD29" s="110">
        <f>AD28/$AF$28</f>
        <v>0.25</v>
      </c>
      <c r="AE29" s="583"/>
      <c r="AF29" s="110">
        <f>AF28/$AF$28</f>
        <v>1</v>
      </c>
    </row>
    <row r="30" spans="1:46" ht="15.75" thickBot="1" x14ac:dyDescent="0.3">
      <c r="I30" s="73"/>
      <c r="J30" s="94"/>
      <c r="K30" s="73"/>
      <c r="L30" s="92"/>
      <c r="M30" s="87"/>
      <c r="N30" s="87"/>
      <c r="R30" s="103" t="s">
        <v>265</v>
      </c>
      <c r="S30" s="666">
        <f>U30*S40</f>
        <v>769</v>
      </c>
      <c r="T30" s="380">
        <f>(U30*U40)+(U30*(1/3))</f>
        <v>564.33333333333326</v>
      </c>
      <c r="U30" s="657">
        <f>$AB$1</f>
        <v>1000</v>
      </c>
      <c r="V30" s="547"/>
      <c r="W30" s="547"/>
      <c r="Z30" s="96" t="s">
        <v>266</v>
      </c>
      <c r="AA30" s="634">
        <f>V35/(S32/R1)</f>
        <v>9.844405809257533E-4</v>
      </c>
      <c r="AB30" s="111">
        <f>S35/(S32)</f>
        <v>3.3701221915648408E-2</v>
      </c>
      <c r="AC30" s="112">
        <f>T35/T32</f>
        <v>1.0442185298068085E-2</v>
      </c>
      <c r="AD30" s="112">
        <f>T35/T32</f>
        <v>1.0442185298068085E-2</v>
      </c>
      <c r="AE30" s="585">
        <f>W35/U32</f>
        <v>4.1740657853648384E-5</v>
      </c>
      <c r="AF30" s="587">
        <f>SUMPRODUCT(AB30:AD30,AB29:AD29)+AE30</f>
        <v>2.389857532511119E-2</v>
      </c>
    </row>
    <row r="31" spans="1:46" ht="15.75" thickBot="1" x14ac:dyDescent="0.3">
      <c r="I31" s="73"/>
      <c r="J31" s="94"/>
      <c r="K31" s="73"/>
      <c r="L31" s="92"/>
      <c r="M31" s="87"/>
      <c r="N31" s="87"/>
      <c r="R31" s="383" t="s">
        <v>267</v>
      </c>
      <c r="S31" s="109"/>
      <c r="T31" s="104"/>
      <c r="U31" s="104"/>
      <c r="V31" s="104"/>
      <c r="W31" s="104"/>
    </row>
    <row r="32" spans="1:46" ht="15.75" thickBot="1" x14ac:dyDescent="0.3">
      <c r="I32" s="73"/>
      <c r="J32" s="94"/>
      <c r="K32" s="73"/>
      <c r="L32" s="92"/>
      <c r="M32" s="87"/>
      <c r="N32" s="87"/>
      <c r="R32" s="114" t="s">
        <v>257</v>
      </c>
      <c r="S32" s="104">
        <f>SUM(S28:S30)</f>
        <v>28414.55</v>
      </c>
      <c r="T32" s="104">
        <f>SUM(T28:T30)</f>
        <v>20852.116666666665</v>
      </c>
      <c r="U32" s="104">
        <f>SUM(S32:T32)</f>
        <v>49266.666666666664</v>
      </c>
      <c r="V32" s="104"/>
      <c r="W32" s="104">
        <f>SUM(W28:W30)</f>
        <v>271.77999999999997</v>
      </c>
    </row>
    <row r="33" spans="2:23" ht="15.75" thickBot="1" x14ac:dyDescent="0.3">
      <c r="I33" s="73"/>
      <c r="J33" s="94"/>
      <c r="K33" s="73"/>
      <c r="L33" s="92"/>
      <c r="M33" s="87"/>
      <c r="N33" s="87"/>
      <c r="R33" s="115" t="s">
        <v>268</v>
      </c>
      <c r="S33" s="109"/>
      <c r="T33" s="109">
        <f>F88+F115+F142</f>
        <v>0</v>
      </c>
      <c r="U33" s="109"/>
      <c r="V33" s="109"/>
      <c r="W33" s="109"/>
    </row>
    <row r="34" spans="2:23" ht="15.75" thickBot="1" x14ac:dyDescent="0.3">
      <c r="I34" s="73"/>
      <c r="J34" s="94"/>
      <c r="K34" s="73"/>
      <c r="L34" s="92"/>
      <c r="M34" s="87"/>
      <c r="N34" s="87"/>
      <c r="R34" s="116" t="s">
        <v>269</v>
      </c>
      <c r="S34" s="109"/>
      <c r="T34" s="104">
        <f>T33-(T28+T29)</f>
        <v>-20287.783333333333</v>
      </c>
      <c r="U34" s="109"/>
      <c r="V34" s="109"/>
      <c r="W34" s="109"/>
    </row>
    <row r="35" spans="2:23" ht="16.5" thickBot="1" x14ac:dyDescent="0.3">
      <c r="B35" s="1877" t="s">
        <v>653</v>
      </c>
      <c r="C35" s="1877"/>
      <c r="D35" s="1877"/>
      <c r="E35" s="1877"/>
      <c r="F35" s="1877"/>
      <c r="G35" s="439"/>
      <c r="H35" s="440"/>
      <c r="I35" s="444"/>
      <c r="J35" s="444"/>
      <c r="K35" s="444"/>
      <c r="L35" s="444"/>
      <c r="M35" s="87"/>
      <c r="N35" s="87"/>
      <c r="R35" s="117" t="s">
        <v>249</v>
      </c>
      <c r="S35" s="548">
        <f>$L$5</f>
        <v>957.6050551832875</v>
      </c>
      <c r="T35" s="548">
        <f>SUM(L6:L25)</f>
        <v>217.74166609026716</v>
      </c>
      <c r="U35" s="548">
        <f>S35+T35+V35+W35</f>
        <v>1224.8140530093656</v>
      </c>
      <c r="V35" s="548">
        <f>SUM(AT6:AT19)</f>
        <v>47.410908658887905</v>
      </c>
      <c r="W35" s="104">
        <f>SUM(L37:L38)</f>
        <v>2.0564230769230769</v>
      </c>
    </row>
    <row r="36" spans="2:23" ht="47.25" x14ac:dyDescent="0.25">
      <c r="B36" s="1004" t="s">
        <v>241</v>
      </c>
      <c r="C36" s="1004" t="s">
        <v>316</v>
      </c>
      <c r="D36" s="1002" t="s">
        <v>610</v>
      </c>
      <c r="E36" s="1003" t="s">
        <v>611</v>
      </c>
      <c r="F36" s="1002" t="s">
        <v>612</v>
      </c>
      <c r="G36" s="441"/>
      <c r="H36" s="427" t="s">
        <v>612</v>
      </c>
      <c r="I36" s="427" t="s">
        <v>246</v>
      </c>
      <c r="J36" s="427" t="s">
        <v>247</v>
      </c>
      <c r="K36" s="427" t="s">
        <v>248</v>
      </c>
      <c r="L36" s="427" t="s">
        <v>249</v>
      </c>
      <c r="M36" s="87"/>
      <c r="N36" s="87"/>
    </row>
    <row r="37" spans="2:23" x14ac:dyDescent="0.25">
      <c r="B37" s="1005" t="s">
        <v>666</v>
      </c>
      <c r="C37" s="1006" t="s">
        <v>14</v>
      </c>
      <c r="D37" s="1645">
        <v>7.0000000000000007E-2</v>
      </c>
      <c r="E37" s="1005">
        <f>$AD$1</f>
        <v>254</v>
      </c>
      <c r="F37" s="1005">
        <f>D37*E37</f>
        <v>17.78</v>
      </c>
      <c r="G37" s="435"/>
      <c r="H37" s="425">
        <f>F37</f>
        <v>17.78</v>
      </c>
      <c r="I37" s="425">
        <f>VLOOKUP(B37,All_Ingredients!$A$1:$F$161,6,FALSE())</f>
        <v>0.65</v>
      </c>
      <c r="J37" s="425">
        <f>VLOOKUP(B37,All_Ingredients!$A$1:$J$161,10,FALSE())</f>
        <v>45</v>
      </c>
      <c r="K37" s="425">
        <f>(H37/I37)/1000</f>
        <v>2.7353846153846156E-2</v>
      </c>
      <c r="L37" s="425">
        <f>K37*J37</f>
        <v>1.230923076923077</v>
      </c>
      <c r="M37" s="87"/>
      <c r="N37" s="87"/>
    </row>
    <row r="38" spans="2:23" x14ac:dyDescent="0.25">
      <c r="B38" s="1005" t="s">
        <v>19</v>
      </c>
      <c r="C38" s="1006" t="s">
        <v>14</v>
      </c>
      <c r="D38" s="1645">
        <v>1</v>
      </c>
      <c r="E38" s="1005">
        <f>$AD$1</f>
        <v>254</v>
      </c>
      <c r="F38" s="1005">
        <f>D38*E38</f>
        <v>254</v>
      </c>
      <c r="H38" s="425">
        <f>F38</f>
        <v>254</v>
      </c>
      <c r="I38" s="425">
        <f>VLOOKUP(B38,All_Ingredients!$A$1:$F$161,6,FALSE())</f>
        <v>0.8</v>
      </c>
      <c r="J38" s="425">
        <f>VLOOKUP(B38,All_Ingredients!$A$1:$J$161,10,FALSE())</f>
        <v>2.6</v>
      </c>
      <c r="K38" s="425">
        <f>(H38/I38)/1000</f>
        <v>0.3175</v>
      </c>
      <c r="L38" s="425">
        <f>K38*J38</f>
        <v>0.82550000000000001</v>
      </c>
      <c r="M38" s="87"/>
      <c r="N38" s="87"/>
    </row>
    <row r="39" spans="2:23" x14ac:dyDescent="0.25">
      <c r="I39" s="73"/>
      <c r="J39" s="94"/>
      <c r="K39" s="73"/>
      <c r="L39" s="92"/>
      <c r="M39" s="87"/>
      <c r="N39" s="87"/>
      <c r="S39" s="268"/>
      <c r="U39" s="268"/>
    </row>
    <row r="40" spans="2:23" x14ac:dyDescent="0.25">
      <c r="I40" s="73"/>
      <c r="J40" s="94"/>
      <c r="K40" s="73"/>
      <c r="L40" s="92"/>
      <c r="M40" s="87"/>
      <c r="N40" s="87"/>
      <c r="Q40" s="14"/>
      <c r="R40" s="119" t="s">
        <v>270</v>
      </c>
      <c r="S40" s="292">
        <v>0.76900000000000002</v>
      </c>
      <c r="T40" s="119" t="s">
        <v>271</v>
      </c>
      <c r="U40" s="292">
        <v>0.23100000000000001</v>
      </c>
      <c r="V40" s="122">
        <f>S40+U40</f>
        <v>1</v>
      </c>
      <c r="W40" s="14"/>
    </row>
    <row r="41" spans="2:23" x14ac:dyDescent="0.25">
      <c r="I41" s="73"/>
      <c r="J41" s="94"/>
      <c r="K41" s="73"/>
      <c r="L41" s="92"/>
      <c r="M41" s="87"/>
      <c r="N41" s="87"/>
      <c r="Q41" s="14"/>
      <c r="R41" s="14"/>
      <c r="S41" s="14"/>
      <c r="T41" s="14"/>
      <c r="U41" s="123"/>
      <c r="V41" s="14"/>
      <c r="W41" s="14"/>
    </row>
    <row r="42" spans="2:23" x14ac:dyDescent="0.25">
      <c r="I42" s="73"/>
      <c r="J42" s="94"/>
      <c r="K42" s="73"/>
      <c r="L42" s="92"/>
      <c r="M42" s="87"/>
      <c r="N42" s="87"/>
      <c r="Q42" s="14"/>
      <c r="R42" s="14"/>
      <c r="S42" s="14"/>
      <c r="T42" s="14"/>
      <c r="U42" s="14"/>
      <c r="V42" s="14"/>
      <c r="W42" s="14"/>
    </row>
    <row r="43" spans="2:23" ht="15.75" thickBot="1" x14ac:dyDescent="0.3">
      <c r="I43" s="73"/>
      <c r="J43" s="94"/>
      <c r="K43" s="73"/>
      <c r="L43" s="92"/>
      <c r="M43" s="87"/>
      <c r="N43" s="87"/>
      <c r="Q43" s="124" t="s">
        <v>272</v>
      </c>
      <c r="R43" s="124" t="s">
        <v>273</v>
      </c>
      <c r="S43" s="124" t="s">
        <v>274</v>
      </c>
      <c r="T43" s="124" t="s">
        <v>275</v>
      </c>
      <c r="U43" s="124" t="s">
        <v>276</v>
      </c>
      <c r="V43" s="124" t="s">
        <v>277</v>
      </c>
      <c r="W43" s="174" t="s">
        <v>278</v>
      </c>
    </row>
    <row r="44" spans="2:23" ht="15.75" thickBot="1" x14ac:dyDescent="0.3">
      <c r="I44" s="73"/>
      <c r="J44" s="94"/>
      <c r="K44" s="73"/>
      <c r="L44" s="92"/>
      <c r="M44" s="87"/>
      <c r="N44" s="87"/>
      <c r="Q44" s="663">
        <v>17728</v>
      </c>
      <c r="R44" s="127">
        <f>D51</f>
        <v>10000</v>
      </c>
      <c r="S44" s="267">
        <v>0.40909090909090912</v>
      </c>
      <c r="T44" s="267">
        <v>0.59090909090909094</v>
      </c>
      <c r="U44" s="165">
        <f>R44*S44</f>
        <v>4090.909090909091</v>
      </c>
      <c r="V44" s="129">
        <f>R44*T44</f>
        <v>5909.090909090909</v>
      </c>
      <c r="W44" s="175">
        <f>Q44-U44</f>
        <v>13637.090909090908</v>
      </c>
    </row>
    <row r="50" spans="1:10" x14ac:dyDescent="0.25">
      <c r="B50" s="229"/>
      <c r="C50" s="100" t="s">
        <v>233</v>
      </c>
      <c r="D50" s="100" t="s">
        <v>279</v>
      </c>
      <c r="F50" s="80"/>
      <c r="G50" s="100" t="s">
        <v>280</v>
      </c>
      <c r="H50" s="100" t="s">
        <v>233</v>
      </c>
      <c r="I50" s="100" t="s">
        <v>281</v>
      </c>
      <c r="J50" s="100" t="s">
        <v>282</v>
      </c>
    </row>
    <row r="51" spans="1:10" x14ac:dyDescent="0.25">
      <c r="B51" s="844" t="s">
        <v>283</v>
      </c>
      <c r="C51" s="133">
        <f>10/$K$1</f>
        <v>10.526315789473685</v>
      </c>
      <c r="D51" s="134">
        <f>$C$1*10</f>
        <v>10000</v>
      </c>
      <c r="E51" s="135"/>
      <c r="F51" s="80"/>
      <c r="G51" s="132" t="s">
        <v>283</v>
      </c>
      <c r="H51" s="182">
        <f>I51/$D$5</f>
        <v>10</v>
      </c>
      <c r="I51" s="133">
        <f t="shared" ref="I51:I56" si="14">J51/$R$1</f>
        <v>23113.713405238828</v>
      </c>
      <c r="J51" s="133">
        <f>$W$44</f>
        <v>13637.090909090908</v>
      </c>
    </row>
    <row r="52" spans="1:10" x14ac:dyDescent="0.25">
      <c r="B52" s="846" t="s">
        <v>262</v>
      </c>
      <c r="C52" s="156">
        <f>$I$1</f>
        <v>21.949596491228068</v>
      </c>
      <c r="D52" s="157">
        <f>$E$1</f>
        <v>20852.116666666665</v>
      </c>
      <c r="E52" s="80"/>
      <c r="F52" s="80"/>
      <c r="G52" s="103" t="s">
        <v>262</v>
      </c>
      <c r="H52" s="145">
        <f>I52/$D$5</f>
        <v>20.836225401311932</v>
      </c>
      <c r="I52" s="129">
        <f t="shared" si="14"/>
        <v>48160.254237288136</v>
      </c>
      <c r="J52" s="136">
        <f>$S$32</f>
        <v>28414.55</v>
      </c>
    </row>
    <row r="53" spans="1:10" x14ac:dyDescent="0.25">
      <c r="B53" s="846" t="s">
        <v>284</v>
      </c>
      <c r="C53" s="158">
        <f>MIN(C52, C51)</f>
        <v>10.526315789473685</v>
      </c>
      <c r="D53" s="157">
        <f>(C53*$K$1)*$C$1</f>
        <v>10000</v>
      </c>
      <c r="E53" s="80"/>
      <c r="F53" s="80"/>
      <c r="G53" s="103" t="s">
        <v>284</v>
      </c>
      <c r="H53" s="139">
        <f>MIN(H52,H51)</f>
        <v>10</v>
      </c>
      <c r="I53" s="129">
        <f t="shared" si="14"/>
        <v>23113.713405238828</v>
      </c>
      <c r="J53" s="129">
        <f>MIN(J52,J51)</f>
        <v>13637.090909090908</v>
      </c>
    </row>
    <row r="54" spans="1:10" x14ac:dyDescent="0.25">
      <c r="B54" s="846" t="s">
        <v>285</v>
      </c>
      <c r="C54" s="158">
        <f>MIN(MAX(C52-C53,0),C51)</f>
        <v>10.526315789473685</v>
      </c>
      <c r="D54" s="157">
        <f>(C54*$K$1)*$C$1</f>
        <v>10000</v>
      </c>
      <c r="E54" s="80"/>
      <c r="F54" s="80"/>
      <c r="G54" s="103" t="s">
        <v>285</v>
      </c>
      <c r="H54" s="139">
        <f>MIN(MAX(H52-H53),H51)</f>
        <v>10</v>
      </c>
      <c r="I54" s="129">
        <f t="shared" si="14"/>
        <v>23113.713405238828</v>
      </c>
      <c r="J54" s="129">
        <f>MIN(MAX(J52-J53),J51)</f>
        <v>13637.090909090908</v>
      </c>
    </row>
    <row r="55" spans="1:10" x14ac:dyDescent="0.25">
      <c r="B55" s="846" t="s">
        <v>286</v>
      </c>
      <c r="C55" s="158">
        <f>MIN(MAX(C52-C53-C54,0),C51)</f>
        <v>0.89696491228069775</v>
      </c>
      <c r="D55" s="157">
        <f>(C55*$K$1)*$C$1</f>
        <v>852.11666666666281</v>
      </c>
      <c r="E55" s="80"/>
      <c r="F55" s="80"/>
      <c r="G55" s="100" t="s">
        <v>286</v>
      </c>
      <c r="H55" s="139">
        <f>MIN(MAX(H52-H53-H54),H51)</f>
        <v>0.8362254013119319</v>
      </c>
      <c r="I55" s="129">
        <f t="shared" si="14"/>
        <v>1932.8274268104799</v>
      </c>
      <c r="J55" s="129">
        <f>MIN(MAX(J52-J53-J54),J51)</f>
        <v>1140.3681818181831</v>
      </c>
    </row>
    <row r="56" spans="1:10" x14ac:dyDescent="0.25">
      <c r="B56" s="846" t="s">
        <v>293</v>
      </c>
      <c r="C56" s="158">
        <f>MIN(MAX(C52-C53-C54-C55,0),C51)</f>
        <v>0</v>
      </c>
      <c r="D56" s="157">
        <f>(C56*$K$1)*$C$1</f>
        <v>0</v>
      </c>
      <c r="E56" s="80"/>
      <c r="F56" s="80"/>
      <c r="G56" s="100" t="s">
        <v>293</v>
      </c>
      <c r="H56" s="139">
        <f>MIN(MAX(H52-H53-H54-H55),H51)</f>
        <v>0</v>
      </c>
      <c r="I56" s="129">
        <f t="shared" si="14"/>
        <v>0</v>
      </c>
      <c r="J56" s="129">
        <f>MIN(MAX(J52-J53-J54-J55),J51)</f>
        <v>0</v>
      </c>
    </row>
    <row r="57" spans="1:10" x14ac:dyDescent="0.25">
      <c r="B57" s="80"/>
      <c r="E57" s="80"/>
      <c r="F57" s="80"/>
    </row>
    <row r="58" spans="1:10" x14ac:dyDescent="0.25">
      <c r="B58" s="80"/>
      <c r="E58" s="80"/>
      <c r="F58" s="80"/>
    </row>
    <row r="59" spans="1:10" x14ac:dyDescent="0.25">
      <c r="B59" s="80"/>
      <c r="E59" s="80"/>
      <c r="F59" s="80"/>
    </row>
    <row r="60" spans="1:10" x14ac:dyDescent="0.25">
      <c r="B60" s="80"/>
      <c r="E60" s="80"/>
      <c r="F60" s="80"/>
    </row>
    <row r="61" spans="1:10" x14ac:dyDescent="0.25">
      <c r="B61" s="80"/>
      <c r="E61" s="80"/>
      <c r="F61" s="80"/>
    </row>
    <row r="62" spans="1:10" x14ac:dyDescent="0.25">
      <c r="A62" s="868"/>
      <c r="B62" s="1871" t="str">
        <f>"دجاج هندي بالزبدة 1 / " &amp; COUNTIF($C$53:$C$55, "&gt;0")</f>
        <v>دجاج هندي بالزبدة 1 / 3</v>
      </c>
      <c r="C62" s="1880"/>
      <c r="D62" s="1880"/>
      <c r="E62" s="1880"/>
      <c r="F62" s="1880"/>
      <c r="G62" s="1880"/>
      <c r="H62" s="1880"/>
    </row>
    <row r="63" spans="1:10" x14ac:dyDescent="0.25">
      <c r="A63" s="868"/>
      <c r="B63" s="1872" t="str">
        <f>"Butter Chicken 1 / " &amp; COUNTIF($C$53:$C$55, "&gt;0")</f>
        <v>Butter Chicken 1 / 3</v>
      </c>
      <c r="C63" s="1883"/>
      <c r="D63" s="1883"/>
      <c r="E63" s="1883"/>
      <c r="F63" s="1883"/>
      <c r="G63" s="1883"/>
      <c r="H63" s="1883"/>
    </row>
    <row r="64" spans="1:10" ht="25.5" x14ac:dyDescent="0.2">
      <c r="A64" s="1350" t="s">
        <v>864</v>
      </c>
      <c r="B64" s="1104" t="s">
        <v>241</v>
      </c>
      <c r="C64" s="934" t="s">
        <v>242</v>
      </c>
      <c r="D64" s="1104" t="s">
        <v>231</v>
      </c>
      <c r="E64" s="936" t="s">
        <v>234</v>
      </c>
      <c r="F64" s="936" t="s">
        <v>243</v>
      </c>
      <c r="G64" s="1104" t="s">
        <v>244</v>
      </c>
      <c r="H64" s="936" t="s">
        <v>245</v>
      </c>
    </row>
    <row r="65" spans="1:8" ht="14.25" x14ac:dyDescent="0.2">
      <c r="A65" s="235" t="s">
        <v>891</v>
      </c>
      <c r="B65" s="938" t="str">
        <f t="shared" ref="B65:D85" si="15">B5</f>
        <v>Chicken - دجاج</v>
      </c>
      <c r="C65" s="938" t="str">
        <f t="shared" si="15"/>
        <v>gm</v>
      </c>
      <c r="D65" s="1125">
        <f t="shared" si="15"/>
        <v>2311.3713405238827</v>
      </c>
      <c r="E65" s="1615">
        <f>H53</f>
        <v>10</v>
      </c>
      <c r="F65" s="1616">
        <f t="shared" ref="F65:F85" si="16">F5</f>
        <v>1</v>
      </c>
      <c r="G65" s="940">
        <f t="shared" ref="G65:G85" si="17">D65*E65</f>
        <v>23113.713405238828</v>
      </c>
      <c r="H65" s="1617">
        <f t="shared" ref="H65:H85" si="18">G65*F65</f>
        <v>23113.713405238828</v>
      </c>
    </row>
    <row r="66" spans="1:8" x14ac:dyDescent="0.25">
      <c r="A66" s="1" t="s">
        <v>866</v>
      </c>
      <c r="B66" s="938" t="str">
        <f t="shared" si="15"/>
        <v>Onion - بصل</v>
      </c>
      <c r="C66" s="938" t="str">
        <f t="shared" si="15"/>
        <v>gm</v>
      </c>
      <c r="D66" s="938">
        <f t="shared" si="15"/>
        <v>80</v>
      </c>
      <c r="E66" s="1615">
        <f t="shared" ref="E66:E85" si="19">$C$53</f>
        <v>10.526315789473685</v>
      </c>
      <c r="F66" s="1616">
        <f t="shared" si="16"/>
        <v>1</v>
      </c>
      <c r="G66" s="940">
        <f t="shared" si="17"/>
        <v>842.1052631578948</v>
      </c>
      <c r="H66" s="1617">
        <f t="shared" si="18"/>
        <v>842.1052631578948</v>
      </c>
    </row>
    <row r="67" spans="1:8" x14ac:dyDescent="0.25">
      <c r="A67" s="1" t="s">
        <v>870</v>
      </c>
      <c r="B67" s="938" t="str">
        <f t="shared" si="15"/>
        <v>Tomato - طماطم</v>
      </c>
      <c r="C67" s="938" t="str">
        <f t="shared" si="15"/>
        <v>gm</v>
      </c>
      <c r="D67" s="938">
        <f t="shared" si="15"/>
        <v>400</v>
      </c>
      <c r="E67" s="1615">
        <f t="shared" si="19"/>
        <v>10.526315789473685</v>
      </c>
      <c r="F67" s="1616">
        <f t="shared" si="16"/>
        <v>1</v>
      </c>
      <c r="G67" s="940">
        <f t="shared" si="17"/>
        <v>4210.5263157894742</v>
      </c>
      <c r="H67" s="1617">
        <f t="shared" si="18"/>
        <v>4210.5263157894742</v>
      </c>
    </row>
    <row r="68" spans="1:8" x14ac:dyDescent="0.25">
      <c r="B68" s="938" t="str">
        <f t="shared" si="15"/>
        <v>Cashew Nut - كاجو</v>
      </c>
      <c r="C68" s="938" t="str">
        <f t="shared" si="15"/>
        <v>gm</v>
      </c>
      <c r="D68" s="938">
        <f t="shared" si="15"/>
        <v>50</v>
      </c>
      <c r="E68" s="1615">
        <f t="shared" si="19"/>
        <v>10.526315789473685</v>
      </c>
      <c r="F68" s="1616">
        <f t="shared" si="16"/>
        <v>0.5</v>
      </c>
      <c r="G68" s="940">
        <f t="shared" si="17"/>
        <v>526.31578947368428</v>
      </c>
      <c r="H68" s="1617">
        <f t="shared" si="18"/>
        <v>263.15789473684214</v>
      </c>
    </row>
    <row r="69" spans="1:8" ht="25.5" x14ac:dyDescent="0.25">
      <c r="B69" s="938" t="str">
        <f t="shared" si="15"/>
        <v>Kashmiri Red Chilli Whole - فلفل كشميري أحمر كامل</v>
      </c>
      <c r="C69" s="938" t="str">
        <f t="shared" si="15"/>
        <v>gm</v>
      </c>
      <c r="D69" s="938">
        <f t="shared" si="15"/>
        <v>5</v>
      </c>
      <c r="E69" s="1615">
        <f t="shared" si="19"/>
        <v>10.526315789473685</v>
      </c>
      <c r="F69" s="1616">
        <f t="shared" si="16"/>
        <v>0.75</v>
      </c>
      <c r="G69" s="940">
        <f t="shared" si="17"/>
        <v>52.631578947368425</v>
      </c>
      <c r="H69" s="1617">
        <f t="shared" si="18"/>
        <v>39.473684210526315</v>
      </c>
    </row>
    <row r="70" spans="1:8" x14ac:dyDescent="0.25">
      <c r="A70" s="1" t="s">
        <v>867</v>
      </c>
      <c r="B70" s="938" t="str">
        <f t="shared" si="15"/>
        <v>Ginger - زنجبيل</v>
      </c>
      <c r="C70" s="938" t="str">
        <f t="shared" si="15"/>
        <v>gm</v>
      </c>
      <c r="D70" s="938">
        <f t="shared" si="15"/>
        <v>5</v>
      </c>
      <c r="E70" s="1615">
        <f t="shared" si="19"/>
        <v>10.526315789473685</v>
      </c>
      <c r="F70" s="1616">
        <f t="shared" si="16"/>
        <v>1</v>
      </c>
      <c r="G70" s="940">
        <f t="shared" si="17"/>
        <v>52.631578947368425</v>
      </c>
      <c r="H70" s="1617">
        <f t="shared" si="18"/>
        <v>52.631578947368425</v>
      </c>
    </row>
    <row r="71" spans="1:8" x14ac:dyDescent="0.25">
      <c r="A71" s="1" t="s">
        <v>868</v>
      </c>
      <c r="B71" s="938" t="str">
        <f t="shared" si="15"/>
        <v>Garlic - ثوم مقشر</v>
      </c>
      <c r="C71" s="938" t="str">
        <f t="shared" si="15"/>
        <v>gm</v>
      </c>
      <c r="D71" s="938">
        <f t="shared" si="15"/>
        <v>20</v>
      </c>
      <c r="E71" s="1615">
        <f t="shared" si="19"/>
        <v>10.526315789473685</v>
      </c>
      <c r="F71" s="1616">
        <f t="shared" si="16"/>
        <v>1</v>
      </c>
      <c r="G71" s="940">
        <f t="shared" si="17"/>
        <v>210.5263157894737</v>
      </c>
      <c r="H71" s="1617">
        <f t="shared" si="18"/>
        <v>210.5263157894737</v>
      </c>
    </row>
    <row r="72" spans="1:8" x14ac:dyDescent="0.25">
      <c r="A72" s="1" t="s">
        <v>869</v>
      </c>
      <c r="B72" s="938" t="str">
        <f t="shared" si="15"/>
        <v>Coriander Leaves - كزبرة خضراء</v>
      </c>
      <c r="C72" s="938" t="str">
        <f t="shared" si="15"/>
        <v>gm</v>
      </c>
      <c r="D72" s="938">
        <f t="shared" si="15"/>
        <v>10</v>
      </c>
      <c r="E72" s="1615">
        <f t="shared" si="19"/>
        <v>10.526315789473685</v>
      </c>
      <c r="F72" s="1616">
        <f t="shared" si="16"/>
        <v>1</v>
      </c>
      <c r="G72" s="940">
        <f t="shared" si="17"/>
        <v>105.26315789473685</v>
      </c>
      <c r="H72" s="1617">
        <f t="shared" si="18"/>
        <v>105.26315789473685</v>
      </c>
    </row>
    <row r="73" spans="1:8" x14ac:dyDescent="0.25">
      <c r="B73" s="938" t="str">
        <f t="shared" si="15"/>
        <v>Honey - عسل</v>
      </c>
      <c r="C73" s="938" t="str">
        <f t="shared" si="15"/>
        <v>gm</v>
      </c>
      <c r="D73" s="938">
        <f t="shared" si="15"/>
        <v>30</v>
      </c>
      <c r="E73" s="1615">
        <f t="shared" si="19"/>
        <v>10.526315789473685</v>
      </c>
      <c r="F73" s="1616">
        <f t="shared" si="16"/>
        <v>1</v>
      </c>
      <c r="G73" s="940">
        <f t="shared" si="17"/>
        <v>315.78947368421052</v>
      </c>
      <c r="H73" s="1617">
        <f t="shared" si="18"/>
        <v>315.78947368421052</v>
      </c>
    </row>
    <row r="74" spans="1:8" x14ac:dyDescent="0.25">
      <c r="B74" s="938" t="str">
        <f t="shared" si="15"/>
        <v>Salt - ملح</v>
      </c>
      <c r="C74" s="938" t="str">
        <f t="shared" si="15"/>
        <v>gm</v>
      </c>
      <c r="D74" s="938">
        <f t="shared" si="15"/>
        <v>13</v>
      </c>
      <c r="E74" s="1615">
        <f t="shared" si="19"/>
        <v>10.526315789473685</v>
      </c>
      <c r="F74" s="1616">
        <f t="shared" si="16"/>
        <v>0.75</v>
      </c>
      <c r="G74" s="940">
        <f t="shared" si="17"/>
        <v>136.84210526315792</v>
      </c>
      <c r="H74" s="1617">
        <f t="shared" si="18"/>
        <v>102.63157894736844</v>
      </c>
    </row>
    <row r="75" spans="1:8" x14ac:dyDescent="0.25">
      <c r="B75" s="938" t="str">
        <f t="shared" si="15"/>
        <v>Cooking Cream - كريمة طبخ</v>
      </c>
      <c r="C75" s="938" t="str">
        <f t="shared" si="15"/>
        <v>ml</v>
      </c>
      <c r="D75" s="938">
        <f t="shared" si="15"/>
        <v>350</v>
      </c>
      <c r="E75" s="1615">
        <f t="shared" si="19"/>
        <v>10.526315789473685</v>
      </c>
      <c r="F75" s="1616">
        <f t="shared" si="16"/>
        <v>1</v>
      </c>
      <c r="G75" s="940">
        <f t="shared" si="17"/>
        <v>3684.2105263157896</v>
      </c>
      <c r="H75" s="1617">
        <f t="shared" si="18"/>
        <v>3684.2105263157896</v>
      </c>
    </row>
    <row r="76" spans="1:8" x14ac:dyDescent="0.25">
      <c r="B76" s="938" t="str">
        <f t="shared" si="15"/>
        <v>Water - ماء</v>
      </c>
      <c r="C76" s="938" t="str">
        <f t="shared" si="15"/>
        <v>ml</v>
      </c>
      <c r="D76" s="938">
        <f t="shared" si="15"/>
        <v>250</v>
      </c>
      <c r="E76" s="1615">
        <f t="shared" si="19"/>
        <v>10.526315789473685</v>
      </c>
      <c r="F76" s="1616">
        <f t="shared" si="16"/>
        <v>1</v>
      </c>
      <c r="G76" s="940">
        <f t="shared" si="17"/>
        <v>2631.5789473684213</v>
      </c>
      <c r="H76" s="1617">
        <f t="shared" si="18"/>
        <v>2631.5789473684213</v>
      </c>
    </row>
    <row r="77" spans="1:8" x14ac:dyDescent="0.25">
      <c r="B77" s="938" t="str">
        <f t="shared" si="15"/>
        <v>Butter - زبدة</v>
      </c>
      <c r="C77" s="938" t="str">
        <f t="shared" si="15"/>
        <v>gm</v>
      </c>
      <c r="D77" s="938">
        <f t="shared" si="15"/>
        <v>50</v>
      </c>
      <c r="E77" s="1615">
        <f t="shared" si="19"/>
        <v>10.526315789473685</v>
      </c>
      <c r="F77" s="1616">
        <f t="shared" si="16"/>
        <v>1</v>
      </c>
      <c r="G77" s="940">
        <f t="shared" si="17"/>
        <v>526.31578947368428</v>
      </c>
      <c r="H77" s="1617">
        <f t="shared" si="18"/>
        <v>526.31578947368428</v>
      </c>
    </row>
    <row r="78" spans="1:8" x14ac:dyDescent="0.25">
      <c r="B78" s="938" t="str">
        <f t="shared" si="15"/>
        <v>Orange Color - لون برتقالي</v>
      </c>
      <c r="C78" s="938" t="str">
        <f t="shared" si="15"/>
        <v>gm</v>
      </c>
      <c r="D78" s="938">
        <f t="shared" si="15"/>
        <v>2</v>
      </c>
      <c r="E78" s="1615">
        <f t="shared" si="19"/>
        <v>10.526315789473685</v>
      </c>
      <c r="F78" s="1616">
        <f t="shared" si="16"/>
        <v>0.75</v>
      </c>
      <c r="G78" s="940">
        <f t="shared" si="17"/>
        <v>21.05263157894737</v>
      </c>
      <c r="H78" s="1617">
        <f t="shared" si="18"/>
        <v>15.789473684210527</v>
      </c>
    </row>
    <row r="79" spans="1:8" x14ac:dyDescent="0.25">
      <c r="B79" s="938" t="str">
        <f t="shared" si="15"/>
        <v>Kasuri Methi - ورق حلبة مجففة</v>
      </c>
      <c r="C79" s="938" t="str">
        <f t="shared" si="15"/>
        <v>gm</v>
      </c>
      <c r="D79" s="938">
        <f t="shared" si="15"/>
        <v>1</v>
      </c>
      <c r="E79" s="1615">
        <f t="shared" si="19"/>
        <v>10.526315789473685</v>
      </c>
      <c r="F79" s="1616">
        <f t="shared" si="16"/>
        <v>1</v>
      </c>
      <c r="G79" s="940">
        <f t="shared" si="17"/>
        <v>10.526315789473685</v>
      </c>
      <c r="H79" s="1617">
        <f t="shared" si="18"/>
        <v>10.526315789473685</v>
      </c>
    </row>
    <row r="80" spans="1:8" x14ac:dyDescent="0.25">
      <c r="B80" s="938" t="str">
        <f t="shared" si="15"/>
        <v>Black Pepper Whole - فلفل أسود حب</v>
      </c>
      <c r="C80" s="938" t="str">
        <f t="shared" si="15"/>
        <v>gm</v>
      </c>
      <c r="D80" s="938">
        <f t="shared" si="15"/>
        <v>1</v>
      </c>
      <c r="E80" s="1615">
        <f t="shared" si="19"/>
        <v>10.526315789473685</v>
      </c>
      <c r="F80" s="1616">
        <f t="shared" si="16"/>
        <v>1</v>
      </c>
      <c r="G80" s="940">
        <f t="shared" si="17"/>
        <v>10.526315789473685</v>
      </c>
      <c r="H80" s="1617">
        <f t="shared" si="18"/>
        <v>10.526315789473685</v>
      </c>
    </row>
    <row r="81" spans="1:8" x14ac:dyDescent="0.25">
      <c r="B81" s="938" t="str">
        <f t="shared" si="15"/>
        <v>Cumin Whole - كمون حب</v>
      </c>
      <c r="C81" s="938" t="str">
        <f t="shared" si="15"/>
        <v>gm</v>
      </c>
      <c r="D81" s="938">
        <f t="shared" si="15"/>
        <v>1</v>
      </c>
      <c r="E81" s="1615">
        <f t="shared" si="19"/>
        <v>10.526315789473685</v>
      </c>
      <c r="F81" s="1616">
        <f t="shared" si="16"/>
        <v>1</v>
      </c>
      <c r="G81" s="940">
        <f t="shared" si="17"/>
        <v>10.526315789473685</v>
      </c>
      <c r="H81" s="1617">
        <f t="shared" si="18"/>
        <v>10.526315789473685</v>
      </c>
    </row>
    <row r="82" spans="1:8" x14ac:dyDescent="0.25">
      <c r="B82" s="938" t="str">
        <f t="shared" si="15"/>
        <v>Cloves Whole - قرنفل حب</v>
      </c>
      <c r="C82" s="938" t="str">
        <f t="shared" si="15"/>
        <v>gm</v>
      </c>
      <c r="D82" s="938">
        <f t="shared" si="15"/>
        <v>1</v>
      </c>
      <c r="E82" s="1615">
        <f t="shared" si="19"/>
        <v>10.526315789473685</v>
      </c>
      <c r="F82" s="1616">
        <f t="shared" si="16"/>
        <v>1</v>
      </c>
      <c r="G82" s="940">
        <f t="shared" si="17"/>
        <v>10.526315789473685</v>
      </c>
      <c r="H82" s="1617">
        <f t="shared" si="18"/>
        <v>10.526315789473685</v>
      </c>
    </row>
    <row r="83" spans="1:8" x14ac:dyDescent="0.25">
      <c r="B83" s="938" t="str">
        <f t="shared" si="15"/>
        <v>Cinnamon Whole - قرفة أعواد</v>
      </c>
      <c r="C83" s="938" t="str">
        <f t="shared" si="15"/>
        <v>gm</v>
      </c>
      <c r="D83" s="938">
        <f t="shared" si="15"/>
        <v>0.5</v>
      </c>
      <c r="E83" s="1615">
        <f t="shared" si="19"/>
        <v>10.526315789473685</v>
      </c>
      <c r="F83" s="1616">
        <f t="shared" si="16"/>
        <v>1</v>
      </c>
      <c r="G83" s="940">
        <f t="shared" si="17"/>
        <v>5.2631578947368425</v>
      </c>
      <c r="H83" s="1617">
        <f t="shared" si="18"/>
        <v>5.2631578947368425</v>
      </c>
    </row>
    <row r="84" spans="1:8" x14ac:dyDescent="0.25">
      <c r="B84" s="938" t="str">
        <f t="shared" si="15"/>
        <v>Cardamom Whole - هيل حب</v>
      </c>
      <c r="C84" s="938" t="str">
        <f t="shared" si="15"/>
        <v>gm</v>
      </c>
      <c r="D84" s="938">
        <f t="shared" si="15"/>
        <v>0.5</v>
      </c>
      <c r="E84" s="1615">
        <f t="shared" si="19"/>
        <v>10.526315789473685</v>
      </c>
      <c r="F84" s="1616">
        <f t="shared" si="16"/>
        <v>1</v>
      </c>
      <c r="G84" s="940">
        <f t="shared" si="17"/>
        <v>5.2631578947368425</v>
      </c>
      <c r="H84" s="1617">
        <f t="shared" si="18"/>
        <v>5.2631578947368425</v>
      </c>
    </row>
    <row r="85" spans="1:8" x14ac:dyDescent="0.25">
      <c r="B85" s="938" t="str">
        <f t="shared" si="15"/>
        <v>Tomato Ketchup - كاتشب طماطم</v>
      </c>
      <c r="C85" s="938" t="str">
        <f t="shared" si="15"/>
        <v>ml</v>
      </c>
      <c r="D85" s="938">
        <f t="shared" si="15"/>
        <v>50</v>
      </c>
      <c r="E85" s="1615">
        <f t="shared" si="19"/>
        <v>10.526315789473685</v>
      </c>
      <c r="F85" s="1616">
        <f t="shared" si="16"/>
        <v>1</v>
      </c>
      <c r="G85" s="940">
        <f t="shared" si="17"/>
        <v>526.31578947368428</v>
      </c>
      <c r="H85" s="1617">
        <f t="shared" si="18"/>
        <v>526.31578947368428</v>
      </c>
    </row>
    <row r="86" spans="1:8" ht="18" x14ac:dyDescent="0.25">
      <c r="A86" s="861"/>
      <c r="B86" s="1622" t="s">
        <v>287</v>
      </c>
      <c r="C86" s="1042" t="s">
        <v>273</v>
      </c>
      <c r="D86" s="952"/>
      <c r="E86" s="1042" t="s">
        <v>288</v>
      </c>
      <c r="F86" s="952"/>
      <c r="G86" s="1045" t="s">
        <v>264</v>
      </c>
      <c r="H86" s="1045" t="s">
        <v>661</v>
      </c>
    </row>
    <row r="87" spans="1:8" ht="20.25" x14ac:dyDescent="0.3">
      <c r="A87" s="861"/>
      <c r="B87" s="1048">
        <f>$J$53</f>
        <v>13637.090909090908</v>
      </c>
      <c r="C87" s="1048">
        <f>E87+G87</f>
        <v>10000</v>
      </c>
      <c r="D87" s="1629"/>
      <c r="E87" s="1048">
        <f>$D$53*$S$44</f>
        <v>4090.909090909091</v>
      </c>
      <c r="F87" s="1050"/>
      <c r="G87" s="1048">
        <f>$D$53*$T$44</f>
        <v>5909.090909090909</v>
      </c>
      <c r="H87" s="1048">
        <f>B87+E87</f>
        <v>17728</v>
      </c>
    </row>
    <row r="88" spans="1:8" x14ac:dyDescent="0.25">
      <c r="B88" s="80"/>
      <c r="C88" s="460"/>
      <c r="D88" s="460"/>
      <c r="E88" s="460"/>
      <c r="F88" s="461"/>
      <c r="G88" s="460"/>
      <c r="H88" s="460"/>
    </row>
    <row r="90" spans="1:8" x14ac:dyDescent="0.25">
      <c r="A90" s="868"/>
      <c r="B90" s="1871" t="str">
        <f>"دجاج هندي بالزبدة 2 / " &amp; COUNTIF($C$53:$C$55, "&gt;0")</f>
        <v>دجاج هندي بالزبدة 2 / 3</v>
      </c>
      <c r="C90" s="1880"/>
      <c r="D90" s="1880"/>
      <c r="E90" s="1880"/>
      <c r="F90" s="1880"/>
      <c r="G90" s="1880"/>
      <c r="H90" s="1880"/>
    </row>
    <row r="91" spans="1:8" x14ac:dyDescent="0.25">
      <c r="A91" s="868"/>
      <c r="B91" s="1872" t="str">
        <f>"Butter Chicken 2 / " &amp; COUNTIF($C$53:$C$55, "&gt;0")</f>
        <v>Butter Chicken 2 / 3</v>
      </c>
      <c r="C91" s="1883"/>
      <c r="D91" s="1883"/>
      <c r="E91" s="1883"/>
      <c r="F91" s="1883"/>
      <c r="G91" s="1883"/>
      <c r="H91" s="1883"/>
    </row>
    <row r="92" spans="1:8" ht="25.5" x14ac:dyDescent="0.2">
      <c r="A92" s="1350" t="s">
        <v>864</v>
      </c>
      <c r="B92" s="1104" t="s">
        <v>241</v>
      </c>
      <c r="C92" s="934" t="s">
        <v>242</v>
      </c>
      <c r="D92" s="1104" t="s">
        <v>231</v>
      </c>
      <c r="E92" s="936" t="s">
        <v>234</v>
      </c>
      <c r="F92" s="936" t="s">
        <v>243</v>
      </c>
      <c r="G92" s="1104" t="s">
        <v>244</v>
      </c>
      <c r="H92" s="936" t="s">
        <v>245</v>
      </c>
    </row>
    <row r="93" spans="1:8" ht="14.25" x14ac:dyDescent="0.2">
      <c r="A93" s="235" t="s">
        <v>891</v>
      </c>
      <c r="B93" s="938" t="str">
        <f t="shared" ref="B93:D113" si="20">B5</f>
        <v>Chicken - دجاج</v>
      </c>
      <c r="C93" s="938" t="str">
        <f t="shared" si="20"/>
        <v>gm</v>
      </c>
      <c r="D93" s="938">
        <f t="shared" si="20"/>
        <v>2311.3713405238827</v>
      </c>
      <c r="E93" s="1615">
        <f>H54</f>
        <v>10</v>
      </c>
      <c r="F93" s="1616">
        <f t="shared" ref="F93:F113" si="21">F5</f>
        <v>1</v>
      </c>
      <c r="G93" s="940">
        <f t="shared" ref="G93:G113" si="22">D93*E93</f>
        <v>23113.713405238828</v>
      </c>
      <c r="H93" s="1617">
        <f t="shared" ref="H93:H113" si="23">G93*F93</f>
        <v>23113.713405238828</v>
      </c>
    </row>
    <row r="94" spans="1:8" x14ac:dyDescent="0.25">
      <c r="A94" s="1" t="s">
        <v>866</v>
      </c>
      <c r="B94" s="938" t="str">
        <f t="shared" si="20"/>
        <v>Onion - بصل</v>
      </c>
      <c r="C94" s="938" t="str">
        <f t="shared" si="20"/>
        <v>gm</v>
      </c>
      <c r="D94" s="938">
        <f t="shared" si="20"/>
        <v>80</v>
      </c>
      <c r="E94" s="1615">
        <f t="shared" ref="E94:E113" si="24">$C$54</f>
        <v>10.526315789473685</v>
      </c>
      <c r="F94" s="1616">
        <f t="shared" si="21"/>
        <v>1</v>
      </c>
      <c r="G94" s="940">
        <f t="shared" si="22"/>
        <v>842.1052631578948</v>
      </c>
      <c r="H94" s="1617">
        <f t="shared" si="23"/>
        <v>842.1052631578948</v>
      </c>
    </row>
    <row r="95" spans="1:8" x14ac:dyDescent="0.25">
      <c r="A95" s="1" t="s">
        <v>870</v>
      </c>
      <c r="B95" s="938" t="str">
        <f t="shared" si="20"/>
        <v>Tomato - طماطم</v>
      </c>
      <c r="C95" s="938" t="str">
        <f t="shared" si="20"/>
        <v>gm</v>
      </c>
      <c r="D95" s="938">
        <f t="shared" si="20"/>
        <v>400</v>
      </c>
      <c r="E95" s="1615">
        <f t="shared" si="24"/>
        <v>10.526315789473685</v>
      </c>
      <c r="F95" s="1616">
        <f t="shared" si="21"/>
        <v>1</v>
      </c>
      <c r="G95" s="940">
        <f t="shared" si="22"/>
        <v>4210.5263157894742</v>
      </c>
      <c r="H95" s="1617">
        <f t="shared" si="23"/>
        <v>4210.5263157894742</v>
      </c>
    </row>
    <row r="96" spans="1:8" x14ac:dyDescent="0.25">
      <c r="B96" s="938" t="str">
        <f t="shared" si="20"/>
        <v>Cashew Nut - كاجو</v>
      </c>
      <c r="C96" s="938" t="str">
        <f t="shared" si="20"/>
        <v>gm</v>
      </c>
      <c r="D96" s="938">
        <f t="shared" si="20"/>
        <v>50</v>
      </c>
      <c r="E96" s="1615">
        <f t="shared" si="24"/>
        <v>10.526315789473685</v>
      </c>
      <c r="F96" s="1616">
        <f t="shared" si="21"/>
        <v>0.5</v>
      </c>
      <c r="G96" s="940">
        <f t="shared" si="22"/>
        <v>526.31578947368428</v>
      </c>
      <c r="H96" s="1617">
        <f t="shared" si="23"/>
        <v>263.15789473684214</v>
      </c>
    </row>
    <row r="97" spans="1:8" ht="25.5" x14ac:dyDescent="0.25">
      <c r="B97" s="938" t="str">
        <f t="shared" si="20"/>
        <v>Kashmiri Red Chilli Whole - فلفل كشميري أحمر كامل</v>
      </c>
      <c r="C97" s="938" t="str">
        <f t="shared" si="20"/>
        <v>gm</v>
      </c>
      <c r="D97" s="938">
        <f t="shared" si="20"/>
        <v>5</v>
      </c>
      <c r="E97" s="1615">
        <f t="shared" si="24"/>
        <v>10.526315789473685</v>
      </c>
      <c r="F97" s="1616">
        <f t="shared" si="21"/>
        <v>0.75</v>
      </c>
      <c r="G97" s="940">
        <f t="shared" si="22"/>
        <v>52.631578947368425</v>
      </c>
      <c r="H97" s="1617">
        <f t="shared" si="23"/>
        <v>39.473684210526315</v>
      </c>
    </row>
    <row r="98" spans="1:8" x14ac:dyDescent="0.25">
      <c r="A98" s="1" t="s">
        <v>867</v>
      </c>
      <c r="B98" s="938" t="str">
        <f t="shared" si="20"/>
        <v>Ginger - زنجبيل</v>
      </c>
      <c r="C98" s="938" t="str">
        <f t="shared" si="20"/>
        <v>gm</v>
      </c>
      <c r="D98" s="938">
        <f t="shared" si="20"/>
        <v>5</v>
      </c>
      <c r="E98" s="1615">
        <f t="shared" si="24"/>
        <v>10.526315789473685</v>
      </c>
      <c r="F98" s="1616">
        <f t="shared" si="21"/>
        <v>1</v>
      </c>
      <c r="G98" s="940">
        <f t="shared" si="22"/>
        <v>52.631578947368425</v>
      </c>
      <c r="H98" s="1617">
        <f t="shared" si="23"/>
        <v>52.631578947368425</v>
      </c>
    </row>
    <row r="99" spans="1:8" x14ac:dyDescent="0.25">
      <c r="A99" s="1" t="s">
        <v>868</v>
      </c>
      <c r="B99" s="938" t="str">
        <f t="shared" si="20"/>
        <v>Garlic - ثوم مقشر</v>
      </c>
      <c r="C99" s="938" t="str">
        <f t="shared" si="20"/>
        <v>gm</v>
      </c>
      <c r="D99" s="938">
        <f t="shared" si="20"/>
        <v>20</v>
      </c>
      <c r="E99" s="1615">
        <f t="shared" si="24"/>
        <v>10.526315789473685</v>
      </c>
      <c r="F99" s="1616">
        <f t="shared" si="21"/>
        <v>1</v>
      </c>
      <c r="G99" s="940">
        <f t="shared" si="22"/>
        <v>210.5263157894737</v>
      </c>
      <c r="H99" s="1617">
        <f t="shared" si="23"/>
        <v>210.5263157894737</v>
      </c>
    </row>
    <row r="100" spans="1:8" x14ac:dyDescent="0.25">
      <c r="A100" s="1" t="s">
        <v>869</v>
      </c>
      <c r="B100" s="938" t="str">
        <f t="shared" si="20"/>
        <v>Coriander Leaves - كزبرة خضراء</v>
      </c>
      <c r="C100" s="938" t="str">
        <f t="shared" si="20"/>
        <v>gm</v>
      </c>
      <c r="D100" s="938">
        <f t="shared" si="20"/>
        <v>10</v>
      </c>
      <c r="E100" s="1615">
        <f t="shared" si="24"/>
        <v>10.526315789473685</v>
      </c>
      <c r="F100" s="1616">
        <f t="shared" si="21"/>
        <v>1</v>
      </c>
      <c r="G100" s="940">
        <f t="shared" si="22"/>
        <v>105.26315789473685</v>
      </c>
      <c r="H100" s="1617">
        <f t="shared" si="23"/>
        <v>105.26315789473685</v>
      </c>
    </row>
    <row r="101" spans="1:8" x14ac:dyDescent="0.25">
      <c r="B101" s="938" t="str">
        <f t="shared" si="20"/>
        <v>Honey - عسل</v>
      </c>
      <c r="C101" s="938" t="str">
        <f t="shared" si="20"/>
        <v>gm</v>
      </c>
      <c r="D101" s="938">
        <f t="shared" si="20"/>
        <v>30</v>
      </c>
      <c r="E101" s="1615">
        <f t="shared" si="24"/>
        <v>10.526315789473685</v>
      </c>
      <c r="F101" s="1616">
        <f t="shared" si="21"/>
        <v>1</v>
      </c>
      <c r="G101" s="940">
        <f t="shared" si="22"/>
        <v>315.78947368421052</v>
      </c>
      <c r="H101" s="1617">
        <f t="shared" si="23"/>
        <v>315.78947368421052</v>
      </c>
    </row>
    <row r="102" spans="1:8" x14ac:dyDescent="0.25">
      <c r="B102" s="938" t="str">
        <f t="shared" si="20"/>
        <v>Salt - ملح</v>
      </c>
      <c r="C102" s="938" t="str">
        <f t="shared" si="20"/>
        <v>gm</v>
      </c>
      <c r="D102" s="938">
        <f t="shared" si="20"/>
        <v>13</v>
      </c>
      <c r="E102" s="1615">
        <f t="shared" si="24"/>
        <v>10.526315789473685</v>
      </c>
      <c r="F102" s="1616">
        <f t="shared" si="21"/>
        <v>0.75</v>
      </c>
      <c r="G102" s="940">
        <f t="shared" si="22"/>
        <v>136.84210526315792</v>
      </c>
      <c r="H102" s="1617">
        <f t="shared" si="23"/>
        <v>102.63157894736844</v>
      </c>
    </row>
    <row r="103" spans="1:8" x14ac:dyDescent="0.25">
      <c r="B103" s="938" t="str">
        <f t="shared" si="20"/>
        <v>Cooking Cream - كريمة طبخ</v>
      </c>
      <c r="C103" s="938" t="str">
        <f t="shared" si="20"/>
        <v>ml</v>
      </c>
      <c r="D103" s="938">
        <f t="shared" si="20"/>
        <v>350</v>
      </c>
      <c r="E103" s="1615">
        <f t="shared" si="24"/>
        <v>10.526315789473685</v>
      </c>
      <c r="F103" s="1616">
        <f t="shared" si="21"/>
        <v>1</v>
      </c>
      <c r="G103" s="940">
        <f t="shared" si="22"/>
        <v>3684.2105263157896</v>
      </c>
      <c r="H103" s="1617">
        <f t="shared" si="23"/>
        <v>3684.2105263157896</v>
      </c>
    </row>
    <row r="104" spans="1:8" x14ac:dyDescent="0.25">
      <c r="B104" s="938" t="str">
        <f t="shared" si="20"/>
        <v>Water - ماء</v>
      </c>
      <c r="C104" s="938" t="str">
        <f t="shared" si="20"/>
        <v>ml</v>
      </c>
      <c r="D104" s="938">
        <f t="shared" si="20"/>
        <v>250</v>
      </c>
      <c r="E104" s="1615">
        <f t="shared" si="24"/>
        <v>10.526315789473685</v>
      </c>
      <c r="F104" s="1616">
        <f t="shared" si="21"/>
        <v>1</v>
      </c>
      <c r="G104" s="940">
        <f t="shared" si="22"/>
        <v>2631.5789473684213</v>
      </c>
      <c r="H104" s="1617">
        <f t="shared" si="23"/>
        <v>2631.5789473684213</v>
      </c>
    </row>
    <row r="105" spans="1:8" x14ac:dyDescent="0.25">
      <c r="B105" s="938" t="str">
        <f t="shared" si="20"/>
        <v>Butter - زبدة</v>
      </c>
      <c r="C105" s="938" t="str">
        <f t="shared" si="20"/>
        <v>gm</v>
      </c>
      <c r="D105" s="938">
        <f t="shared" si="20"/>
        <v>50</v>
      </c>
      <c r="E105" s="1615">
        <f t="shared" si="24"/>
        <v>10.526315789473685</v>
      </c>
      <c r="F105" s="1616">
        <f t="shared" si="21"/>
        <v>1</v>
      </c>
      <c r="G105" s="940">
        <f t="shared" si="22"/>
        <v>526.31578947368428</v>
      </c>
      <c r="H105" s="1617">
        <f t="shared" si="23"/>
        <v>526.31578947368428</v>
      </c>
    </row>
    <row r="106" spans="1:8" x14ac:dyDescent="0.25">
      <c r="B106" s="938" t="str">
        <f t="shared" si="20"/>
        <v>Orange Color - لون برتقالي</v>
      </c>
      <c r="C106" s="938" t="str">
        <f t="shared" si="20"/>
        <v>gm</v>
      </c>
      <c r="D106" s="938">
        <f t="shared" si="20"/>
        <v>2</v>
      </c>
      <c r="E106" s="1615">
        <f t="shared" si="24"/>
        <v>10.526315789473685</v>
      </c>
      <c r="F106" s="1616">
        <f t="shared" si="21"/>
        <v>0.75</v>
      </c>
      <c r="G106" s="940">
        <f t="shared" si="22"/>
        <v>21.05263157894737</v>
      </c>
      <c r="H106" s="1617">
        <f t="shared" si="23"/>
        <v>15.789473684210527</v>
      </c>
    </row>
    <row r="107" spans="1:8" x14ac:dyDescent="0.25">
      <c r="B107" s="938" t="str">
        <f t="shared" si="20"/>
        <v>Kasuri Methi - ورق حلبة مجففة</v>
      </c>
      <c r="C107" s="938" t="str">
        <f t="shared" si="20"/>
        <v>gm</v>
      </c>
      <c r="D107" s="938">
        <f t="shared" si="20"/>
        <v>1</v>
      </c>
      <c r="E107" s="1615">
        <f t="shared" si="24"/>
        <v>10.526315789473685</v>
      </c>
      <c r="F107" s="1616">
        <f t="shared" si="21"/>
        <v>1</v>
      </c>
      <c r="G107" s="940">
        <f t="shared" si="22"/>
        <v>10.526315789473685</v>
      </c>
      <c r="H107" s="1617">
        <f t="shared" si="23"/>
        <v>10.526315789473685</v>
      </c>
    </row>
    <row r="108" spans="1:8" x14ac:dyDescent="0.25">
      <c r="B108" s="938" t="str">
        <f t="shared" si="20"/>
        <v>Black Pepper Whole - فلفل أسود حب</v>
      </c>
      <c r="C108" s="938" t="str">
        <f t="shared" si="20"/>
        <v>gm</v>
      </c>
      <c r="D108" s="938">
        <f t="shared" si="20"/>
        <v>1</v>
      </c>
      <c r="E108" s="1615">
        <f t="shared" si="24"/>
        <v>10.526315789473685</v>
      </c>
      <c r="F108" s="1616">
        <f t="shared" si="21"/>
        <v>1</v>
      </c>
      <c r="G108" s="940">
        <f t="shared" si="22"/>
        <v>10.526315789473685</v>
      </c>
      <c r="H108" s="1617">
        <f t="shared" si="23"/>
        <v>10.526315789473685</v>
      </c>
    </row>
    <row r="109" spans="1:8" x14ac:dyDescent="0.25">
      <c r="B109" s="938" t="str">
        <f t="shared" si="20"/>
        <v>Cumin Whole - كمون حب</v>
      </c>
      <c r="C109" s="938" t="str">
        <f t="shared" si="20"/>
        <v>gm</v>
      </c>
      <c r="D109" s="938">
        <f t="shared" si="20"/>
        <v>1</v>
      </c>
      <c r="E109" s="1615">
        <f t="shared" si="24"/>
        <v>10.526315789473685</v>
      </c>
      <c r="F109" s="1616">
        <f t="shared" si="21"/>
        <v>1</v>
      </c>
      <c r="G109" s="940">
        <f t="shared" si="22"/>
        <v>10.526315789473685</v>
      </c>
      <c r="H109" s="1617">
        <f t="shared" si="23"/>
        <v>10.526315789473685</v>
      </c>
    </row>
    <row r="110" spans="1:8" x14ac:dyDescent="0.25">
      <c r="B110" s="938" t="str">
        <f t="shared" si="20"/>
        <v>Cloves Whole - قرنفل حب</v>
      </c>
      <c r="C110" s="938" t="str">
        <f t="shared" si="20"/>
        <v>gm</v>
      </c>
      <c r="D110" s="938">
        <f t="shared" si="20"/>
        <v>1</v>
      </c>
      <c r="E110" s="1615">
        <f t="shared" si="24"/>
        <v>10.526315789473685</v>
      </c>
      <c r="F110" s="1616">
        <f t="shared" si="21"/>
        <v>1</v>
      </c>
      <c r="G110" s="940">
        <f t="shared" si="22"/>
        <v>10.526315789473685</v>
      </c>
      <c r="H110" s="1617">
        <f t="shared" si="23"/>
        <v>10.526315789473685</v>
      </c>
    </row>
    <row r="111" spans="1:8" x14ac:dyDescent="0.25">
      <c r="B111" s="938" t="str">
        <f t="shared" si="20"/>
        <v>Cinnamon Whole - قرفة أعواد</v>
      </c>
      <c r="C111" s="938" t="str">
        <f t="shared" si="20"/>
        <v>gm</v>
      </c>
      <c r="D111" s="938">
        <f t="shared" si="20"/>
        <v>0.5</v>
      </c>
      <c r="E111" s="1615">
        <f t="shared" si="24"/>
        <v>10.526315789473685</v>
      </c>
      <c r="F111" s="1616">
        <f t="shared" si="21"/>
        <v>1</v>
      </c>
      <c r="G111" s="940">
        <f t="shared" si="22"/>
        <v>5.2631578947368425</v>
      </c>
      <c r="H111" s="1617">
        <f t="shared" si="23"/>
        <v>5.2631578947368425</v>
      </c>
    </row>
    <row r="112" spans="1:8" x14ac:dyDescent="0.25">
      <c r="B112" s="938" t="str">
        <f t="shared" si="20"/>
        <v>Cardamom Whole - هيل حب</v>
      </c>
      <c r="C112" s="938" t="str">
        <f t="shared" si="20"/>
        <v>gm</v>
      </c>
      <c r="D112" s="938">
        <f t="shared" si="20"/>
        <v>0.5</v>
      </c>
      <c r="E112" s="1615">
        <f t="shared" si="24"/>
        <v>10.526315789473685</v>
      </c>
      <c r="F112" s="1616">
        <f t="shared" si="21"/>
        <v>1</v>
      </c>
      <c r="G112" s="940">
        <f t="shared" si="22"/>
        <v>5.2631578947368425</v>
      </c>
      <c r="H112" s="1617">
        <f t="shared" si="23"/>
        <v>5.2631578947368425</v>
      </c>
    </row>
    <row r="113" spans="1:8" x14ac:dyDescent="0.25">
      <c r="B113" s="938" t="str">
        <f t="shared" si="20"/>
        <v>Tomato Ketchup - كاتشب طماطم</v>
      </c>
      <c r="C113" s="938" t="str">
        <f t="shared" si="20"/>
        <v>ml</v>
      </c>
      <c r="D113" s="938">
        <f t="shared" si="20"/>
        <v>50</v>
      </c>
      <c r="E113" s="1615">
        <f t="shared" si="24"/>
        <v>10.526315789473685</v>
      </c>
      <c r="F113" s="1616">
        <f t="shared" si="21"/>
        <v>1</v>
      </c>
      <c r="G113" s="940">
        <f t="shared" si="22"/>
        <v>526.31578947368428</v>
      </c>
      <c r="H113" s="1617">
        <f t="shared" si="23"/>
        <v>526.31578947368428</v>
      </c>
    </row>
    <row r="114" spans="1:8" ht="18" x14ac:dyDescent="0.25">
      <c r="A114" s="861"/>
      <c r="B114" s="1622" t="s">
        <v>287</v>
      </c>
      <c r="C114" s="1042" t="s">
        <v>273</v>
      </c>
      <c r="D114" s="952"/>
      <c r="E114" s="1042" t="s">
        <v>288</v>
      </c>
      <c r="F114" s="952"/>
      <c r="G114" s="1045" t="s">
        <v>264</v>
      </c>
      <c r="H114" s="1045" t="s">
        <v>661</v>
      </c>
    </row>
    <row r="115" spans="1:8" ht="20.25" x14ac:dyDescent="0.3">
      <c r="A115" s="861"/>
      <c r="B115" s="1048">
        <f>$J$54</f>
        <v>13637.090909090908</v>
      </c>
      <c r="C115" s="1048">
        <f>E115+G115</f>
        <v>10000</v>
      </c>
      <c r="D115" s="1629"/>
      <c r="E115" s="1048">
        <f>$D$54*$S$44</f>
        <v>4090.909090909091</v>
      </c>
      <c r="F115" s="1050"/>
      <c r="G115" s="1048">
        <f>$D$54*$T$44</f>
        <v>5909.090909090909</v>
      </c>
      <c r="H115" s="1048">
        <f>B115+E115</f>
        <v>17728</v>
      </c>
    </row>
    <row r="116" spans="1:8" ht="18" x14ac:dyDescent="0.25">
      <c r="B116" s="959"/>
      <c r="C116" s="1688"/>
      <c r="D116" s="1688"/>
      <c r="E116" s="1688"/>
      <c r="F116" s="1688"/>
      <c r="G116" s="1688"/>
      <c r="H116" s="1688"/>
    </row>
    <row r="117" spans="1:8" x14ac:dyDescent="0.25">
      <c r="A117" s="868"/>
      <c r="B117" s="1776" t="str">
        <f>"دجاج هندي بالزبدة  3 / " &amp; COUNTIF($C$53:$C$55, "&gt;0")</f>
        <v>دجاج هندي بالزبدة  3 / 3</v>
      </c>
      <c r="C117" s="1777"/>
      <c r="D117" s="1777"/>
      <c r="E117" s="1777"/>
      <c r="F117" s="1777"/>
      <c r="G117" s="1777"/>
      <c r="H117" s="1777"/>
    </row>
    <row r="118" spans="1:8" x14ac:dyDescent="0.25">
      <c r="A118" s="868"/>
      <c r="B118" s="1842" t="str">
        <f>"Butter Chicken 3 / " &amp; COUNTIF($C$53:$C$55, "&gt;0")</f>
        <v>Butter Chicken 3 / 3</v>
      </c>
      <c r="C118" s="1843"/>
      <c r="D118" s="1843"/>
      <c r="E118" s="1843"/>
      <c r="F118" s="1843"/>
      <c r="G118" s="1843"/>
      <c r="H118" s="1843"/>
    </row>
    <row r="119" spans="1:8" ht="25.5" x14ac:dyDescent="0.2">
      <c r="A119" s="872"/>
      <c r="B119" s="1104" t="s">
        <v>241</v>
      </c>
      <c r="C119" s="934" t="s">
        <v>242</v>
      </c>
      <c r="D119" s="1104" t="s">
        <v>231</v>
      </c>
      <c r="E119" s="936" t="s">
        <v>234</v>
      </c>
      <c r="F119" s="936" t="s">
        <v>243</v>
      </c>
      <c r="G119" s="1104" t="s">
        <v>244</v>
      </c>
      <c r="H119" s="936" t="s">
        <v>245</v>
      </c>
    </row>
    <row r="120" spans="1:8" ht="14.25" x14ac:dyDescent="0.2">
      <c r="A120" s="235" t="s">
        <v>891</v>
      </c>
      <c r="B120" s="938" t="str">
        <f t="shared" ref="B120:D140" si="25">B5</f>
        <v>Chicken - دجاج</v>
      </c>
      <c r="C120" s="938" t="str">
        <f t="shared" si="25"/>
        <v>gm</v>
      </c>
      <c r="D120" s="938">
        <f t="shared" si="25"/>
        <v>2311.3713405238827</v>
      </c>
      <c r="E120" s="1621">
        <f>H55</f>
        <v>0.8362254013119319</v>
      </c>
      <c r="F120" s="1616">
        <f t="shared" ref="F120:F140" si="26">F5</f>
        <v>1</v>
      </c>
      <c r="G120" s="940">
        <f t="shared" ref="G120:G140" si="27">D120*E120</f>
        <v>1932.8274268104819</v>
      </c>
      <c r="H120" s="1617">
        <f t="shared" ref="H120:H140" si="28">G120*F120</f>
        <v>1932.8274268104819</v>
      </c>
    </row>
    <row r="121" spans="1:8" x14ac:dyDescent="0.25">
      <c r="A121" s="1" t="s">
        <v>866</v>
      </c>
      <c r="B121" s="938" t="str">
        <f t="shared" si="25"/>
        <v>Onion - بصل</v>
      </c>
      <c r="C121" s="938" t="str">
        <f t="shared" si="25"/>
        <v>gm</v>
      </c>
      <c r="D121" s="938">
        <f t="shared" si="25"/>
        <v>80</v>
      </c>
      <c r="E121" s="1621">
        <f t="shared" ref="E121:E140" si="29">$C$55</f>
        <v>0.89696491228069775</v>
      </c>
      <c r="F121" s="1616">
        <f t="shared" si="26"/>
        <v>1</v>
      </c>
      <c r="G121" s="940">
        <f t="shared" si="27"/>
        <v>71.75719298245582</v>
      </c>
      <c r="H121" s="1617">
        <f t="shared" si="28"/>
        <v>71.75719298245582</v>
      </c>
    </row>
    <row r="122" spans="1:8" x14ac:dyDescent="0.25">
      <c r="A122" s="1" t="s">
        <v>870</v>
      </c>
      <c r="B122" s="938" t="str">
        <f t="shared" si="25"/>
        <v>Tomato - طماطم</v>
      </c>
      <c r="C122" s="938" t="str">
        <f t="shared" si="25"/>
        <v>gm</v>
      </c>
      <c r="D122" s="938">
        <f t="shared" si="25"/>
        <v>400</v>
      </c>
      <c r="E122" s="1621">
        <f t="shared" si="29"/>
        <v>0.89696491228069775</v>
      </c>
      <c r="F122" s="1616">
        <f t="shared" si="26"/>
        <v>1</v>
      </c>
      <c r="G122" s="940">
        <f t="shared" si="27"/>
        <v>358.7859649122791</v>
      </c>
      <c r="H122" s="1617">
        <f t="shared" si="28"/>
        <v>358.7859649122791</v>
      </c>
    </row>
    <row r="123" spans="1:8" x14ac:dyDescent="0.25">
      <c r="B123" s="938" t="str">
        <f t="shared" si="25"/>
        <v>Cashew Nut - كاجو</v>
      </c>
      <c r="C123" s="938" t="str">
        <f t="shared" si="25"/>
        <v>gm</v>
      </c>
      <c r="D123" s="938">
        <f t="shared" si="25"/>
        <v>50</v>
      </c>
      <c r="E123" s="1621">
        <f t="shared" si="29"/>
        <v>0.89696491228069775</v>
      </c>
      <c r="F123" s="1616">
        <f t="shared" si="26"/>
        <v>0.5</v>
      </c>
      <c r="G123" s="940">
        <f t="shared" si="27"/>
        <v>44.848245614034887</v>
      </c>
      <c r="H123" s="1617">
        <f t="shared" si="28"/>
        <v>22.424122807017444</v>
      </c>
    </row>
    <row r="124" spans="1:8" ht="25.5" x14ac:dyDescent="0.25">
      <c r="B124" s="938" t="str">
        <f t="shared" si="25"/>
        <v>Kashmiri Red Chilli Whole - فلفل كشميري أحمر كامل</v>
      </c>
      <c r="C124" s="938" t="str">
        <f t="shared" si="25"/>
        <v>gm</v>
      </c>
      <c r="D124" s="938">
        <f t="shared" si="25"/>
        <v>5</v>
      </c>
      <c r="E124" s="1621">
        <f t="shared" si="29"/>
        <v>0.89696491228069775</v>
      </c>
      <c r="F124" s="1616">
        <f t="shared" si="26"/>
        <v>0.75</v>
      </c>
      <c r="G124" s="940">
        <f t="shared" si="27"/>
        <v>4.4848245614034887</v>
      </c>
      <c r="H124" s="1617">
        <f t="shared" si="28"/>
        <v>3.3636184210526165</v>
      </c>
    </row>
    <row r="125" spans="1:8" x14ac:dyDescent="0.25">
      <c r="A125" s="1" t="s">
        <v>867</v>
      </c>
      <c r="B125" s="938" t="str">
        <f t="shared" si="25"/>
        <v>Ginger - زنجبيل</v>
      </c>
      <c r="C125" s="938" t="str">
        <f t="shared" si="25"/>
        <v>gm</v>
      </c>
      <c r="D125" s="938">
        <f t="shared" si="25"/>
        <v>5</v>
      </c>
      <c r="E125" s="1621">
        <f t="shared" si="29"/>
        <v>0.89696491228069775</v>
      </c>
      <c r="F125" s="1616">
        <f t="shared" si="26"/>
        <v>1</v>
      </c>
      <c r="G125" s="940">
        <f t="shared" si="27"/>
        <v>4.4848245614034887</v>
      </c>
      <c r="H125" s="1617">
        <f t="shared" si="28"/>
        <v>4.4848245614034887</v>
      </c>
    </row>
    <row r="126" spans="1:8" x14ac:dyDescent="0.25">
      <c r="A126" s="1" t="s">
        <v>868</v>
      </c>
      <c r="B126" s="938" t="str">
        <f t="shared" si="25"/>
        <v>Garlic - ثوم مقشر</v>
      </c>
      <c r="C126" s="938" t="str">
        <f t="shared" si="25"/>
        <v>gm</v>
      </c>
      <c r="D126" s="938">
        <f t="shared" si="25"/>
        <v>20</v>
      </c>
      <c r="E126" s="1621">
        <f t="shared" si="29"/>
        <v>0.89696491228069775</v>
      </c>
      <c r="F126" s="1616">
        <f t="shared" si="26"/>
        <v>1</v>
      </c>
      <c r="G126" s="940">
        <f t="shared" si="27"/>
        <v>17.939298245613955</v>
      </c>
      <c r="H126" s="1617">
        <f t="shared" si="28"/>
        <v>17.939298245613955</v>
      </c>
    </row>
    <row r="127" spans="1:8" x14ac:dyDescent="0.25">
      <c r="A127" s="1" t="s">
        <v>869</v>
      </c>
      <c r="B127" s="938" t="str">
        <f t="shared" si="25"/>
        <v>Coriander Leaves - كزبرة خضراء</v>
      </c>
      <c r="C127" s="938" t="str">
        <f t="shared" si="25"/>
        <v>gm</v>
      </c>
      <c r="D127" s="938">
        <f t="shared" si="25"/>
        <v>10</v>
      </c>
      <c r="E127" s="1621">
        <f t="shared" si="29"/>
        <v>0.89696491228069775</v>
      </c>
      <c r="F127" s="1616">
        <f t="shared" si="26"/>
        <v>1</v>
      </c>
      <c r="G127" s="940">
        <f t="shared" si="27"/>
        <v>8.9696491228069775</v>
      </c>
      <c r="H127" s="1617">
        <f t="shared" si="28"/>
        <v>8.9696491228069775</v>
      </c>
    </row>
    <row r="128" spans="1:8" x14ac:dyDescent="0.25">
      <c r="B128" s="938" t="str">
        <f t="shared" si="25"/>
        <v>Honey - عسل</v>
      </c>
      <c r="C128" s="938" t="str">
        <f t="shared" si="25"/>
        <v>gm</v>
      </c>
      <c r="D128" s="938">
        <f t="shared" si="25"/>
        <v>30</v>
      </c>
      <c r="E128" s="1621">
        <f t="shared" si="29"/>
        <v>0.89696491228069775</v>
      </c>
      <c r="F128" s="1616">
        <f t="shared" si="26"/>
        <v>1</v>
      </c>
      <c r="G128" s="940">
        <f t="shared" si="27"/>
        <v>26.908947368420932</v>
      </c>
      <c r="H128" s="1617">
        <f t="shared" si="28"/>
        <v>26.908947368420932</v>
      </c>
    </row>
    <row r="129" spans="1:8" x14ac:dyDescent="0.25">
      <c r="B129" s="938" t="str">
        <f t="shared" si="25"/>
        <v>Salt - ملح</v>
      </c>
      <c r="C129" s="938" t="str">
        <f t="shared" si="25"/>
        <v>gm</v>
      </c>
      <c r="D129" s="938">
        <f t="shared" si="25"/>
        <v>13</v>
      </c>
      <c r="E129" s="1621">
        <f t="shared" si="29"/>
        <v>0.89696491228069775</v>
      </c>
      <c r="F129" s="1616">
        <f t="shared" si="26"/>
        <v>0.75</v>
      </c>
      <c r="G129" s="940">
        <f t="shared" si="27"/>
        <v>11.660543859649071</v>
      </c>
      <c r="H129" s="1617">
        <f t="shared" si="28"/>
        <v>8.7454078947368039</v>
      </c>
    </row>
    <row r="130" spans="1:8" x14ac:dyDescent="0.25">
      <c r="B130" s="938" t="str">
        <f t="shared" si="25"/>
        <v>Cooking Cream - كريمة طبخ</v>
      </c>
      <c r="C130" s="938" t="str">
        <f t="shared" si="25"/>
        <v>ml</v>
      </c>
      <c r="D130" s="938">
        <f t="shared" si="25"/>
        <v>350</v>
      </c>
      <c r="E130" s="1621">
        <f t="shared" si="29"/>
        <v>0.89696491228069775</v>
      </c>
      <c r="F130" s="1616">
        <f t="shared" si="26"/>
        <v>1</v>
      </c>
      <c r="G130" s="940">
        <f t="shared" si="27"/>
        <v>313.93771929824419</v>
      </c>
      <c r="H130" s="1617">
        <f t="shared" si="28"/>
        <v>313.93771929824419</v>
      </c>
    </row>
    <row r="131" spans="1:8" x14ac:dyDescent="0.25">
      <c r="B131" s="938" t="str">
        <f t="shared" si="25"/>
        <v>Water - ماء</v>
      </c>
      <c r="C131" s="938" t="str">
        <f t="shared" si="25"/>
        <v>ml</v>
      </c>
      <c r="D131" s="938">
        <f t="shared" si="25"/>
        <v>250</v>
      </c>
      <c r="E131" s="1621">
        <f t="shared" si="29"/>
        <v>0.89696491228069775</v>
      </c>
      <c r="F131" s="1616">
        <f t="shared" si="26"/>
        <v>1</v>
      </c>
      <c r="G131" s="940">
        <f t="shared" si="27"/>
        <v>224.24122807017443</v>
      </c>
      <c r="H131" s="1617">
        <f t="shared" si="28"/>
        <v>224.24122807017443</v>
      </c>
    </row>
    <row r="132" spans="1:8" x14ac:dyDescent="0.25">
      <c r="B132" s="938" t="str">
        <f t="shared" si="25"/>
        <v>Butter - زبدة</v>
      </c>
      <c r="C132" s="938" t="str">
        <f t="shared" si="25"/>
        <v>gm</v>
      </c>
      <c r="D132" s="938">
        <f t="shared" si="25"/>
        <v>50</v>
      </c>
      <c r="E132" s="1621">
        <f t="shared" si="29"/>
        <v>0.89696491228069775</v>
      </c>
      <c r="F132" s="1616">
        <f t="shared" si="26"/>
        <v>1</v>
      </c>
      <c r="G132" s="940">
        <f t="shared" si="27"/>
        <v>44.848245614034887</v>
      </c>
      <c r="H132" s="1617">
        <f t="shared" si="28"/>
        <v>44.848245614034887</v>
      </c>
    </row>
    <row r="133" spans="1:8" x14ac:dyDescent="0.25">
      <c r="B133" s="938" t="str">
        <f t="shared" si="25"/>
        <v>Orange Color - لون برتقالي</v>
      </c>
      <c r="C133" s="938" t="str">
        <f t="shared" si="25"/>
        <v>gm</v>
      </c>
      <c r="D133" s="938">
        <f t="shared" si="25"/>
        <v>2</v>
      </c>
      <c r="E133" s="1621">
        <f t="shared" si="29"/>
        <v>0.89696491228069775</v>
      </c>
      <c r="F133" s="1616">
        <f t="shared" si="26"/>
        <v>0.75</v>
      </c>
      <c r="G133" s="940">
        <f t="shared" si="27"/>
        <v>1.7939298245613955</v>
      </c>
      <c r="H133" s="1617">
        <f t="shared" si="28"/>
        <v>1.3454473684210466</v>
      </c>
    </row>
    <row r="134" spans="1:8" x14ac:dyDescent="0.25">
      <c r="B134" s="938" t="str">
        <f t="shared" si="25"/>
        <v>Kasuri Methi - ورق حلبة مجففة</v>
      </c>
      <c r="C134" s="938" t="str">
        <f t="shared" si="25"/>
        <v>gm</v>
      </c>
      <c r="D134" s="938">
        <f t="shared" si="25"/>
        <v>1</v>
      </c>
      <c r="E134" s="1621">
        <f t="shared" si="29"/>
        <v>0.89696491228069775</v>
      </c>
      <c r="F134" s="1616">
        <f t="shared" si="26"/>
        <v>1</v>
      </c>
      <c r="G134" s="940">
        <f t="shared" si="27"/>
        <v>0.89696491228069775</v>
      </c>
      <c r="H134" s="1617">
        <f t="shared" si="28"/>
        <v>0.89696491228069775</v>
      </c>
    </row>
    <row r="135" spans="1:8" x14ac:dyDescent="0.25">
      <c r="B135" s="938" t="str">
        <f t="shared" si="25"/>
        <v>Black Pepper Whole - فلفل أسود حب</v>
      </c>
      <c r="C135" s="938" t="str">
        <f t="shared" si="25"/>
        <v>gm</v>
      </c>
      <c r="D135" s="938">
        <f t="shared" si="25"/>
        <v>1</v>
      </c>
      <c r="E135" s="1621">
        <f t="shared" si="29"/>
        <v>0.89696491228069775</v>
      </c>
      <c r="F135" s="1616">
        <f t="shared" si="26"/>
        <v>1</v>
      </c>
      <c r="G135" s="940">
        <f t="shared" si="27"/>
        <v>0.89696491228069775</v>
      </c>
      <c r="H135" s="1617">
        <f t="shared" si="28"/>
        <v>0.89696491228069775</v>
      </c>
    </row>
    <row r="136" spans="1:8" x14ac:dyDescent="0.25">
      <c r="B136" s="938" t="str">
        <f t="shared" si="25"/>
        <v>Cumin Whole - كمون حب</v>
      </c>
      <c r="C136" s="938" t="str">
        <f t="shared" si="25"/>
        <v>gm</v>
      </c>
      <c r="D136" s="938">
        <f t="shared" si="25"/>
        <v>1</v>
      </c>
      <c r="E136" s="1621">
        <f t="shared" si="29"/>
        <v>0.89696491228069775</v>
      </c>
      <c r="F136" s="1616">
        <f t="shared" si="26"/>
        <v>1</v>
      </c>
      <c r="G136" s="940">
        <f t="shared" si="27"/>
        <v>0.89696491228069775</v>
      </c>
      <c r="H136" s="1617">
        <f t="shared" si="28"/>
        <v>0.89696491228069775</v>
      </c>
    </row>
    <row r="137" spans="1:8" x14ac:dyDescent="0.25">
      <c r="B137" s="938" t="str">
        <f t="shared" si="25"/>
        <v>Cloves Whole - قرنفل حب</v>
      </c>
      <c r="C137" s="938" t="str">
        <f t="shared" si="25"/>
        <v>gm</v>
      </c>
      <c r="D137" s="938">
        <f t="shared" si="25"/>
        <v>1</v>
      </c>
      <c r="E137" s="1621">
        <f t="shared" si="29"/>
        <v>0.89696491228069775</v>
      </c>
      <c r="F137" s="1616">
        <f t="shared" si="26"/>
        <v>1</v>
      </c>
      <c r="G137" s="940">
        <f t="shared" si="27"/>
        <v>0.89696491228069775</v>
      </c>
      <c r="H137" s="1617">
        <f t="shared" si="28"/>
        <v>0.89696491228069775</v>
      </c>
    </row>
    <row r="138" spans="1:8" x14ac:dyDescent="0.25">
      <c r="B138" s="938" t="str">
        <f t="shared" si="25"/>
        <v>Cinnamon Whole - قرفة أعواد</v>
      </c>
      <c r="C138" s="938" t="str">
        <f t="shared" si="25"/>
        <v>gm</v>
      </c>
      <c r="D138" s="938">
        <f t="shared" si="25"/>
        <v>0.5</v>
      </c>
      <c r="E138" s="1621">
        <f t="shared" si="29"/>
        <v>0.89696491228069775</v>
      </c>
      <c r="F138" s="1616">
        <f t="shared" si="26"/>
        <v>1</v>
      </c>
      <c r="G138" s="940">
        <f t="shared" si="27"/>
        <v>0.44848245614034887</v>
      </c>
      <c r="H138" s="1617">
        <f t="shared" si="28"/>
        <v>0.44848245614034887</v>
      </c>
    </row>
    <row r="139" spans="1:8" x14ac:dyDescent="0.25">
      <c r="B139" s="938" t="str">
        <f t="shared" si="25"/>
        <v>Cardamom Whole - هيل حب</v>
      </c>
      <c r="C139" s="938" t="str">
        <f t="shared" si="25"/>
        <v>gm</v>
      </c>
      <c r="D139" s="938">
        <f t="shared" si="25"/>
        <v>0.5</v>
      </c>
      <c r="E139" s="1621">
        <f t="shared" si="29"/>
        <v>0.89696491228069775</v>
      </c>
      <c r="F139" s="1616">
        <f t="shared" si="26"/>
        <v>1</v>
      </c>
      <c r="G139" s="940">
        <f t="shared" si="27"/>
        <v>0.44848245614034887</v>
      </c>
      <c r="H139" s="1617">
        <f t="shared" si="28"/>
        <v>0.44848245614034887</v>
      </c>
    </row>
    <row r="140" spans="1:8" x14ac:dyDescent="0.25">
      <c r="B140" s="938" t="str">
        <f t="shared" si="25"/>
        <v>Tomato Ketchup - كاتشب طماطم</v>
      </c>
      <c r="C140" s="938" t="str">
        <f t="shared" si="25"/>
        <v>ml</v>
      </c>
      <c r="D140" s="938">
        <f t="shared" si="25"/>
        <v>50</v>
      </c>
      <c r="E140" s="1621">
        <f t="shared" si="29"/>
        <v>0.89696491228069775</v>
      </c>
      <c r="F140" s="1616">
        <f t="shared" si="26"/>
        <v>1</v>
      </c>
      <c r="G140" s="940">
        <f t="shared" si="27"/>
        <v>44.848245614034887</v>
      </c>
      <c r="H140" s="1617">
        <f t="shared" si="28"/>
        <v>44.848245614034887</v>
      </c>
    </row>
    <row r="141" spans="1:8" ht="18" x14ac:dyDescent="0.25">
      <c r="A141" s="861"/>
      <c r="B141" s="1622" t="s">
        <v>287</v>
      </c>
      <c r="C141" s="1042" t="s">
        <v>273</v>
      </c>
      <c r="D141" s="952"/>
      <c r="E141" s="1042" t="s">
        <v>288</v>
      </c>
      <c r="F141" s="952"/>
      <c r="G141" s="1045" t="s">
        <v>264</v>
      </c>
      <c r="H141" s="1045" t="s">
        <v>661</v>
      </c>
    </row>
    <row r="142" spans="1:8" ht="20.25" x14ac:dyDescent="0.3">
      <c r="A142" s="861"/>
      <c r="B142" s="1048">
        <f>$J$55</f>
        <v>1140.3681818181831</v>
      </c>
      <c r="C142" s="1048">
        <f>E142+G142</f>
        <v>852.11666666666292</v>
      </c>
      <c r="D142" s="1629"/>
      <c r="E142" s="1048">
        <f>$D$55*$S$44</f>
        <v>348.59318181818026</v>
      </c>
      <c r="F142" s="1050"/>
      <c r="G142" s="1048">
        <f>$D$55*$T$44</f>
        <v>503.52348484848261</v>
      </c>
      <c r="H142" s="1048">
        <f>B142+E142</f>
        <v>1488.9613636363633</v>
      </c>
    </row>
    <row r="143" spans="1:8" x14ac:dyDescent="0.25">
      <c r="B143" s="959"/>
      <c r="C143" s="959"/>
      <c r="D143" s="959"/>
      <c r="E143" s="959"/>
      <c r="F143" s="959"/>
      <c r="G143" s="959"/>
      <c r="H143" s="959"/>
    </row>
    <row r="144" spans="1:8" x14ac:dyDescent="0.25">
      <c r="A144" s="868"/>
      <c r="B144" s="1776" t="str">
        <f>"دجاج هندي بالزبدة  4 / " &amp; COUNTIF($C$53:$C$55, "&gt;0")</f>
        <v>دجاج هندي بالزبدة  4 / 3</v>
      </c>
      <c r="C144" s="1777"/>
      <c r="D144" s="1777"/>
      <c r="E144" s="1777"/>
      <c r="F144" s="1777"/>
      <c r="G144" s="1777"/>
      <c r="H144" s="1777"/>
    </row>
    <row r="145" spans="1:8" x14ac:dyDescent="0.25">
      <c r="A145" s="868"/>
      <c r="B145" s="1842" t="str">
        <f>"Butter Chicken 4 / " &amp; COUNTIF($C$53:$C$55, "&gt;0")</f>
        <v>Butter Chicken 4 / 3</v>
      </c>
      <c r="C145" s="1843"/>
      <c r="D145" s="1843"/>
      <c r="E145" s="1843"/>
      <c r="F145" s="1843"/>
      <c r="G145" s="1843"/>
      <c r="H145" s="1843"/>
    </row>
    <row r="146" spans="1:8" ht="25.5" x14ac:dyDescent="0.2">
      <c r="A146" s="872"/>
      <c r="B146" s="1104" t="s">
        <v>241</v>
      </c>
      <c r="C146" s="934" t="s">
        <v>242</v>
      </c>
      <c r="D146" s="1104" t="s">
        <v>231</v>
      </c>
      <c r="E146" s="936" t="s">
        <v>234</v>
      </c>
      <c r="F146" s="936" t="s">
        <v>243</v>
      </c>
      <c r="G146" s="1104" t="s">
        <v>244</v>
      </c>
      <c r="H146" s="936" t="s">
        <v>245</v>
      </c>
    </row>
    <row r="147" spans="1:8" ht="14.25" x14ac:dyDescent="0.2">
      <c r="A147" s="235" t="s">
        <v>891</v>
      </c>
      <c r="B147" s="938" t="str">
        <f>B5</f>
        <v>Chicken - دجاج</v>
      </c>
      <c r="C147" s="938" t="str">
        <f t="shared" ref="C147:D147" si="30">C5</f>
        <v>gm</v>
      </c>
      <c r="D147" s="938">
        <f t="shared" si="30"/>
        <v>2311.3713405238827</v>
      </c>
      <c r="E147" s="1621">
        <f>H56</f>
        <v>0</v>
      </c>
      <c r="F147" s="1616">
        <f>F5</f>
        <v>1</v>
      </c>
      <c r="G147" s="940">
        <f t="shared" ref="G147:G167" si="31">D147*E147</f>
        <v>0</v>
      </c>
      <c r="H147" s="1617">
        <f t="shared" ref="H147:H167" si="32">G147*F147</f>
        <v>0</v>
      </c>
    </row>
    <row r="148" spans="1:8" x14ac:dyDescent="0.25">
      <c r="A148" s="1" t="s">
        <v>866</v>
      </c>
      <c r="B148" s="938" t="str">
        <f t="shared" ref="B148:D148" si="33">B6</f>
        <v>Onion - بصل</v>
      </c>
      <c r="C148" s="938" t="str">
        <f t="shared" si="33"/>
        <v>gm</v>
      </c>
      <c r="D148" s="938">
        <f t="shared" si="33"/>
        <v>80</v>
      </c>
      <c r="E148" s="1621">
        <f>$C$56</f>
        <v>0</v>
      </c>
      <c r="F148" s="1616">
        <f t="shared" ref="F148:F167" si="34">F6</f>
        <v>1</v>
      </c>
      <c r="G148" s="940">
        <f t="shared" si="31"/>
        <v>0</v>
      </c>
      <c r="H148" s="1617">
        <f t="shared" si="32"/>
        <v>0</v>
      </c>
    </row>
    <row r="149" spans="1:8" x14ac:dyDescent="0.25">
      <c r="A149" s="1" t="s">
        <v>870</v>
      </c>
      <c r="B149" s="938" t="str">
        <f t="shared" ref="B149:D149" si="35">B7</f>
        <v>Tomato - طماطم</v>
      </c>
      <c r="C149" s="938" t="str">
        <f t="shared" si="35"/>
        <v>gm</v>
      </c>
      <c r="D149" s="938">
        <f t="shared" si="35"/>
        <v>400</v>
      </c>
      <c r="E149" s="1621">
        <f t="shared" ref="E149:E167" si="36">$C$56</f>
        <v>0</v>
      </c>
      <c r="F149" s="1616">
        <f t="shared" si="34"/>
        <v>1</v>
      </c>
      <c r="G149" s="940">
        <f t="shared" si="31"/>
        <v>0</v>
      </c>
      <c r="H149" s="1617">
        <f t="shared" si="32"/>
        <v>0</v>
      </c>
    </row>
    <row r="150" spans="1:8" x14ac:dyDescent="0.25">
      <c r="B150" s="938" t="str">
        <f t="shared" ref="B150:D150" si="37">B8</f>
        <v>Cashew Nut - كاجو</v>
      </c>
      <c r="C150" s="938" t="str">
        <f t="shared" si="37"/>
        <v>gm</v>
      </c>
      <c r="D150" s="938">
        <f t="shared" si="37"/>
        <v>50</v>
      </c>
      <c r="E150" s="1621">
        <f t="shared" si="36"/>
        <v>0</v>
      </c>
      <c r="F150" s="1616">
        <f t="shared" si="34"/>
        <v>0.5</v>
      </c>
      <c r="G150" s="940">
        <f t="shared" si="31"/>
        <v>0</v>
      </c>
      <c r="H150" s="1617">
        <f t="shared" si="32"/>
        <v>0</v>
      </c>
    </row>
    <row r="151" spans="1:8" ht="25.5" x14ac:dyDescent="0.25">
      <c r="B151" s="938" t="str">
        <f t="shared" ref="B151:D151" si="38">B9</f>
        <v>Kashmiri Red Chilli Whole - فلفل كشميري أحمر كامل</v>
      </c>
      <c r="C151" s="938" t="str">
        <f t="shared" si="38"/>
        <v>gm</v>
      </c>
      <c r="D151" s="938">
        <f t="shared" si="38"/>
        <v>5</v>
      </c>
      <c r="E151" s="1621">
        <f t="shared" si="36"/>
        <v>0</v>
      </c>
      <c r="F151" s="1616">
        <f t="shared" si="34"/>
        <v>0.75</v>
      </c>
      <c r="G151" s="940">
        <f t="shared" si="31"/>
        <v>0</v>
      </c>
      <c r="H151" s="1617">
        <f t="shared" si="32"/>
        <v>0</v>
      </c>
    </row>
    <row r="152" spans="1:8" x14ac:dyDescent="0.25">
      <c r="A152" s="1" t="s">
        <v>867</v>
      </c>
      <c r="B152" s="938" t="str">
        <f t="shared" ref="B152:D152" si="39">B10</f>
        <v>Ginger - زنجبيل</v>
      </c>
      <c r="C152" s="938" t="str">
        <f t="shared" si="39"/>
        <v>gm</v>
      </c>
      <c r="D152" s="938">
        <f t="shared" si="39"/>
        <v>5</v>
      </c>
      <c r="E152" s="1621">
        <f t="shared" si="36"/>
        <v>0</v>
      </c>
      <c r="F152" s="1616">
        <f t="shared" si="34"/>
        <v>1</v>
      </c>
      <c r="G152" s="940">
        <f t="shared" si="31"/>
        <v>0</v>
      </c>
      <c r="H152" s="1617">
        <f t="shared" si="32"/>
        <v>0</v>
      </c>
    </row>
    <row r="153" spans="1:8" x14ac:dyDescent="0.25">
      <c r="A153" s="1" t="s">
        <v>868</v>
      </c>
      <c r="B153" s="938" t="str">
        <f t="shared" ref="B153:D153" si="40">B11</f>
        <v>Garlic - ثوم مقشر</v>
      </c>
      <c r="C153" s="938" t="str">
        <f t="shared" si="40"/>
        <v>gm</v>
      </c>
      <c r="D153" s="938">
        <f t="shared" si="40"/>
        <v>20</v>
      </c>
      <c r="E153" s="1621">
        <f t="shared" si="36"/>
        <v>0</v>
      </c>
      <c r="F153" s="1616">
        <f t="shared" si="34"/>
        <v>1</v>
      </c>
      <c r="G153" s="940">
        <f t="shared" si="31"/>
        <v>0</v>
      </c>
      <c r="H153" s="1617">
        <f t="shared" si="32"/>
        <v>0</v>
      </c>
    </row>
    <row r="154" spans="1:8" x14ac:dyDescent="0.25">
      <c r="A154" s="1" t="s">
        <v>869</v>
      </c>
      <c r="B154" s="938" t="str">
        <f t="shared" ref="B154:D154" si="41">B12</f>
        <v>Coriander Leaves - كزبرة خضراء</v>
      </c>
      <c r="C154" s="938" t="str">
        <f t="shared" si="41"/>
        <v>gm</v>
      </c>
      <c r="D154" s="938">
        <f t="shared" si="41"/>
        <v>10</v>
      </c>
      <c r="E154" s="1621">
        <f t="shared" si="36"/>
        <v>0</v>
      </c>
      <c r="F154" s="1616">
        <f t="shared" si="34"/>
        <v>1</v>
      </c>
      <c r="G154" s="940">
        <f t="shared" si="31"/>
        <v>0</v>
      </c>
      <c r="H154" s="1617">
        <f t="shared" si="32"/>
        <v>0</v>
      </c>
    </row>
    <row r="155" spans="1:8" x14ac:dyDescent="0.25">
      <c r="B155" s="938" t="str">
        <f t="shared" ref="B155:D155" si="42">B13</f>
        <v>Honey - عسل</v>
      </c>
      <c r="C155" s="938" t="str">
        <f t="shared" si="42"/>
        <v>gm</v>
      </c>
      <c r="D155" s="938">
        <f t="shared" si="42"/>
        <v>30</v>
      </c>
      <c r="E155" s="1621">
        <f t="shared" si="36"/>
        <v>0</v>
      </c>
      <c r="F155" s="1616">
        <f t="shared" si="34"/>
        <v>1</v>
      </c>
      <c r="G155" s="940">
        <f t="shared" si="31"/>
        <v>0</v>
      </c>
      <c r="H155" s="1617">
        <f t="shared" si="32"/>
        <v>0</v>
      </c>
    </row>
    <row r="156" spans="1:8" x14ac:dyDescent="0.25">
      <c r="B156" s="938" t="str">
        <f t="shared" ref="B156:D156" si="43">B14</f>
        <v>Salt - ملح</v>
      </c>
      <c r="C156" s="938" t="str">
        <f t="shared" si="43"/>
        <v>gm</v>
      </c>
      <c r="D156" s="938">
        <f t="shared" si="43"/>
        <v>13</v>
      </c>
      <c r="E156" s="1621">
        <f t="shared" si="36"/>
        <v>0</v>
      </c>
      <c r="F156" s="1616">
        <f t="shared" si="34"/>
        <v>0.75</v>
      </c>
      <c r="G156" s="940">
        <f t="shared" si="31"/>
        <v>0</v>
      </c>
      <c r="H156" s="1617">
        <f t="shared" si="32"/>
        <v>0</v>
      </c>
    </row>
    <row r="157" spans="1:8" x14ac:dyDescent="0.25">
      <c r="B157" s="938" t="str">
        <f t="shared" ref="B157:D157" si="44">B15</f>
        <v>Cooking Cream - كريمة طبخ</v>
      </c>
      <c r="C157" s="938" t="str">
        <f t="shared" si="44"/>
        <v>ml</v>
      </c>
      <c r="D157" s="938">
        <f t="shared" si="44"/>
        <v>350</v>
      </c>
      <c r="E157" s="1621">
        <f t="shared" si="36"/>
        <v>0</v>
      </c>
      <c r="F157" s="1616">
        <f t="shared" si="34"/>
        <v>1</v>
      </c>
      <c r="G157" s="940">
        <f t="shared" si="31"/>
        <v>0</v>
      </c>
      <c r="H157" s="1617">
        <f t="shared" si="32"/>
        <v>0</v>
      </c>
    </row>
    <row r="158" spans="1:8" x14ac:dyDescent="0.25">
      <c r="B158" s="938" t="str">
        <f t="shared" ref="B158:D158" si="45">B16</f>
        <v>Water - ماء</v>
      </c>
      <c r="C158" s="938" t="str">
        <f t="shared" si="45"/>
        <v>ml</v>
      </c>
      <c r="D158" s="938">
        <f t="shared" si="45"/>
        <v>250</v>
      </c>
      <c r="E158" s="1621">
        <f t="shared" si="36"/>
        <v>0</v>
      </c>
      <c r="F158" s="1616">
        <f t="shared" si="34"/>
        <v>1</v>
      </c>
      <c r="G158" s="940">
        <f t="shared" si="31"/>
        <v>0</v>
      </c>
      <c r="H158" s="1617">
        <f t="shared" si="32"/>
        <v>0</v>
      </c>
    </row>
    <row r="159" spans="1:8" x14ac:dyDescent="0.25">
      <c r="B159" s="938" t="str">
        <f t="shared" ref="B159:D159" si="46">B17</f>
        <v>Butter - زبدة</v>
      </c>
      <c r="C159" s="938" t="str">
        <f t="shared" si="46"/>
        <v>gm</v>
      </c>
      <c r="D159" s="938">
        <f t="shared" si="46"/>
        <v>50</v>
      </c>
      <c r="E159" s="1621">
        <f t="shared" si="36"/>
        <v>0</v>
      </c>
      <c r="F159" s="1616">
        <f t="shared" si="34"/>
        <v>1</v>
      </c>
      <c r="G159" s="940">
        <f t="shared" si="31"/>
        <v>0</v>
      </c>
      <c r="H159" s="1617">
        <f t="shared" si="32"/>
        <v>0</v>
      </c>
    </row>
    <row r="160" spans="1:8" x14ac:dyDescent="0.25">
      <c r="B160" s="938" t="str">
        <f t="shared" ref="B160:D160" si="47">B18</f>
        <v>Orange Color - لون برتقالي</v>
      </c>
      <c r="C160" s="938" t="str">
        <f t="shared" si="47"/>
        <v>gm</v>
      </c>
      <c r="D160" s="938">
        <f t="shared" si="47"/>
        <v>2</v>
      </c>
      <c r="E160" s="1621">
        <f t="shared" si="36"/>
        <v>0</v>
      </c>
      <c r="F160" s="1616">
        <f t="shared" si="34"/>
        <v>0.75</v>
      </c>
      <c r="G160" s="940">
        <f t="shared" si="31"/>
        <v>0</v>
      </c>
      <c r="H160" s="1617">
        <f t="shared" si="32"/>
        <v>0</v>
      </c>
    </row>
    <row r="161" spans="1:8" x14ac:dyDescent="0.25">
      <c r="B161" s="938" t="str">
        <f t="shared" ref="B161:D161" si="48">B19</f>
        <v>Kasuri Methi - ورق حلبة مجففة</v>
      </c>
      <c r="C161" s="938" t="str">
        <f t="shared" si="48"/>
        <v>gm</v>
      </c>
      <c r="D161" s="938">
        <f t="shared" si="48"/>
        <v>1</v>
      </c>
      <c r="E161" s="1621">
        <f t="shared" si="36"/>
        <v>0</v>
      </c>
      <c r="F161" s="1616">
        <f t="shared" si="34"/>
        <v>1</v>
      </c>
      <c r="G161" s="940">
        <f t="shared" si="31"/>
        <v>0</v>
      </c>
      <c r="H161" s="1617">
        <f t="shared" si="32"/>
        <v>0</v>
      </c>
    </row>
    <row r="162" spans="1:8" x14ac:dyDescent="0.25">
      <c r="B162" s="938" t="str">
        <f t="shared" ref="B162:D162" si="49">B20</f>
        <v>Black Pepper Whole - فلفل أسود حب</v>
      </c>
      <c r="C162" s="938" t="str">
        <f t="shared" si="49"/>
        <v>gm</v>
      </c>
      <c r="D162" s="938">
        <f t="shared" si="49"/>
        <v>1</v>
      </c>
      <c r="E162" s="1621">
        <f t="shared" si="36"/>
        <v>0</v>
      </c>
      <c r="F162" s="1616">
        <f t="shared" si="34"/>
        <v>1</v>
      </c>
      <c r="G162" s="940">
        <f t="shared" si="31"/>
        <v>0</v>
      </c>
      <c r="H162" s="1617">
        <f t="shared" si="32"/>
        <v>0</v>
      </c>
    </row>
    <row r="163" spans="1:8" x14ac:dyDescent="0.25">
      <c r="B163" s="938" t="str">
        <f t="shared" ref="B163:D163" si="50">B21</f>
        <v>Cumin Whole - كمون حب</v>
      </c>
      <c r="C163" s="938" t="str">
        <f t="shared" si="50"/>
        <v>gm</v>
      </c>
      <c r="D163" s="938">
        <f t="shared" si="50"/>
        <v>1</v>
      </c>
      <c r="E163" s="1621">
        <f t="shared" si="36"/>
        <v>0</v>
      </c>
      <c r="F163" s="1616">
        <f t="shared" si="34"/>
        <v>1</v>
      </c>
      <c r="G163" s="940">
        <f t="shared" si="31"/>
        <v>0</v>
      </c>
      <c r="H163" s="1617">
        <f t="shared" si="32"/>
        <v>0</v>
      </c>
    </row>
    <row r="164" spans="1:8" x14ac:dyDescent="0.25">
      <c r="B164" s="938" t="str">
        <f t="shared" ref="B164:D164" si="51">B22</f>
        <v>Cloves Whole - قرنفل حب</v>
      </c>
      <c r="C164" s="938" t="str">
        <f t="shared" si="51"/>
        <v>gm</v>
      </c>
      <c r="D164" s="938">
        <f t="shared" si="51"/>
        <v>1</v>
      </c>
      <c r="E164" s="1621">
        <f t="shared" si="36"/>
        <v>0</v>
      </c>
      <c r="F164" s="1616">
        <f t="shared" si="34"/>
        <v>1</v>
      </c>
      <c r="G164" s="940">
        <f t="shared" si="31"/>
        <v>0</v>
      </c>
      <c r="H164" s="1617">
        <f t="shared" si="32"/>
        <v>0</v>
      </c>
    </row>
    <row r="165" spans="1:8" x14ac:dyDescent="0.25">
      <c r="B165" s="938" t="str">
        <f t="shared" ref="B165:D165" si="52">B23</f>
        <v>Cinnamon Whole - قرفة أعواد</v>
      </c>
      <c r="C165" s="938" t="str">
        <f t="shared" si="52"/>
        <v>gm</v>
      </c>
      <c r="D165" s="938">
        <f t="shared" si="52"/>
        <v>0.5</v>
      </c>
      <c r="E165" s="1621">
        <f t="shared" si="36"/>
        <v>0</v>
      </c>
      <c r="F165" s="1616">
        <f t="shared" si="34"/>
        <v>1</v>
      </c>
      <c r="G165" s="940">
        <f t="shared" si="31"/>
        <v>0</v>
      </c>
      <c r="H165" s="1617">
        <f t="shared" si="32"/>
        <v>0</v>
      </c>
    </row>
    <row r="166" spans="1:8" x14ac:dyDescent="0.25">
      <c r="B166" s="938" t="str">
        <f t="shared" ref="B166:D166" si="53">B24</f>
        <v>Cardamom Whole - هيل حب</v>
      </c>
      <c r="C166" s="938" t="str">
        <f t="shared" si="53"/>
        <v>gm</v>
      </c>
      <c r="D166" s="938">
        <f t="shared" si="53"/>
        <v>0.5</v>
      </c>
      <c r="E166" s="1621">
        <f t="shared" si="36"/>
        <v>0</v>
      </c>
      <c r="F166" s="1616">
        <f t="shared" si="34"/>
        <v>1</v>
      </c>
      <c r="G166" s="940">
        <f t="shared" si="31"/>
        <v>0</v>
      </c>
      <c r="H166" s="1617">
        <f t="shared" si="32"/>
        <v>0</v>
      </c>
    </row>
    <row r="167" spans="1:8" x14ac:dyDescent="0.25">
      <c r="B167" s="938" t="str">
        <f t="shared" ref="B167:D167" si="54">B25</f>
        <v>Tomato Ketchup - كاتشب طماطم</v>
      </c>
      <c r="C167" s="938" t="str">
        <f t="shared" si="54"/>
        <v>ml</v>
      </c>
      <c r="D167" s="938">
        <f t="shared" si="54"/>
        <v>50</v>
      </c>
      <c r="E167" s="1621">
        <f t="shared" si="36"/>
        <v>0</v>
      </c>
      <c r="F167" s="1616">
        <f t="shared" si="34"/>
        <v>1</v>
      </c>
      <c r="G167" s="940">
        <f t="shared" si="31"/>
        <v>0</v>
      </c>
      <c r="H167" s="1617">
        <f t="shared" si="32"/>
        <v>0</v>
      </c>
    </row>
    <row r="168" spans="1:8" ht="18" x14ac:dyDescent="0.25">
      <c r="A168" s="861"/>
      <c r="B168" s="1622" t="s">
        <v>287</v>
      </c>
      <c r="C168" s="1042" t="s">
        <v>273</v>
      </c>
      <c r="D168" s="952"/>
      <c r="E168" s="1042" t="s">
        <v>288</v>
      </c>
      <c r="F168" s="952"/>
      <c r="G168" s="1045" t="s">
        <v>264</v>
      </c>
      <c r="H168" s="1045" t="s">
        <v>661</v>
      </c>
    </row>
    <row r="169" spans="1:8" ht="20.25" x14ac:dyDescent="0.3">
      <c r="A169" s="861"/>
      <c r="B169" s="1048">
        <f>$J$56</f>
        <v>0</v>
      </c>
      <c r="C169" s="1048">
        <f>E169+G169</f>
        <v>0</v>
      </c>
      <c r="D169" s="1629"/>
      <c r="E169" s="1048">
        <f>$D$56*$S$44</f>
        <v>0</v>
      </c>
      <c r="F169" s="1050"/>
      <c r="G169" s="1048">
        <f>$D$56*$T$44</f>
        <v>0</v>
      </c>
      <c r="H169" s="1048">
        <f>B169+E169</f>
        <v>0</v>
      </c>
    </row>
  </sheetData>
  <mergeCells count="15">
    <mergeCell ref="AN2:AN3"/>
    <mergeCell ref="R25:U25"/>
    <mergeCell ref="B62:H62"/>
    <mergeCell ref="B117:H117"/>
    <mergeCell ref="B90:H90"/>
    <mergeCell ref="F2:F3"/>
    <mergeCell ref="B63:H63"/>
    <mergeCell ref="AK2:AM2"/>
    <mergeCell ref="B35:F35"/>
    <mergeCell ref="B144:H144"/>
    <mergeCell ref="B145:H145"/>
    <mergeCell ref="AE2:AG3"/>
    <mergeCell ref="B118:H118"/>
    <mergeCell ref="R26:U26"/>
    <mergeCell ref="B91:H91"/>
  </mergeCells>
  <phoneticPr fontId="62" type="noConversion"/>
  <printOptions horizontalCentered="1"/>
  <pageMargins left="0.4" right="0.4" top="1" bottom="0.5" header="0.3" footer="0.511811023622047"/>
  <pageSetup paperSize="9" scale="38" orientation="landscape" r:id="rId1"/>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rgb="FFC55A11"/>
    <pageSetUpPr fitToPage="1"/>
  </sheetPr>
  <dimension ref="A1:AT106"/>
  <sheetViews>
    <sheetView topLeftCell="X1" zoomScale="63" zoomScaleNormal="63" workbookViewId="0">
      <selection activeCell="Q44" sqref="Q44"/>
    </sheetView>
  </sheetViews>
  <sheetFormatPr defaultColWidth="12.5" defaultRowHeight="15" x14ac:dyDescent="0.25"/>
  <cols>
    <col min="1" max="1" width="17.75" style="1" bestFit="1" customWidth="1"/>
    <col min="2" max="2" width="36.625" bestFit="1" customWidth="1"/>
    <col min="3" max="3" width="17.25" bestFit="1" customWidth="1"/>
    <col min="4" max="4" width="23.875" bestFit="1" customWidth="1"/>
    <col min="5" max="5" width="18.75" bestFit="1" customWidth="1"/>
    <col min="6" max="6" width="15.625" bestFit="1" customWidth="1"/>
    <col min="7" max="7" width="21.375" bestFit="1" customWidth="1"/>
    <col min="8" max="8" width="38.25" bestFit="1" customWidth="1"/>
    <col min="9" max="9" width="17.625" bestFit="1" customWidth="1"/>
    <col min="10" max="10" width="14.75" bestFit="1" customWidth="1"/>
    <col min="11" max="11" width="11.125" bestFit="1" customWidth="1"/>
    <col min="12" max="12" width="7.125" bestFit="1" customWidth="1"/>
    <col min="13" max="13" width="31.875" customWidth="1"/>
    <col min="15" max="15" width="17" bestFit="1" customWidth="1"/>
    <col min="16" max="16" width="4.875" bestFit="1" customWidth="1"/>
    <col min="17" max="17" width="14.75" bestFit="1" customWidth="1"/>
    <col min="18" max="18" width="39" bestFit="1" customWidth="1"/>
    <col min="19" max="19" width="11.125" bestFit="1" customWidth="1"/>
    <col min="20" max="20" width="44.375" bestFit="1" customWidth="1"/>
    <col min="21" max="21" width="62.25" bestFit="1" customWidth="1"/>
    <col min="22" max="22" width="12.375" bestFit="1" customWidth="1"/>
    <col min="23" max="23" width="37.625" bestFit="1" customWidth="1"/>
    <col min="25" max="25" width="11.25" bestFit="1" customWidth="1"/>
    <col min="26" max="26" width="12" bestFit="1" customWidth="1"/>
    <col min="27" max="27" width="12.875" bestFit="1" customWidth="1"/>
    <col min="28" max="28" width="15.25" bestFit="1" customWidth="1"/>
    <col min="29" max="29" width="11.25" bestFit="1" customWidth="1"/>
    <col min="30" max="30" width="15" bestFit="1" customWidth="1"/>
    <col min="31" max="34" width="4.25" customWidth="1"/>
    <col min="35" max="35" width="10.5" bestFit="1" customWidth="1"/>
    <col min="36" max="36" width="31.875" bestFit="1" customWidth="1"/>
    <col min="37" max="37" width="7.25" bestFit="1" customWidth="1"/>
    <col min="38" max="38" width="12.875" bestFit="1" customWidth="1"/>
    <col min="39" max="39" width="12.375" bestFit="1" customWidth="1"/>
    <col min="40" max="40" width="12" bestFit="1" customWidth="1"/>
    <col min="42" max="42" width="17.375" bestFit="1" customWidth="1"/>
    <col min="43" max="43" width="12.25" bestFit="1" customWidth="1"/>
    <col min="44" max="44" width="11.625" bestFit="1" customWidth="1"/>
    <col min="45" max="45" width="11.125" bestFit="1" customWidth="1"/>
    <col min="46" max="46" width="6.5" bestFit="1" customWidth="1"/>
  </cols>
  <sheetData>
    <row r="1" spans="1:46" s="89" customFormat="1" ht="25.5" x14ac:dyDescent="0.25">
      <c r="A1" s="177"/>
      <c r="B1" s="843" t="s">
        <v>231</v>
      </c>
      <c r="C1" s="63">
        <v>1000</v>
      </c>
      <c r="D1" s="64" t="s">
        <v>232</v>
      </c>
      <c r="E1" s="65">
        <f>T32</f>
        <v>7911</v>
      </c>
      <c r="F1" s="62" t="s">
        <v>233</v>
      </c>
      <c r="G1" s="66">
        <f>E1/C1</f>
        <v>7.9109999999999996</v>
      </c>
      <c r="H1" s="62" t="s">
        <v>234</v>
      </c>
      <c r="I1" s="67">
        <f>(G1/K1)</f>
        <v>8.2406249999999996</v>
      </c>
      <c r="J1" s="68" t="s">
        <v>235</v>
      </c>
      <c r="K1" s="238">
        <v>0.96</v>
      </c>
      <c r="L1" s="238"/>
      <c r="M1" s="70"/>
      <c r="N1" s="71"/>
      <c r="O1" s="72" t="s">
        <v>236</v>
      </c>
      <c r="P1" s="73" t="s">
        <v>298</v>
      </c>
      <c r="Q1" s="74" t="s">
        <v>238</v>
      </c>
      <c r="R1" s="73">
        <v>0.57999999999999996</v>
      </c>
      <c r="Y1" s="72" t="s">
        <v>444</v>
      </c>
      <c r="Z1" s="422">
        <v>16580</v>
      </c>
      <c r="AA1" s="72" t="s">
        <v>544</v>
      </c>
      <c r="AB1" s="422">
        <v>1000</v>
      </c>
      <c r="AC1" s="72" t="s">
        <v>537</v>
      </c>
      <c r="AD1" s="422">
        <v>122</v>
      </c>
      <c r="AE1" s="168"/>
      <c r="AF1" s="170"/>
      <c r="AG1" s="73"/>
      <c r="AI1" s="1"/>
      <c r="AJ1" s="75" t="s">
        <v>250</v>
      </c>
      <c r="AK1" s="75">
        <v>10000</v>
      </c>
      <c r="AL1" s="318" t="s">
        <v>476</v>
      </c>
      <c r="AM1" s="319">
        <f>$S$32</f>
        <v>17580</v>
      </c>
      <c r="AN1" s="75" t="s">
        <v>239</v>
      </c>
      <c r="AO1" s="212">
        <f>((S32)/$R$1)/$AK$1</f>
        <v>3.0310344827586211</v>
      </c>
      <c r="AP1" s="77"/>
    </row>
    <row r="2" spans="1:46" ht="15.75" x14ac:dyDescent="0.25">
      <c r="A2" s="860"/>
      <c r="B2" s="78"/>
      <c r="C2" s="78"/>
      <c r="D2" s="78"/>
      <c r="E2" s="78"/>
      <c r="F2" s="1828" t="s">
        <v>127</v>
      </c>
      <c r="G2" s="78"/>
      <c r="H2" s="78"/>
      <c r="I2" s="78"/>
      <c r="J2" s="78"/>
      <c r="K2" s="78"/>
      <c r="L2" s="187"/>
      <c r="M2" s="80"/>
      <c r="N2" s="80"/>
      <c r="O2" s="80"/>
      <c r="P2" s="80"/>
      <c r="Q2" s="80"/>
      <c r="R2" s="80"/>
      <c r="AC2" s="79"/>
      <c r="AD2" s="79"/>
      <c r="AE2" s="1795"/>
      <c r="AF2" s="1796"/>
      <c r="AG2" s="1796"/>
      <c r="AI2" s="1"/>
      <c r="AJ2" s="81"/>
      <c r="AK2" s="1873" t="s">
        <v>432</v>
      </c>
      <c r="AL2" s="1873"/>
      <c r="AM2" s="1873"/>
      <c r="AN2" s="1873"/>
      <c r="AO2" s="81"/>
      <c r="AP2" s="81"/>
    </row>
    <row r="3" spans="1:46" ht="15.75" x14ac:dyDescent="0.25">
      <c r="A3" s="860"/>
      <c r="B3" s="78"/>
      <c r="C3" s="78"/>
      <c r="D3" s="78"/>
      <c r="E3" s="78"/>
      <c r="F3" s="1796"/>
      <c r="G3" s="78"/>
      <c r="H3" s="78"/>
      <c r="I3" s="78"/>
      <c r="J3" s="78"/>
      <c r="K3" s="78"/>
      <c r="L3" s="187"/>
      <c r="M3" s="80"/>
      <c r="N3" s="80"/>
      <c r="O3" s="80"/>
      <c r="P3" s="80"/>
      <c r="Q3" s="80"/>
      <c r="R3" s="80"/>
      <c r="AC3" s="79"/>
      <c r="AD3" s="79"/>
      <c r="AE3" s="1796"/>
      <c r="AF3" s="1796"/>
      <c r="AG3" s="1796"/>
      <c r="AI3" s="1"/>
      <c r="AJ3" s="81"/>
      <c r="AK3" s="81"/>
      <c r="AL3" s="81"/>
      <c r="AM3" s="81"/>
      <c r="AN3" s="1796"/>
      <c r="AO3" s="81"/>
      <c r="AP3" s="81"/>
    </row>
    <row r="4" spans="1:46" ht="38.25" x14ac:dyDescent="0.25">
      <c r="A4" s="1350" t="s">
        <v>864</v>
      </c>
      <c r="B4" s="923" t="s">
        <v>241</v>
      </c>
      <c r="C4" s="934" t="s">
        <v>242</v>
      </c>
      <c r="D4" s="923" t="s">
        <v>231</v>
      </c>
      <c r="E4" s="935" t="s">
        <v>234</v>
      </c>
      <c r="F4" s="935" t="s">
        <v>243</v>
      </c>
      <c r="G4" s="923" t="s">
        <v>244</v>
      </c>
      <c r="H4" s="1635" t="s">
        <v>334</v>
      </c>
      <c r="I4" s="923" t="s">
        <v>246</v>
      </c>
      <c r="J4" s="923" t="s">
        <v>247</v>
      </c>
      <c r="K4" s="923" t="s">
        <v>248</v>
      </c>
      <c r="L4" s="923" t="s">
        <v>249</v>
      </c>
      <c r="M4" s="80"/>
      <c r="N4" s="80"/>
      <c r="O4" s="80"/>
      <c r="P4" s="80"/>
      <c r="Q4" s="80"/>
      <c r="R4" s="80"/>
      <c r="AC4" s="169"/>
      <c r="AD4" s="171"/>
      <c r="AE4" s="169"/>
      <c r="AF4" s="169"/>
      <c r="AG4" s="169"/>
      <c r="AI4" s="1"/>
      <c r="AJ4" s="926" t="s">
        <v>241</v>
      </c>
      <c r="AK4" s="1169" t="s">
        <v>242</v>
      </c>
      <c r="AL4" s="926" t="s">
        <v>250</v>
      </c>
      <c r="AM4" s="926" t="s">
        <v>234</v>
      </c>
      <c r="AN4" s="926" t="s">
        <v>243</v>
      </c>
      <c r="AO4" s="926" t="s">
        <v>244</v>
      </c>
      <c r="AP4" s="926" t="s">
        <v>334</v>
      </c>
      <c r="AQ4" s="923" t="s">
        <v>246</v>
      </c>
      <c r="AR4" s="923" t="s">
        <v>247</v>
      </c>
      <c r="AS4" s="923" t="s">
        <v>248</v>
      </c>
      <c r="AT4" s="923" t="s">
        <v>249</v>
      </c>
    </row>
    <row r="5" spans="1:46" ht="25.5" x14ac:dyDescent="0.25">
      <c r="A5" s="235" t="s">
        <v>891</v>
      </c>
      <c r="B5" s="1115" t="s">
        <v>226</v>
      </c>
      <c r="C5" s="939" t="s">
        <v>14</v>
      </c>
      <c r="D5" s="944">
        <f>I51/10</f>
        <v>3831.3793103448274</v>
      </c>
      <c r="E5" s="941">
        <f>H52</f>
        <v>7.9110791107911087</v>
      </c>
      <c r="F5" s="1616">
        <v>1</v>
      </c>
      <c r="G5" s="940">
        <f t="shared" ref="G5:G21" si="0">D5*E5</f>
        <v>30310.34482758621</v>
      </c>
      <c r="H5" s="1617">
        <f t="shared" ref="H5:H21" si="1">G5*F5</f>
        <v>30310.34482758621</v>
      </c>
      <c r="I5" s="914">
        <f>VLOOKUP(B5,All_Ingredients!$A$1:$F$161,6,FALSE())</f>
        <v>0.99</v>
      </c>
      <c r="J5" s="940">
        <f>VLOOKUP(B5,All_Ingredients!$A$1:$J$161,10,FALSE())</f>
        <v>11.75</v>
      </c>
      <c r="K5" s="945">
        <f t="shared" ref="K5" si="2">(H5/I5)/1000</f>
        <v>30.616509926854757</v>
      </c>
      <c r="L5" s="945">
        <f t="shared" ref="L5" si="3">K5*J5</f>
        <v>359.74399164054341</v>
      </c>
      <c r="M5" s="80"/>
      <c r="N5" s="80"/>
      <c r="O5" s="80"/>
      <c r="P5" s="80"/>
      <c r="Q5" s="80"/>
      <c r="R5" s="80"/>
      <c r="AC5" s="73"/>
      <c r="AD5" s="89"/>
      <c r="AE5" s="172"/>
      <c r="AF5" s="90"/>
      <c r="AG5" s="91"/>
      <c r="AI5" s="1"/>
      <c r="AJ5" s="1115" t="s">
        <v>226</v>
      </c>
      <c r="AK5" s="947" t="s">
        <v>227</v>
      </c>
      <c r="AL5" s="1618">
        <v>10</v>
      </c>
      <c r="AM5" s="1689">
        <f t="shared" ref="AM5:AM15" si="4">$AO$1</f>
        <v>3.0310344827586211</v>
      </c>
      <c r="AN5" s="1616">
        <v>1</v>
      </c>
      <c r="AO5" s="940">
        <f t="shared" ref="AO5:AO15" si="5">AL5*AM5</f>
        <v>30.31034482758621</v>
      </c>
      <c r="AP5" s="1617">
        <f t="shared" ref="AP5:AP15" si="6">AO5*AN5</f>
        <v>30.31034482758621</v>
      </c>
      <c r="AQ5" s="952"/>
      <c r="AR5" s="953"/>
      <c r="AS5" s="1020"/>
      <c r="AT5" s="955"/>
    </row>
    <row r="6" spans="1:46" x14ac:dyDescent="0.25">
      <c r="A6" s="1117" t="s">
        <v>866</v>
      </c>
      <c r="B6" s="938" t="s">
        <v>12</v>
      </c>
      <c r="C6" s="947" t="s">
        <v>14</v>
      </c>
      <c r="D6" s="1618">
        <v>580</v>
      </c>
      <c r="E6" s="1646">
        <f t="shared" ref="E6:E21" si="7">$I$1</f>
        <v>8.2406249999999996</v>
      </c>
      <c r="F6" s="1616">
        <v>0.95</v>
      </c>
      <c r="G6" s="940">
        <f t="shared" si="0"/>
        <v>4779.5625</v>
      </c>
      <c r="H6" s="1617">
        <f t="shared" si="1"/>
        <v>4540.5843749999995</v>
      </c>
      <c r="I6" s="914">
        <f>VLOOKUP(B6,All_Ingredients!$A$1:$F$161,6,FALSE())</f>
        <v>0.9</v>
      </c>
      <c r="J6" s="940">
        <f>VLOOKUP(B6,All_Ingredients!$A$1:$J$161,10,FALSE())</f>
        <v>3</v>
      </c>
      <c r="K6" s="945">
        <f t="shared" ref="K6:K21" si="8">(H6/I6)/1000</f>
        <v>5.0450937499999995</v>
      </c>
      <c r="L6" s="945">
        <f t="shared" ref="L6:L21" si="9">K6*J6</f>
        <v>15.135281249999998</v>
      </c>
      <c r="AI6" s="1" t="s">
        <v>94</v>
      </c>
      <c r="AJ6" s="1208" t="s">
        <v>144</v>
      </c>
      <c r="AK6" s="947" t="s">
        <v>14</v>
      </c>
      <c r="AL6" s="1618">
        <v>50</v>
      </c>
      <c r="AM6" s="1689">
        <f t="shared" si="4"/>
        <v>3.0310344827586211</v>
      </c>
      <c r="AN6" s="1616">
        <v>1</v>
      </c>
      <c r="AO6" s="940">
        <f t="shared" si="5"/>
        <v>151.55172413793105</v>
      </c>
      <c r="AP6" s="1617">
        <f t="shared" si="6"/>
        <v>151.55172413793105</v>
      </c>
      <c r="AQ6" s="955">
        <f>VLOOKUP(AJ6,Marination_Ordering!$A:$J,6,FALSE)</f>
        <v>1</v>
      </c>
      <c r="AR6" s="955">
        <f>VLOOKUP(AJ6,Marination_Ordering!$A:$J,10,FALSE)</f>
        <v>18</v>
      </c>
      <c r="AS6" s="1020">
        <f>AP6/AQ6</f>
        <v>151.55172413793105</v>
      </c>
      <c r="AT6" s="955">
        <f>AR6*(AS6/1000)</f>
        <v>2.7279310344827588</v>
      </c>
    </row>
    <row r="7" spans="1:46" x14ac:dyDescent="0.25">
      <c r="A7" s="1117" t="s">
        <v>868</v>
      </c>
      <c r="B7" s="938" t="s">
        <v>706</v>
      </c>
      <c r="C7" s="947" t="s">
        <v>14</v>
      </c>
      <c r="D7" s="1618">
        <v>15</v>
      </c>
      <c r="E7" s="1646">
        <f t="shared" si="7"/>
        <v>8.2406249999999996</v>
      </c>
      <c r="F7" s="1616">
        <v>0.95</v>
      </c>
      <c r="G7" s="940">
        <f t="shared" si="0"/>
        <v>123.609375</v>
      </c>
      <c r="H7" s="1617">
        <f t="shared" si="1"/>
        <v>117.42890625</v>
      </c>
      <c r="I7" s="914">
        <f>VLOOKUP(B7,All_Ingredients!$A$1:$F$161,6,FALSE())</f>
        <v>1</v>
      </c>
      <c r="J7" s="940">
        <f>VLOOKUP(B7,All_Ingredients!$A$1:$J$161,10,FALSE())</f>
        <v>10.5</v>
      </c>
      <c r="K7" s="945">
        <f t="shared" si="8"/>
        <v>0.11742890624999999</v>
      </c>
      <c r="L7" s="945">
        <f t="shared" si="9"/>
        <v>1.2330035156249999</v>
      </c>
      <c r="AI7" s="1" t="s">
        <v>94</v>
      </c>
      <c r="AJ7" s="1208" t="s">
        <v>149</v>
      </c>
      <c r="AK7" s="947" t="s">
        <v>14</v>
      </c>
      <c r="AL7" s="1618">
        <v>50</v>
      </c>
      <c r="AM7" s="1689">
        <f t="shared" si="4"/>
        <v>3.0310344827586211</v>
      </c>
      <c r="AN7" s="1616">
        <v>1</v>
      </c>
      <c r="AO7" s="940">
        <f t="shared" si="5"/>
        <v>151.55172413793105</v>
      </c>
      <c r="AP7" s="1617">
        <f t="shared" si="6"/>
        <v>151.55172413793105</v>
      </c>
      <c r="AQ7" s="955">
        <f>VLOOKUP(AJ7,Marination_Ordering!$A:$J,6,FALSE)</f>
        <v>1</v>
      </c>
      <c r="AR7" s="955">
        <f>VLOOKUP(AJ7,Marination_Ordering!$A:$J,10,FALSE)</f>
        <v>10</v>
      </c>
      <c r="AS7" s="1020">
        <f t="shared" ref="AS7:AS8" si="10">AP7/AQ7</f>
        <v>151.55172413793105</v>
      </c>
      <c r="AT7" s="955">
        <f t="shared" ref="AT7:AT8" si="11">AR7*(AS7/1000)</f>
        <v>1.5155172413793105</v>
      </c>
    </row>
    <row r="8" spans="1:46" x14ac:dyDescent="0.25">
      <c r="A8" s="1117"/>
      <c r="B8" s="938" t="s">
        <v>108</v>
      </c>
      <c r="C8" s="947" t="s">
        <v>14</v>
      </c>
      <c r="D8" s="1618">
        <v>10</v>
      </c>
      <c r="E8" s="1646">
        <f t="shared" si="7"/>
        <v>8.2406249999999996</v>
      </c>
      <c r="F8" s="1616">
        <v>0.75</v>
      </c>
      <c r="G8" s="940">
        <f t="shared" si="0"/>
        <v>82.40625</v>
      </c>
      <c r="H8" s="1617">
        <f t="shared" si="1"/>
        <v>61.8046875</v>
      </c>
      <c r="I8" s="914">
        <f>VLOOKUP(B8,All_Ingredients!$A$1:$F$161,6,FALSE())</f>
        <v>1</v>
      </c>
      <c r="J8" s="940">
        <f>VLOOKUP(B8,All_Ingredients!$A$1:$J$161,10,FALSE())</f>
        <v>26.5</v>
      </c>
      <c r="K8" s="945">
        <f t="shared" si="8"/>
        <v>6.1804687499999997E-2</v>
      </c>
      <c r="L8" s="945">
        <f t="shared" si="9"/>
        <v>1.6378242187499998</v>
      </c>
      <c r="AI8" s="1" t="s">
        <v>61</v>
      </c>
      <c r="AJ8" s="1208" t="s">
        <v>64</v>
      </c>
      <c r="AK8" s="947" t="s">
        <v>14</v>
      </c>
      <c r="AL8" s="1618">
        <v>50</v>
      </c>
      <c r="AM8" s="1689">
        <f t="shared" si="4"/>
        <v>3.0310344827586211</v>
      </c>
      <c r="AN8" s="1616">
        <v>1</v>
      </c>
      <c r="AO8" s="940">
        <f t="shared" si="5"/>
        <v>151.55172413793105</v>
      </c>
      <c r="AP8" s="1617">
        <f t="shared" si="6"/>
        <v>151.55172413793105</v>
      </c>
      <c r="AQ8" s="955">
        <f>VLOOKUP(AJ8,Marination_Ordering!$A:$J,6,FALSE)</f>
        <v>0.65</v>
      </c>
      <c r="AR8" s="955">
        <f>VLOOKUP(AJ8,Marination_Ordering!$A:$J,10,FALSE)</f>
        <v>3.5</v>
      </c>
      <c r="AS8" s="1020">
        <f t="shared" si="10"/>
        <v>233.15649867374006</v>
      </c>
      <c r="AT8" s="955">
        <f t="shared" si="11"/>
        <v>0.81604774535809022</v>
      </c>
    </row>
    <row r="9" spans="1:46" x14ac:dyDescent="0.25">
      <c r="A9" s="1117"/>
      <c r="B9" s="938" t="s">
        <v>101</v>
      </c>
      <c r="C9" s="947" t="s">
        <v>14</v>
      </c>
      <c r="D9" s="1618">
        <v>3</v>
      </c>
      <c r="E9" s="1646">
        <f t="shared" si="7"/>
        <v>8.2406249999999996</v>
      </c>
      <c r="F9" s="1616">
        <v>0.75</v>
      </c>
      <c r="G9" s="940">
        <f t="shared" si="0"/>
        <v>24.721874999999997</v>
      </c>
      <c r="H9" s="1617">
        <f t="shared" si="1"/>
        <v>18.541406249999998</v>
      </c>
      <c r="I9" s="914">
        <f>VLOOKUP(B9,All_Ingredients!$A$1:$F$161,6,FALSE())</f>
        <v>1</v>
      </c>
      <c r="J9" s="940">
        <f>VLOOKUP(B9,All_Ingredients!$A$1:$J$161,10,FALSE())</f>
        <v>47</v>
      </c>
      <c r="K9" s="945">
        <f t="shared" si="8"/>
        <v>1.8541406249999996E-2</v>
      </c>
      <c r="L9" s="945">
        <f t="shared" si="9"/>
        <v>0.87144609374999982</v>
      </c>
      <c r="AI9" s="1" t="s">
        <v>94</v>
      </c>
      <c r="AJ9" s="1208" t="s">
        <v>704</v>
      </c>
      <c r="AK9" s="947" t="s">
        <v>14</v>
      </c>
      <c r="AL9" s="1618">
        <v>100</v>
      </c>
      <c r="AM9" s="1689">
        <f t="shared" si="4"/>
        <v>3.0310344827586211</v>
      </c>
      <c r="AN9" s="1616">
        <v>1</v>
      </c>
      <c r="AO9" s="940">
        <f t="shared" si="5"/>
        <v>303.10344827586209</v>
      </c>
      <c r="AP9" s="1617">
        <f t="shared" si="6"/>
        <v>303.10344827586209</v>
      </c>
      <c r="AQ9" s="955">
        <f>VLOOKUP(AJ9,Marination_Ordering!$A:$J,6,FALSE)</f>
        <v>1</v>
      </c>
      <c r="AR9" s="955">
        <f>VLOOKUP(AJ9,Marination_Ordering!$A:$J,10,FALSE)</f>
        <v>43.333333333333336</v>
      </c>
      <c r="AS9" s="1020">
        <f t="shared" ref="AS9:AS15" si="12">AP9/AQ9</f>
        <v>303.10344827586209</v>
      </c>
      <c r="AT9" s="955">
        <f t="shared" ref="AT9:AT15" si="13">AR9*(AS9/1000)</f>
        <v>13.134482758620692</v>
      </c>
    </row>
    <row r="10" spans="1:46" x14ac:dyDescent="0.25">
      <c r="A10" s="1117"/>
      <c r="B10" s="938" t="s">
        <v>105</v>
      </c>
      <c r="C10" s="947" t="s">
        <v>14</v>
      </c>
      <c r="D10" s="1618">
        <v>5</v>
      </c>
      <c r="E10" s="1646">
        <f t="shared" si="7"/>
        <v>8.2406249999999996</v>
      </c>
      <c r="F10" s="1616">
        <v>0.9</v>
      </c>
      <c r="G10" s="940">
        <f t="shared" si="0"/>
        <v>41.203125</v>
      </c>
      <c r="H10" s="1617">
        <f t="shared" si="1"/>
        <v>37.082812500000003</v>
      </c>
      <c r="I10" s="914">
        <f>VLOOKUP(B10,All_Ingredients!$A$1:$F$161,6,FALSE())</f>
        <v>1</v>
      </c>
      <c r="J10" s="940">
        <f>VLOOKUP(B10,All_Ingredients!$A$1:$J$161,10,FALSE())</f>
        <v>15</v>
      </c>
      <c r="K10" s="945">
        <f t="shared" si="8"/>
        <v>3.7082812499999999E-2</v>
      </c>
      <c r="L10" s="945">
        <f t="shared" si="9"/>
        <v>0.55624218749999998</v>
      </c>
      <c r="AI10" s="1" t="s">
        <v>94</v>
      </c>
      <c r="AJ10" s="1208" t="s">
        <v>93</v>
      </c>
      <c r="AK10" s="947" t="s">
        <v>14</v>
      </c>
      <c r="AL10" s="1618">
        <v>25</v>
      </c>
      <c r="AM10" s="1689">
        <f t="shared" si="4"/>
        <v>3.0310344827586211</v>
      </c>
      <c r="AN10" s="1616">
        <v>1</v>
      </c>
      <c r="AO10" s="940">
        <f t="shared" si="5"/>
        <v>75.775862068965523</v>
      </c>
      <c r="AP10" s="1617">
        <f t="shared" si="6"/>
        <v>75.775862068965523</v>
      </c>
      <c r="AQ10" s="955">
        <f>VLOOKUP(AJ10,Marination_Ordering!$A:$J,6,FALSE)</f>
        <v>1</v>
      </c>
      <c r="AR10" s="955">
        <f>VLOOKUP(AJ10,Marination_Ordering!$A:$J,10,FALSE)</f>
        <v>0.74</v>
      </c>
      <c r="AS10" s="1020">
        <f t="shared" si="12"/>
        <v>75.775862068965523</v>
      </c>
      <c r="AT10" s="955">
        <f t="shared" si="13"/>
        <v>5.6074137931034489E-2</v>
      </c>
    </row>
    <row r="11" spans="1:46" x14ac:dyDescent="0.25">
      <c r="A11" s="1117"/>
      <c r="B11" s="938" t="s">
        <v>107</v>
      </c>
      <c r="C11" s="947" t="s">
        <v>14</v>
      </c>
      <c r="D11" s="1618">
        <v>5</v>
      </c>
      <c r="E11" s="1646">
        <f t="shared" si="7"/>
        <v>8.2406249999999996</v>
      </c>
      <c r="F11" s="1616">
        <v>0.9</v>
      </c>
      <c r="G11" s="940">
        <f t="shared" si="0"/>
        <v>41.203125</v>
      </c>
      <c r="H11" s="1617">
        <f t="shared" si="1"/>
        <v>37.082812500000003</v>
      </c>
      <c r="I11" s="914">
        <f>VLOOKUP(B11,All_Ingredients!$A$1:$F$161,6,FALSE())</f>
        <v>1</v>
      </c>
      <c r="J11" s="940">
        <f>VLOOKUP(B11,All_Ingredients!$A$1:$J$161,10,FALSE())</f>
        <v>8</v>
      </c>
      <c r="K11" s="945">
        <f t="shared" si="8"/>
        <v>3.7082812499999999E-2</v>
      </c>
      <c r="L11" s="945">
        <f t="shared" si="9"/>
        <v>0.2966625</v>
      </c>
      <c r="AI11" s="1" t="s">
        <v>94</v>
      </c>
      <c r="AJ11" s="1208" t="s">
        <v>97</v>
      </c>
      <c r="AK11" s="947" t="s">
        <v>14</v>
      </c>
      <c r="AL11" s="1618">
        <v>25</v>
      </c>
      <c r="AM11" s="1689">
        <f t="shared" si="4"/>
        <v>3.0310344827586211</v>
      </c>
      <c r="AN11" s="1616">
        <v>1</v>
      </c>
      <c r="AO11" s="940">
        <f t="shared" si="5"/>
        <v>75.775862068965523</v>
      </c>
      <c r="AP11" s="1617">
        <f t="shared" si="6"/>
        <v>75.775862068965523</v>
      </c>
      <c r="AQ11" s="955">
        <f>VLOOKUP(AJ11,Marination_Ordering!$A:$J,6,FALSE)</f>
        <v>1</v>
      </c>
      <c r="AR11" s="955">
        <f>VLOOKUP(AJ11,Marination_Ordering!$A:$J,10,FALSE)</f>
        <v>38</v>
      </c>
      <c r="AS11" s="1020">
        <f t="shared" si="12"/>
        <v>75.775862068965523</v>
      </c>
      <c r="AT11" s="955">
        <f t="shared" si="13"/>
        <v>2.8794827586206901</v>
      </c>
    </row>
    <row r="12" spans="1:46" x14ac:dyDescent="0.25">
      <c r="A12" s="1117" t="s">
        <v>869</v>
      </c>
      <c r="B12" s="938" t="s">
        <v>60</v>
      </c>
      <c r="C12" s="947" t="s">
        <v>14</v>
      </c>
      <c r="D12" s="1618">
        <v>10</v>
      </c>
      <c r="E12" s="1646">
        <f t="shared" si="7"/>
        <v>8.2406249999999996</v>
      </c>
      <c r="F12" s="1616">
        <v>1</v>
      </c>
      <c r="G12" s="940">
        <f t="shared" si="0"/>
        <v>82.40625</v>
      </c>
      <c r="H12" s="1617">
        <f t="shared" si="1"/>
        <v>82.40625</v>
      </c>
      <c r="I12" s="914">
        <f>VLOOKUP(B12,All_Ingredients!$A$1:$F$161,6,FALSE())</f>
        <v>0.94</v>
      </c>
      <c r="J12" s="940">
        <f>VLOOKUP(B12,All_Ingredients!$A$1:$J$161,10,FALSE())</f>
        <v>3.6363636363636367</v>
      </c>
      <c r="K12" s="945">
        <f t="shared" si="8"/>
        <v>8.7666223404255325E-2</v>
      </c>
      <c r="L12" s="945">
        <f t="shared" si="9"/>
        <v>0.31878626692456485</v>
      </c>
      <c r="AI12" s="1" t="s">
        <v>94</v>
      </c>
      <c r="AJ12" s="1208" t="s">
        <v>107</v>
      </c>
      <c r="AK12" s="947" t="s">
        <v>14</v>
      </c>
      <c r="AL12" s="1618">
        <v>50</v>
      </c>
      <c r="AM12" s="1689">
        <f t="shared" si="4"/>
        <v>3.0310344827586211</v>
      </c>
      <c r="AN12" s="1616">
        <v>1</v>
      </c>
      <c r="AO12" s="940">
        <f t="shared" si="5"/>
        <v>151.55172413793105</v>
      </c>
      <c r="AP12" s="1617">
        <f t="shared" si="6"/>
        <v>151.55172413793105</v>
      </c>
      <c r="AQ12" s="955">
        <f>VLOOKUP(AJ12,Marination_Ordering!$A:$J,6,FALSE)</f>
        <v>1</v>
      </c>
      <c r="AR12" s="955">
        <f>VLOOKUP(AJ12,Marination_Ordering!$A:$J,10,FALSE)</f>
        <v>8</v>
      </c>
      <c r="AS12" s="1020">
        <f t="shared" si="12"/>
        <v>151.55172413793105</v>
      </c>
      <c r="AT12" s="955">
        <f t="shared" si="13"/>
        <v>1.2124137931034484</v>
      </c>
    </row>
    <row r="13" spans="1:46" x14ac:dyDescent="0.25">
      <c r="A13" s="1117"/>
      <c r="B13" s="938" t="s">
        <v>163</v>
      </c>
      <c r="C13" s="947" t="s">
        <v>14</v>
      </c>
      <c r="D13" s="1618">
        <v>400</v>
      </c>
      <c r="E13" s="1646">
        <f t="shared" si="7"/>
        <v>8.2406249999999996</v>
      </c>
      <c r="F13" s="1616">
        <v>1</v>
      </c>
      <c r="G13" s="940">
        <f t="shared" si="0"/>
        <v>3296.25</v>
      </c>
      <c r="H13" s="1617">
        <f t="shared" si="1"/>
        <v>3296.25</v>
      </c>
      <c r="I13" s="914">
        <f>VLOOKUP(B13,All_Ingredients!$A$1:$F$161,6,FALSE())</f>
        <v>1</v>
      </c>
      <c r="J13" s="940">
        <f>VLOOKUP(B13,All_Ingredients!$A$1:$J$161,10,FALSE())</f>
        <v>6.6959999999999997</v>
      </c>
      <c r="K13" s="945">
        <f t="shared" si="8"/>
        <v>3.2962500000000001</v>
      </c>
      <c r="L13" s="945">
        <f t="shared" si="9"/>
        <v>22.07169</v>
      </c>
      <c r="AI13" s="1" t="s">
        <v>94</v>
      </c>
      <c r="AJ13" s="1208" t="s">
        <v>118</v>
      </c>
      <c r="AK13" s="947" t="s">
        <v>14</v>
      </c>
      <c r="AL13" s="1618">
        <v>50</v>
      </c>
      <c r="AM13" s="1689">
        <f t="shared" si="4"/>
        <v>3.0310344827586211</v>
      </c>
      <c r="AN13" s="1616">
        <v>1</v>
      </c>
      <c r="AO13" s="940">
        <f t="shared" si="5"/>
        <v>151.55172413793105</v>
      </c>
      <c r="AP13" s="1617">
        <f t="shared" si="6"/>
        <v>151.55172413793105</v>
      </c>
      <c r="AQ13" s="955">
        <f>VLOOKUP(AJ13,Marination_Ordering!$A:$J,6,FALSE)</f>
        <v>1</v>
      </c>
      <c r="AR13" s="955">
        <f>VLOOKUP(AJ13,Marination_Ordering!$A:$J,10,FALSE)</f>
        <v>15</v>
      </c>
      <c r="AS13" s="1020">
        <f t="shared" si="12"/>
        <v>151.55172413793105</v>
      </c>
      <c r="AT13" s="955">
        <f t="shared" si="13"/>
        <v>2.2732758620689659</v>
      </c>
    </row>
    <row r="14" spans="1:46" x14ac:dyDescent="0.25">
      <c r="A14" s="1117"/>
      <c r="B14" s="938" t="s">
        <v>166</v>
      </c>
      <c r="C14" s="947" t="s">
        <v>160</v>
      </c>
      <c r="D14" s="1618">
        <v>450</v>
      </c>
      <c r="E14" s="1646">
        <f t="shared" si="7"/>
        <v>8.2406249999999996</v>
      </c>
      <c r="F14" s="1616">
        <v>1</v>
      </c>
      <c r="G14" s="940">
        <f t="shared" si="0"/>
        <v>3708.28125</v>
      </c>
      <c r="H14" s="1617">
        <f t="shared" si="1"/>
        <v>3708.28125</v>
      </c>
      <c r="I14" s="914">
        <f>VLOOKUP(B14,All_Ingredients!$A$1:$F$161,6,FALSE())</f>
        <v>1</v>
      </c>
      <c r="J14" s="940">
        <f>VLOOKUP(B14,All_Ingredients!$A$1:$J$161,10,FALSE())</f>
        <v>12.666666666666666</v>
      </c>
      <c r="K14" s="945">
        <f t="shared" si="8"/>
        <v>3.7082812500000002</v>
      </c>
      <c r="L14" s="945">
        <f t="shared" si="9"/>
        <v>46.971562499999997</v>
      </c>
      <c r="AI14" s="1" t="s">
        <v>94</v>
      </c>
      <c r="AJ14" s="1208" t="s">
        <v>105</v>
      </c>
      <c r="AK14" s="947" t="s">
        <v>14</v>
      </c>
      <c r="AL14" s="1618">
        <v>50</v>
      </c>
      <c r="AM14" s="1689">
        <f t="shared" si="4"/>
        <v>3.0310344827586211</v>
      </c>
      <c r="AN14" s="1616">
        <v>1</v>
      </c>
      <c r="AO14" s="940">
        <f t="shared" si="5"/>
        <v>151.55172413793105</v>
      </c>
      <c r="AP14" s="1617">
        <f t="shared" si="6"/>
        <v>151.55172413793105</v>
      </c>
      <c r="AQ14" s="955">
        <f>VLOOKUP(AJ14,Marination_Ordering!$A:$J,6,FALSE)</f>
        <v>1</v>
      </c>
      <c r="AR14" s="955">
        <f>VLOOKUP(AJ14,Marination_Ordering!$A:$J,10,FALSE)</f>
        <v>15</v>
      </c>
      <c r="AS14" s="1020">
        <f t="shared" si="12"/>
        <v>151.55172413793105</v>
      </c>
      <c r="AT14" s="955">
        <f t="shared" si="13"/>
        <v>2.2732758620689659</v>
      </c>
    </row>
    <row r="15" spans="1:46" x14ac:dyDescent="0.25">
      <c r="A15" s="1117"/>
      <c r="B15" s="938" t="s">
        <v>93</v>
      </c>
      <c r="C15" s="947" t="s">
        <v>14</v>
      </c>
      <c r="D15" s="1618">
        <v>11</v>
      </c>
      <c r="E15" s="1646">
        <f t="shared" si="7"/>
        <v>8.2406249999999996</v>
      </c>
      <c r="F15" s="1616">
        <v>1</v>
      </c>
      <c r="G15" s="940">
        <f t="shared" si="0"/>
        <v>90.646874999999994</v>
      </c>
      <c r="H15" s="1617">
        <f t="shared" si="1"/>
        <v>90.646874999999994</v>
      </c>
      <c r="I15" s="914">
        <f>VLOOKUP(B15,All_Ingredients!$A$1:$F$161,6,FALSE())</f>
        <v>1</v>
      </c>
      <c r="J15" s="940">
        <f>VLOOKUP(B15,All_Ingredients!$A$1:$J$161,10,FALSE())</f>
        <v>0.74</v>
      </c>
      <c r="K15" s="945">
        <f t="shared" si="8"/>
        <v>9.0646874999999988E-2</v>
      </c>
      <c r="L15" s="945">
        <f t="shared" si="9"/>
        <v>6.7078687499999984E-2</v>
      </c>
      <c r="AI15" s="1" t="s">
        <v>213</v>
      </c>
      <c r="AJ15" s="1208" t="s">
        <v>214</v>
      </c>
      <c r="AK15" s="947" t="s">
        <v>14</v>
      </c>
      <c r="AL15" s="1618">
        <v>4</v>
      </c>
      <c r="AM15" s="1689">
        <f t="shared" si="4"/>
        <v>3.0310344827586211</v>
      </c>
      <c r="AN15" s="1616">
        <v>1</v>
      </c>
      <c r="AO15" s="940">
        <f t="shared" si="5"/>
        <v>12.124137931034484</v>
      </c>
      <c r="AP15" s="1617">
        <f t="shared" si="6"/>
        <v>12.124137931034484</v>
      </c>
      <c r="AQ15" s="955">
        <f>VLOOKUP(AJ15,Marination_Ordering!$A:$J,6,FALSE)</f>
        <v>1</v>
      </c>
      <c r="AR15" s="955">
        <f>VLOOKUP(AJ15,Marination_Ordering!$A:$J,10,FALSE)</f>
        <v>35</v>
      </c>
      <c r="AS15" s="1020">
        <f t="shared" si="12"/>
        <v>12.124137931034484</v>
      </c>
      <c r="AT15" s="955">
        <f t="shared" si="13"/>
        <v>0.42434482758620695</v>
      </c>
    </row>
    <row r="16" spans="1:46" x14ac:dyDescent="0.25">
      <c r="A16" s="1117"/>
      <c r="B16" s="938" t="s">
        <v>152</v>
      </c>
      <c r="C16" s="947" t="s">
        <v>14</v>
      </c>
      <c r="D16" s="1618">
        <v>50</v>
      </c>
      <c r="E16" s="1646">
        <f t="shared" si="7"/>
        <v>8.2406249999999996</v>
      </c>
      <c r="F16" s="1616">
        <v>1</v>
      </c>
      <c r="G16" s="940">
        <f t="shared" si="0"/>
        <v>412.03125</v>
      </c>
      <c r="H16" s="1617">
        <f t="shared" si="1"/>
        <v>412.03125</v>
      </c>
      <c r="I16" s="914">
        <f>VLOOKUP(B16,All_Ingredients!$A$1:$F$161,6,FALSE())</f>
        <v>1</v>
      </c>
      <c r="J16" s="940">
        <f>VLOOKUP(B16,All_Ingredients!$A$1:$J$161,10,FALSE())</f>
        <v>30</v>
      </c>
      <c r="K16" s="945">
        <f t="shared" si="8"/>
        <v>0.41203125000000002</v>
      </c>
      <c r="L16" s="945">
        <f t="shared" si="9"/>
        <v>12.3609375</v>
      </c>
    </row>
    <row r="17" spans="1:30" x14ac:dyDescent="0.25">
      <c r="A17" s="1117"/>
      <c r="B17" s="938" t="s">
        <v>128</v>
      </c>
      <c r="C17" s="947" t="s">
        <v>14</v>
      </c>
      <c r="D17" s="1618">
        <v>3</v>
      </c>
      <c r="E17" s="1646">
        <f t="shared" si="7"/>
        <v>8.2406249999999996</v>
      </c>
      <c r="F17" s="1616">
        <v>0.75</v>
      </c>
      <c r="G17" s="940">
        <f t="shared" si="0"/>
        <v>24.721874999999997</v>
      </c>
      <c r="H17" s="1617">
        <f t="shared" si="1"/>
        <v>18.541406249999998</v>
      </c>
      <c r="I17" s="914">
        <f>VLOOKUP(B17,All_Ingredients!$A$1:$F$161,6,FALSE())</f>
        <v>1</v>
      </c>
      <c r="J17" s="940">
        <f>VLOOKUP(B17,All_Ingredients!$A$1:$J$161,10,FALSE())</f>
        <v>107</v>
      </c>
      <c r="K17" s="945">
        <f t="shared" si="8"/>
        <v>1.8541406249999996E-2</v>
      </c>
      <c r="L17" s="945">
        <f t="shared" si="9"/>
        <v>1.9839304687499997</v>
      </c>
    </row>
    <row r="18" spans="1:30" x14ac:dyDescent="0.25">
      <c r="A18" s="1117"/>
      <c r="B18" s="938" t="s">
        <v>122</v>
      </c>
      <c r="C18" s="947" t="s">
        <v>14</v>
      </c>
      <c r="D18" s="1618">
        <v>2</v>
      </c>
      <c r="E18" s="1646">
        <f t="shared" si="7"/>
        <v>8.2406249999999996</v>
      </c>
      <c r="F18" s="1616">
        <v>0.75</v>
      </c>
      <c r="G18" s="940">
        <f t="shared" si="0"/>
        <v>16.481249999999999</v>
      </c>
      <c r="H18" s="1617">
        <f t="shared" si="1"/>
        <v>12.360937499999999</v>
      </c>
      <c r="I18" s="914">
        <f>VLOOKUP(B18,All_Ingredients!$A$1:$F$161,6,FALSE())</f>
        <v>1</v>
      </c>
      <c r="J18" s="940">
        <f>VLOOKUP(B18,All_Ingredients!$A$1:$J$161,10,FALSE())</f>
        <v>14</v>
      </c>
      <c r="K18" s="945">
        <f t="shared" si="8"/>
        <v>1.2360937499999999E-2</v>
      </c>
      <c r="L18" s="945">
        <f t="shared" si="9"/>
        <v>0.17305312499999997</v>
      </c>
    </row>
    <row r="19" spans="1:30" x14ac:dyDescent="0.25">
      <c r="A19" s="1117" t="s">
        <v>884</v>
      </c>
      <c r="B19" s="938" t="s">
        <v>68</v>
      </c>
      <c r="C19" s="947" t="s">
        <v>14</v>
      </c>
      <c r="D19" s="1618">
        <v>15</v>
      </c>
      <c r="E19" s="1646">
        <f t="shared" si="7"/>
        <v>8.2406249999999996</v>
      </c>
      <c r="F19" s="1616">
        <v>0.85</v>
      </c>
      <c r="G19" s="940">
        <f t="shared" si="0"/>
        <v>123.609375</v>
      </c>
      <c r="H19" s="1617">
        <f t="shared" si="1"/>
        <v>105.06796874999999</v>
      </c>
      <c r="I19" s="914">
        <f>VLOOKUP(B19,All_Ingredients!$A$1:$F$161,6,FALSE())</f>
        <v>0.43</v>
      </c>
      <c r="J19" s="940">
        <f>VLOOKUP(B19,All_Ingredients!$A$1:$J$161,10,FALSE())</f>
        <v>3.333333333333333</v>
      </c>
      <c r="K19" s="945">
        <f t="shared" si="8"/>
        <v>0.244344113372093</v>
      </c>
      <c r="L19" s="945">
        <f t="shared" si="9"/>
        <v>0.81448037790697658</v>
      </c>
    </row>
    <row r="20" spans="1:30" x14ac:dyDescent="0.25">
      <c r="A20" s="1117"/>
      <c r="B20" s="938" t="s">
        <v>87</v>
      </c>
      <c r="C20" s="947" t="s">
        <v>14</v>
      </c>
      <c r="D20" s="1618">
        <v>1</v>
      </c>
      <c r="E20" s="1646">
        <f t="shared" si="7"/>
        <v>8.2406249999999996</v>
      </c>
      <c r="F20" s="1616">
        <v>0.75</v>
      </c>
      <c r="G20" s="940">
        <f t="shared" si="0"/>
        <v>8.2406249999999996</v>
      </c>
      <c r="H20" s="1617">
        <f t="shared" si="1"/>
        <v>6.1804687499999993</v>
      </c>
      <c r="I20" s="914">
        <f>VLOOKUP(B20,All_Ingredients!$A$1:$F$161,6,FALSE())</f>
        <v>1</v>
      </c>
      <c r="J20" s="940">
        <f>VLOOKUP(B20,All_Ingredients!$A$1:$J$161,10,FALSE())</f>
        <v>20</v>
      </c>
      <c r="K20" s="945">
        <f t="shared" si="8"/>
        <v>6.1804687499999993E-3</v>
      </c>
      <c r="L20" s="945">
        <f t="shared" si="9"/>
        <v>0.12360937499999999</v>
      </c>
    </row>
    <row r="21" spans="1:30" x14ac:dyDescent="0.25">
      <c r="A21" s="1117"/>
      <c r="B21" s="914" t="s">
        <v>799</v>
      </c>
      <c r="C21" s="947" t="s">
        <v>14</v>
      </c>
      <c r="D21" s="1618">
        <v>1</v>
      </c>
      <c r="E21" s="1646">
        <f t="shared" si="7"/>
        <v>8.2406249999999996</v>
      </c>
      <c r="F21" s="1616">
        <v>1</v>
      </c>
      <c r="G21" s="940">
        <f t="shared" si="0"/>
        <v>8.2406249999999996</v>
      </c>
      <c r="H21" s="1617">
        <f t="shared" si="1"/>
        <v>8.2406249999999996</v>
      </c>
      <c r="I21" s="914">
        <f>VLOOKUP(B21,All_Ingredients!$A$1:$F$161,6,FALSE())</f>
        <v>1</v>
      </c>
      <c r="J21" s="940">
        <f>VLOOKUP(B21,All_Ingredients!$A$1:$J$161,10,FALSE())</f>
        <v>22.5</v>
      </c>
      <c r="K21" s="945">
        <f t="shared" si="8"/>
        <v>8.2406249999999997E-3</v>
      </c>
      <c r="L21" s="945">
        <f t="shared" si="9"/>
        <v>0.1854140625</v>
      </c>
    </row>
    <row r="22" spans="1:30" x14ac:dyDescent="0.25">
      <c r="B22" s="80"/>
      <c r="E22" s="80"/>
      <c r="F22" s="80"/>
      <c r="L22" s="144"/>
    </row>
    <row r="23" spans="1:30" x14ac:dyDescent="0.25">
      <c r="B23" s="80"/>
      <c r="E23" s="80"/>
      <c r="F23" s="80"/>
      <c r="L23" s="144"/>
    </row>
    <row r="24" spans="1:30" x14ac:dyDescent="0.25">
      <c r="L24" s="144"/>
      <c r="Z24" s="630"/>
    </row>
    <row r="25" spans="1:30" ht="15.75" x14ac:dyDescent="0.25">
      <c r="L25" s="144"/>
      <c r="R25" s="1885" t="s">
        <v>432</v>
      </c>
      <c r="S25" s="1850"/>
      <c r="T25" s="1850"/>
      <c r="U25" s="1850"/>
      <c r="V25" s="553"/>
      <c r="Z25" s="96" t="s">
        <v>252</v>
      </c>
      <c r="AA25" s="97">
        <v>1</v>
      </c>
      <c r="AB25" s="96" t="s">
        <v>249</v>
      </c>
      <c r="AC25" s="98">
        <f>(AA25*(1.45))*AD30+(Z30*(AA28/R1))</f>
        <v>2.7824813373226107E-2</v>
      </c>
      <c r="AD25" s="14"/>
    </row>
    <row r="26" spans="1:30" x14ac:dyDescent="0.25">
      <c r="L26" s="144"/>
      <c r="R26" s="1897" t="s">
        <v>253</v>
      </c>
      <c r="S26" s="1850"/>
      <c r="T26" s="1850"/>
      <c r="U26" s="1850"/>
      <c r="V26" s="553"/>
      <c r="Z26" s="14"/>
      <c r="AA26" s="14"/>
      <c r="AB26" s="14"/>
      <c r="AC26" s="14"/>
      <c r="AD26" s="14"/>
    </row>
    <row r="27" spans="1:30" ht="15.75" thickBot="1" x14ac:dyDescent="0.3">
      <c r="L27" s="144"/>
      <c r="R27" s="100" t="s">
        <v>254</v>
      </c>
      <c r="S27" s="101" t="s">
        <v>375</v>
      </c>
      <c r="T27" s="101" t="s">
        <v>256</v>
      </c>
      <c r="U27" s="101" t="s">
        <v>257</v>
      </c>
      <c r="V27" s="101" t="s">
        <v>746</v>
      </c>
      <c r="W27" s="101" t="s">
        <v>753</v>
      </c>
      <c r="Y27" s="96" t="s">
        <v>258</v>
      </c>
      <c r="Z27" s="580" t="s">
        <v>311</v>
      </c>
      <c r="AA27" s="102" t="s">
        <v>259</v>
      </c>
      <c r="AB27" s="102" t="s">
        <v>261</v>
      </c>
      <c r="AC27" s="581" t="s">
        <v>753</v>
      </c>
      <c r="AD27" s="102" t="s">
        <v>262</v>
      </c>
    </row>
    <row r="28" spans="1:30" ht="15.75" thickBot="1" x14ac:dyDescent="0.3">
      <c r="L28" s="144"/>
      <c r="R28" s="103" t="s">
        <v>263</v>
      </c>
      <c r="S28" s="385">
        <f>$Z$1</f>
        <v>16580</v>
      </c>
      <c r="T28" s="104"/>
      <c r="U28" s="658">
        <f>T28+S28</f>
        <v>16580</v>
      </c>
      <c r="V28" s="104">
        <f>SUM(AP5:AP13)</f>
        <v>1242.7241379310349</v>
      </c>
      <c r="W28" s="104">
        <f>H37</f>
        <v>0</v>
      </c>
      <c r="Y28" s="105"/>
      <c r="Z28" s="582"/>
      <c r="AA28" s="106">
        <f>AA25*$S$40</f>
        <v>1</v>
      </c>
      <c r="AB28" s="107">
        <f>AA25*0.45</f>
        <v>0.45</v>
      </c>
      <c r="AC28" s="582"/>
      <c r="AD28" s="108">
        <f>SUM(AA28:AB28)</f>
        <v>1.45</v>
      </c>
    </row>
    <row r="29" spans="1:30" ht="15.75" thickBot="1" x14ac:dyDescent="0.3">
      <c r="L29" s="144"/>
      <c r="R29" s="103" t="s">
        <v>264</v>
      </c>
      <c r="S29" s="109"/>
      <c r="T29" s="104">
        <f>S28*0.45</f>
        <v>7461</v>
      </c>
      <c r="U29" s="380">
        <f>T29</f>
        <v>7461</v>
      </c>
      <c r="V29" s="104"/>
      <c r="W29" s="104"/>
      <c r="Y29" s="105"/>
      <c r="Z29" s="583"/>
      <c r="AA29" s="110">
        <f>AA28/$AD$28</f>
        <v>0.68965517241379315</v>
      </c>
      <c r="AB29" s="110">
        <f>AB28/$AD$28</f>
        <v>0.31034482758620691</v>
      </c>
      <c r="AC29" s="583"/>
      <c r="AD29" s="110">
        <f>AD28/$AD$28</f>
        <v>1</v>
      </c>
    </row>
    <row r="30" spans="1:30" ht="15.75" thickBot="1" x14ac:dyDescent="0.3">
      <c r="L30" s="144"/>
      <c r="R30" s="103" t="s">
        <v>265</v>
      </c>
      <c r="S30" s="657">
        <f>$AB$1</f>
        <v>1000</v>
      </c>
      <c r="T30" s="382">
        <f>S30*0.45</f>
        <v>450</v>
      </c>
      <c r="U30" s="382">
        <f>S30+T30</f>
        <v>1450</v>
      </c>
      <c r="V30" s="547"/>
      <c r="W30" s="547"/>
      <c r="Y30" s="96" t="s">
        <v>266</v>
      </c>
      <c r="Z30" s="584">
        <f>V35/(S32/R1)</f>
        <v>8.1210641025641027E-4</v>
      </c>
      <c r="AA30" s="111">
        <f>S35/(S32)</f>
        <v>2.0463253221873916E-2</v>
      </c>
      <c r="AB30" s="112">
        <f>T35/T32</f>
        <v>1.3247503745317475E-2</v>
      </c>
      <c r="AC30" s="585">
        <f>W35/U32</f>
        <v>0</v>
      </c>
      <c r="AD30" s="113">
        <f>SUMPRODUCT(AA30:AB30,AA29:AB29)</f>
        <v>1.8223882694666745E-2</v>
      </c>
    </row>
    <row r="31" spans="1:30" ht="15.75" thickBot="1" x14ac:dyDescent="0.3">
      <c r="L31" s="144"/>
      <c r="R31" s="103" t="s">
        <v>267</v>
      </c>
      <c r="S31" s="109"/>
      <c r="T31" s="104"/>
      <c r="U31" s="104"/>
      <c r="V31" s="104"/>
      <c r="W31" s="104"/>
      <c r="AB31">
        <f>AB30*AB28</f>
        <v>5.961376685392864E-3</v>
      </c>
    </row>
    <row r="32" spans="1:30" ht="15.75" thickBot="1" x14ac:dyDescent="0.3">
      <c r="L32" s="144"/>
      <c r="R32" s="114" t="s">
        <v>257</v>
      </c>
      <c r="S32" s="104">
        <f>SUM(S28:S30)</f>
        <v>17580</v>
      </c>
      <c r="T32" s="104">
        <f>SUM(T28:T30)</f>
        <v>7911</v>
      </c>
      <c r="U32" s="104">
        <f>SUM(U28:U30)</f>
        <v>25491</v>
      </c>
      <c r="V32" s="104"/>
      <c r="W32" s="104">
        <f>SUM(W28:W30)</f>
        <v>0</v>
      </c>
    </row>
    <row r="33" spans="17:23" ht="15.75" thickBot="1" x14ac:dyDescent="0.3">
      <c r="R33" s="115" t="s">
        <v>268</v>
      </c>
      <c r="S33" s="109"/>
      <c r="T33" s="109"/>
      <c r="U33" s="109"/>
      <c r="V33" s="109"/>
      <c r="W33" s="109"/>
    </row>
    <row r="34" spans="17:23" ht="15.75" thickBot="1" x14ac:dyDescent="0.3">
      <c r="R34" s="116" t="s">
        <v>269</v>
      </c>
      <c r="S34" s="109"/>
      <c r="T34" s="104"/>
      <c r="U34" s="109"/>
      <c r="V34" s="109"/>
      <c r="W34" s="109"/>
    </row>
    <row r="35" spans="17:23" ht="15.75" thickBot="1" x14ac:dyDescent="0.3">
      <c r="R35" s="117" t="s">
        <v>249</v>
      </c>
      <c r="S35" s="548">
        <f>$L$5</f>
        <v>359.74399164054341</v>
      </c>
      <c r="T35" s="548">
        <f>SUM(L6:L21)</f>
        <v>104.80100212920655</v>
      </c>
      <c r="U35" s="548">
        <f>S35+T35+V35</f>
        <v>489.16021910131496</v>
      </c>
      <c r="V35" s="548">
        <f>SUM(AT6:AT13)</f>
        <v>24.615225331564989</v>
      </c>
      <c r="W35" s="548">
        <f>L37</f>
        <v>0</v>
      </c>
    </row>
    <row r="37" spans="17:23" x14ac:dyDescent="0.25">
      <c r="S37" s="266">
        <f>S32/R1</f>
        <v>30310.34482758621</v>
      </c>
      <c r="U37" s="86" t="s">
        <v>299</v>
      </c>
    </row>
    <row r="38" spans="17:23" x14ac:dyDescent="0.25">
      <c r="S38" s="691">
        <f>(S37/I5)*27</f>
        <v>826645.76802507846</v>
      </c>
      <c r="U38" s="86" t="s">
        <v>433</v>
      </c>
    </row>
    <row r="40" spans="17:23" x14ac:dyDescent="0.25">
      <c r="Q40" s="14"/>
      <c r="R40" s="119" t="s">
        <v>270</v>
      </c>
      <c r="S40" s="163">
        <v>1</v>
      </c>
      <c r="T40" s="119" t="s">
        <v>271</v>
      </c>
      <c r="U40" s="163">
        <v>0</v>
      </c>
      <c r="V40" s="122">
        <f>S40+U40</f>
        <v>1</v>
      </c>
      <c r="W40" s="14"/>
    </row>
    <row r="41" spans="17:23" x14ac:dyDescent="0.25">
      <c r="Q41" s="14"/>
      <c r="R41" s="14"/>
      <c r="S41" s="14"/>
      <c r="T41" s="14"/>
      <c r="U41" s="123"/>
      <c r="V41" s="14"/>
      <c r="W41" s="14"/>
    </row>
    <row r="42" spans="17:23" x14ac:dyDescent="0.25">
      <c r="Q42" s="14"/>
      <c r="R42" s="14"/>
      <c r="S42" s="14"/>
      <c r="T42" s="14"/>
      <c r="U42" s="14"/>
      <c r="V42" s="14"/>
      <c r="W42" s="14"/>
    </row>
    <row r="43" spans="17:23" x14ac:dyDescent="0.25">
      <c r="Q43" s="124" t="s">
        <v>272</v>
      </c>
      <c r="R43" s="124" t="s">
        <v>273</v>
      </c>
      <c r="S43" s="124" t="s">
        <v>274</v>
      </c>
      <c r="T43" s="124" t="s">
        <v>275</v>
      </c>
      <c r="U43" s="124" t="s">
        <v>276</v>
      </c>
      <c r="V43" s="124" t="s">
        <v>277</v>
      </c>
      <c r="W43" s="174" t="s">
        <v>278</v>
      </c>
    </row>
    <row r="44" spans="17:23" x14ac:dyDescent="0.25">
      <c r="Q44" s="126">
        <v>22222</v>
      </c>
      <c r="R44" s="127">
        <f>D51</f>
        <v>10000</v>
      </c>
      <c r="S44" s="128">
        <v>0</v>
      </c>
      <c r="T44" s="128">
        <v>1</v>
      </c>
      <c r="U44" s="165">
        <f>R44*S44</f>
        <v>0</v>
      </c>
      <c r="V44" s="129">
        <f>R44*T44</f>
        <v>10000</v>
      </c>
      <c r="W44" s="175">
        <f>Q44-U44</f>
        <v>22222</v>
      </c>
    </row>
    <row r="50" spans="1:12" x14ac:dyDescent="0.25">
      <c r="B50" s="181"/>
      <c r="C50" s="100" t="s">
        <v>233</v>
      </c>
      <c r="D50" s="100" t="s">
        <v>279</v>
      </c>
      <c r="F50" s="80"/>
      <c r="G50" s="100" t="s">
        <v>280</v>
      </c>
      <c r="H50" s="100" t="s">
        <v>233</v>
      </c>
      <c r="I50" s="100" t="s">
        <v>281</v>
      </c>
      <c r="J50" s="100" t="s">
        <v>282</v>
      </c>
      <c r="L50" s="144"/>
    </row>
    <row r="51" spans="1:12" x14ac:dyDescent="0.25">
      <c r="B51" s="844" t="s">
        <v>283</v>
      </c>
      <c r="C51" s="133">
        <f>10/$K$1</f>
        <v>10.416666666666668</v>
      </c>
      <c r="D51" s="134">
        <f>$C$1*10</f>
        <v>10000</v>
      </c>
      <c r="E51" s="135"/>
      <c r="F51" s="80"/>
      <c r="G51" s="132" t="s">
        <v>283</v>
      </c>
      <c r="H51" s="182">
        <f>I51/$D$5</f>
        <v>10</v>
      </c>
      <c r="I51" s="133">
        <f>J51/$R$1</f>
        <v>38313.793103448275</v>
      </c>
      <c r="J51" s="133">
        <f>$W$44</f>
        <v>22222</v>
      </c>
      <c r="L51" s="144"/>
    </row>
    <row r="52" spans="1:12" x14ac:dyDescent="0.25">
      <c r="B52" s="846" t="s">
        <v>262</v>
      </c>
      <c r="C52" s="156">
        <f>$I$1</f>
        <v>8.2406249999999996</v>
      </c>
      <c r="D52" s="157">
        <f>$E$1</f>
        <v>7911</v>
      </c>
      <c r="E52" s="80"/>
      <c r="F52" s="80"/>
      <c r="G52" s="103" t="s">
        <v>262</v>
      </c>
      <c r="H52" s="145">
        <f>I52/$D$5</f>
        <v>7.9110791107911087</v>
      </c>
      <c r="I52" s="129">
        <f>J52/$R$1</f>
        <v>30310.34482758621</v>
      </c>
      <c r="J52" s="136">
        <f>$S$32</f>
        <v>17580</v>
      </c>
      <c r="L52" s="144"/>
    </row>
    <row r="53" spans="1:12" x14ac:dyDescent="0.25">
      <c r="B53" s="846" t="s">
        <v>284</v>
      </c>
      <c r="C53" s="158">
        <f>MIN(C52, C51)</f>
        <v>8.2406249999999996</v>
      </c>
      <c r="D53" s="157">
        <f>(C53*$K$1)*$C$1</f>
        <v>7911</v>
      </c>
      <c r="E53" s="80"/>
      <c r="F53" s="80"/>
      <c r="G53" s="103" t="s">
        <v>284</v>
      </c>
      <c r="H53" s="139">
        <f>MIN(H52,H51)</f>
        <v>7.9110791107911087</v>
      </c>
      <c r="I53" s="129">
        <f>J53/$R$1</f>
        <v>30310.34482758621</v>
      </c>
      <c r="J53" s="129">
        <f>MIN(J52,J51)</f>
        <v>17580</v>
      </c>
      <c r="L53" s="144"/>
    </row>
    <row r="54" spans="1:12" x14ac:dyDescent="0.25">
      <c r="B54" s="846" t="s">
        <v>285</v>
      </c>
      <c r="C54" s="158">
        <f>MIN(MAX(C52-C53,0),C51)</f>
        <v>0</v>
      </c>
      <c r="D54" s="157">
        <f>(C54*$K$1)*$C$1</f>
        <v>0</v>
      </c>
      <c r="E54" s="80"/>
      <c r="F54" s="80"/>
      <c r="G54" s="103" t="s">
        <v>285</v>
      </c>
      <c r="H54" s="139">
        <f>MIN(MAX(H52-H53),H51)</f>
        <v>0</v>
      </c>
      <c r="I54" s="129">
        <f>J54/$R$1</f>
        <v>0</v>
      </c>
      <c r="J54" s="129">
        <f>MIN(MAX(J52-J53),J51)</f>
        <v>0</v>
      </c>
      <c r="L54" s="144"/>
    </row>
    <row r="55" spans="1:12" x14ac:dyDescent="0.25">
      <c r="B55" s="846" t="s">
        <v>286</v>
      </c>
      <c r="C55" s="158">
        <f>MIN(MAX(C52-C53-C54,0),C51)</f>
        <v>0</v>
      </c>
      <c r="D55" s="157">
        <f>(C55*$K$1)*$C$1</f>
        <v>0</v>
      </c>
      <c r="E55" s="80"/>
      <c r="F55" s="80"/>
      <c r="G55" s="100" t="s">
        <v>286</v>
      </c>
      <c r="H55" s="139">
        <f>MIN(MAX(H52-H53-H54),H51)</f>
        <v>0</v>
      </c>
      <c r="I55" s="129">
        <f>J55/$R$1</f>
        <v>0</v>
      </c>
      <c r="J55" s="129">
        <f>MIN(MAX(J52-J53-J54),J51)</f>
        <v>0</v>
      </c>
    </row>
    <row r="60" spans="1:12" x14ac:dyDescent="0.25">
      <c r="B60" s="80"/>
      <c r="E60" s="80"/>
      <c r="F60" s="80"/>
    </row>
    <row r="61" spans="1:12" x14ac:dyDescent="0.25">
      <c r="B61" s="80"/>
      <c r="E61" s="80"/>
      <c r="F61" s="80"/>
    </row>
    <row r="62" spans="1:12" x14ac:dyDescent="0.25">
      <c r="A62" s="868"/>
      <c r="B62" s="1871" t="str">
        <f>"كباب اللحم1 / " &amp; COUNTIF($C$53:$C$55, "&gt;0")</f>
        <v>كباب اللحم1 / 1</v>
      </c>
      <c r="C62" s="1880"/>
      <c r="D62" s="1880"/>
      <c r="E62" s="1880"/>
      <c r="F62" s="1880"/>
      <c r="G62" s="1880"/>
      <c r="H62" s="1880"/>
    </row>
    <row r="63" spans="1:12" x14ac:dyDescent="0.25">
      <c r="A63" s="868"/>
      <c r="B63" s="1872" t="str">
        <f>"Meat Kebab 1 / " &amp; COUNTIF($C$53:$C$55, "&gt;0")</f>
        <v>Meat Kebab 1 / 1</v>
      </c>
      <c r="C63" s="1883"/>
      <c r="D63" s="1883"/>
      <c r="E63" s="1883"/>
      <c r="F63" s="1883"/>
      <c r="G63" s="1883"/>
      <c r="H63" s="1883"/>
    </row>
    <row r="64" spans="1:12" ht="25.5" x14ac:dyDescent="0.2">
      <c r="A64" s="1350" t="s">
        <v>864</v>
      </c>
      <c r="B64" s="1104" t="s">
        <v>241</v>
      </c>
      <c r="C64" s="934" t="s">
        <v>242</v>
      </c>
      <c r="D64" s="1104" t="s">
        <v>231</v>
      </c>
      <c r="E64" s="936" t="s">
        <v>234</v>
      </c>
      <c r="F64" s="936" t="s">
        <v>243</v>
      </c>
      <c r="G64" s="1104" t="s">
        <v>244</v>
      </c>
      <c r="H64" s="936" t="s">
        <v>245</v>
      </c>
    </row>
    <row r="65" spans="1:8" ht="14.25" x14ac:dyDescent="0.2">
      <c r="A65" s="235" t="s">
        <v>891</v>
      </c>
      <c r="B65" s="938" t="str">
        <f t="shared" ref="B65:D81" si="14">B5</f>
        <v>Indian Meat Tammam Mafroom - مفروم هندى</v>
      </c>
      <c r="C65" s="938" t="str">
        <f t="shared" si="14"/>
        <v>gm</v>
      </c>
      <c r="D65" s="1127">
        <f t="shared" si="14"/>
        <v>3831.3793103448274</v>
      </c>
      <c r="E65" s="1690">
        <f>H53</f>
        <v>7.9110791107911087</v>
      </c>
      <c r="F65" s="1616">
        <f t="shared" ref="F65:F81" si="15">F5</f>
        <v>1</v>
      </c>
      <c r="G65" s="940">
        <f t="shared" ref="G65:G80" si="16">D65*E65</f>
        <v>30310.34482758621</v>
      </c>
      <c r="H65" s="1617">
        <f t="shared" ref="H65:H80" si="17">G65*F65</f>
        <v>30310.34482758621</v>
      </c>
    </row>
    <row r="66" spans="1:8" x14ac:dyDescent="0.25">
      <c r="A66" s="1" t="s">
        <v>866</v>
      </c>
      <c r="B66" s="938" t="str">
        <f t="shared" si="14"/>
        <v>Onion - بصل</v>
      </c>
      <c r="C66" s="938" t="str">
        <f t="shared" si="14"/>
        <v>gm</v>
      </c>
      <c r="D66" s="938">
        <f t="shared" si="14"/>
        <v>580</v>
      </c>
      <c r="E66" s="1690">
        <f t="shared" ref="E66:E81" si="18">$C$53</f>
        <v>8.2406249999999996</v>
      </c>
      <c r="F66" s="1616">
        <f t="shared" si="15"/>
        <v>0.95</v>
      </c>
      <c r="G66" s="940">
        <f t="shared" si="16"/>
        <v>4779.5625</v>
      </c>
      <c r="H66" s="1617">
        <f t="shared" si="17"/>
        <v>4540.5843749999995</v>
      </c>
    </row>
    <row r="67" spans="1:8" x14ac:dyDescent="0.25">
      <c r="A67" s="1" t="s">
        <v>868</v>
      </c>
      <c r="B67" s="938" t="str">
        <f t="shared" si="14"/>
        <v>Garlic - ثوم مقشر</v>
      </c>
      <c r="C67" s="938" t="str">
        <f t="shared" si="14"/>
        <v>gm</v>
      </c>
      <c r="D67" s="938">
        <f t="shared" si="14"/>
        <v>15</v>
      </c>
      <c r="E67" s="1690">
        <f t="shared" si="18"/>
        <v>8.2406249999999996</v>
      </c>
      <c r="F67" s="1616">
        <f t="shared" si="15"/>
        <v>0.95</v>
      </c>
      <c r="G67" s="940">
        <f t="shared" si="16"/>
        <v>123.609375</v>
      </c>
      <c r="H67" s="1617">
        <f t="shared" si="17"/>
        <v>117.42890625</v>
      </c>
    </row>
    <row r="68" spans="1:8" x14ac:dyDescent="0.25">
      <c r="B68" s="938" t="str">
        <f t="shared" si="14"/>
        <v>Curry Powder - كاري بودرة</v>
      </c>
      <c r="C68" s="938" t="str">
        <f t="shared" si="14"/>
        <v>gm</v>
      </c>
      <c r="D68" s="938">
        <f t="shared" si="14"/>
        <v>10</v>
      </c>
      <c r="E68" s="1690">
        <f t="shared" si="18"/>
        <v>8.2406249999999996</v>
      </c>
      <c r="F68" s="1616">
        <f t="shared" si="15"/>
        <v>0.75</v>
      </c>
      <c r="G68" s="940">
        <f t="shared" si="16"/>
        <v>82.40625</v>
      </c>
      <c r="H68" s="1617">
        <f t="shared" si="17"/>
        <v>61.8046875</v>
      </c>
    </row>
    <row r="69" spans="1:8" x14ac:dyDescent="0.25">
      <c r="B69" s="938" t="str">
        <f t="shared" si="14"/>
        <v>White Pepper - فلفل أبيض</v>
      </c>
      <c r="C69" s="938" t="str">
        <f t="shared" si="14"/>
        <v>gm</v>
      </c>
      <c r="D69" s="938">
        <f t="shared" si="14"/>
        <v>3</v>
      </c>
      <c r="E69" s="1690">
        <f t="shared" si="18"/>
        <v>8.2406249999999996</v>
      </c>
      <c r="F69" s="1616">
        <f t="shared" si="15"/>
        <v>0.75</v>
      </c>
      <c r="G69" s="940">
        <f t="shared" si="16"/>
        <v>24.721874999999997</v>
      </c>
      <c r="H69" s="1617">
        <f t="shared" si="17"/>
        <v>18.541406249999998</v>
      </c>
    </row>
    <row r="70" spans="1:8" x14ac:dyDescent="0.25">
      <c r="B70" s="938" t="str">
        <f t="shared" si="14"/>
        <v>Cumin Powder - كمون مطحون</v>
      </c>
      <c r="C70" s="938" t="str">
        <f t="shared" si="14"/>
        <v>gm</v>
      </c>
      <c r="D70" s="938">
        <f t="shared" si="14"/>
        <v>5</v>
      </c>
      <c r="E70" s="1690">
        <f t="shared" si="18"/>
        <v>8.2406249999999996</v>
      </c>
      <c r="F70" s="1616">
        <f t="shared" si="15"/>
        <v>0.9</v>
      </c>
      <c r="G70" s="940">
        <f t="shared" si="16"/>
        <v>41.203125</v>
      </c>
      <c r="H70" s="1617">
        <f t="shared" si="17"/>
        <v>37.082812500000003</v>
      </c>
    </row>
    <row r="71" spans="1:8" x14ac:dyDescent="0.25">
      <c r="B71" s="938" t="str">
        <f t="shared" si="14"/>
        <v>Coriander Powder - كزبرة مطحونة</v>
      </c>
      <c r="C71" s="938" t="str">
        <f t="shared" si="14"/>
        <v>gm</v>
      </c>
      <c r="D71" s="938">
        <f t="shared" si="14"/>
        <v>5</v>
      </c>
      <c r="E71" s="1690">
        <f t="shared" si="18"/>
        <v>8.2406249999999996</v>
      </c>
      <c r="F71" s="1616">
        <f t="shared" si="15"/>
        <v>0.9</v>
      </c>
      <c r="G71" s="940">
        <f t="shared" si="16"/>
        <v>41.203125</v>
      </c>
      <c r="H71" s="1617">
        <f t="shared" si="17"/>
        <v>37.082812500000003</v>
      </c>
    </row>
    <row r="72" spans="1:8" x14ac:dyDescent="0.25">
      <c r="A72" s="1" t="s">
        <v>869</v>
      </c>
      <c r="B72" s="938" t="str">
        <f t="shared" si="14"/>
        <v>Coriander Leaves - كزبرة خضراء</v>
      </c>
      <c r="C72" s="938" t="str">
        <f t="shared" si="14"/>
        <v>gm</v>
      </c>
      <c r="D72" s="938">
        <f t="shared" si="14"/>
        <v>10</v>
      </c>
      <c r="E72" s="1690">
        <f t="shared" si="18"/>
        <v>8.2406249999999996</v>
      </c>
      <c r="F72" s="1616">
        <f t="shared" si="15"/>
        <v>1</v>
      </c>
      <c r="G72" s="940">
        <f t="shared" si="16"/>
        <v>82.40625</v>
      </c>
      <c r="H72" s="1617">
        <f t="shared" si="17"/>
        <v>82.40625</v>
      </c>
    </row>
    <row r="73" spans="1:8" x14ac:dyDescent="0.25">
      <c r="B73" s="938" t="str">
        <f t="shared" si="14"/>
        <v>Yogurt - زبادي</v>
      </c>
      <c r="C73" s="938" t="str">
        <f t="shared" si="14"/>
        <v>gm</v>
      </c>
      <c r="D73" s="938">
        <f t="shared" si="14"/>
        <v>400</v>
      </c>
      <c r="E73" s="1690">
        <f t="shared" si="18"/>
        <v>8.2406249999999996</v>
      </c>
      <c r="F73" s="1616">
        <f t="shared" si="15"/>
        <v>1</v>
      </c>
      <c r="G73" s="940">
        <f t="shared" si="16"/>
        <v>3296.25</v>
      </c>
      <c r="H73" s="1617">
        <f t="shared" si="17"/>
        <v>3296.25</v>
      </c>
    </row>
    <row r="74" spans="1:8" x14ac:dyDescent="0.25">
      <c r="B74" s="938" t="str">
        <f t="shared" si="14"/>
        <v>Cooking Cream - كريمة طبخ</v>
      </c>
      <c r="C74" s="938" t="str">
        <f t="shared" si="14"/>
        <v>ml</v>
      </c>
      <c r="D74" s="938">
        <f t="shared" si="14"/>
        <v>450</v>
      </c>
      <c r="E74" s="1690">
        <f t="shared" si="18"/>
        <v>8.2406249999999996</v>
      </c>
      <c r="F74" s="1616">
        <f t="shared" si="15"/>
        <v>1</v>
      </c>
      <c r="G74" s="940">
        <f t="shared" si="16"/>
        <v>3708.28125</v>
      </c>
      <c r="H74" s="1617">
        <f t="shared" si="17"/>
        <v>3708.28125</v>
      </c>
    </row>
    <row r="75" spans="1:8" x14ac:dyDescent="0.25">
      <c r="B75" s="938" t="str">
        <f t="shared" si="14"/>
        <v>Salt - ملح</v>
      </c>
      <c r="C75" s="938" t="str">
        <f t="shared" si="14"/>
        <v>gm</v>
      </c>
      <c r="D75" s="938">
        <f t="shared" si="14"/>
        <v>11</v>
      </c>
      <c r="E75" s="1690">
        <f t="shared" si="18"/>
        <v>8.2406249999999996</v>
      </c>
      <c r="F75" s="1616">
        <f t="shared" si="15"/>
        <v>1</v>
      </c>
      <c r="G75" s="940">
        <f t="shared" si="16"/>
        <v>90.646874999999994</v>
      </c>
      <c r="H75" s="1617">
        <f t="shared" si="17"/>
        <v>90.646874999999994</v>
      </c>
    </row>
    <row r="76" spans="1:8" x14ac:dyDescent="0.25">
      <c r="B76" s="938" t="str">
        <f t="shared" si="14"/>
        <v>Butter - زبدة</v>
      </c>
      <c r="C76" s="938" t="str">
        <f t="shared" si="14"/>
        <v>gm</v>
      </c>
      <c r="D76" s="938">
        <f t="shared" si="14"/>
        <v>50</v>
      </c>
      <c r="E76" s="1690">
        <f t="shared" si="18"/>
        <v>8.2406249999999996</v>
      </c>
      <c r="F76" s="1616">
        <f t="shared" si="15"/>
        <v>1</v>
      </c>
      <c r="G76" s="940">
        <f t="shared" si="16"/>
        <v>412.03125</v>
      </c>
      <c r="H76" s="1617">
        <f t="shared" si="17"/>
        <v>412.03125</v>
      </c>
    </row>
    <row r="77" spans="1:8" x14ac:dyDescent="0.25">
      <c r="B77" s="938" t="str">
        <f t="shared" si="14"/>
        <v>Cardamom Powder - هيل مطحون</v>
      </c>
      <c r="C77" s="938" t="str">
        <f t="shared" si="14"/>
        <v>gm</v>
      </c>
      <c r="D77" s="938">
        <f t="shared" si="14"/>
        <v>3</v>
      </c>
      <c r="E77" s="1690">
        <f t="shared" si="18"/>
        <v>8.2406249999999996</v>
      </c>
      <c r="F77" s="1616">
        <f t="shared" si="15"/>
        <v>0.75</v>
      </c>
      <c r="G77" s="940">
        <f t="shared" si="16"/>
        <v>24.721874999999997</v>
      </c>
      <c r="H77" s="1617">
        <f t="shared" si="17"/>
        <v>18.541406249999998</v>
      </c>
    </row>
    <row r="78" spans="1:8" x14ac:dyDescent="0.25">
      <c r="B78" s="938" t="str">
        <f t="shared" si="14"/>
        <v>Cinnamon Powder - قرفة مطحونة</v>
      </c>
      <c r="C78" s="938" t="str">
        <f t="shared" si="14"/>
        <v>gm</v>
      </c>
      <c r="D78" s="938">
        <f t="shared" si="14"/>
        <v>2</v>
      </c>
      <c r="E78" s="1690">
        <f t="shared" si="18"/>
        <v>8.2406249999999996</v>
      </c>
      <c r="F78" s="1616">
        <f t="shared" si="15"/>
        <v>0.75</v>
      </c>
      <c r="G78" s="940">
        <f t="shared" si="16"/>
        <v>16.481249999999999</v>
      </c>
      <c r="H78" s="1617">
        <f t="shared" si="17"/>
        <v>12.360937499999999</v>
      </c>
    </row>
    <row r="79" spans="1:8" x14ac:dyDescent="0.25">
      <c r="A79" s="1" t="s">
        <v>884</v>
      </c>
      <c r="B79" s="938" t="str">
        <f t="shared" si="14"/>
        <v>Mint Leaves - نعناع طازج</v>
      </c>
      <c r="C79" s="938" t="str">
        <f t="shared" si="14"/>
        <v>gm</v>
      </c>
      <c r="D79" s="938">
        <f t="shared" si="14"/>
        <v>15</v>
      </c>
      <c r="E79" s="1690">
        <f t="shared" si="18"/>
        <v>8.2406249999999996</v>
      </c>
      <c r="F79" s="1616">
        <f t="shared" si="15"/>
        <v>0.85</v>
      </c>
      <c r="G79" s="940">
        <f t="shared" si="16"/>
        <v>123.609375</v>
      </c>
      <c r="H79" s="1617">
        <f t="shared" si="17"/>
        <v>105.06796874999999</v>
      </c>
    </row>
    <row r="80" spans="1:8" x14ac:dyDescent="0.25">
      <c r="B80" s="938" t="str">
        <f t="shared" si="14"/>
        <v>Dried Mint Leaves - نعناع مجفف</v>
      </c>
      <c r="C80" s="938" t="str">
        <f t="shared" si="14"/>
        <v>gm</v>
      </c>
      <c r="D80" s="938">
        <f t="shared" si="14"/>
        <v>1</v>
      </c>
      <c r="E80" s="1690">
        <f t="shared" si="18"/>
        <v>8.2406249999999996</v>
      </c>
      <c r="F80" s="1616">
        <f t="shared" si="15"/>
        <v>0.75</v>
      </c>
      <c r="G80" s="940">
        <f t="shared" si="16"/>
        <v>8.2406249999999996</v>
      </c>
      <c r="H80" s="1617">
        <f t="shared" si="17"/>
        <v>6.1804687499999993</v>
      </c>
    </row>
    <row r="81" spans="1:8" x14ac:dyDescent="0.25">
      <c r="B81" s="938" t="str">
        <f t="shared" si="14"/>
        <v>Saffron yellow color powder - لون صفار زعفران بودر</v>
      </c>
      <c r="C81" s="938" t="str">
        <f t="shared" si="14"/>
        <v>gm</v>
      </c>
      <c r="D81" s="938">
        <f t="shared" si="14"/>
        <v>1</v>
      </c>
      <c r="E81" s="1690">
        <f t="shared" si="18"/>
        <v>8.2406249999999996</v>
      </c>
      <c r="F81" s="1616">
        <f t="shared" si="15"/>
        <v>1</v>
      </c>
      <c r="G81" s="940">
        <f>D81*E81</f>
        <v>8.2406249999999996</v>
      </c>
      <c r="H81" s="1617">
        <f>G81*F81</f>
        <v>8.2406249999999996</v>
      </c>
    </row>
    <row r="82" spans="1:8" ht="18" x14ac:dyDescent="0.25">
      <c r="A82" s="861"/>
      <c r="B82" s="1622" t="s">
        <v>287</v>
      </c>
      <c r="C82" s="1042" t="s">
        <v>273</v>
      </c>
      <c r="D82" s="952"/>
      <c r="E82" s="1042" t="s">
        <v>288</v>
      </c>
      <c r="F82" s="952"/>
      <c r="G82" s="1045" t="s">
        <v>264</v>
      </c>
      <c r="H82" s="1045" t="s">
        <v>661</v>
      </c>
    </row>
    <row r="83" spans="1:8" ht="20.25" x14ac:dyDescent="0.3">
      <c r="A83" s="861"/>
      <c r="B83" s="1048">
        <f>$J$53</f>
        <v>17580</v>
      </c>
      <c r="C83" s="1048">
        <f>E83+G83</f>
        <v>7911</v>
      </c>
      <c r="D83" s="972"/>
      <c r="E83" s="1048">
        <f>$D$53*$S$44</f>
        <v>0</v>
      </c>
      <c r="F83" s="1050"/>
      <c r="G83" s="1048">
        <f>$D$53*$T$44</f>
        <v>7911</v>
      </c>
      <c r="H83" s="1048">
        <f>B83+E83</f>
        <v>17580</v>
      </c>
    </row>
    <row r="84" spans="1:8" x14ac:dyDescent="0.25">
      <c r="B84" s="1208"/>
      <c r="C84" s="959"/>
      <c r="D84" s="959"/>
      <c r="E84" s="1208"/>
      <c r="F84" s="1208"/>
      <c r="G84" s="959"/>
      <c r="H84" s="959"/>
    </row>
    <row r="85" spans="1:8" x14ac:dyDescent="0.25">
      <c r="A85" s="868"/>
      <c r="B85" s="1776" t="str">
        <f>"كباب اللحم 2  / " &amp; COUNTIF($C$53:$C$55, "&gt;0")</f>
        <v>كباب اللحم 2  / 1</v>
      </c>
      <c r="C85" s="1777"/>
      <c r="D85" s="1777"/>
      <c r="E85" s="1777"/>
      <c r="F85" s="1777"/>
      <c r="G85" s="1777"/>
      <c r="H85" s="1777"/>
    </row>
    <row r="86" spans="1:8" x14ac:dyDescent="0.25">
      <c r="A86" s="868"/>
      <c r="B86" s="1842" t="str">
        <f>"Meat Kebab 2  / " &amp; COUNTIF($C$53:$C$55, "&gt;0")</f>
        <v>Meat Kebab 2  / 1</v>
      </c>
      <c r="C86" s="1843"/>
      <c r="D86" s="1843"/>
      <c r="E86" s="1843"/>
      <c r="F86" s="1843"/>
      <c r="G86" s="1843"/>
      <c r="H86" s="1843"/>
    </row>
    <row r="87" spans="1:8" ht="25.5" x14ac:dyDescent="0.2">
      <c r="A87" s="1350" t="s">
        <v>864</v>
      </c>
      <c r="B87" s="1104" t="s">
        <v>241</v>
      </c>
      <c r="C87" s="934" t="s">
        <v>242</v>
      </c>
      <c r="D87" s="1104" t="s">
        <v>231</v>
      </c>
      <c r="E87" s="936" t="s">
        <v>234</v>
      </c>
      <c r="F87" s="936" t="s">
        <v>243</v>
      </c>
      <c r="G87" s="1104" t="s">
        <v>244</v>
      </c>
      <c r="H87" s="936" t="s">
        <v>245</v>
      </c>
    </row>
    <row r="88" spans="1:8" ht="14.25" x14ac:dyDescent="0.2">
      <c r="A88" s="235" t="s">
        <v>891</v>
      </c>
      <c r="B88" s="938" t="str">
        <f t="shared" ref="B88:D104" si="19">B5</f>
        <v>Indian Meat Tammam Mafroom - مفروم هندى</v>
      </c>
      <c r="C88" s="938" t="str">
        <f t="shared" si="19"/>
        <v>gm</v>
      </c>
      <c r="D88" s="1127">
        <f t="shared" si="19"/>
        <v>3831.3793103448274</v>
      </c>
      <c r="E88" s="1627">
        <f>H54</f>
        <v>0</v>
      </c>
      <c r="F88" s="1616">
        <f t="shared" ref="F88:F104" si="20">F5</f>
        <v>1</v>
      </c>
      <c r="G88" s="940">
        <f t="shared" ref="G88:G103" si="21">D88*E88</f>
        <v>0</v>
      </c>
      <c r="H88" s="1617">
        <f t="shared" ref="H88:H103" si="22">G88*F88</f>
        <v>0</v>
      </c>
    </row>
    <row r="89" spans="1:8" x14ac:dyDescent="0.25">
      <c r="A89" s="1" t="s">
        <v>866</v>
      </c>
      <c r="B89" s="938" t="str">
        <f t="shared" si="19"/>
        <v>Onion - بصل</v>
      </c>
      <c r="C89" s="938" t="str">
        <f t="shared" si="19"/>
        <v>gm</v>
      </c>
      <c r="D89" s="938">
        <f t="shared" si="19"/>
        <v>580</v>
      </c>
      <c r="E89" s="1627">
        <f t="shared" ref="E89:E104" si="23">$C$54</f>
        <v>0</v>
      </c>
      <c r="F89" s="1616">
        <f t="shared" si="20"/>
        <v>0.95</v>
      </c>
      <c r="G89" s="940">
        <f t="shared" si="21"/>
        <v>0</v>
      </c>
      <c r="H89" s="1617">
        <f t="shared" si="22"/>
        <v>0</v>
      </c>
    </row>
    <row r="90" spans="1:8" x14ac:dyDescent="0.25">
      <c r="A90" s="1" t="s">
        <v>868</v>
      </c>
      <c r="B90" s="938" t="str">
        <f t="shared" si="19"/>
        <v>Garlic - ثوم مقشر</v>
      </c>
      <c r="C90" s="938" t="str">
        <f t="shared" si="19"/>
        <v>gm</v>
      </c>
      <c r="D90" s="938">
        <f t="shared" si="19"/>
        <v>15</v>
      </c>
      <c r="E90" s="1627">
        <f t="shared" si="23"/>
        <v>0</v>
      </c>
      <c r="F90" s="1616">
        <f t="shared" si="20"/>
        <v>0.95</v>
      </c>
      <c r="G90" s="940">
        <f t="shared" si="21"/>
        <v>0</v>
      </c>
      <c r="H90" s="1617">
        <f t="shared" si="22"/>
        <v>0</v>
      </c>
    </row>
    <row r="91" spans="1:8" x14ac:dyDescent="0.25">
      <c r="B91" s="938" t="str">
        <f t="shared" si="19"/>
        <v>Curry Powder - كاري بودرة</v>
      </c>
      <c r="C91" s="938" t="str">
        <f t="shared" si="19"/>
        <v>gm</v>
      </c>
      <c r="D91" s="938">
        <f t="shared" si="19"/>
        <v>10</v>
      </c>
      <c r="E91" s="1627">
        <f t="shared" si="23"/>
        <v>0</v>
      </c>
      <c r="F91" s="1616">
        <f t="shared" si="20"/>
        <v>0.75</v>
      </c>
      <c r="G91" s="940">
        <f t="shared" si="21"/>
        <v>0</v>
      </c>
      <c r="H91" s="1617">
        <f t="shared" si="22"/>
        <v>0</v>
      </c>
    </row>
    <row r="92" spans="1:8" x14ac:dyDescent="0.25">
      <c r="B92" s="938" t="str">
        <f t="shared" si="19"/>
        <v>White Pepper - فلفل أبيض</v>
      </c>
      <c r="C92" s="938" t="str">
        <f t="shared" si="19"/>
        <v>gm</v>
      </c>
      <c r="D92" s="938">
        <f t="shared" si="19"/>
        <v>3</v>
      </c>
      <c r="E92" s="1627">
        <f t="shared" si="23"/>
        <v>0</v>
      </c>
      <c r="F92" s="1616">
        <f t="shared" si="20"/>
        <v>0.75</v>
      </c>
      <c r="G92" s="940">
        <f t="shared" si="21"/>
        <v>0</v>
      </c>
      <c r="H92" s="1617">
        <f t="shared" si="22"/>
        <v>0</v>
      </c>
    </row>
    <row r="93" spans="1:8" x14ac:dyDescent="0.25">
      <c r="B93" s="938" t="str">
        <f t="shared" si="19"/>
        <v>Cumin Powder - كمون مطحون</v>
      </c>
      <c r="C93" s="938" t="str">
        <f t="shared" si="19"/>
        <v>gm</v>
      </c>
      <c r="D93" s="938">
        <f t="shared" si="19"/>
        <v>5</v>
      </c>
      <c r="E93" s="1627">
        <f t="shared" si="23"/>
        <v>0</v>
      </c>
      <c r="F93" s="1616">
        <f t="shared" si="20"/>
        <v>0.9</v>
      </c>
      <c r="G93" s="940">
        <f t="shared" si="21"/>
        <v>0</v>
      </c>
      <c r="H93" s="1617">
        <f t="shared" si="22"/>
        <v>0</v>
      </c>
    </row>
    <row r="94" spans="1:8" x14ac:dyDescent="0.25">
      <c r="B94" s="938" t="str">
        <f t="shared" si="19"/>
        <v>Coriander Powder - كزبرة مطحونة</v>
      </c>
      <c r="C94" s="938" t="str">
        <f t="shared" si="19"/>
        <v>gm</v>
      </c>
      <c r="D94" s="938">
        <f t="shared" si="19"/>
        <v>5</v>
      </c>
      <c r="E94" s="1627">
        <f t="shared" si="23"/>
        <v>0</v>
      </c>
      <c r="F94" s="1616">
        <f t="shared" si="20"/>
        <v>0.9</v>
      </c>
      <c r="G94" s="940">
        <f t="shared" si="21"/>
        <v>0</v>
      </c>
      <c r="H94" s="1617">
        <f t="shared" si="22"/>
        <v>0</v>
      </c>
    </row>
    <row r="95" spans="1:8" x14ac:dyDescent="0.25">
      <c r="A95" s="1" t="s">
        <v>869</v>
      </c>
      <c r="B95" s="938" t="str">
        <f t="shared" si="19"/>
        <v>Coriander Leaves - كزبرة خضراء</v>
      </c>
      <c r="C95" s="938" t="str">
        <f t="shared" si="19"/>
        <v>gm</v>
      </c>
      <c r="D95" s="938">
        <f t="shared" si="19"/>
        <v>10</v>
      </c>
      <c r="E95" s="1627">
        <f t="shared" si="23"/>
        <v>0</v>
      </c>
      <c r="F95" s="1616">
        <f t="shared" si="20"/>
        <v>1</v>
      </c>
      <c r="G95" s="940">
        <f t="shared" si="21"/>
        <v>0</v>
      </c>
      <c r="H95" s="1617">
        <f t="shared" si="22"/>
        <v>0</v>
      </c>
    </row>
    <row r="96" spans="1:8" x14ac:dyDescent="0.25">
      <c r="B96" s="938" t="str">
        <f t="shared" si="19"/>
        <v>Yogurt - زبادي</v>
      </c>
      <c r="C96" s="938" t="str">
        <f t="shared" si="19"/>
        <v>gm</v>
      </c>
      <c r="D96" s="938">
        <f t="shared" si="19"/>
        <v>400</v>
      </c>
      <c r="E96" s="1627">
        <f t="shared" si="23"/>
        <v>0</v>
      </c>
      <c r="F96" s="1616">
        <f t="shared" si="20"/>
        <v>1</v>
      </c>
      <c r="G96" s="940">
        <f t="shared" si="21"/>
        <v>0</v>
      </c>
      <c r="H96" s="1617">
        <f t="shared" si="22"/>
        <v>0</v>
      </c>
    </row>
    <row r="97" spans="1:10" x14ac:dyDescent="0.25">
      <c r="B97" s="938" t="str">
        <f t="shared" si="19"/>
        <v>Cooking Cream - كريمة طبخ</v>
      </c>
      <c r="C97" s="938" t="str">
        <f t="shared" si="19"/>
        <v>ml</v>
      </c>
      <c r="D97" s="938">
        <f t="shared" si="19"/>
        <v>450</v>
      </c>
      <c r="E97" s="1627">
        <f t="shared" si="23"/>
        <v>0</v>
      </c>
      <c r="F97" s="1616">
        <f t="shared" si="20"/>
        <v>1</v>
      </c>
      <c r="G97" s="940">
        <f t="shared" si="21"/>
        <v>0</v>
      </c>
      <c r="H97" s="1617">
        <f t="shared" si="22"/>
        <v>0</v>
      </c>
    </row>
    <row r="98" spans="1:10" x14ac:dyDescent="0.25">
      <c r="B98" s="938" t="str">
        <f t="shared" si="19"/>
        <v>Salt - ملح</v>
      </c>
      <c r="C98" s="938" t="str">
        <f t="shared" si="19"/>
        <v>gm</v>
      </c>
      <c r="D98" s="938">
        <f t="shared" si="19"/>
        <v>11</v>
      </c>
      <c r="E98" s="1627">
        <f t="shared" si="23"/>
        <v>0</v>
      </c>
      <c r="F98" s="1616">
        <f t="shared" si="20"/>
        <v>1</v>
      </c>
      <c r="G98" s="940">
        <f t="shared" si="21"/>
        <v>0</v>
      </c>
      <c r="H98" s="1617">
        <f t="shared" si="22"/>
        <v>0</v>
      </c>
    </row>
    <row r="99" spans="1:10" x14ac:dyDescent="0.25">
      <c r="B99" s="938" t="str">
        <f t="shared" si="19"/>
        <v>Butter - زبدة</v>
      </c>
      <c r="C99" s="938" t="str">
        <f t="shared" si="19"/>
        <v>gm</v>
      </c>
      <c r="D99" s="938">
        <f t="shared" si="19"/>
        <v>50</v>
      </c>
      <c r="E99" s="1627">
        <f t="shared" si="23"/>
        <v>0</v>
      </c>
      <c r="F99" s="1616">
        <f t="shared" si="20"/>
        <v>1</v>
      </c>
      <c r="G99" s="940">
        <f t="shared" si="21"/>
        <v>0</v>
      </c>
      <c r="H99" s="1617">
        <f t="shared" si="22"/>
        <v>0</v>
      </c>
    </row>
    <row r="100" spans="1:10" x14ac:dyDescent="0.25">
      <c r="B100" s="938" t="str">
        <f t="shared" si="19"/>
        <v>Cardamom Powder - هيل مطحون</v>
      </c>
      <c r="C100" s="938" t="str">
        <f t="shared" si="19"/>
        <v>gm</v>
      </c>
      <c r="D100" s="938">
        <f t="shared" si="19"/>
        <v>3</v>
      </c>
      <c r="E100" s="1627">
        <f t="shared" si="23"/>
        <v>0</v>
      </c>
      <c r="F100" s="1616">
        <f t="shared" si="20"/>
        <v>0.75</v>
      </c>
      <c r="G100" s="940">
        <f t="shared" si="21"/>
        <v>0</v>
      </c>
      <c r="H100" s="1617">
        <f t="shared" si="22"/>
        <v>0</v>
      </c>
    </row>
    <row r="101" spans="1:10" x14ac:dyDescent="0.25">
      <c r="B101" s="938" t="str">
        <f t="shared" si="19"/>
        <v>Cinnamon Powder - قرفة مطحونة</v>
      </c>
      <c r="C101" s="938" t="str">
        <f t="shared" si="19"/>
        <v>gm</v>
      </c>
      <c r="D101" s="938">
        <f t="shared" si="19"/>
        <v>2</v>
      </c>
      <c r="E101" s="1627">
        <f t="shared" si="23"/>
        <v>0</v>
      </c>
      <c r="F101" s="1616">
        <f t="shared" si="20"/>
        <v>0.75</v>
      </c>
      <c r="G101" s="940">
        <f t="shared" si="21"/>
        <v>0</v>
      </c>
      <c r="H101" s="1617">
        <f t="shared" si="22"/>
        <v>0</v>
      </c>
    </row>
    <row r="102" spans="1:10" x14ac:dyDescent="0.25">
      <c r="A102" s="1" t="s">
        <v>884</v>
      </c>
      <c r="B102" s="938" t="str">
        <f t="shared" si="19"/>
        <v>Mint Leaves - نعناع طازج</v>
      </c>
      <c r="C102" s="938" t="str">
        <f t="shared" si="19"/>
        <v>gm</v>
      </c>
      <c r="D102" s="938">
        <f t="shared" si="19"/>
        <v>15</v>
      </c>
      <c r="E102" s="1627">
        <f t="shared" si="23"/>
        <v>0</v>
      </c>
      <c r="F102" s="1616">
        <f t="shared" si="20"/>
        <v>0.85</v>
      </c>
      <c r="G102" s="940">
        <f t="shared" si="21"/>
        <v>0</v>
      </c>
      <c r="H102" s="1617">
        <f t="shared" si="22"/>
        <v>0</v>
      </c>
    </row>
    <row r="103" spans="1:10" ht="20.25" x14ac:dyDescent="0.3">
      <c r="B103" s="938" t="str">
        <f t="shared" si="19"/>
        <v>Dried Mint Leaves - نعناع مجفف</v>
      </c>
      <c r="C103" s="938" t="str">
        <f t="shared" si="19"/>
        <v>gm</v>
      </c>
      <c r="D103" s="938">
        <f t="shared" si="19"/>
        <v>1</v>
      </c>
      <c r="E103" s="1627">
        <f t="shared" si="23"/>
        <v>0</v>
      </c>
      <c r="F103" s="1616">
        <f t="shared" si="20"/>
        <v>0.75</v>
      </c>
      <c r="G103" s="940">
        <f t="shared" si="21"/>
        <v>0</v>
      </c>
      <c r="H103" s="1617">
        <f t="shared" si="22"/>
        <v>0</v>
      </c>
      <c r="I103" s="142"/>
      <c r="J103" s="141"/>
    </row>
    <row r="104" spans="1:10" x14ac:dyDescent="0.25">
      <c r="B104" s="938" t="str">
        <f t="shared" si="19"/>
        <v>Saffron yellow color powder - لون صفار زعفران بودر</v>
      </c>
      <c r="C104" s="938" t="str">
        <f t="shared" si="19"/>
        <v>gm</v>
      </c>
      <c r="D104" s="938">
        <f t="shared" si="19"/>
        <v>1</v>
      </c>
      <c r="E104" s="1627">
        <f t="shared" si="23"/>
        <v>0</v>
      </c>
      <c r="F104" s="1616">
        <f t="shared" si="20"/>
        <v>1</v>
      </c>
      <c r="G104" s="940">
        <f>D104*E104</f>
        <v>0</v>
      </c>
      <c r="H104" s="1617">
        <f>G104*F104</f>
        <v>0</v>
      </c>
    </row>
    <row r="105" spans="1:10" ht="18" x14ac:dyDescent="0.25">
      <c r="A105" s="861"/>
      <c r="B105" s="1622" t="s">
        <v>287</v>
      </c>
      <c r="C105" s="1042" t="s">
        <v>273</v>
      </c>
      <c r="D105" s="952"/>
      <c r="E105" s="1042" t="s">
        <v>288</v>
      </c>
      <c r="F105" s="952"/>
      <c r="G105" s="1045" t="s">
        <v>264</v>
      </c>
      <c r="H105" s="1045" t="s">
        <v>661</v>
      </c>
    </row>
    <row r="106" spans="1:10" ht="20.25" x14ac:dyDescent="0.3">
      <c r="A106" s="861"/>
      <c r="B106" s="1048">
        <f>$J$54</f>
        <v>0</v>
      </c>
      <c r="C106" s="1048">
        <f>E106+G106</f>
        <v>0</v>
      </c>
      <c r="D106" s="972"/>
      <c r="E106" s="1048">
        <f>$D$54*$S$44</f>
        <v>0</v>
      </c>
      <c r="F106" s="1050"/>
      <c r="G106" s="1048">
        <f>$D$54*$T$44</f>
        <v>0</v>
      </c>
      <c r="H106" s="1048">
        <f>B106+E106</f>
        <v>0</v>
      </c>
    </row>
  </sheetData>
  <mergeCells count="10">
    <mergeCell ref="B86:H86"/>
    <mergeCell ref="AE2:AG3"/>
    <mergeCell ref="B85:H85"/>
    <mergeCell ref="R26:U26"/>
    <mergeCell ref="AN2:AN3"/>
    <mergeCell ref="R25:U25"/>
    <mergeCell ref="B62:H62"/>
    <mergeCell ref="F2:F3"/>
    <mergeCell ref="B63:H63"/>
    <mergeCell ref="AK2:AM2"/>
  </mergeCells>
  <printOptions horizontalCentered="1"/>
  <pageMargins left="0.4" right="0.4" top="1" bottom="0.5" header="0.3" footer="0.511811023622047"/>
  <pageSetup paperSize="9" scale="41" orientation="landscape"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rgb="FFC55A11"/>
    <pageSetUpPr fitToPage="1"/>
  </sheetPr>
  <dimension ref="A1:AT107"/>
  <sheetViews>
    <sheetView topLeftCell="U1" zoomScale="70" zoomScaleNormal="70" workbookViewId="0">
      <selection activeCell="Q44" sqref="Q44"/>
    </sheetView>
  </sheetViews>
  <sheetFormatPr defaultColWidth="12.5" defaultRowHeight="15" x14ac:dyDescent="0.25"/>
  <cols>
    <col min="1" max="1" width="16.75" style="61" bestFit="1" customWidth="1"/>
    <col min="2" max="2" width="40.125" style="14" bestFit="1" customWidth="1"/>
    <col min="3" max="3" width="16.375" style="14" bestFit="1" customWidth="1"/>
    <col min="4" max="4" width="19.625" style="14" bestFit="1" customWidth="1"/>
    <col min="5" max="5" width="19" style="14" bestFit="1" customWidth="1"/>
    <col min="6" max="6" width="23.125" style="14" bestFit="1" customWidth="1"/>
    <col min="7" max="7" width="21.75" style="14" bestFit="1" customWidth="1"/>
    <col min="8" max="8" width="39" style="14" bestFit="1" customWidth="1"/>
    <col min="9" max="9" width="16.75" style="14" bestFit="1" customWidth="1"/>
    <col min="10" max="10" width="13.875" style="14" bestFit="1" customWidth="1"/>
    <col min="11" max="11" width="18.375" style="14" bestFit="1" customWidth="1"/>
    <col min="12" max="12" width="12.5" style="14" bestFit="1" customWidth="1"/>
    <col min="13" max="14" width="3.875" style="14" customWidth="1"/>
    <col min="15" max="15" width="16.875" style="14" bestFit="1" customWidth="1"/>
    <col min="16" max="16" width="5.125" style="14" bestFit="1" customWidth="1"/>
    <col min="17" max="17" width="14.375" style="14" bestFit="1" customWidth="1"/>
    <col min="18" max="18" width="37.25" style="14" bestFit="1" customWidth="1"/>
    <col min="19" max="19" width="10.125" style="14" bestFit="1" customWidth="1"/>
    <col min="20" max="20" width="28.5" style="14" bestFit="1" customWidth="1"/>
    <col min="21" max="21" width="11.25" style="14" bestFit="1" customWidth="1"/>
    <col min="22" max="22" width="12.125" style="14" bestFit="1" customWidth="1"/>
    <col min="23" max="23" width="37.75" style="14" bestFit="1" customWidth="1"/>
    <col min="24" max="24" width="12.5" style="14"/>
    <col min="25" max="25" width="7.75" style="14" bestFit="1" customWidth="1"/>
    <col min="26" max="26" width="11.25" style="14" bestFit="1" customWidth="1"/>
    <col min="27" max="27" width="13.125" style="14" bestFit="1" customWidth="1"/>
    <col min="28" max="28" width="13.5" style="14" bestFit="1" customWidth="1"/>
    <col min="29" max="29" width="11.25" style="14" bestFit="1" customWidth="1"/>
    <col min="30" max="30" width="8.5" style="410" bestFit="1" customWidth="1"/>
    <col min="31" max="31" width="12.5" style="410"/>
    <col min="32" max="34" width="12.5" style="14"/>
    <col min="35" max="35" width="12.75" style="14" bestFit="1" customWidth="1"/>
    <col min="36" max="36" width="31.5" style="14" bestFit="1" customWidth="1"/>
    <col min="37" max="37" width="6.5" style="14" bestFit="1" customWidth="1"/>
    <col min="38" max="38" width="13.5" style="14" bestFit="1" customWidth="1"/>
    <col min="39" max="39" width="19" style="14" bestFit="1" customWidth="1"/>
    <col min="40" max="40" width="15.5" style="14" bestFit="1" customWidth="1"/>
    <col min="41" max="41" width="14.375" style="14" bestFit="1" customWidth="1"/>
    <col min="42" max="42" width="21.25" style="14" bestFit="1" customWidth="1"/>
    <col min="43" max="43" width="12.5" style="14"/>
    <col min="44" max="44" width="11.625" style="14" bestFit="1" customWidth="1"/>
    <col min="45" max="45" width="17.625" style="14" bestFit="1" customWidth="1"/>
    <col min="46" max="46" width="6" style="14" bestFit="1" customWidth="1"/>
    <col min="47" max="16384" width="12.5" style="14"/>
  </cols>
  <sheetData>
    <row r="1" spans="1:46" ht="25.5" x14ac:dyDescent="0.25">
      <c r="B1" s="843" t="s">
        <v>231</v>
      </c>
      <c r="C1" s="63">
        <v>1000</v>
      </c>
      <c r="D1" s="64" t="s">
        <v>232</v>
      </c>
      <c r="E1" s="84">
        <f>T32</f>
        <v>12448</v>
      </c>
      <c r="F1" s="62" t="s">
        <v>233</v>
      </c>
      <c r="G1" s="167">
        <f>E1/C1</f>
        <v>12.448</v>
      </c>
      <c r="H1" s="62" t="s">
        <v>234</v>
      </c>
      <c r="I1" s="184">
        <f>G1/K1</f>
        <v>12.70204081632653</v>
      </c>
      <c r="J1" s="68" t="s">
        <v>235</v>
      </c>
      <c r="K1" s="210">
        <f>9.8/10</f>
        <v>0.98000000000000009</v>
      </c>
      <c r="L1" s="80"/>
      <c r="M1" s="70"/>
      <c r="N1" s="71"/>
      <c r="O1" s="72" t="s">
        <v>236</v>
      </c>
      <c r="P1" s="73" t="s">
        <v>298</v>
      </c>
      <c r="Q1" s="74" t="s">
        <v>238</v>
      </c>
      <c r="R1" s="73">
        <v>0.54</v>
      </c>
      <c r="Y1" s="72" t="s">
        <v>444</v>
      </c>
      <c r="Z1" s="422">
        <v>30120</v>
      </c>
      <c r="AA1" s="72" t="s">
        <v>544</v>
      </c>
      <c r="AB1" s="422">
        <v>1000</v>
      </c>
      <c r="AC1" s="72" t="s">
        <v>537</v>
      </c>
      <c r="AD1" s="422">
        <v>215</v>
      </c>
      <c r="AE1" s="406"/>
      <c r="AF1" s="170"/>
      <c r="AG1" s="73"/>
      <c r="AI1" s="1"/>
      <c r="AJ1" s="75" t="s">
        <v>250</v>
      </c>
      <c r="AK1" s="75">
        <v>10000</v>
      </c>
      <c r="AL1" s="318" t="s">
        <v>494</v>
      </c>
      <c r="AM1" s="319">
        <f>$S$32</f>
        <v>31120</v>
      </c>
      <c r="AN1" s="75" t="s">
        <v>239</v>
      </c>
      <c r="AO1" s="212">
        <f>((S32)/$R$1)/$AK$1</f>
        <v>5.7629629629629626</v>
      </c>
      <c r="AP1" s="76"/>
      <c r="AQ1"/>
      <c r="AR1"/>
      <c r="AS1"/>
      <c r="AT1"/>
    </row>
    <row r="2" spans="1:46" ht="15.75" x14ac:dyDescent="0.25">
      <c r="A2" s="863"/>
      <c r="B2" s="1851" t="s">
        <v>788</v>
      </c>
      <c r="C2" s="1799"/>
      <c r="D2" s="1799"/>
      <c r="E2" s="1799"/>
      <c r="F2" s="1799"/>
      <c r="G2" s="1799"/>
      <c r="H2" s="1799"/>
      <c r="I2" s="1799"/>
      <c r="J2" s="1799"/>
      <c r="K2" s="240"/>
      <c r="L2" s="187"/>
      <c r="M2" s="80"/>
      <c r="N2" s="80"/>
      <c r="O2" s="80"/>
      <c r="P2" s="80"/>
      <c r="Q2" s="80"/>
      <c r="R2" s="80"/>
      <c r="AC2" s="79"/>
      <c r="AD2" s="407"/>
      <c r="AE2" s="1795"/>
      <c r="AF2" s="1799"/>
      <c r="AG2" s="1799"/>
      <c r="AI2" s="1"/>
      <c r="AJ2" s="81"/>
      <c r="AK2" s="1873" t="s">
        <v>792</v>
      </c>
      <c r="AL2" s="1873"/>
      <c r="AM2" s="1873"/>
      <c r="AN2" s="1873"/>
      <c r="AO2" s="81"/>
      <c r="AP2" s="81"/>
      <c r="AQ2"/>
      <c r="AR2"/>
      <c r="AS2"/>
      <c r="AT2"/>
    </row>
    <row r="3" spans="1:46" ht="15.75" x14ac:dyDescent="0.25">
      <c r="A3" s="863"/>
      <c r="B3" s="1796"/>
      <c r="C3" s="1796"/>
      <c r="D3" s="1796"/>
      <c r="E3" s="1796"/>
      <c r="F3" s="1796"/>
      <c r="G3" s="1796"/>
      <c r="H3" s="1796"/>
      <c r="I3" s="1796"/>
      <c r="J3" s="1796"/>
      <c r="K3" s="1390"/>
      <c r="L3" s="187"/>
      <c r="M3" s="80"/>
      <c r="N3" s="80"/>
      <c r="O3" s="80"/>
      <c r="P3" s="80"/>
      <c r="Q3" s="80"/>
      <c r="R3" s="80"/>
      <c r="AC3" s="79"/>
      <c r="AD3" s="407"/>
      <c r="AE3" s="1799"/>
      <c r="AF3" s="1799"/>
      <c r="AG3" s="1799"/>
      <c r="AI3" s="1"/>
      <c r="AJ3" s="81"/>
      <c r="AK3" s="1873"/>
      <c r="AL3" s="1873"/>
      <c r="AM3" s="1873"/>
      <c r="AN3" s="1873"/>
      <c r="AO3" s="81"/>
      <c r="AP3" s="81"/>
      <c r="AQ3"/>
      <c r="AR3"/>
      <c r="AS3"/>
      <c r="AT3"/>
    </row>
    <row r="4" spans="1:46" ht="25.5" x14ac:dyDescent="0.25">
      <c r="A4" s="1350" t="s">
        <v>864</v>
      </c>
      <c r="B4" s="923" t="s">
        <v>241</v>
      </c>
      <c r="C4" s="934" t="s">
        <v>242</v>
      </c>
      <c r="D4" s="923" t="s">
        <v>231</v>
      </c>
      <c r="E4" s="935" t="s">
        <v>234</v>
      </c>
      <c r="F4" s="935" t="s">
        <v>243</v>
      </c>
      <c r="G4" s="923" t="s">
        <v>244</v>
      </c>
      <c r="H4" s="934" t="s">
        <v>334</v>
      </c>
      <c r="I4" s="923" t="s">
        <v>246</v>
      </c>
      <c r="J4" s="923" t="s">
        <v>247</v>
      </c>
      <c r="K4" s="923" t="s">
        <v>248</v>
      </c>
      <c r="L4" s="923" t="s">
        <v>249</v>
      </c>
      <c r="M4" s="80"/>
      <c r="N4" s="80"/>
      <c r="O4" s="80"/>
      <c r="P4" s="80"/>
      <c r="AA4" s="169"/>
      <c r="AB4" s="171"/>
      <c r="AC4" s="169"/>
      <c r="AD4" s="405"/>
      <c r="AE4" s="405"/>
      <c r="AI4" s="1"/>
      <c r="AJ4" s="926" t="s">
        <v>241</v>
      </c>
      <c r="AK4" s="1169" t="s">
        <v>242</v>
      </c>
      <c r="AL4" s="926" t="s">
        <v>250</v>
      </c>
      <c r="AM4" s="926" t="s">
        <v>234</v>
      </c>
      <c r="AN4" s="926" t="s">
        <v>243</v>
      </c>
      <c r="AO4" s="926" t="s">
        <v>244</v>
      </c>
      <c r="AP4" s="926" t="s">
        <v>334</v>
      </c>
      <c r="AQ4" s="923" t="s">
        <v>246</v>
      </c>
      <c r="AR4" s="923" t="s">
        <v>247</v>
      </c>
      <c r="AS4" s="923" t="s">
        <v>248</v>
      </c>
      <c r="AT4" s="923" t="s">
        <v>249</v>
      </c>
    </row>
    <row r="5" spans="1:46" x14ac:dyDescent="0.25">
      <c r="A5" s="876" t="s">
        <v>872</v>
      </c>
      <c r="B5" s="1252" t="s">
        <v>225</v>
      </c>
      <c r="C5" s="939" t="s">
        <v>14</v>
      </c>
      <c r="D5" s="944">
        <f>I51/10</f>
        <v>4629.6296296296296</v>
      </c>
      <c r="E5" s="941">
        <f>H52</f>
        <v>12.448</v>
      </c>
      <c r="F5" s="1616">
        <v>1</v>
      </c>
      <c r="G5" s="940">
        <f t="shared" ref="G5:G21" si="0">D5*E5</f>
        <v>57629.629629629628</v>
      </c>
      <c r="H5" s="1617">
        <f t="shared" ref="H5:H21" si="1">G5*F5</f>
        <v>57629.629629629628</v>
      </c>
      <c r="I5" s="914">
        <f>VLOOKUP(B5,All_Ingredients!$A$1:$F$161,6,FALSE())</f>
        <v>0.47</v>
      </c>
      <c r="J5" s="940">
        <f>VLOOKUP(B5,All_Ingredients!$A$1:$J$161,10,FALSE())</f>
        <v>12</v>
      </c>
      <c r="K5" s="945">
        <f t="shared" ref="K5" si="2">(H5/I5)/1000</f>
        <v>122.61623325453114</v>
      </c>
      <c r="L5" s="945">
        <f t="shared" ref="L5" si="3">K5*J5</f>
        <v>1471.3947990543736</v>
      </c>
      <c r="M5" s="80"/>
      <c r="N5" s="80"/>
      <c r="O5" s="80"/>
      <c r="P5" s="80"/>
      <c r="AA5" s="73"/>
      <c r="AB5" s="89"/>
      <c r="AC5" s="172"/>
      <c r="AD5" s="408"/>
      <c r="AE5" s="409"/>
      <c r="AI5" s="1"/>
      <c r="AJ5" s="1118" t="s">
        <v>225</v>
      </c>
      <c r="AK5" s="947" t="s">
        <v>227</v>
      </c>
      <c r="AL5" s="1615">
        <v>10</v>
      </c>
      <c r="AM5" s="1627">
        <f t="shared" ref="AM5:AM13" si="4">$AO$1</f>
        <v>5.7629629629629626</v>
      </c>
      <c r="AN5" s="1616">
        <v>1</v>
      </c>
      <c r="AO5" s="940">
        <f t="shared" ref="AO5:AO13" si="5">AL5*AM5</f>
        <v>57.629629629629626</v>
      </c>
      <c r="AP5" s="1617">
        <f t="shared" ref="AP5:AP13" si="6">AO5*AN5</f>
        <v>57.629629629629626</v>
      </c>
      <c r="AQ5" s="952"/>
      <c r="AR5" s="953"/>
      <c r="AS5" s="1020"/>
      <c r="AT5" s="955"/>
    </row>
    <row r="6" spans="1:46" x14ac:dyDescent="0.25">
      <c r="A6" s="949" t="s">
        <v>881</v>
      </c>
      <c r="B6" s="1252" t="s">
        <v>12</v>
      </c>
      <c r="C6" s="947" t="s">
        <v>14</v>
      </c>
      <c r="D6" s="1618">
        <v>300</v>
      </c>
      <c r="E6" s="1621">
        <f t="shared" ref="E6:E21" si="7">$I$1</f>
        <v>12.70204081632653</v>
      </c>
      <c r="F6" s="1616">
        <v>0.95</v>
      </c>
      <c r="G6" s="940">
        <f t="shared" si="0"/>
        <v>3810.612244897959</v>
      </c>
      <c r="H6" s="1617">
        <f t="shared" si="1"/>
        <v>3620.0816326530608</v>
      </c>
      <c r="I6" s="914">
        <f>VLOOKUP(B6,All_Ingredients!$A$1:$F$161,6,FALSE())</f>
        <v>0.9</v>
      </c>
      <c r="J6" s="940">
        <f>VLOOKUP(B6,All_Ingredients!$A$1:$J$161,10,FALSE())</f>
        <v>3</v>
      </c>
      <c r="K6" s="945">
        <f t="shared" ref="K6:K21" si="8">(H6/I6)/1000</f>
        <v>4.0223129251700671</v>
      </c>
      <c r="L6" s="945">
        <f t="shared" ref="L6:L21" si="9">K6*J6</f>
        <v>12.066938775510202</v>
      </c>
      <c r="AI6" s="1" t="s">
        <v>55</v>
      </c>
      <c r="AJ6" s="1686" t="s">
        <v>54</v>
      </c>
      <c r="AK6" s="1400" t="s">
        <v>14</v>
      </c>
      <c r="AL6" s="1615">
        <v>100</v>
      </c>
      <c r="AM6" s="1627">
        <f t="shared" si="4"/>
        <v>5.7629629629629626</v>
      </c>
      <c r="AN6" s="1616">
        <v>1</v>
      </c>
      <c r="AO6" s="940">
        <f t="shared" si="5"/>
        <v>576.2962962962963</v>
      </c>
      <c r="AP6" s="1617">
        <f t="shared" si="6"/>
        <v>576.2962962962963</v>
      </c>
      <c r="AQ6" s="955">
        <f>VLOOKUP(AJ6,Marination_Ordering!$A:$J,6,FALSE)</f>
        <v>0.87</v>
      </c>
      <c r="AR6" s="955">
        <f>VLOOKUP(AJ6,Marination_Ordering!$A:$J,10,FALSE)</f>
        <v>7</v>
      </c>
      <c r="AS6" s="1020">
        <f>AP6/AQ6</f>
        <v>662.40953597275438</v>
      </c>
      <c r="AT6" s="955">
        <f>AR6*(AS6/1000)</f>
        <v>4.636866751809281</v>
      </c>
    </row>
    <row r="7" spans="1:46" x14ac:dyDescent="0.25">
      <c r="A7" s="949" t="s">
        <v>868</v>
      </c>
      <c r="B7" s="1252" t="s">
        <v>706</v>
      </c>
      <c r="C7" s="947" t="s">
        <v>14</v>
      </c>
      <c r="D7" s="1618">
        <v>25</v>
      </c>
      <c r="E7" s="1621">
        <f t="shared" si="7"/>
        <v>12.70204081632653</v>
      </c>
      <c r="F7" s="1616">
        <v>1</v>
      </c>
      <c r="G7" s="940">
        <f t="shared" si="0"/>
        <v>317.55102040816325</v>
      </c>
      <c r="H7" s="1617">
        <f t="shared" si="1"/>
        <v>317.55102040816325</v>
      </c>
      <c r="I7" s="914">
        <f>VLOOKUP(B7,All_Ingredients!$A$1:$F$161,6,FALSE())</f>
        <v>1</v>
      </c>
      <c r="J7" s="940">
        <f>VLOOKUP(B7,All_Ingredients!$A$1:$J$161,10,FALSE())</f>
        <v>10.5</v>
      </c>
      <c r="K7" s="945">
        <f t="shared" si="8"/>
        <v>0.31755102040816324</v>
      </c>
      <c r="L7" s="945">
        <f t="shared" si="9"/>
        <v>3.3342857142857141</v>
      </c>
      <c r="AI7" s="1" t="s">
        <v>13</v>
      </c>
      <c r="AJ7" s="1686" t="s">
        <v>706</v>
      </c>
      <c r="AK7" s="1400" t="s">
        <v>14</v>
      </c>
      <c r="AL7" s="1615">
        <v>200</v>
      </c>
      <c r="AM7" s="1627">
        <f t="shared" si="4"/>
        <v>5.7629629629629626</v>
      </c>
      <c r="AN7" s="1616">
        <v>1</v>
      </c>
      <c r="AO7" s="940">
        <f t="shared" si="5"/>
        <v>1152.5925925925926</v>
      </c>
      <c r="AP7" s="1617">
        <f t="shared" si="6"/>
        <v>1152.5925925925926</v>
      </c>
      <c r="AQ7" s="955">
        <f>VLOOKUP(AJ7,Marination_Ordering!$A:$J,6,FALSE)</f>
        <v>1</v>
      </c>
      <c r="AR7" s="955">
        <f>VLOOKUP(AJ7,Marination_Ordering!$A:$J,10,FALSE)</f>
        <v>10.5</v>
      </c>
      <c r="AS7" s="1020">
        <f t="shared" ref="AS7:AS13" si="10">AP7/AQ7</f>
        <v>1152.5925925925926</v>
      </c>
      <c r="AT7" s="955">
        <f t="shared" ref="AT7:AT13" si="11">AR7*(AS7/1000)</f>
        <v>12.102222222222222</v>
      </c>
    </row>
    <row r="8" spans="1:46" x14ac:dyDescent="0.25">
      <c r="A8" s="949" t="s">
        <v>870</v>
      </c>
      <c r="B8" s="1252" t="s">
        <v>17</v>
      </c>
      <c r="C8" s="947" t="s">
        <v>14</v>
      </c>
      <c r="D8" s="1618">
        <v>300</v>
      </c>
      <c r="E8" s="1621">
        <f t="shared" si="7"/>
        <v>12.70204081632653</v>
      </c>
      <c r="F8" s="1616">
        <v>1</v>
      </c>
      <c r="G8" s="940">
        <f t="shared" si="0"/>
        <v>3810.612244897959</v>
      </c>
      <c r="H8" s="1617">
        <f t="shared" si="1"/>
        <v>3810.612244897959</v>
      </c>
      <c r="I8" s="914">
        <f>VLOOKUP(B8,All_Ingredients!$A$1:$F$161,6,FALSE())</f>
        <v>0.98</v>
      </c>
      <c r="J8" s="940">
        <f>VLOOKUP(B8,All_Ingredients!$A$1:$J$161,10,FALSE())</f>
        <v>3.5</v>
      </c>
      <c r="K8" s="945">
        <f t="shared" si="8"/>
        <v>3.8883798417326116</v>
      </c>
      <c r="L8" s="945">
        <f t="shared" si="9"/>
        <v>13.609329446064141</v>
      </c>
      <c r="AI8" s="1" t="s">
        <v>204</v>
      </c>
      <c r="AJ8" s="1686" t="s">
        <v>212</v>
      </c>
      <c r="AK8" s="1400" t="s">
        <v>160</v>
      </c>
      <c r="AL8" s="1615">
        <v>450</v>
      </c>
      <c r="AM8" s="1627">
        <f t="shared" si="4"/>
        <v>5.7629629629629626</v>
      </c>
      <c r="AN8" s="1616">
        <v>1</v>
      </c>
      <c r="AO8" s="940">
        <f t="shared" si="5"/>
        <v>2593.333333333333</v>
      </c>
      <c r="AP8" s="1617">
        <f t="shared" si="6"/>
        <v>2593.333333333333</v>
      </c>
      <c r="AQ8" s="955">
        <f>VLOOKUP(AJ8,Marination_Ordering!$A:$J,6,FALSE)</f>
        <v>1</v>
      </c>
      <c r="AR8" s="955">
        <f>VLOOKUP(AJ8,Marination_Ordering!$A:$J,10,FALSE)</f>
        <v>5</v>
      </c>
      <c r="AS8" s="1020">
        <f t="shared" si="10"/>
        <v>2593.333333333333</v>
      </c>
      <c r="AT8" s="955">
        <f t="shared" si="11"/>
        <v>12.966666666666665</v>
      </c>
    </row>
    <row r="9" spans="1:46" x14ac:dyDescent="0.25">
      <c r="A9" s="949" t="s">
        <v>867</v>
      </c>
      <c r="B9" s="1252" t="s">
        <v>54</v>
      </c>
      <c r="C9" s="947" t="s">
        <v>14</v>
      </c>
      <c r="D9" s="1618">
        <v>20</v>
      </c>
      <c r="E9" s="1621">
        <f t="shared" si="7"/>
        <v>12.70204081632653</v>
      </c>
      <c r="F9" s="1616">
        <v>1</v>
      </c>
      <c r="G9" s="940">
        <f t="shared" si="0"/>
        <v>254.0408163265306</v>
      </c>
      <c r="H9" s="1617">
        <f t="shared" si="1"/>
        <v>254.0408163265306</v>
      </c>
      <c r="I9" s="914">
        <f>VLOOKUP(B9,All_Ingredients!$A$1:$F$161,6,FALSE())</f>
        <v>0.87</v>
      </c>
      <c r="J9" s="940">
        <f>VLOOKUP(B9,All_Ingredients!$A$1:$J$161,10,FALSE())</f>
        <v>7</v>
      </c>
      <c r="K9" s="945">
        <f t="shared" si="8"/>
        <v>0.29200093830635698</v>
      </c>
      <c r="L9" s="945">
        <f t="shared" si="9"/>
        <v>2.044006568144499</v>
      </c>
      <c r="AI9" s="1" t="s">
        <v>204</v>
      </c>
      <c r="AJ9" s="1686" t="s">
        <v>208</v>
      </c>
      <c r="AK9" s="947" t="s">
        <v>160</v>
      </c>
      <c r="AL9" s="1627">
        <v>100</v>
      </c>
      <c r="AM9" s="1627">
        <f t="shared" si="4"/>
        <v>5.7629629629629626</v>
      </c>
      <c r="AN9" s="1616">
        <v>1</v>
      </c>
      <c r="AO9" s="940">
        <f t="shared" si="5"/>
        <v>576.2962962962963</v>
      </c>
      <c r="AP9" s="1617">
        <f t="shared" si="6"/>
        <v>576.2962962962963</v>
      </c>
      <c r="AQ9" s="955">
        <f>VLOOKUP(AJ9,Marination_Ordering!$A:$J,6,FALSE)</f>
        <v>1</v>
      </c>
      <c r="AR9" s="955">
        <f>VLOOKUP(AJ9,Marination_Ordering!$A:$J,10,FALSE)</f>
        <v>2.1621621621621623</v>
      </c>
      <c r="AS9" s="1020">
        <f t="shared" si="10"/>
        <v>576.2962962962963</v>
      </c>
      <c r="AT9" s="955">
        <f t="shared" si="11"/>
        <v>1.2460460460460461</v>
      </c>
    </row>
    <row r="10" spans="1:46" x14ac:dyDescent="0.25">
      <c r="A10" s="949"/>
      <c r="B10" s="1252" t="s">
        <v>108</v>
      </c>
      <c r="C10" s="947" t="s">
        <v>14</v>
      </c>
      <c r="D10" s="1618">
        <v>25</v>
      </c>
      <c r="E10" s="1621">
        <f t="shared" si="7"/>
        <v>12.70204081632653</v>
      </c>
      <c r="F10" s="1616">
        <v>0.75</v>
      </c>
      <c r="G10" s="940">
        <f t="shared" si="0"/>
        <v>317.55102040816325</v>
      </c>
      <c r="H10" s="1617">
        <f t="shared" si="1"/>
        <v>238.16326530612244</v>
      </c>
      <c r="I10" s="914">
        <f>VLOOKUP(B10,All_Ingredients!$A$1:$F$161,6,FALSE())</f>
        <v>1</v>
      </c>
      <c r="J10" s="940">
        <f>VLOOKUP(B10,All_Ingredients!$A$1:$J$161,10,FALSE())</f>
        <v>26.5</v>
      </c>
      <c r="K10" s="945">
        <f t="shared" si="8"/>
        <v>0.23816326530612245</v>
      </c>
      <c r="L10" s="945">
        <f t="shared" si="9"/>
        <v>6.311326530612245</v>
      </c>
      <c r="AI10" s="1" t="s">
        <v>94</v>
      </c>
      <c r="AJ10" s="1252" t="s">
        <v>93</v>
      </c>
      <c r="AK10" s="1400" t="s">
        <v>14</v>
      </c>
      <c r="AL10" s="1615">
        <v>2</v>
      </c>
      <c r="AM10" s="1627">
        <f t="shared" si="4"/>
        <v>5.7629629629629626</v>
      </c>
      <c r="AN10" s="1616">
        <v>1</v>
      </c>
      <c r="AO10" s="940">
        <f t="shared" si="5"/>
        <v>11.525925925925925</v>
      </c>
      <c r="AP10" s="1617">
        <f t="shared" si="6"/>
        <v>11.525925925925925</v>
      </c>
      <c r="AQ10" s="955">
        <f>VLOOKUP(AJ10,Marination_Ordering!$A:$J,6,FALSE)</f>
        <v>1</v>
      </c>
      <c r="AR10" s="955">
        <f>VLOOKUP(AJ10,Marination_Ordering!$A:$J,10,FALSE)</f>
        <v>0.74</v>
      </c>
      <c r="AS10" s="1020">
        <f t="shared" si="10"/>
        <v>11.525925925925925</v>
      </c>
      <c r="AT10" s="955">
        <f t="shared" si="11"/>
        <v>8.5291851851851848E-3</v>
      </c>
    </row>
    <row r="11" spans="1:46" x14ac:dyDescent="0.25">
      <c r="A11" s="949"/>
      <c r="B11" s="1252" t="s">
        <v>103</v>
      </c>
      <c r="C11" s="947" t="s">
        <v>14</v>
      </c>
      <c r="D11" s="1618">
        <v>5</v>
      </c>
      <c r="E11" s="1621">
        <f t="shared" si="7"/>
        <v>12.70204081632653</v>
      </c>
      <c r="F11" s="1616">
        <v>1</v>
      </c>
      <c r="G11" s="940">
        <f t="shared" si="0"/>
        <v>63.510204081632651</v>
      </c>
      <c r="H11" s="1617">
        <f t="shared" si="1"/>
        <v>63.510204081632651</v>
      </c>
      <c r="I11" s="914">
        <f>VLOOKUP(B11,All_Ingredients!$A$1:$F$161,6,FALSE())</f>
        <v>1</v>
      </c>
      <c r="J11" s="940">
        <f>VLOOKUP(B11,All_Ingredients!$A$1:$J$161,10,FALSE())</f>
        <v>19</v>
      </c>
      <c r="K11" s="945">
        <f t="shared" si="8"/>
        <v>6.3510204081632646E-2</v>
      </c>
      <c r="L11" s="945">
        <f t="shared" si="9"/>
        <v>1.2066938775510203</v>
      </c>
      <c r="AI11" s="1" t="s">
        <v>94</v>
      </c>
      <c r="AJ11" s="1686" t="s">
        <v>99</v>
      </c>
      <c r="AK11" s="1400" t="s">
        <v>14</v>
      </c>
      <c r="AL11" s="1615">
        <v>2</v>
      </c>
      <c r="AM11" s="1627">
        <f t="shared" si="4"/>
        <v>5.7629629629629626</v>
      </c>
      <c r="AN11" s="1616">
        <v>1</v>
      </c>
      <c r="AO11" s="940">
        <f t="shared" si="5"/>
        <v>11.525925925925925</v>
      </c>
      <c r="AP11" s="1617">
        <f t="shared" si="6"/>
        <v>11.525925925925925</v>
      </c>
      <c r="AQ11" s="955">
        <f>VLOOKUP(AJ11,Marination_Ordering!$A:$J,6,FALSE)</f>
        <v>1</v>
      </c>
      <c r="AR11" s="955">
        <f>VLOOKUP(AJ11,Marination_Ordering!$A:$J,10,FALSE)</f>
        <v>31</v>
      </c>
      <c r="AS11" s="1020">
        <f t="shared" si="10"/>
        <v>11.525925925925925</v>
      </c>
      <c r="AT11" s="955">
        <f t="shared" si="11"/>
        <v>0.35730370370370368</v>
      </c>
    </row>
    <row r="12" spans="1:46" x14ac:dyDescent="0.25">
      <c r="A12" s="949"/>
      <c r="B12" s="1252" t="s">
        <v>124</v>
      </c>
      <c r="C12" s="947" t="s">
        <v>14</v>
      </c>
      <c r="D12" s="1618">
        <v>2</v>
      </c>
      <c r="E12" s="1621">
        <f t="shared" si="7"/>
        <v>12.70204081632653</v>
      </c>
      <c r="F12" s="1616">
        <v>0.75</v>
      </c>
      <c r="G12" s="940">
        <f t="shared" si="0"/>
        <v>25.40408163265306</v>
      </c>
      <c r="H12" s="1617">
        <f t="shared" si="1"/>
        <v>19.053061224489795</v>
      </c>
      <c r="I12" s="914">
        <f>VLOOKUP(B12,All_Ingredients!$A$1:$F$161,6,FALSE())</f>
        <v>1</v>
      </c>
      <c r="J12" s="940">
        <f>VLOOKUP(B12,All_Ingredients!$A$1:$J$161,10,FALSE())</f>
        <v>37</v>
      </c>
      <c r="K12" s="945">
        <f t="shared" si="8"/>
        <v>1.9053061224489794E-2</v>
      </c>
      <c r="L12" s="945">
        <f t="shared" si="9"/>
        <v>0.70496326530612241</v>
      </c>
      <c r="AI12" s="1" t="s">
        <v>94</v>
      </c>
      <c r="AJ12" s="1252" t="s">
        <v>105</v>
      </c>
      <c r="AK12" s="1400" t="s">
        <v>14</v>
      </c>
      <c r="AL12" s="1615">
        <v>25</v>
      </c>
      <c r="AM12" s="1627">
        <f t="shared" si="4"/>
        <v>5.7629629629629626</v>
      </c>
      <c r="AN12" s="1616">
        <v>1</v>
      </c>
      <c r="AO12" s="940">
        <f t="shared" si="5"/>
        <v>144.07407407407408</v>
      </c>
      <c r="AP12" s="1617">
        <f t="shared" si="6"/>
        <v>144.07407407407408</v>
      </c>
      <c r="AQ12" s="955">
        <f>VLOOKUP(AJ12,Marination_Ordering!$A:$J,6,FALSE)</f>
        <v>1</v>
      </c>
      <c r="AR12" s="955">
        <f>VLOOKUP(AJ12,Marination_Ordering!$A:$J,10,FALSE)</f>
        <v>15</v>
      </c>
      <c r="AS12" s="1020">
        <f t="shared" si="10"/>
        <v>144.07407407407408</v>
      </c>
      <c r="AT12" s="955">
        <f t="shared" si="11"/>
        <v>2.161111111111111</v>
      </c>
    </row>
    <row r="13" spans="1:46" x14ac:dyDescent="0.25">
      <c r="A13" s="949"/>
      <c r="B13" s="1252" t="s">
        <v>703</v>
      </c>
      <c r="C13" s="947" t="s">
        <v>14</v>
      </c>
      <c r="D13" s="1618">
        <v>3</v>
      </c>
      <c r="E13" s="1621">
        <f t="shared" si="7"/>
        <v>12.70204081632653</v>
      </c>
      <c r="F13" s="1616">
        <v>0.75</v>
      </c>
      <c r="G13" s="940">
        <f t="shared" si="0"/>
        <v>38.10612244897959</v>
      </c>
      <c r="H13" s="1617">
        <f t="shared" si="1"/>
        <v>28.579591836734693</v>
      </c>
      <c r="I13" s="914">
        <f>VLOOKUP(B13,All_Ingredients!$A$1:$F$161,6,FALSE())</f>
        <v>1</v>
      </c>
      <c r="J13" s="940">
        <f>VLOOKUP(B13,All_Ingredients!$A$1:$J$161,10,FALSE())</f>
        <v>52</v>
      </c>
      <c r="K13" s="945">
        <f t="shared" si="8"/>
        <v>2.8579591836734693E-2</v>
      </c>
      <c r="L13" s="945">
        <f t="shared" si="9"/>
        <v>1.486138775510204</v>
      </c>
      <c r="AI13" s="1" t="s">
        <v>190</v>
      </c>
      <c r="AJ13" s="1691" t="s">
        <v>202</v>
      </c>
      <c r="AK13" s="1400" t="s">
        <v>14</v>
      </c>
      <c r="AL13" s="1618">
        <v>300</v>
      </c>
      <c r="AM13" s="1627">
        <f t="shared" si="4"/>
        <v>5.7629629629629626</v>
      </c>
      <c r="AN13" s="1616">
        <v>1</v>
      </c>
      <c r="AO13" s="940">
        <f t="shared" si="5"/>
        <v>1728.8888888888887</v>
      </c>
      <c r="AP13" s="1617">
        <f t="shared" si="6"/>
        <v>1728.8888888888887</v>
      </c>
      <c r="AQ13" s="955">
        <f>VLOOKUP(AJ13,Marination_Ordering!$A:$J,6,FALSE)</f>
        <v>1</v>
      </c>
      <c r="AR13" s="955">
        <f>VLOOKUP(AJ13,Marination_Ordering!$A:$J,10,FALSE)</f>
        <v>11.243386243386244</v>
      </c>
      <c r="AS13" s="1020">
        <f t="shared" si="10"/>
        <v>1728.8888888888887</v>
      </c>
      <c r="AT13" s="955">
        <f t="shared" si="11"/>
        <v>19.43856554967666</v>
      </c>
    </row>
    <row r="14" spans="1:46" x14ac:dyDescent="0.25">
      <c r="A14" s="949"/>
      <c r="B14" s="1252" t="s">
        <v>139</v>
      </c>
      <c r="C14" s="947" t="s">
        <v>14</v>
      </c>
      <c r="D14" s="1618">
        <v>10</v>
      </c>
      <c r="E14" s="1621">
        <f t="shared" si="7"/>
        <v>12.70204081632653</v>
      </c>
      <c r="F14" s="1616">
        <v>1</v>
      </c>
      <c r="G14" s="940">
        <f t="shared" si="0"/>
        <v>127.0204081632653</v>
      </c>
      <c r="H14" s="1617">
        <f t="shared" si="1"/>
        <v>127.0204081632653</v>
      </c>
      <c r="I14" s="914">
        <f>VLOOKUP(B14,All_Ingredients!$A$1:$F$161,6,FALSE())</f>
        <v>1</v>
      </c>
      <c r="J14" s="940">
        <f>VLOOKUP(B14,All_Ingredients!$A$1:$J$161,10,FALSE())</f>
        <v>15.277777777777779</v>
      </c>
      <c r="K14" s="945">
        <f t="shared" si="8"/>
        <v>0.12702040816326529</v>
      </c>
      <c r="L14" s="945">
        <f t="shared" si="9"/>
        <v>1.9405895691609976</v>
      </c>
    </row>
    <row r="15" spans="1:46" x14ac:dyDescent="0.25">
      <c r="A15" s="949" t="s">
        <v>884</v>
      </c>
      <c r="B15" s="1252" t="s">
        <v>34</v>
      </c>
      <c r="C15" s="947" t="s">
        <v>14</v>
      </c>
      <c r="D15" s="1618">
        <v>5</v>
      </c>
      <c r="E15" s="1621">
        <f t="shared" si="7"/>
        <v>12.70204081632653</v>
      </c>
      <c r="F15" s="1616">
        <v>0.75</v>
      </c>
      <c r="G15" s="940">
        <f t="shared" si="0"/>
        <v>63.510204081632651</v>
      </c>
      <c r="H15" s="1617">
        <f t="shared" si="1"/>
        <v>47.632653061224488</v>
      </c>
      <c r="I15" s="914">
        <f>VLOOKUP(B15,All_Ingredients!$A$1:$F$161,6,FALSE())</f>
        <v>0.86</v>
      </c>
      <c r="J15" s="940">
        <f>VLOOKUP(B15,All_Ingredients!$A$1:$J$161,10,FALSE())</f>
        <v>14</v>
      </c>
      <c r="K15" s="945">
        <f t="shared" si="8"/>
        <v>5.5386805885144753E-2</v>
      </c>
      <c r="L15" s="945">
        <f t="shared" si="9"/>
        <v>0.77541528239202651</v>
      </c>
    </row>
    <row r="16" spans="1:46" x14ac:dyDescent="0.25">
      <c r="A16" s="949"/>
      <c r="B16" s="1252" t="s">
        <v>118</v>
      </c>
      <c r="C16" s="947" t="s">
        <v>14</v>
      </c>
      <c r="D16" s="1618">
        <v>5</v>
      </c>
      <c r="E16" s="1621">
        <f t="shared" si="7"/>
        <v>12.70204081632653</v>
      </c>
      <c r="F16" s="1616">
        <v>0.75</v>
      </c>
      <c r="G16" s="940">
        <f t="shared" si="0"/>
        <v>63.510204081632651</v>
      </c>
      <c r="H16" s="1617">
        <f t="shared" si="1"/>
        <v>47.632653061224488</v>
      </c>
      <c r="I16" s="914">
        <f>VLOOKUP(B16,All_Ingredients!$A$1:$F$161,6,FALSE())</f>
        <v>1</v>
      </c>
      <c r="J16" s="940">
        <f>VLOOKUP(B16,All_Ingredients!$A$1:$J$161,10,FALSE())</f>
        <v>15</v>
      </c>
      <c r="K16" s="945">
        <f t="shared" si="8"/>
        <v>4.7632653061224488E-2</v>
      </c>
      <c r="L16" s="945">
        <f t="shared" si="9"/>
        <v>0.71448979591836737</v>
      </c>
    </row>
    <row r="17" spans="1:30" x14ac:dyDescent="0.25">
      <c r="A17" s="949"/>
      <c r="B17" s="1252" t="s">
        <v>799</v>
      </c>
      <c r="C17" s="947" t="s">
        <v>14</v>
      </c>
      <c r="D17" s="1618">
        <v>2</v>
      </c>
      <c r="E17" s="1621">
        <f t="shared" si="7"/>
        <v>12.70204081632653</v>
      </c>
      <c r="F17" s="1616">
        <v>1</v>
      </c>
      <c r="G17" s="940">
        <f t="shared" si="0"/>
        <v>25.40408163265306</v>
      </c>
      <c r="H17" s="1617">
        <f t="shared" si="1"/>
        <v>25.40408163265306</v>
      </c>
      <c r="I17" s="914">
        <f>VLOOKUP(B17,All_Ingredients!$A$1:$F$161,6,FALSE())</f>
        <v>1</v>
      </c>
      <c r="J17" s="940">
        <f>VLOOKUP(B17,All_Ingredients!$A$1:$J$161,10,FALSE())</f>
        <v>22.5</v>
      </c>
      <c r="K17" s="945">
        <f t="shared" si="8"/>
        <v>2.540408163265306E-2</v>
      </c>
      <c r="L17" s="945">
        <f t="shared" si="9"/>
        <v>0.57159183673469383</v>
      </c>
    </row>
    <row r="18" spans="1:30" x14ac:dyDescent="0.25">
      <c r="A18" s="949"/>
      <c r="B18" s="1252" t="s">
        <v>166</v>
      </c>
      <c r="C18" s="947" t="s">
        <v>160</v>
      </c>
      <c r="D18" s="1618">
        <v>500</v>
      </c>
      <c r="E18" s="1621">
        <f t="shared" si="7"/>
        <v>12.70204081632653</v>
      </c>
      <c r="F18" s="1616">
        <v>1</v>
      </c>
      <c r="G18" s="940">
        <f t="shared" si="0"/>
        <v>6351.0204081632655</v>
      </c>
      <c r="H18" s="1617">
        <f t="shared" si="1"/>
        <v>6351.0204081632655</v>
      </c>
      <c r="I18" s="914">
        <f>VLOOKUP(B18,All_Ingredients!$A$1:$F$161,6,FALSE())</f>
        <v>1</v>
      </c>
      <c r="J18" s="940">
        <f>VLOOKUP(B18,All_Ingredients!$A$1:$J$161,10,FALSE())</f>
        <v>12.666666666666666</v>
      </c>
      <c r="K18" s="945">
        <f t="shared" si="8"/>
        <v>6.351020408163266</v>
      </c>
      <c r="L18" s="945">
        <f t="shared" si="9"/>
        <v>80.446258503401367</v>
      </c>
    </row>
    <row r="19" spans="1:30" x14ac:dyDescent="0.25">
      <c r="A19" s="949"/>
      <c r="B19" s="1252" t="s">
        <v>203</v>
      </c>
      <c r="C19" s="947" t="s">
        <v>160</v>
      </c>
      <c r="D19" s="1618">
        <v>500</v>
      </c>
      <c r="E19" s="1621">
        <f t="shared" si="7"/>
        <v>12.70204081632653</v>
      </c>
      <c r="F19" s="1616">
        <v>0.75</v>
      </c>
      <c r="G19" s="940">
        <f t="shared" si="0"/>
        <v>6351.0204081632655</v>
      </c>
      <c r="H19" s="1617">
        <f t="shared" si="1"/>
        <v>4763.2653061224491</v>
      </c>
      <c r="I19" s="914">
        <f>VLOOKUP(B19,All_Ingredients!$A$1:$F$161,6,FALSE())</f>
        <v>1</v>
      </c>
      <c r="J19" s="940">
        <f>VLOOKUP(B19,All_Ingredients!$A$1:$J$161,10,FALSE())</f>
        <v>0</v>
      </c>
      <c r="K19" s="945">
        <f t="shared" si="8"/>
        <v>4.7632653061224488</v>
      </c>
      <c r="L19" s="945">
        <f t="shared" si="9"/>
        <v>0</v>
      </c>
    </row>
    <row r="20" spans="1:30" x14ac:dyDescent="0.25">
      <c r="A20" s="949"/>
      <c r="B20" s="1115" t="s">
        <v>152</v>
      </c>
      <c r="C20" s="947" t="s">
        <v>14</v>
      </c>
      <c r="D20" s="1618">
        <v>45</v>
      </c>
      <c r="E20" s="1621">
        <f t="shared" si="7"/>
        <v>12.70204081632653</v>
      </c>
      <c r="F20" s="1616">
        <v>1</v>
      </c>
      <c r="G20" s="940">
        <f t="shared" si="0"/>
        <v>571.59183673469386</v>
      </c>
      <c r="H20" s="1617">
        <f t="shared" si="1"/>
        <v>571.59183673469386</v>
      </c>
      <c r="I20" s="914">
        <f>VLOOKUP(B20,All_Ingredients!$A$1:$F$161,6,FALSE())</f>
        <v>1</v>
      </c>
      <c r="J20" s="940">
        <f>VLOOKUP(B20,All_Ingredients!$A$1:$J$161,10,FALSE())</f>
        <v>30</v>
      </c>
      <c r="K20" s="945">
        <f t="shared" si="8"/>
        <v>0.57159183673469383</v>
      </c>
      <c r="L20" s="945">
        <f t="shared" si="9"/>
        <v>17.147755102040815</v>
      </c>
    </row>
    <row r="21" spans="1:30" x14ac:dyDescent="0.25">
      <c r="A21" s="949"/>
      <c r="B21" s="1208" t="s">
        <v>187</v>
      </c>
      <c r="C21" s="939" t="s">
        <v>14</v>
      </c>
      <c r="D21" s="1618">
        <v>45</v>
      </c>
      <c r="E21" s="1627">
        <f t="shared" si="7"/>
        <v>12.70204081632653</v>
      </c>
      <c r="F21" s="1616">
        <v>1</v>
      </c>
      <c r="G21" s="940">
        <f t="shared" si="0"/>
        <v>571.59183673469386</v>
      </c>
      <c r="H21" s="1617">
        <f t="shared" si="1"/>
        <v>571.59183673469386</v>
      </c>
      <c r="I21" s="914">
        <f>VLOOKUP(B21,All_Ingredients!$A$1:$F$161,6,FALSE())</f>
        <v>0.9</v>
      </c>
      <c r="J21" s="944">
        <f>VLOOKUP(B21,All_Ingredients!$A$1:$J$161,10,FALSE())</f>
        <v>2.3199999999999998</v>
      </c>
      <c r="K21" s="945">
        <f t="shared" si="8"/>
        <v>0.63510204081632649</v>
      </c>
      <c r="L21" s="945">
        <f t="shared" si="9"/>
        <v>1.4734367346938773</v>
      </c>
    </row>
    <row r="22" spans="1:30" x14ac:dyDescent="0.25">
      <c r="L22" s="190"/>
      <c r="V22"/>
    </row>
    <row r="23" spans="1:30" x14ac:dyDescent="0.25">
      <c r="L23" s="190"/>
      <c r="V23"/>
    </row>
    <row r="24" spans="1:30" x14ac:dyDescent="0.25">
      <c r="L24" s="190"/>
      <c r="V24"/>
      <c r="Z24" s="597"/>
    </row>
    <row r="25" spans="1:30" ht="15.75" x14ac:dyDescent="0.25">
      <c r="L25" s="190"/>
      <c r="R25" s="1878" t="s">
        <v>792</v>
      </c>
      <c r="S25" s="1879"/>
      <c r="T25" s="1879"/>
      <c r="U25" s="1879"/>
      <c r="V25" s="593"/>
      <c r="Z25" s="96" t="s">
        <v>252</v>
      </c>
      <c r="AA25" s="97">
        <v>1</v>
      </c>
      <c r="AB25" s="96" t="s">
        <v>249</v>
      </c>
      <c r="AC25" s="596">
        <f>AD30*AA25</f>
        <v>4.8495915119182519E-2</v>
      </c>
      <c r="AD25" s="14"/>
    </row>
    <row r="26" spans="1:30" x14ac:dyDescent="0.25">
      <c r="L26" s="190"/>
      <c r="Q26"/>
      <c r="R26" s="1897" t="s">
        <v>296</v>
      </c>
      <c r="S26" s="1850"/>
      <c r="T26" s="1850"/>
      <c r="U26" s="1850"/>
      <c r="V26" s="593"/>
      <c r="AD26" s="14"/>
    </row>
    <row r="27" spans="1:30" ht="15.75" thickBot="1" x14ac:dyDescent="0.3">
      <c r="Q27"/>
      <c r="R27" s="100" t="s">
        <v>254</v>
      </c>
      <c r="S27" s="101" t="s">
        <v>460</v>
      </c>
      <c r="T27" s="101" t="s">
        <v>256</v>
      </c>
      <c r="U27" s="101" t="s">
        <v>257</v>
      </c>
      <c r="V27" s="101" t="s">
        <v>746</v>
      </c>
      <c r="W27" s="101" t="s">
        <v>753</v>
      </c>
      <c r="Z27" s="96" t="s">
        <v>258</v>
      </c>
      <c r="AA27" s="102" t="s">
        <v>259</v>
      </c>
      <c r="AB27" s="102" t="s">
        <v>260</v>
      </c>
      <c r="AC27" s="581" t="s">
        <v>753</v>
      </c>
      <c r="AD27" s="102" t="s">
        <v>262</v>
      </c>
    </row>
    <row r="28" spans="1:30" ht="15.75" thickBot="1" x14ac:dyDescent="0.3">
      <c r="B28" s="80"/>
      <c r="E28" s="80"/>
      <c r="F28" s="80"/>
      <c r="Q28"/>
      <c r="R28" s="103" t="s">
        <v>263</v>
      </c>
      <c r="S28" s="385">
        <f>$Z$1</f>
        <v>30120</v>
      </c>
      <c r="T28" s="194"/>
      <c r="U28" s="380">
        <f>S28/S40</f>
        <v>30120</v>
      </c>
      <c r="V28" s="104">
        <f>SUM(AP5:AP13)</f>
        <v>6852.1629629629624</v>
      </c>
      <c r="W28" s="104">
        <f>SUM(H37:H38)</f>
        <v>15.05</v>
      </c>
      <c r="Z28" s="105"/>
      <c r="AA28" s="106">
        <f>AA25*$S$40</f>
        <v>1</v>
      </c>
      <c r="AB28" s="106">
        <f>AA25*$U$40</f>
        <v>0</v>
      </c>
      <c r="AC28" s="582"/>
      <c r="AD28" s="108">
        <f>SUM(AA28:AC28)</f>
        <v>1</v>
      </c>
    </row>
    <row r="29" spans="1:30" ht="16.5" thickBot="1" x14ac:dyDescent="0.3">
      <c r="B29" s="80"/>
      <c r="C29" s="426"/>
      <c r="D29" s="426"/>
      <c r="E29" s="426"/>
      <c r="F29" s="426"/>
      <c r="G29" s="426"/>
      <c r="H29"/>
      <c r="Q29"/>
      <c r="R29" s="103" t="s">
        <v>264</v>
      </c>
      <c r="S29" s="109"/>
      <c r="T29" s="104">
        <f>S28*0.4</f>
        <v>12048</v>
      </c>
      <c r="U29" s="380">
        <f>T29</f>
        <v>12048</v>
      </c>
      <c r="V29" s="104"/>
      <c r="W29" s="104"/>
      <c r="Z29" s="105"/>
      <c r="AA29" s="110">
        <f>AA28/$AD$28</f>
        <v>1</v>
      </c>
      <c r="AB29" s="110">
        <f>AB28/$AD$28</f>
        <v>0</v>
      </c>
      <c r="AC29" s="583"/>
      <c r="AD29" s="110">
        <f>AD28/$AD$28</f>
        <v>1</v>
      </c>
    </row>
    <row r="30" spans="1:30" ht="15.75" thickBot="1" x14ac:dyDescent="0.3">
      <c r="B30" s="235"/>
      <c r="C30" s="227"/>
      <c r="D30" s="177"/>
      <c r="E30" s="235"/>
      <c r="F30" s="235"/>
      <c r="G30" s="177"/>
      <c r="H30" s="52"/>
      <c r="Q30"/>
      <c r="R30" s="103" t="s">
        <v>265</v>
      </c>
      <c r="S30" s="657">
        <f>$AB$1</f>
        <v>1000</v>
      </c>
      <c r="T30" s="380">
        <f>(S30*0.4)</f>
        <v>400</v>
      </c>
      <c r="U30" s="380">
        <f>S30+T30</f>
        <v>1400</v>
      </c>
      <c r="V30" s="547"/>
      <c r="W30" s="547"/>
      <c r="Z30" s="96" t="s">
        <v>266</v>
      </c>
      <c r="AA30" s="111">
        <f>S35/(S32)</f>
        <v>4.7281323877068564E-2</v>
      </c>
      <c r="AB30" s="112">
        <f>T35/T32</f>
        <v>3.5962218378205522E-3</v>
      </c>
      <c r="AC30" s="585">
        <f>V35/U32</f>
        <v>1.2145912421139568E-3</v>
      </c>
      <c r="AD30" s="587">
        <f>SUMPRODUCT(AA30:AB30,AA29:AB29)+AC30</f>
        <v>4.8495915119182519E-2</v>
      </c>
    </row>
    <row r="31" spans="1:30" ht="15.75" thickBot="1" x14ac:dyDescent="0.3">
      <c r="B31" s="80"/>
      <c r="E31" s="80"/>
      <c r="F31" s="80"/>
      <c r="Q31"/>
      <c r="R31" s="103" t="s">
        <v>267</v>
      </c>
      <c r="S31" s="109"/>
      <c r="T31" s="104"/>
      <c r="U31" s="104"/>
      <c r="V31" s="104"/>
      <c r="W31" s="104"/>
    </row>
    <row r="32" spans="1:30" ht="15.75" thickBot="1" x14ac:dyDescent="0.3">
      <c r="Q32"/>
      <c r="R32" s="114" t="s">
        <v>257</v>
      </c>
      <c r="S32" s="104">
        <f>SUM(S28:S30)</f>
        <v>31120</v>
      </c>
      <c r="T32" s="104">
        <f>SUM(T28:T30)</f>
        <v>12448</v>
      </c>
      <c r="U32" s="104">
        <f>SUM(S32:T32)</f>
        <v>43568</v>
      </c>
      <c r="V32" s="104">
        <f>SUM(V28:V30)</f>
        <v>6852.1629629629624</v>
      </c>
      <c r="W32" s="104">
        <f>SUM(W28:W30)</f>
        <v>15.05</v>
      </c>
    </row>
    <row r="33" spans="2:23" ht="15.75" thickBot="1" x14ac:dyDescent="0.3">
      <c r="Q33"/>
      <c r="R33" s="115" t="s">
        <v>268</v>
      </c>
      <c r="S33" s="109"/>
      <c r="T33" s="109"/>
      <c r="U33" s="109"/>
      <c r="V33" s="109"/>
      <c r="W33" s="109"/>
    </row>
    <row r="34" spans="2:23" ht="15.75" thickBot="1" x14ac:dyDescent="0.3">
      <c r="Q34"/>
      <c r="R34" s="116" t="s">
        <v>269</v>
      </c>
      <c r="S34" s="109"/>
      <c r="T34" s="104"/>
      <c r="U34" s="109"/>
      <c r="V34" s="109"/>
      <c r="W34" s="109"/>
    </row>
    <row r="35" spans="2:23" ht="16.5" thickBot="1" x14ac:dyDescent="0.3">
      <c r="B35" s="1877" t="s">
        <v>793</v>
      </c>
      <c r="C35" s="1877"/>
      <c r="D35" s="1877"/>
      <c r="E35" s="1877"/>
      <c r="F35" s="1877"/>
      <c r="G35" s="438"/>
      <c r="H35" s="438"/>
      <c r="I35" s="444"/>
      <c r="J35" s="444"/>
      <c r="K35" s="444"/>
      <c r="L35" s="444"/>
      <c r="Q35"/>
      <c r="R35" s="117" t="s">
        <v>249</v>
      </c>
      <c r="S35" s="548">
        <f>$L$5</f>
        <v>1471.3947990543736</v>
      </c>
      <c r="T35" s="548">
        <f>SUM(L6:L17)</f>
        <v>44.765769437190237</v>
      </c>
      <c r="U35" s="548">
        <f>S35+T35+V35</f>
        <v>1569.0778797279847</v>
      </c>
      <c r="V35" s="548">
        <f>SUM(AT6:AT14)</f>
        <v>52.917311236420872</v>
      </c>
      <c r="W35" s="595">
        <f>SUM(L37:L38)</f>
        <v>1.041923076923077</v>
      </c>
    </row>
    <row r="36" spans="2:23" ht="31.5" x14ac:dyDescent="0.25">
      <c r="B36" s="1004" t="s">
        <v>241</v>
      </c>
      <c r="C36" s="1004" t="s">
        <v>316</v>
      </c>
      <c r="D36" s="1002" t="s">
        <v>610</v>
      </c>
      <c r="E36" s="1003" t="s">
        <v>611</v>
      </c>
      <c r="F36" s="1002" t="s">
        <v>612</v>
      </c>
      <c r="G36" s="1001"/>
      <c r="H36" s="427" t="s">
        <v>612</v>
      </c>
      <c r="I36" s="427" t="s">
        <v>246</v>
      </c>
      <c r="J36" s="427" t="s">
        <v>247</v>
      </c>
      <c r="K36" s="427" t="s">
        <v>248</v>
      </c>
      <c r="L36" s="427" t="s">
        <v>249</v>
      </c>
      <c r="Q36"/>
      <c r="R36"/>
      <c r="S36"/>
      <c r="T36"/>
      <c r="U36"/>
    </row>
    <row r="37" spans="2:23" x14ac:dyDescent="0.25">
      <c r="B37" s="1005" t="s">
        <v>666</v>
      </c>
      <c r="C37" s="1006" t="s">
        <v>14</v>
      </c>
      <c r="D37" s="1645">
        <v>7.0000000000000007E-2</v>
      </c>
      <c r="E37" s="1005">
        <f>$AD$1</f>
        <v>215</v>
      </c>
      <c r="F37" s="1005">
        <f>D37*E37</f>
        <v>15.05</v>
      </c>
      <c r="G37" s="437"/>
      <c r="H37" s="425">
        <f>F37</f>
        <v>15.05</v>
      </c>
      <c r="I37" s="425">
        <f>VLOOKUP(B37,All_Ingredients!$A$1:$F$161,6,FALSE())</f>
        <v>0.65</v>
      </c>
      <c r="J37" s="425">
        <f>VLOOKUP(B37,All_Ingredients!$A$1:$J$161,10,FALSE())</f>
        <v>45</v>
      </c>
      <c r="K37" s="425">
        <f>(H37/I37)/1000</f>
        <v>2.3153846153846153E-2</v>
      </c>
      <c r="L37" s="425">
        <f>K37*J37</f>
        <v>1.041923076923077</v>
      </c>
      <c r="Q37"/>
      <c r="R37"/>
      <c r="S37"/>
      <c r="T37"/>
      <c r="U37"/>
    </row>
    <row r="38" spans="2:23" x14ac:dyDescent="0.25">
      <c r="Q38"/>
      <c r="R38"/>
      <c r="S38"/>
      <c r="T38"/>
      <c r="U38"/>
    </row>
    <row r="39" spans="2:23" x14ac:dyDescent="0.25">
      <c r="Q39"/>
      <c r="R39"/>
      <c r="S39"/>
      <c r="T39"/>
      <c r="U39"/>
    </row>
    <row r="40" spans="2:23" ht="23.25" x14ac:dyDescent="0.25">
      <c r="R40" s="251" t="s">
        <v>270</v>
      </c>
      <c r="S40" s="163">
        <v>1</v>
      </c>
      <c r="T40" s="252" t="s">
        <v>271</v>
      </c>
      <c r="U40" s="163">
        <v>0</v>
      </c>
      <c r="V40" s="122">
        <f>S40+U40</f>
        <v>1</v>
      </c>
    </row>
    <row r="41" spans="2:23" x14ac:dyDescent="0.25">
      <c r="U41" s="123"/>
    </row>
    <row r="43" spans="2:23" x14ac:dyDescent="0.25">
      <c r="Q43" s="124" t="s">
        <v>272</v>
      </c>
      <c r="R43" s="124" t="s">
        <v>273</v>
      </c>
      <c r="S43" s="124" t="s">
        <v>274</v>
      </c>
      <c r="T43" s="124" t="s">
        <v>275</v>
      </c>
      <c r="U43" s="124" t="s">
        <v>276</v>
      </c>
      <c r="V43" s="124" t="s">
        <v>277</v>
      </c>
      <c r="W43" s="174" t="s">
        <v>278</v>
      </c>
    </row>
    <row r="44" spans="2:23" x14ac:dyDescent="0.25">
      <c r="Q44" s="126">
        <v>25000</v>
      </c>
      <c r="R44" s="127">
        <f>D51</f>
        <v>10000</v>
      </c>
      <c r="S44" s="128">
        <v>0</v>
      </c>
      <c r="T44" s="128">
        <v>1</v>
      </c>
      <c r="U44" s="165">
        <f>R44*S44</f>
        <v>0</v>
      </c>
      <c r="V44" s="129">
        <f>R44*T44</f>
        <v>10000</v>
      </c>
      <c r="W44" s="175">
        <f>Q44-U44</f>
        <v>25000</v>
      </c>
    </row>
    <row r="50" spans="1:10" x14ac:dyDescent="0.25">
      <c r="B50" s="181"/>
      <c r="C50" s="100" t="s">
        <v>233</v>
      </c>
      <c r="D50" s="100" t="s">
        <v>279</v>
      </c>
      <c r="E50" s="80"/>
      <c r="F50" s="80"/>
      <c r="G50" s="100" t="s">
        <v>280</v>
      </c>
      <c r="H50" s="100" t="s">
        <v>233</v>
      </c>
      <c r="I50" s="100" t="s">
        <v>281</v>
      </c>
      <c r="J50" s="100" t="s">
        <v>282</v>
      </c>
    </row>
    <row r="51" spans="1:10" x14ac:dyDescent="0.25">
      <c r="B51" s="844" t="s">
        <v>283</v>
      </c>
      <c r="C51" s="133">
        <f>10/$K$1</f>
        <v>10.204081632653061</v>
      </c>
      <c r="D51" s="134">
        <f>$C$1*10</f>
        <v>10000</v>
      </c>
      <c r="E51" s="135"/>
      <c r="F51" s="80"/>
      <c r="G51" s="132" t="s">
        <v>283</v>
      </c>
      <c r="H51" s="182">
        <f>I51/$D$5</f>
        <v>10</v>
      </c>
      <c r="I51" s="133">
        <f>J51/$R$1</f>
        <v>46296.296296296292</v>
      </c>
      <c r="J51" s="133">
        <f>$W$44</f>
        <v>25000</v>
      </c>
    </row>
    <row r="52" spans="1:10" x14ac:dyDescent="0.25">
      <c r="B52" s="846" t="s">
        <v>262</v>
      </c>
      <c r="C52" s="156">
        <f>$I$1</f>
        <v>12.70204081632653</v>
      </c>
      <c r="D52" s="157">
        <f>$E$1</f>
        <v>12448</v>
      </c>
      <c r="E52" s="80"/>
      <c r="F52" s="80"/>
      <c r="G52" s="103" t="s">
        <v>262</v>
      </c>
      <c r="H52" s="145">
        <f>I52/$D$5</f>
        <v>12.448</v>
      </c>
      <c r="I52" s="129">
        <f>J52/$R$1</f>
        <v>57629.629629629628</v>
      </c>
      <c r="J52" s="136">
        <f>$S$32</f>
        <v>31120</v>
      </c>
    </row>
    <row r="53" spans="1:10" x14ac:dyDescent="0.25">
      <c r="B53" s="846" t="s">
        <v>284</v>
      </c>
      <c r="C53" s="158">
        <f>MIN(C52, C51)</f>
        <v>10.204081632653061</v>
      </c>
      <c r="D53" s="157">
        <f>(C53*$K$1)*$C$1</f>
        <v>10000</v>
      </c>
      <c r="E53" s="80"/>
      <c r="F53" s="80"/>
      <c r="G53" s="103" t="s">
        <v>284</v>
      </c>
      <c r="H53" s="139">
        <f>MIN(H52,H51)</f>
        <v>10</v>
      </c>
      <c r="I53" s="129">
        <f>J53/$R$1</f>
        <v>46296.296296296292</v>
      </c>
      <c r="J53" s="129">
        <f>MIN(J52,J51)</f>
        <v>25000</v>
      </c>
    </row>
    <row r="54" spans="1:10" x14ac:dyDescent="0.25">
      <c r="B54" s="846" t="s">
        <v>285</v>
      </c>
      <c r="C54" s="158">
        <f>MIN(MAX(C52-C53,0),C51)</f>
        <v>2.4979591836734691</v>
      </c>
      <c r="D54" s="157">
        <f>(C54*$K$1)*$C$1</f>
        <v>2448</v>
      </c>
      <c r="E54" s="80"/>
      <c r="F54" s="80"/>
      <c r="G54" s="103" t="s">
        <v>285</v>
      </c>
      <c r="H54" s="139">
        <f>MIN(MAX(H52-H53),H51)</f>
        <v>2.4480000000000004</v>
      </c>
      <c r="I54" s="129">
        <f>J54/$R$1</f>
        <v>11333.333333333332</v>
      </c>
      <c r="J54" s="129">
        <f>MIN(MAX(J52-J53),J51)</f>
        <v>6120</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56" spans="1:10" x14ac:dyDescent="0.25">
      <c r="B56" s="80"/>
      <c r="C56" s="80"/>
      <c r="D56" s="80"/>
      <c r="E56" s="80"/>
      <c r="F56" s="80"/>
      <c r="G56" s="80"/>
      <c r="H56" s="80"/>
      <c r="I56" s="80"/>
      <c r="J56" s="80"/>
    </row>
    <row r="57" spans="1:10" ht="18" x14ac:dyDescent="0.25">
      <c r="B57" s="176"/>
    </row>
    <row r="58" spans="1:10" ht="18" x14ac:dyDescent="0.25">
      <c r="B58" s="1803"/>
      <c r="C58" s="1799"/>
      <c r="D58" s="1799"/>
      <c r="E58" s="1799"/>
      <c r="F58" s="1799"/>
      <c r="G58" s="1799"/>
      <c r="H58" s="1799"/>
      <c r="I58" s="1799"/>
      <c r="J58" s="1799"/>
    </row>
    <row r="62" spans="1:10" x14ac:dyDescent="0.25">
      <c r="A62" s="867"/>
      <c r="B62" s="1871" t="str">
        <f>"سمك بالكارى و الكريمة  1 / " &amp; COUNTIF($C$53:$C$55, "&gt;0")</f>
        <v>سمك بالكارى و الكريمة  1 / 2</v>
      </c>
      <c r="C62" s="1880"/>
      <c r="D62" s="1880"/>
      <c r="E62" s="1880"/>
      <c r="F62" s="1880"/>
      <c r="G62" s="1880"/>
      <c r="H62" s="1880"/>
    </row>
    <row r="63" spans="1:10" x14ac:dyDescent="0.25">
      <c r="A63" s="867"/>
      <c r="B63" s="1872" t="str">
        <f>"Curry Fish 1 / " &amp; COUNTIF(C$53:C$55, "&gt;0")</f>
        <v>Curry Fish 1 / 2</v>
      </c>
      <c r="C63" s="1883"/>
      <c r="D63" s="1883"/>
      <c r="E63" s="1883"/>
      <c r="F63" s="1883"/>
      <c r="G63" s="1883"/>
      <c r="H63" s="1883"/>
    </row>
    <row r="64" spans="1:10" ht="25.5" x14ac:dyDescent="0.2">
      <c r="A64" s="1350" t="s">
        <v>864</v>
      </c>
      <c r="B64" s="923" t="s">
        <v>241</v>
      </c>
      <c r="C64" s="934" t="s">
        <v>242</v>
      </c>
      <c r="D64" s="923" t="s">
        <v>231</v>
      </c>
      <c r="E64" s="935" t="s">
        <v>234</v>
      </c>
      <c r="F64" s="935" t="s">
        <v>243</v>
      </c>
      <c r="G64" s="923" t="s">
        <v>244</v>
      </c>
      <c r="H64" s="936" t="s">
        <v>245</v>
      </c>
    </row>
    <row r="65" spans="1:8" x14ac:dyDescent="0.2">
      <c r="A65" s="876" t="s">
        <v>872</v>
      </c>
      <c r="B65" s="1252" t="str">
        <f t="shared" ref="B65:D79" si="12">B5</f>
        <v>Fillet Fish - سمك فيليه</v>
      </c>
      <c r="C65" s="1252" t="str">
        <f t="shared" si="12"/>
        <v>gm</v>
      </c>
      <c r="D65" s="1639">
        <f t="shared" si="12"/>
        <v>4629.6296296296296</v>
      </c>
      <c r="E65" s="1646">
        <f>H53</f>
        <v>10</v>
      </c>
      <c r="F65" s="1616">
        <f t="shared" ref="F65:F81" si="13">F5</f>
        <v>1</v>
      </c>
      <c r="G65" s="940">
        <f t="shared" ref="G65:G79" si="14">D65*E65</f>
        <v>46296.296296296292</v>
      </c>
      <c r="H65" s="1617">
        <f t="shared" ref="H65:H79" si="15">G65*F65</f>
        <v>46296.296296296292</v>
      </c>
    </row>
    <row r="66" spans="1:8" x14ac:dyDescent="0.25">
      <c r="A66" s="61" t="s">
        <v>881</v>
      </c>
      <c r="B66" s="1252" t="str">
        <f t="shared" si="12"/>
        <v>Onion - بصل</v>
      </c>
      <c r="C66" s="1252" t="str">
        <f t="shared" si="12"/>
        <v>gm</v>
      </c>
      <c r="D66" s="1252">
        <f t="shared" si="12"/>
        <v>300</v>
      </c>
      <c r="E66" s="1646">
        <f t="shared" ref="E66:E81" si="16">$C$53</f>
        <v>10.204081632653061</v>
      </c>
      <c r="F66" s="1616">
        <f t="shared" si="13"/>
        <v>0.95</v>
      </c>
      <c r="G66" s="940">
        <f t="shared" si="14"/>
        <v>3061.2244897959181</v>
      </c>
      <c r="H66" s="1617">
        <f t="shared" si="15"/>
        <v>2908.163265306122</v>
      </c>
    </row>
    <row r="67" spans="1:8" x14ac:dyDescent="0.25">
      <c r="A67" s="61" t="s">
        <v>868</v>
      </c>
      <c r="B67" s="1252" t="str">
        <f t="shared" si="12"/>
        <v>Garlic - ثوم مقشر</v>
      </c>
      <c r="C67" s="1252" t="str">
        <f t="shared" si="12"/>
        <v>gm</v>
      </c>
      <c r="D67" s="1252">
        <f t="shared" si="12"/>
        <v>25</v>
      </c>
      <c r="E67" s="1646">
        <f t="shared" si="16"/>
        <v>10.204081632653061</v>
      </c>
      <c r="F67" s="1616">
        <f t="shared" si="13"/>
        <v>1</v>
      </c>
      <c r="G67" s="940">
        <f t="shared" si="14"/>
        <v>255.10204081632654</v>
      </c>
      <c r="H67" s="1617">
        <f t="shared" si="15"/>
        <v>255.10204081632654</v>
      </c>
    </row>
    <row r="68" spans="1:8" x14ac:dyDescent="0.25">
      <c r="A68" s="61" t="s">
        <v>870</v>
      </c>
      <c r="B68" s="1252" t="str">
        <f t="shared" si="12"/>
        <v>Tomato - طماطم</v>
      </c>
      <c r="C68" s="1252" t="str">
        <f t="shared" si="12"/>
        <v>gm</v>
      </c>
      <c r="D68" s="1252">
        <f t="shared" si="12"/>
        <v>300</v>
      </c>
      <c r="E68" s="1646">
        <f t="shared" si="16"/>
        <v>10.204081632653061</v>
      </c>
      <c r="F68" s="1616">
        <f t="shared" si="13"/>
        <v>1</v>
      </c>
      <c r="G68" s="940">
        <f t="shared" si="14"/>
        <v>3061.2244897959181</v>
      </c>
      <c r="H68" s="1617">
        <f t="shared" si="15"/>
        <v>3061.2244897959181</v>
      </c>
    </row>
    <row r="69" spans="1:8" x14ac:dyDescent="0.25">
      <c r="A69" s="61" t="s">
        <v>867</v>
      </c>
      <c r="B69" s="1252" t="str">
        <f t="shared" si="12"/>
        <v>Ginger - زنجبيل</v>
      </c>
      <c r="C69" s="1252" t="str">
        <f t="shared" si="12"/>
        <v>gm</v>
      </c>
      <c r="D69" s="1252">
        <f t="shared" si="12"/>
        <v>20</v>
      </c>
      <c r="E69" s="1646">
        <f t="shared" si="16"/>
        <v>10.204081632653061</v>
      </c>
      <c r="F69" s="1616">
        <f t="shared" si="13"/>
        <v>1</v>
      </c>
      <c r="G69" s="940">
        <f t="shared" si="14"/>
        <v>204.08163265306121</v>
      </c>
      <c r="H69" s="1617">
        <f t="shared" si="15"/>
        <v>204.08163265306121</v>
      </c>
    </row>
    <row r="70" spans="1:8" x14ac:dyDescent="0.25">
      <c r="B70" s="1252" t="str">
        <f t="shared" si="12"/>
        <v>Curry Powder - كاري بودرة</v>
      </c>
      <c r="C70" s="1252" t="str">
        <f t="shared" si="12"/>
        <v>gm</v>
      </c>
      <c r="D70" s="1252">
        <f t="shared" si="12"/>
        <v>25</v>
      </c>
      <c r="E70" s="1646">
        <f t="shared" si="16"/>
        <v>10.204081632653061</v>
      </c>
      <c r="F70" s="1616">
        <f t="shared" si="13"/>
        <v>0.75</v>
      </c>
      <c r="G70" s="940">
        <f t="shared" si="14"/>
        <v>255.10204081632654</v>
      </c>
      <c r="H70" s="1617">
        <f t="shared" si="15"/>
        <v>191.32653061224491</v>
      </c>
    </row>
    <row r="71" spans="1:8" x14ac:dyDescent="0.25">
      <c r="B71" s="1252" t="str">
        <f t="shared" si="12"/>
        <v>Cumin Whole - كمون حب</v>
      </c>
      <c r="C71" s="1252" t="str">
        <f t="shared" si="12"/>
        <v>gm</v>
      </c>
      <c r="D71" s="1252">
        <f t="shared" si="12"/>
        <v>5</v>
      </c>
      <c r="E71" s="1646">
        <f t="shared" si="16"/>
        <v>10.204081632653061</v>
      </c>
      <c r="F71" s="1616">
        <f t="shared" si="13"/>
        <v>1</v>
      </c>
      <c r="G71" s="940">
        <f t="shared" si="14"/>
        <v>51.020408163265301</v>
      </c>
      <c r="H71" s="1617">
        <f t="shared" si="15"/>
        <v>51.020408163265301</v>
      </c>
    </row>
    <row r="72" spans="1:8" x14ac:dyDescent="0.25">
      <c r="B72" s="1252" t="str">
        <f t="shared" si="12"/>
        <v>Cloves Whole - قرنفل حب</v>
      </c>
      <c r="C72" s="1252" t="str">
        <f t="shared" si="12"/>
        <v>gm</v>
      </c>
      <c r="D72" s="1252">
        <f t="shared" si="12"/>
        <v>2</v>
      </c>
      <c r="E72" s="1646">
        <f t="shared" si="16"/>
        <v>10.204081632653061</v>
      </c>
      <c r="F72" s="1616">
        <f t="shared" si="13"/>
        <v>0.75</v>
      </c>
      <c r="G72" s="940">
        <f t="shared" si="14"/>
        <v>20.408163265306122</v>
      </c>
      <c r="H72" s="1617">
        <f t="shared" si="15"/>
        <v>15.306122448979592</v>
      </c>
    </row>
    <row r="73" spans="1:8" x14ac:dyDescent="0.25">
      <c r="B73" s="1252" t="str">
        <f t="shared" si="12"/>
        <v>Kasuri Methi - ورق حلبة مجففة</v>
      </c>
      <c r="C73" s="1252" t="str">
        <f t="shared" si="12"/>
        <v>gm</v>
      </c>
      <c r="D73" s="1252">
        <f t="shared" si="12"/>
        <v>3</v>
      </c>
      <c r="E73" s="1646">
        <f t="shared" si="16"/>
        <v>10.204081632653061</v>
      </c>
      <c r="F73" s="1616">
        <f t="shared" si="13"/>
        <v>0.75</v>
      </c>
      <c r="G73" s="940">
        <f t="shared" si="14"/>
        <v>30.612244897959183</v>
      </c>
      <c r="H73" s="1617">
        <f t="shared" si="15"/>
        <v>22.959183673469386</v>
      </c>
    </row>
    <row r="74" spans="1:8" x14ac:dyDescent="0.25">
      <c r="B74" s="1252" t="str">
        <f t="shared" si="12"/>
        <v>Maggi Cubes - مكعبات ماجي</v>
      </c>
      <c r="C74" s="1252" t="str">
        <f t="shared" si="12"/>
        <v>gm</v>
      </c>
      <c r="D74" s="1252">
        <f t="shared" si="12"/>
        <v>10</v>
      </c>
      <c r="E74" s="1646">
        <f t="shared" si="16"/>
        <v>10.204081632653061</v>
      </c>
      <c r="F74" s="1616">
        <f t="shared" si="13"/>
        <v>1</v>
      </c>
      <c r="G74" s="940">
        <f t="shared" si="14"/>
        <v>102.0408163265306</v>
      </c>
      <c r="H74" s="1617">
        <f t="shared" si="15"/>
        <v>102.0408163265306</v>
      </c>
    </row>
    <row r="75" spans="1:8" x14ac:dyDescent="0.25">
      <c r="A75" s="61" t="s">
        <v>884</v>
      </c>
      <c r="B75" s="1252" t="str">
        <f t="shared" si="12"/>
        <v>Green Chilli Pepper - فلفل أخضر حار</v>
      </c>
      <c r="C75" s="1252" t="str">
        <f t="shared" si="12"/>
        <v>gm</v>
      </c>
      <c r="D75" s="1252">
        <f t="shared" si="12"/>
        <v>5</v>
      </c>
      <c r="E75" s="1646">
        <f t="shared" si="16"/>
        <v>10.204081632653061</v>
      </c>
      <c r="F75" s="1616">
        <f t="shared" si="13"/>
        <v>0.75</v>
      </c>
      <c r="G75" s="940">
        <f t="shared" si="14"/>
        <v>51.020408163265301</v>
      </c>
      <c r="H75" s="1617">
        <f t="shared" si="15"/>
        <v>38.265306122448976</v>
      </c>
    </row>
    <row r="76" spans="1:8" x14ac:dyDescent="0.25">
      <c r="B76" s="1252" t="str">
        <f t="shared" si="12"/>
        <v>Turmeric - كركم</v>
      </c>
      <c r="C76" s="1252" t="str">
        <f t="shared" si="12"/>
        <v>gm</v>
      </c>
      <c r="D76" s="1252">
        <f t="shared" si="12"/>
        <v>5</v>
      </c>
      <c r="E76" s="1646">
        <f t="shared" si="16"/>
        <v>10.204081632653061</v>
      </c>
      <c r="F76" s="1616">
        <f t="shared" si="13"/>
        <v>0.75</v>
      </c>
      <c r="G76" s="940">
        <f t="shared" si="14"/>
        <v>51.020408163265301</v>
      </c>
      <c r="H76" s="1617">
        <f t="shared" si="15"/>
        <v>38.265306122448976</v>
      </c>
    </row>
    <row r="77" spans="1:8" x14ac:dyDescent="0.25">
      <c r="B77" s="1252" t="str">
        <f t="shared" si="12"/>
        <v>Saffron yellow color powder - لون صفار زعفران بودر</v>
      </c>
      <c r="C77" s="1252" t="str">
        <f t="shared" si="12"/>
        <v>gm</v>
      </c>
      <c r="D77" s="1252">
        <f t="shared" si="12"/>
        <v>2</v>
      </c>
      <c r="E77" s="1646">
        <f t="shared" si="16"/>
        <v>10.204081632653061</v>
      </c>
      <c r="F77" s="1616">
        <f t="shared" si="13"/>
        <v>1</v>
      </c>
      <c r="G77" s="940">
        <f t="shared" si="14"/>
        <v>20.408163265306122</v>
      </c>
      <c r="H77" s="1617">
        <f t="shared" si="15"/>
        <v>20.408163265306122</v>
      </c>
    </row>
    <row r="78" spans="1:8" x14ac:dyDescent="0.25">
      <c r="B78" s="1252" t="str">
        <f t="shared" si="12"/>
        <v>Cooking Cream - كريمة طبخ</v>
      </c>
      <c r="C78" s="1252" t="str">
        <f t="shared" si="12"/>
        <v>ml</v>
      </c>
      <c r="D78" s="1252">
        <f t="shared" si="12"/>
        <v>500</v>
      </c>
      <c r="E78" s="1646">
        <f t="shared" si="16"/>
        <v>10.204081632653061</v>
      </c>
      <c r="F78" s="1616">
        <f t="shared" si="13"/>
        <v>1</v>
      </c>
      <c r="G78" s="940">
        <f t="shared" si="14"/>
        <v>5102.0408163265301</v>
      </c>
      <c r="H78" s="1617">
        <f t="shared" si="15"/>
        <v>5102.0408163265301</v>
      </c>
    </row>
    <row r="79" spans="1:8" x14ac:dyDescent="0.25">
      <c r="B79" s="1252" t="str">
        <f t="shared" si="12"/>
        <v>Water - ماء</v>
      </c>
      <c r="C79" s="1252" t="str">
        <f t="shared" si="12"/>
        <v>ml</v>
      </c>
      <c r="D79" s="1252">
        <f t="shared" si="12"/>
        <v>500</v>
      </c>
      <c r="E79" s="1646">
        <f t="shared" si="16"/>
        <v>10.204081632653061</v>
      </c>
      <c r="F79" s="1616">
        <f t="shared" si="13"/>
        <v>0.75</v>
      </c>
      <c r="G79" s="940">
        <f t="shared" si="14"/>
        <v>5102.0408163265301</v>
      </c>
      <c r="H79" s="1617">
        <f t="shared" si="15"/>
        <v>3826.5306122448974</v>
      </c>
    </row>
    <row r="80" spans="1:8" x14ac:dyDescent="0.25">
      <c r="B80" s="1252" t="str">
        <f t="shared" ref="B80:D80" si="17">B20</f>
        <v>Butter - زبدة</v>
      </c>
      <c r="C80" s="1252" t="str">
        <f t="shared" si="17"/>
        <v>gm</v>
      </c>
      <c r="D80" s="1252">
        <f t="shared" si="17"/>
        <v>45</v>
      </c>
      <c r="E80" s="1646">
        <f t="shared" si="16"/>
        <v>10.204081632653061</v>
      </c>
      <c r="F80" s="1616">
        <f t="shared" si="13"/>
        <v>1</v>
      </c>
      <c r="G80" s="940">
        <f t="shared" ref="G80:G81" si="18">D80*E80</f>
        <v>459.18367346938777</v>
      </c>
      <c r="H80" s="1617">
        <f t="shared" ref="H80:H81" si="19">G80*F80</f>
        <v>459.18367346938777</v>
      </c>
    </row>
    <row r="81" spans="1:8" x14ac:dyDescent="0.25">
      <c r="B81" s="1252" t="str">
        <f t="shared" ref="B81:D81" si="20">B21</f>
        <v>Corn Starch - نشا ذرة</v>
      </c>
      <c r="C81" s="1252" t="str">
        <f t="shared" si="20"/>
        <v>gm</v>
      </c>
      <c r="D81" s="1252">
        <f t="shared" si="20"/>
        <v>45</v>
      </c>
      <c r="E81" s="1646">
        <f t="shared" si="16"/>
        <v>10.204081632653061</v>
      </c>
      <c r="F81" s="1616">
        <f t="shared" si="13"/>
        <v>1</v>
      </c>
      <c r="G81" s="940">
        <f t="shared" si="18"/>
        <v>459.18367346938777</v>
      </c>
      <c r="H81" s="1617">
        <f t="shared" si="19"/>
        <v>459.18367346938777</v>
      </c>
    </row>
    <row r="82" spans="1:8" ht="18" x14ac:dyDescent="0.25">
      <c r="A82" s="861"/>
      <c r="B82" s="1622" t="s">
        <v>287</v>
      </c>
      <c r="C82" s="1042" t="s">
        <v>273</v>
      </c>
      <c r="D82" s="952"/>
      <c r="E82" s="1042" t="s">
        <v>288</v>
      </c>
      <c r="F82" s="952"/>
      <c r="G82" s="1045" t="s">
        <v>264</v>
      </c>
      <c r="H82" s="1045" t="s">
        <v>661</v>
      </c>
    </row>
    <row r="83" spans="1:8" ht="20.25" x14ac:dyDescent="0.3">
      <c r="A83" s="861"/>
      <c r="B83" s="1048">
        <f>$J$53</f>
        <v>25000</v>
      </c>
      <c r="C83" s="1048">
        <f>E83+G83</f>
        <v>10000</v>
      </c>
      <c r="D83" s="1629"/>
      <c r="E83" s="1048">
        <f>$D$53*$S$44</f>
        <v>0</v>
      </c>
      <c r="F83" s="1050"/>
      <c r="G83" s="1048">
        <f>$D$53*$T$44</f>
        <v>10000</v>
      </c>
      <c r="H83" s="1048">
        <f>B83+E83</f>
        <v>25000</v>
      </c>
    </row>
    <row r="86" spans="1:8" x14ac:dyDescent="0.25">
      <c r="A86" s="867"/>
      <c r="B86" s="1871" t="str">
        <f>"سمك بالكارى و الكريمة  2 / " &amp; COUNTIF($C$53:$C$55, "&gt;0")</f>
        <v>سمك بالكارى و الكريمة  2 / 2</v>
      </c>
      <c r="C86" s="1880"/>
      <c r="D86" s="1880"/>
      <c r="E86" s="1880"/>
      <c r="F86" s="1880"/>
      <c r="G86" s="1880"/>
      <c r="H86" s="1880"/>
    </row>
    <row r="87" spans="1:8" x14ac:dyDescent="0.25">
      <c r="A87" s="867"/>
      <c r="B87" s="1872" t="str">
        <f>"Curry Fish 2 / " &amp; COUNTIF(C$53:C$55, "&gt;0")</f>
        <v>Curry Fish 2 / 2</v>
      </c>
      <c r="C87" s="1883"/>
      <c r="D87" s="1883"/>
      <c r="E87" s="1883"/>
      <c r="F87" s="1883"/>
      <c r="G87" s="1883"/>
      <c r="H87" s="1883"/>
    </row>
    <row r="88" spans="1:8" ht="25.5" x14ac:dyDescent="0.2">
      <c r="A88" s="1350" t="s">
        <v>864</v>
      </c>
      <c r="B88" s="923" t="s">
        <v>241</v>
      </c>
      <c r="C88" s="934" t="s">
        <v>242</v>
      </c>
      <c r="D88" s="923" t="s">
        <v>231</v>
      </c>
      <c r="E88" s="935" t="s">
        <v>234</v>
      </c>
      <c r="F88" s="935" t="s">
        <v>243</v>
      </c>
      <c r="G88" s="923" t="s">
        <v>244</v>
      </c>
      <c r="H88" s="936" t="s">
        <v>245</v>
      </c>
    </row>
    <row r="89" spans="1:8" x14ac:dyDescent="0.2">
      <c r="A89" s="876" t="s">
        <v>872</v>
      </c>
      <c r="B89" s="1252" t="str">
        <f t="shared" ref="B89:D103" si="21">B5</f>
        <v>Fillet Fish - سمك فيليه</v>
      </c>
      <c r="C89" s="1252" t="str">
        <f t="shared" si="21"/>
        <v>gm</v>
      </c>
      <c r="D89" s="1620">
        <f t="shared" si="21"/>
        <v>4629.6296296296296</v>
      </c>
      <c r="E89" s="1646">
        <f>$H$54</f>
        <v>2.4480000000000004</v>
      </c>
      <c r="F89" s="1616">
        <f>F5</f>
        <v>1</v>
      </c>
      <c r="G89" s="940">
        <f t="shared" ref="G89:G103" si="22">D89*E89</f>
        <v>11333.333333333336</v>
      </c>
      <c r="H89" s="1617">
        <f t="shared" ref="H89:H103" si="23">G89*F89</f>
        <v>11333.333333333336</v>
      </c>
    </row>
    <row r="90" spans="1:8" x14ac:dyDescent="0.25">
      <c r="A90" s="61" t="s">
        <v>881</v>
      </c>
      <c r="B90" s="1252" t="str">
        <f t="shared" si="21"/>
        <v>Onion - بصل</v>
      </c>
      <c r="C90" s="1252" t="str">
        <f t="shared" si="21"/>
        <v>gm</v>
      </c>
      <c r="D90" s="1252">
        <f t="shared" si="21"/>
        <v>300</v>
      </c>
      <c r="E90" s="1646">
        <f t="shared" ref="E90:E105" si="24">$C$54</f>
        <v>2.4979591836734691</v>
      </c>
      <c r="F90" s="1616">
        <f t="shared" ref="F90:F105" si="25">F6</f>
        <v>0.95</v>
      </c>
      <c r="G90" s="940">
        <f t="shared" si="22"/>
        <v>749.38775510204073</v>
      </c>
      <c r="H90" s="1617">
        <f t="shared" si="23"/>
        <v>711.91836734693868</v>
      </c>
    </row>
    <row r="91" spans="1:8" x14ac:dyDescent="0.25">
      <c r="A91" s="61" t="s">
        <v>868</v>
      </c>
      <c r="B91" s="1252" t="str">
        <f t="shared" si="21"/>
        <v>Garlic - ثوم مقشر</v>
      </c>
      <c r="C91" s="1252" t="str">
        <f t="shared" si="21"/>
        <v>gm</v>
      </c>
      <c r="D91" s="1252">
        <f t="shared" si="21"/>
        <v>25</v>
      </c>
      <c r="E91" s="1646">
        <f t="shared" si="24"/>
        <v>2.4979591836734691</v>
      </c>
      <c r="F91" s="1616">
        <f t="shared" si="25"/>
        <v>1</v>
      </c>
      <c r="G91" s="940">
        <f t="shared" si="22"/>
        <v>62.448979591836732</v>
      </c>
      <c r="H91" s="1617">
        <f t="shared" si="23"/>
        <v>62.448979591836732</v>
      </c>
    </row>
    <row r="92" spans="1:8" x14ac:dyDescent="0.25">
      <c r="A92" s="61" t="s">
        <v>870</v>
      </c>
      <c r="B92" s="1252" t="str">
        <f t="shared" si="21"/>
        <v>Tomato - طماطم</v>
      </c>
      <c r="C92" s="1252" t="str">
        <f t="shared" si="21"/>
        <v>gm</v>
      </c>
      <c r="D92" s="1252">
        <f t="shared" si="21"/>
        <v>300</v>
      </c>
      <c r="E92" s="1646">
        <f t="shared" si="24"/>
        <v>2.4979591836734691</v>
      </c>
      <c r="F92" s="1616">
        <f t="shared" si="25"/>
        <v>1</v>
      </c>
      <c r="G92" s="940">
        <f t="shared" si="22"/>
        <v>749.38775510204073</v>
      </c>
      <c r="H92" s="1617">
        <f t="shared" si="23"/>
        <v>749.38775510204073</v>
      </c>
    </row>
    <row r="93" spans="1:8" x14ac:dyDescent="0.25">
      <c r="A93" s="61" t="s">
        <v>867</v>
      </c>
      <c r="B93" s="1252" t="str">
        <f t="shared" si="21"/>
        <v>Ginger - زنجبيل</v>
      </c>
      <c r="C93" s="1252" t="str">
        <f t="shared" si="21"/>
        <v>gm</v>
      </c>
      <c r="D93" s="1252">
        <f t="shared" si="21"/>
        <v>20</v>
      </c>
      <c r="E93" s="1646">
        <f t="shared" si="24"/>
        <v>2.4979591836734691</v>
      </c>
      <c r="F93" s="1616">
        <f t="shared" si="25"/>
        <v>1</v>
      </c>
      <c r="G93" s="940">
        <f t="shared" si="22"/>
        <v>49.959183673469383</v>
      </c>
      <c r="H93" s="1617">
        <f t="shared" si="23"/>
        <v>49.959183673469383</v>
      </c>
    </row>
    <row r="94" spans="1:8" x14ac:dyDescent="0.25">
      <c r="B94" s="1252" t="str">
        <f t="shared" si="21"/>
        <v>Curry Powder - كاري بودرة</v>
      </c>
      <c r="C94" s="1252" t="str">
        <f t="shared" si="21"/>
        <v>gm</v>
      </c>
      <c r="D94" s="1252">
        <f t="shared" si="21"/>
        <v>25</v>
      </c>
      <c r="E94" s="1646">
        <f t="shared" si="24"/>
        <v>2.4979591836734691</v>
      </c>
      <c r="F94" s="1616">
        <f t="shared" si="25"/>
        <v>0.75</v>
      </c>
      <c r="G94" s="940">
        <f t="shared" si="22"/>
        <v>62.448979591836732</v>
      </c>
      <c r="H94" s="1617">
        <f t="shared" si="23"/>
        <v>46.836734693877546</v>
      </c>
    </row>
    <row r="95" spans="1:8" x14ac:dyDescent="0.25">
      <c r="B95" s="1252" t="str">
        <f t="shared" si="21"/>
        <v>Cumin Whole - كمون حب</v>
      </c>
      <c r="C95" s="1252" t="str">
        <f t="shared" si="21"/>
        <v>gm</v>
      </c>
      <c r="D95" s="1252">
        <f t="shared" si="21"/>
        <v>5</v>
      </c>
      <c r="E95" s="1646">
        <f t="shared" si="24"/>
        <v>2.4979591836734691</v>
      </c>
      <c r="F95" s="1616">
        <f t="shared" si="25"/>
        <v>1</v>
      </c>
      <c r="G95" s="940">
        <f t="shared" si="22"/>
        <v>12.489795918367346</v>
      </c>
      <c r="H95" s="1617">
        <f t="shared" si="23"/>
        <v>12.489795918367346</v>
      </c>
    </row>
    <row r="96" spans="1:8" x14ac:dyDescent="0.25">
      <c r="B96" s="1252" t="str">
        <f t="shared" si="21"/>
        <v>Cloves Whole - قرنفل حب</v>
      </c>
      <c r="C96" s="1252" t="str">
        <f t="shared" si="21"/>
        <v>gm</v>
      </c>
      <c r="D96" s="1252">
        <f t="shared" si="21"/>
        <v>2</v>
      </c>
      <c r="E96" s="1646">
        <f t="shared" si="24"/>
        <v>2.4979591836734691</v>
      </c>
      <c r="F96" s="1616">
        <f t="shared" si="25"/>
        <v>0.75</v>
      </c>
      <c r="G96" s="940">
        <f t="shared" si="22"/>
        <v>4.9959183673469383</v>
      </c>
      <c r="H96" s="1617">
        <f t="shared" si="23"/>
        <v>3.7469387755102037</v>
      </c>
    </row>
    <row r="97" spans="1:8" x14ac:dyDescent="0.25">
      <c r="B97" s="1252" t="str">
        <f t="shared" si="21"/>
        <v>Kasuri Methi - ورق حلبة مجففة</v>
      </c>
      <c r="C97" s="1252" t="str">
        <f t="shared" si="21"/>
        <v>gm</v>
      </c>
      <c r="D97" s="1252">
        <f t="shared" si="21"/>
        <v>3</v>
      </c>
      <c r="E97" s="1646">
        <f t="shared" si="24"/>
        <v>2.4979591836734691</v>
      </c>
      <c r="F97" s="1616">
        <f t="shared" si="25"/>
        <v>0.75</v>
      </c>
      <c r="G97" s="940">
        <f t="shared" si="22"/>
        <v>7.4938775510204074</v>
      </c>
      <c r="H97" s="1617">
        <f t="shared" si="23"/>
        <v>5.6204081632653056</v>
      </c>
    </row>
    <row r="98" spans="1:8" x14ac:dyDescent="0.25">
      <c r="B98" s="1252" t="str">
        <f t="shared" si="21"/>
        <v>Maggi Cubes - مكعبات ماجي</v>
      </c>
      <c r="C98" s="1252" t="str">
        <f t="shared" si="21"/>
        <v>gm</v>
      </c>
      <c r="D98" s="1252">
        <f t="shared" si="21"/>
        <v>10</v>
      </c>
      <c r="E98" s="1646">
        <f t="shared" si="24"/>
        <v>2.4979591836734691</v>
      </c>
      <c r="F98" s="1616">
        <f t="shared" si="25"/>
        <v>1</v>
      </c>
      <c r="G98" s="940">
        <f t="shared" si="22"/>
        <v>24.979591836734691</v>
      </c>
      <c r="H98" s="1617">
        <f t="shared" si="23"/>
        <v>24.979591836734691</v>
      </c>
    </row>
    <row r="99" spans="1:8" x14ac:dyDescent="0.25">
      <c r="A99" s="61" t="s">
        <v>884</v>
      </c>
      <c r="B99" s="1252" t="str">
        <f t="shared" si="21"/>
        <v>Green Chilli Pepper - فلفل أخضر حار</v>
      </c>
      <c r="C99" s="1252" t="str">
        <f t="shared" si="21"/>
        <v>gm</v>
      </c>
      <c r="D99" s="1252">
        <f t="shared" si="21"/>
        <v>5</v>
      </c>
      <c r="E99" s="1646">
        <f t="shared" si="24"/>
        <v>2.4979591836734691</v>
      </c>
      <c r="F99" s="1616">
        <f t="shared" si="25"/>
        <v>0.75</v>
      </c>
      <c r="G99" s="940">
        <f t="shared" si="22"/>
        <v>12.489795918367346</v>
      </c>
      <c r="H99" s="1617">
        <f t="shared" si="23"/>
        <v>9.3673469387755084</v>
      </c>
    </row>
    <row r="100" spans="1:8" x14ac:dyDescent="0.25">
      <c r="B100" s="1252" t="str">
        <f t="shared" si="21"/>
        <v>Turmeric - كركم</v>
      </c>
      <c r="C100" s="1252" t="str">
        <f t="shared" si="21"/>
        <v>gm</v>
      </c>
      <c r="D100" s="1252">
        <f t="shared" si="21"/>
        <v>5</v>
      </c>
      <c r="E100" s="1646">
        <f t="shared" si="24"/>
        <v>2.4979591836734691</v>
      </c>
      <c r="F100" s="1616">
        <f t="shared" si="25"/>
        <v>0.75</v>
      </c>
      <c r="G100" s="940">
        <f t="shared" si="22"/>
        <v>12.489795918367346</v>
      </c>
      <c r="H100" s="1617">
        <f t="shared" si="23"/>
        <v>9.3673469387755084</v>
      </c>
    </row>
    <row r="101" spans="1:8" x14ac:dyDescent="0.25">
      <c r="B101" s="1252" t="str">
        <f t="shared" si="21"/>
        <v>Saffron yellow color powder - لون صفار زعفران بودر</v>
      </c>
      <c r="C101" s="1252" t="str">
        <f t="shared" si="21"/>
        <v>gm</v>
      </c>
      <c r="D101" s="1252">
        <f t="shared" si="21"/>
        <v>2</v>
      </c>
      <c r="E101" s="1646">
        <f t="shared" si="24"/>
        <v>2.4979591836734691</v>
      </c>
      <c r="F101" s="1616">
        <f t="shared" si="25"/>
        <v>1</v>
      </c>
      <c r="G101" s="940">
        <f t="shared" si="22"/>
        <v>4.9959183673469383</v>
      </c>
      <c r="H101" s="1617">
        <f t="shared" si="23"/>
        <v>4.9959183673469383</v>
      </c>
    </row>
    <row r="102" spans="1:8" x14ac:dyDescent="0.25">
      <c r="B102" s="1252" t="str">
        <f t="shared" si="21"/>
        <v>Cooking Cream - كريمة طبخ</v>
      </c>
      <c r="C102" s="1252" t="str">
        <f t="shared" si="21"/>
        <v>ml</v>
      </c>
      <c r="D102" s="1252">
        <f t="shared" si="21"/>
        <v>500</v>
      </c>
      <c r="E102" s="1646">
        <f t="shared" si="24"/>
        <v>2.4979591836734691</v>
      </c>
      <c r="F102" s="1616">
        <f t="shared" si="25"/>
        <v>1</v>
      </c>
      <c r="G102" s="940">
        <f t="shared" si="22"/>
        <v>1248.9795918367345</v>
      </c>
      <c r="H102" s="1617">
        <f t="shared" si="23"/>
        <v>1248.9795918367345</v>
      </c>
    </row>
    <row r="103" spans="1:8" x14ac:dyDescent="0.25">
      <c r="B103" s="1252" t="str">
        <f t="shared" si="21"/>
        <v>Water - ماء</v>
      </c>
      <c r="C103" s="1252" t="str">
        <f t="shared" si="21"/>
        <v>ml</v>
      </c>
      <c r="D103" s="1252">
        <f t="shared" si="21"/>
        <v>500</v>
      </c>
      <c r="E103" s="1646">
        <f t="shared" si="24"/>
        <v>2.4979591836734691</v>
      </c>
      <c r="F103" s="1616">
        <f t="shared" si="25"/>
        <v>0.75</v>
      </c>
      <c r="G103" s="940">
        <f t="shared" si="22"/>
        <v>1248.9795918367345</v>
      </c>
      <c r="H103" s="1617">
        <f t="shared" si="23"/>
        <v>936.73469387755085</v>
      </c>
    </row>
    <row r="104" spans="1:8" x14ac:dyDescent="0.25">
      <c r="B104" s="1252" t="str">
        <f t="shared" ref="B104:D104" si="26">B20</f>
        <v>Butter - زبدة</v>
      </c>
      <c r="C104" s="1252" t="str">
        <f t="shared" si="26"/>
        <v>gm</v>
      </c>
      <c r="D104" s="1252">
        <f t="shared" si="26"/>
        <v>45</v>
      </c>
      <c r="E104" s="1646">
        <f t="shared" si="24"/>
        <v>2.4979591836734691</v>
      </c>
      <c r="F104" s="1616">
        <f t="shared" si="25"/>
        <v>1</v>
      </c>
      <c r="G104" s="940">
        <f t="shared" ref="G104:G105" si="27">D104*E104</f>
        <v>112.40816326530611</v>
      </c>
      <c r="H104" s="1617">
        <f t="shared" ref="H104:H105" si="28">G104*F104</f>
        <v>112.40816326530611</v>
      </c>
    </row>
    <row r="105" spans="1:8" x14ac:dyDescent="0.25">
      <c r="B105" s="1252" t="str">
        <f t="shared" ref="B105:D105" si="29">B21</f>
        <v>Corn Starch - نشا ذرة</v>
      </c>
      <c r="C105" s="1252" t="str">
        <f t="shared" si="29"/>
        <v>gm</v>
      </c>
      <c r="D105" s="1252">
        <f t="shared" si="29"/>
        <v>45</v>
      </c>
      <c r="E105" s="1646">
        <f t="shared" si="24"/>
        <v>2.4979591836734691</v>
      </c>
      <c r="F105" s="1616">
        <f t="shared" si="25"/>
        <v>1</v>
      </c>
      <c r="G105" s="940">
        <f t="shared" si="27"/>
        <v>112.40816326530611</v>
      </c>
      <c r="H105" s="1617">
        <f t="shared" si="28"/>
        <v>112.40816326530611</v>
      </c>
    </row>
    <row r="106" spans="1:8" ht="18" x14ac:dyDescent="0.25">
      <c r="A106" s="861"/>
      <c r="B106" s="1622" t="s">
        <v>287</v>
      </c>
      <c r="C106" s="1042" t="s">
        <v>273</v>
      </c>
      <c r="D106" s="952"/>
      <c r="E106" s="1042" t="s">
        <v>288</v>
      </c>
      <c r="F106" s="952"/>
      <c r="G106" s="1045" t="s">
        <v>264</v>
      </c>
      <c r="H106" s="1045" t="s">
        <v>661</v>
      </c>
    </row>
    <row r="107" spans="1:8" ht="20.25" x14ac:dyDescent="0.3">
      <c r="A107" s="861"/>
      <c r="B107" s="1048">
        <f>$J$54</f>
        <v>6120</v>
      </c>
      <c r="C107" s="1048">
        <f>E107+G107</f>
        <v>2448</v>
      </c>
      <c r="D107" s="1629"/>
      <c r="E107" s="1048">
        <f>$D$54*$S$44</f>
        <v>0</v>
      </c>
      <c r="F107" s="1050"/>
      <c r="G107" s="1048">
        <f>$D$54*$T$44</f>
        <v>2448</v>
      </c>
      <c r="H107" s="1048">
        <f>B107+E107</f>
        <v>6120</v>
      </c>
    </row>
  </sheetData>
  <mergeCells count="11">
    <mergeCell ref="AK2:AN3"/>
    <mergeCell ref="B86:H86"/>
    <mergeCell ref="B87:H87"/>
    <mergeCell ref="B62:H62"/>
    <mergeCell ref="B58:J58"/>
    <mergeCell ref="B63:H63"/>
    <mergeCell ref="B2:J3"/>
    <mergeCell ref="AE2:AG3"/>
    <mergeCell ref="R26:U26"/>
    <mergeCell ref="R25:U25"/>
    <mergeCell ref="B35:F35"/>
  </mergeCells>
  <printOptions horizontalCentered="1"/>
  <pageMargins left="0.4" right="0.4" top="1" bottom="0.5" header="0.3" footer="0.511811023622047"/>
  <pageSetup paperSize="9" scale="44" orientation="landscape"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5" tint="-0.249977111117893"/>
    <pageSetUpPr fitToPage="1"/>
  </sheetPr>
  <dimension ref="A1:AT98"/>
  <sheetViews>
    <sheetView topLeftCell="U1" zoomScale="70" zoomScaleNormal="70" workbookViewId="0">
      <selection activeCell="Q44" sqref="Q44"/>
    </sheetView>
  </sheetViews>
  <sheetFormatPr defaultColWidth="12.5" defaultRowHeight="15" x14ac:dyDescent="0.25"/>
  <cols>
    <col min="1" max="1" width="14.75" style="1" bestFit="1" customWidth="1"/>
    <col min="2" max="2" width="35.75" bestFit="1" customWidth="1"/>
    <col min="3" max="3" width="16" bestFit="1" customWidth="1"/>
    <col min="4" max="4" width="15.625" bestFit="1" customWidth="1"/>
    <col min="5" max="5" width="16" bestFit="1" customWidth="1"/>
    <col min="6" max="6" width="22.625" bestFit="1" customWidth="1"/>
    <col min="7" max="7" width="20.25" bestFit="1" customWidth="1"/>
    <col min="8" max="8" width="33.75" bestFit="1" customWidth="1"/>
    <col min="9" max="9" width="16.5" bestFit="1" customWidth="1"/>
    <col min="10" max="10" width="13.625" bestFit="1" customWidth="1"/>
    <col min="11" max="11" width="11.125" bestFit="1" customWidth="1"/>
    <col min="12" max="12" width="10.25" bestFit="1" customWidth="1"/>
    <col min="13" max="14" width="3.25" customWidth="1"/>
    <col min="15" max="15" width="14.5" bestFit="1" customWidth="1"/>
    <col min="16" max="16" width="4.875" bestFit="1" customWidth="1"/>
    <col min="17" max="17" width="12.125" bestFit="1" customWidth="1"/>
    <col min="18" max="18" width="32" bestFit="1" customWidth="1"/>
    <col min="19" max="19" width="8.5" bestFit="1" customWidth="1"/>
    <col min="20" max="20" width="13.875" bestFit="1" customWidth="1"/>
    <col min="21" max="21" width="9.625" bestFit="1" customWidth="1"/>
    <col min="22" max="22" width="10.25" bestFit="1" customWidth="1"/>
    <col min="23" max="23" width="32.125" bestFit="1" customWidth="1"/>
    <col min="25" max="25" width="6.625" bestFit="1" customWidth="1"/>
    <col min="26" max="26" width="9.5" bestFit="1" customWidth="1"/>
    <col min="27" max="27" width="10" bestFit="1" customWidth="1"/>
    <col min="28" max="28" width="11.125" bestFit="1" customWidth="1"/>
    <col min="29" max="29" width="11.75" bestFit="1" customWidth="1"/>
    <col min="30" max="30" width="13" bestFit="1" customWidth="1"/>
    <col min="31" max="31" width="9.875" bestFit="1" customWidth="1"/>
    <col min="32" max="32" width="6.75" bestFit="1" customWidth="1"/>
    <col min="33" max="34" width="4.375" customWidth="1"/>
    <col min="35" max="35" width="9.75" bestFit="1" customWidth="1"/>
    <col min="36" max="36" width="31.5" bestFit="1" customWidth="1"/>
    <col min="37" max="37" width="5.375" bestFit="1" customWidth="1"/>
    <col min="38" max="38" width="11.25" bestFit="1" customWidth="1"/>
    <col min="39" max="39" width="10.875" bestFit="1" customWidth="1"/>
    <col min="40" max="40" width="10" bestFit="1" customWidth="1"/>
    <col min="42" max="42" width="15.125" bestFit="1" customWidth="1"/>
    <col min="43" max="43" width="11" bestFit="1" customWidth="1"/>
    <col min="44" max="44" width="11.625" bestFit="1" customWidth="1"/>
    <col min="45" max="45" width="11.125" bestFit="1" customWidth="1"/>
    <col min="46" max="46" width="5.25" bestFit="1" customWidth="1"/>
  </cols>
  <sheetData>
    <row r="1" spans="1:46" ht="25.5" x14ac:dyDescent="0.25">
      <c r="B1" s="843" t="s">
        <v>231</v>
      </c>
      <c r="C1" s="63">
        <v>1000</v>
      </c>
      <c r="D1" s="64" t="s">
        <v>232</v>
      </c>
      <c r="E1" s="84">
        <f>T32</f>
        <v>7305.1282051282051</v>
      </c>
      <c r="F1" s="62" t="s">
        <v>233</v>
      </c>
      <c r="G1" s="85">
        <f>E1/C1</f>
        <v>7.3051282051282049</v>
      </c>
      <c r="H1" s="62" t="s">
        <v>234</v>
      </c>
      <c r="I1" s="185">
        <f>G1/K1</f>
        <v>7.4542124542124535</v>
      </c>
      <c r="J1" s="68" t="s">
        <v>235</v>
      </c>
      <c r="K1" s="293">
        <f>9.8/10</f>
        <v>0.98000000000000009</v>
      </c>
      <c r="L1" s="80"/>
      <c r="M1" s="70"/>
      <c r="N1" s="71"/>
      <c r="O1" s="72" t="s">
        <v>236</v>
      </c>
      <c r="P1" s="73" t="s">
        <v>298</v>
      </c>
      <c r="Q1" s="74" t="s">
        <v>238</v>
      </c>
      <c r="R1" s="73">
        <v>0.57999999999999996</v>
      </c>
      <c r="Y1" s="72" t="s">
        <v>444</v>
      </c>
      <c r="Z1" s="422">
        <v>11950</v>
      </c>
      <c r="AA1" s="72" t="s">
        <v>544</v>
      </c>
      <c r="AB1" s="422">
        <v>1000</v>
      </c>
      <c r="AC1" s="72" t="s">
        <v>537</v>
      </c>
      <c r="AD1" s="422">
        <v>86</v>
      </c>
      <c r="AE1" s="168"/>
      <c r="AF1" s="170"/>
      <c r="AG1" s="73"/>
      <c r="AI1" s="1"/>
      <c r="AJ1" s="75" t="s">
        <v>250</v>
      </c>
      <c r="AK1" s="75">
        <v>10000</v>
      </c>
      <c r="AL1" s="318" t="s">
        <v>476</v>
      </c>
      <c r="AM1" s="319">
        <f>$S$32</f>
        <v>9961.5384615384628</v>
      </c>
      <c r="AN1" s="75" t="s">
        <v>239</v>
      </c>
      <c r="AO1" s="212">
        <f>((S32)/$R$1)/$AK$1</f>
        <v>1.7175066312997351</v>
      </c>
      <c r="AP1" s="77"/>
    </row>
    <row r="2" spans="1:46" ht="15.75" x14ac:dyDescent="0.25">
      <c r="A2" s="860"/>
      <c r="B2" s="1851" t="s">
        <v>130</v>
      </c>
      <c r="C2" s="1796"/>
      <c r="D2" s="1796"/>
      <c r="E2" s="1796"/>
      <c r="F2" s="1796"/>
      <c r="G2" s="1796"/>
      <c r="H2" s="1796"/>
      <c r="I2" s="1796"/>
      <c r="J2" s="1796"/>
      <c r="K2" s="294"/>
      <c r="L2" s="187"/>
      <c r="M2" s="80"/>
      <c r="N2" s="80"/>
      <c r="O2" s="80"/>
      <c r="P2" s="80"/>
      <c r="Q2" s="80"/>
      <c r="R2" s="80"/>
      <c r="AC2" s="79"/>
      <c r="AD2" s="79"/>
      <c r="AE2" s="1795"/>
      <c r="AF2" s="1796"/>
      <c r="AG2" s="1796"/>
      <c r="AI2" s="1"/>
      <c r="AJ2" s="81"/>
      <c r="AK2" s="1873" t="s">
        <v>434</v>
      </c>
      <c r="AL2" s="1873"/>
      <c r="AM2" s="1873"/>
      <c r="AN2" s="1873"/>
      <c r="AO2" s="81"/>
      <c r="AP2" s="81"/>
    </row>
    <row r="3" spans="1:46" ht="15.75" x14ac:dyDescent="0.25">
      <c r="A3" s="860"/>
      <c r="B3" s="1796"/>
      <c r="C3" s="1796"/>
      <c r="D3" s="1796"/>
      <c r="E3" s="1796"/>
      <c r="F3" s="1796"/>
      <c r="G3" s="1796"/>
      <c r="H3" s="1796"/>
      <c r="I3" s="1796"/>
      <c r="J3" s="1796"/>
      <c r="K3" s="1692"/>
      <c r="L3" s="187"/>
      <c r="M3" s="80"/>
      <c r="N3" s="80"/>
      <c r="O3" s="80"/>
      <c r="P3" s="80"/>
      <c r="Q3" s="80"/>
      <c r="R3" s="80"/>
      <c r="AC3" s="79"/>
      <c r="AD3" s="79"/>
      <c r="AE3" s="1796"/>
      <c r="AF3" s="1796"/>
      <c r="AG3" s="1796"/>
      <c r="AI3" s="1"/>
      <c r="AJ3" s="81"/>
      <c r="AK3" s="81"/>
      <c r="AL3" s="81"/>
      <c r="AM3" s="81"/>
      <c r="AN3" s="1796"/>
      <c r="AO3" s="81"/>
      <c r="AP3" s="81"/>
    </row>
    <row r="4" spans="1:46" ht="38.25" x14ac:dyDescent="0.25">
      <c r="A4" s="1350" t="s">
        <v>864</v>
      </c>
      <c r="B4" s="923" t="s">
        <v>241</v>
      </c>
      <c r="C4" s="934" t="s">
        <v>242</v>
      </c>
      <c r="D4" s="923" t="s">
        <v>231</v>
      </c>
      <c r="E4" s="935" t="s">
        <v>234</v>
      </c>
      <c r="F4" s="935" t="s">
        <v>243</v>
      </c>
      <c r="G4" s="923" t="s">
        <v>244</v>
      </c>
      <c r="H4" s="934" t="s">
        <v>334</v>
      </c>
      <c r="I4" s="923" t="s">
        <v>246</v>
      </c>
      <c r="J4" s="923" t="s">
        <v>247</v>
      </c>
      <c r="K4" s="923" t="s">
        <v>248</v>
      </c>
      <c r="L4" s="923" t="s">
        <v>249</v>
      </c>
      <c r="M4" s="235"/>
      <c r="N4" s="235"/>
      <c r="O4" s="80"/>
      <c r="P4" s="80"/>
      <c r="Q4" s="80"/>
      <c r="R4" s="80"/>
      <c r="AC4" s="169"/>
      <c r="AD4" s="171"/>
      <c r="AE4" s="169"/>
      <c r="AF4" s="169"/>
      <c r="AG4" s="169"/>
      <c r="AI4" s="1"/>
      <c r="AJ4" s="926" t="s">
        <v>241</v>
      </c>
      <c r="AK4" s="1169" t="s">
        <v>242</v>
      </c>
      <c r="AL4" s="926" t="s">
        <v>250</v>
      </c>
      <c r="AM4" s="926" t="s">
        <v>234</v>
      </c>
      <c r="AN4" s="926" t="s">
        <v>243</v>
      </c>
      <c r="AO4" s="926" t="s">
        <v>244</v>
      </c>
      <c r="AP4" s="926" t="s">
        <v>334</v>
      </c>
      <c r="AQ4" s="923" t="s">
        <v>246</v>
      </c>
      <c r="AR4" s="923" t="s">
        <v>247</v>
      </c>
      <c r="AS4" s="923" t="s">
        <v>248</v>
      </c>
      <c r="AT4" s="923" t="s">
        <v>249</v>
      </c>
    </row>
    <row r="5" spans="1:46" ht="30" x14ac:dyDescent="0.25">
      <c r="A5" s="876" t="s">
        <v>891</v>
      </c>
      <c r="B5" s="1118" t="s">
        <v>226</v>
      </c>
      <c r="C5" s="939" t="s">
        <v>14</v>
      </c>
      <c r="D5" s="944">
        <f>I51/10</f>
        <v>2351.2225705329156</v>
      </c>
      <c r="E5" s="941">
        <f>H52</f>
        <v>7.3047386190685222</v>
      </c>
      <c r="F5" s="1616">
        <v>1</v>
      </c>
      <c r="G5" s="940">
        <f t="shared" ref="G5:G17" si="0">D5*E5</f>
        <v>17175.066312997351</v>
      </c>
      <c r="H5" s="1617">
        <f t="shared" ref="H5:H17" si="1">G5*F5</f>
        <v>17175.066312997351</v>
      </c>
      <c r="I5" s="914">
        <f>VLOOKUP(B5,All_Ingredients!$A$1:$F$161,6,FALSE())</f>
        <v>0.99</v>
      </c>
      <c r="J5" s="940">
        <f>VLOOKUP(B5,All_Ingredients!$A$1:$J$161,10,FALSE())</f>
        <v>11.75</v>
      </c>
      <c r="K5" s="945">
        <f t="shared" ref="K5" si="2">(H5/I5)/1000</f>
        <v>17.348551831310456</v>
      </c>
      <c r="L5" s="945">
        <f t="shared" ref="L5" si="3">K5*J5</f>
        <v>203.84548401789786</v>
      </c>
      <c r="M5" s="87"/>
      <c r="N5" s="87"/>
      <c r="O5" s="80"/>
      <c r="P5" s="80"/>
      <c r="Q5" s="80"/>
      <c r="R5" s="80"/>
      <c r="AC5" s="73"/>
      <c r="AD5" s="89"/>
      <c r="AE5" s="172"/>
      <c r="AF5" s="90"/>
      <c r="AG5" s="91"/>
      <c r="AI5" s="1"/>
      <c r="AJ5" s="1118" t="s">
        <v>226</v>
      </c>
      <c r="AK5" s="947" t="s">
        <v>227</v>
      </c>
      <c r="AL5" s="1618">
        <v>10</v>
      </c>
      <c r="AM5" s="1627">
        <f t="shared" ref="AM5:AM14" si="4">$AO$1</f>
        <v>1.7175066312997351</v>
      </c>
      <c r="AN5" s="1616">
        <v>1</v>
      </c>
      <c r="AO5" s="940">
        <f t="shared" ref="AO5:AO14" si="5">AL5*AM5</f>
        <v>17.175066312997352</v>
      </c>
      <c r="AP5" s="1617">
        <f t="shared" ref="AP5:AP14" si="6">AO5*AN5</f>
        <v>17.175066312997352</v>
      </c>
      <c r="AQ5" s="952"/>
      <c r="AR5" s="953"/>
      <c r="AS5" s="1020"/>
      <c r="AT5" s="955"/>
    </row>
    <row r="6" spans="1:46" x14ac:dyDescent="0.25">
      <c r="A6" s="1117" t="s">
        <v>881</v>
      </c>
      <c r="B6" s="1252" t="s">
        <v>12</v>
      </c>
      <c r="C6" s="947" t="s">
        <v>14</v>
      </c>
      <c r="D6" s="1618">
        <v>200</v>
      </c>
      <c r="E6" s="1627">
        <f t="shared" ref="E6:E17" si="7">$I$1</f>
        <v>7.4542124542124535</v>
      </c>
      <c r="F6" s="1616">
        <v>1</v>
      </c>
      <c r="G6" s="940">
        <f t="shared" si="0"/>
        <v>1490.8424908424906</v>
      </c>
      <c r="H6" s="1617">
        <f t="shared" si="1"/>
        <v>1490.8424908424906</v>
      </c>
      <c r="I6" s="914">
        <f>VLOOKUP(B6,All_Ingredients!$A$1:$F$161,6,FALSE())</f>
        <v>0.9</v>
      </c>
      <c r="J6" s="940">
        <f>VLOOKUP(B6,All_Ingredients!$A$1:$J$161,10,FALSE())</f>
        <v>3</v>
      </c>
      <c r="K6" s="945">
        <f t="shared" ref="K6:K17" si="8">(H6/I6)/1000</f>
        <v>1.6564916564916561</v>
      </c>
      <c r="L6" s="945">
        <f t="shared" ref="L6:L17" si="9">K6*J6</f>
        <v>4.9694749694749678</v>
      </c>
      <c r="M6" s="87"/>
      <c r="N6" s="87"/>
      <c r="AI6" s="1" t="s">
        <v>94</v>
      </c>
      <c r="AJ6" s="1252" t="s">
        <v>144</v>
      </c>
      <c r="AK6" s="947" t="s">
        <v>14</v>
      </c>
      <c r="AL6" s="1618">
        <v>50</v>
      </c>
      <c r="AM6" s="1627">
        <f t="shared" si="4"/>
        <v>1.7175066312997351</v>
      </c>
      <c r="AN6" s="1616">
        <v>1</v>
      </c>
      <c r="AO6" s="940">
        <f t="shared" si="5"/>
        <v>85.875331564986752</v>
      </c>
      <c r="AP6" s="1617">
        <f t="shared" si="6"/>
        <v>85.875331564986752</v>
      </c>
      <c r="AQ6" s="955">
        <f>VLOOKUP(AJ6,Marination_Ordering!$A:$J,6,FALSE)</f>
        <v>1</v>
      </c>
      <c r="AR6" s="955">
        <f>VLOOKUP(AJ6,Marination_Ordering!$A:$J,10,FALSE)</f>
        <v>18</v>
      </c>
      <c r="AS6" s="1020">
        <f>AP6/AQ6</f>
        <v>85.875331564986752</v>
      </c>
      <c r="AT6" s="955">
        <f>AR6*(AS6/1000)</f>
        <v>1.5457559681697615</v>
      </c>
    </row>
    <row r="7" spans="1:46" x14ac:dyDescent="0.25">
      <c r="A7" s="1117" t="s">
        <v>870</v>
      </c>
      <c r="B7" s="1252" t="s">
        <v>17</v>
      </c>
      <c r="C7" s="947" t="s">
        <v>14</v>
      </c>
      <c r="D7" s="1618">
        <v>300</v>
      </c>
      <c r="E7" s="1627">
        <f t="shared" si="7"/>
        <v>7.4542124542124535</v>
      </c>
      <c r="F7" s="1616">
        <v>1</v>
      </c>
      <c r="G7" s="940">
        <f t="shared" si="0"/>
        <v>2236.2637362637361</v>
      </c>
      <c r="H7" s="1617">
        <f t="shared" si="1"/>
        <v>2236.2637362637361</v>
      </c>
      <c r="I7" s="914">
        <f>VLOOKUP(B7,All_Ingredients!$A$1:$F$161,6,FALSE())</f>
        <v>0.98</v>
      </c>
      <c r="J7" s="940">
        <f>VLOOKUP(B7,All_Ingredients!$A$1:$J$161,10,FALSE())</f>
        <v>3.5</v>
      </c>
      <c r="K7" s="945">
        <f t="shared" si="8"/>
        <v>2.2819017716976902</v>
      </c>
      <c r="L7" s="945">
        <f t="shared" si="9"/>
        <v>7.9866562009419155</v>
      </c>
      <c r="M7" s="87"/>
      <c r="N7" s="87"/>
      <c r="AI7" s="1" t="s">
        <v>94</v>
      </c>
      <c r="AJ7" s="1684" t="s">
        <v>149</v>
      </c>
      <c r="AK7" s="947" t="s">
        <v>14</v>
      </c>
      <c r="AL7" s="1618">
        <v>50</v>
      </c>
      <c r="AM7" s="1627">
        <f t="shared" si="4"/>
        <v>1.7175066312997351</v>
      </c>
      <c r="AN7" s="1616">
        <v>1</v>
      </c>
      <c r="AO7" s="940">
        <f t="shared" si="5"/>
        <v>85.875331564986752</v>
      </c>
      <c r="AP7" s="1617">
        <f t="shared" si="6"/>
        <v>85.875331564986752</v>
      </c>
      <c r="AQ7" s="955">
        <f>VLOOKUP(AJ7,Marination_Ordering!$A:$J,6,FALSE)</f>
        <v>1</v>
      </c>
      <c r="AR7" s="955">
        <f>VLOOKUP(AJ7,Marination_Ordering!$A:$J,10,FALSE)</f>
        <v>10</v>
      </c>
      <c r="AS7" s="1020">
        <f t="shared" ref="AS7:AS8" si="10">AP7/AQ7</f>
        <v>85.875331564986752</v>
      </c>
      <c r="AT7" s="955">
        <f t="shared" ref="AT7:AT8" si="11">AR7*(AS7/1000)</f>
        <v>0.85875331564986745</v>
      </c>
    </row>
    <row r="8" spans="1:46" x14ac:dyDescent="0.25">
      <c r="A8" s="1117" t="s">
        <v>868</v>
      </c>
      <c r="B8" s="1684" t="s">
        <v>706</v>
      </c>
      <c r="C8" s="947" t="s">
        <v>14</v>
      </c>
      <c r="D8" s="1618">
        <v>40</v>
      </c>
      <c r="E8" s="1627">
        <f t="shared" si="7"/>
        <v>7.4542124542124535</v>
      </c>
      <c r="F8" s="1616">
        <v>1</v>
      </c>
      <c r="G8" s="940">
        <f t="shared" si="0"/>
        <v>298.16849816849816</v>
      </c>
      <c r="H8" s="1617">
        <f t="shared" si="1"/>
        <v>298.16849816849816</v>
      </c>
      <c r="I8" s="914">
        <f>VLOOKUP(B8,All_Ingredients!$A$1:$F$161,6,FALSE())</f>
        <v>1</v>
      </c>
      <c r="J8" s="940">
        <f>VLOOKUP(B8,All_Ingredients!$A$1:$J$161,10,FALSE())</f>
        <v>10.5</v>
      </c>
      <c r="K8" s="945">
        <f t="shared" si="8"/>
        <v>0.29816849816849816</v>
      </c>
      <c r="L8" s="945">
        <f t="shared" si="9"/>
        <v>3.1307692307692307</v>
      </c>
      <c r="M8" s="87"/>
      <c r="N8" s="87"/>
      <c r="AI8" s="1" t="s">
        <v>94</v>
      </c>
      <c r="AJ8" s="1684" t="s">
        <v>105</v>
      </c>
      <c r="AK8" s="947" t="s">
        <v>14</v>
      </c>
      <c r="AL8" s="1618">
        <v>50</v>
      </c>
      <c r="AM8" s="1627">
        <f t="shared" si="4"/>
        <v>1.7175066312997351</v>
      </c>
      <c r="AN8" s="1616">
        <v>1</v>
      </c>
      <c r="AO8" s="940">
        <f t="shared" si="5"/>
        <v>85.875331564986752</v>
      </c>
      <c r="AP8" s="1617">
        <f t="shared" si="6"/>
        <v>85.875331564986752</v>
      </c>
      <c r="AQ8" s="955">
        <f>VLOOKUP(AJ8,Marination_Ordering!$A:$J,6,FALSE)</f>
        <v>1</v>
      </c>
      <c r="AR8" s="955">
        <f>VLOOKUP(AJ8,Marination_Ordering!$A:$J,10,FALSE)</f>
        <v>15</v>
      </c>
      <c r="AS8" s="1020">
        <f t="shared" si="10"/>
        <v>85.875331564986752</v>
      </c>
      <c r="AT8" s="955">
        <f t="shared" si="11"/>
        <v>1.2881299734748013</v>
      </c>
    </row>
    <row r="9" spans="1:46" x14ac:dyDescent="0.25">
      <c r="A9" s="1117"/>
      <c r="B9" s="1684" t="s">
        <v>99</v>
      </c>
      <c r="C9" s="947" t="s">
        <v>14</v>
      </c>
      <c r="D9" s="1618">
        <v>3</v>
      </c>
      <c r="E9" s="1627">
        <f t="shared" si="7"/>
        <v>7.4542124542124535</v>
      </c>
      <c r="F9" s="1616">
        <v>1</v>
      </c>
      <c r="G9" s="940">
        <f t="shared" si="0"/>
        <v>22.362637362637361</v>
      </c>
      <c r="H9" s="1617">
        <f t="shared" si="1"/>
        <v>22.362637362637361</v>
      </c>
      <c r="I9" s="914">
        <f>VLOOKUP(B9,All_Ingredients!$A$1:$F$161,6,FALSE())</f>
        <v>1</v>
      </c>
      <c r="J9" s="940">
        <f>VLOOKUP(B9,All_Ingredients!$A$1:$J$161,10,FALSE())</f>
        <v>31</v>
      </c>
      <c r="K9" s="945">
        <f t="shared" si="8"/>
        <v>2.2362637362637362E-2</v>
      </c>
      <c r="L9" s="945">
        <f t="shared" si="9"/>
        <v>0.69324175824175827</v>
      </c>
      <c r="M9" s="87"/>
      <c r="N9" s="87"/>
      <c r="AI9" s="1" t="s">
        <v>94</v>
      </c>
      <c r="AJ9" s="1686" t="s">
        <v>704</v>
      </c>
      <c r="AK9" s="947" t="s">
        <v>14</v>
      </c>
      <c r="AL9" s="1618">
        <v>100</v>
      </c>
      <c r="AM9" s="1627">
        <f t="shared" si="4"/>
        <v>1.7175066312997351</v>
      </c>
      <c r="AN9" s="1616">
        <v>1</v>
      </c>
      <c r="AO9" s="940">
        <f t="shared" si="5"/>
        <v>171.7506631299735</v>
      </c>
      <c r="AP9" s="1617">
        <f t="shared" si="6"/>
        <v>171.7506631299735</v>
      </c>
      <c r="AQ9" s="955">
        <f>VLOOKUP(AJ9,Marination_Ordering!$A:$J,6,FALSE)</f>
        <v>1</v>
      </c>
      <c r="AR9" s="955">
        <f>VLOOKUP(AJ9,Marination_Ordering!$A:$J,10,FALSE)</f>
        <v>43.333333333333336</v>
      </c>
      <c r="AS9" s="1020">
        <f t="shared" ref="AS9:AS14" si="12">AP9/AQ9</f>
        <v>171.7506631299735</v>
      </c>
      <c r="AT9" s="955">
        <f t="shared" ref="AT9:AT14" si="13">AR9*(AS9/1000)</f>
        <v>7.4425287356321856</v>
      </c>
    </row>
    <row r="10" spans="1:46" x14ac:dyDescent="0.25">
      <c r="A10" s="1117"/>
      <c r="B10" s="1684" t="s">
        <v>105</v>
      </c>
      <c r="C10" s="947" t="s">
        <v>14</v>
      </c>
      <c r="D10" s="1618">
        <v>4</v>
      </c>
      <c r="E10" s="1627">
        <f t="shared" si="7"/>
        <v>7.4542124542124535</v>
      </c>
      <c r="F10" s="1616">
        <v>1</v>
      </c>
      <c r="G10" s="940">
        <f t="shared" si="0"/>
        <v>29.816849816849814</v>
      </c>
      <c r="H10" s="1617">
        <f t="shared" si="1"/>
        <v>29.816849816849814</v>
      </c>
      <c r="I10" s="914">
        <f>VLOOKUP(B10,All_Ingredients!$A$1:$F$161,6,FALSE())</f>
        <v>1</v>
      </c>
      <c r="J10" s="940">
        <f>VLOOKUP(B10,All_Ingredients!$A$1:$J$161,10,FALSE())</f>
        <v>15</v>
      </c>
      <c r="K10" s="945">
        <f t="shared" si="8"/>
        <v>2.9816849816849813E-2</v>
      </c>
      <c r="L10" s="945">
        <f t="shared" si="9"/>
        <v>0.44725274725274722</v>
      </c>
      <c r="M10" s="87"/>
      <c r="N10" s="87"/>
      <c r="AI10" s="1" t="s">
        <v>94</v>
      </c>
      <c r="AJ10" s="1684" t="s">
        <v>93</v>
      </c>
      <c r="AK10" s="947" t="s">
        <v>14</v>
      </c>
      <c r="AL10" s="1618">
        <v>25</v>
      </c>
      <c r="AM10" s="1627">
        <f t="shared" si="4"/>
        <v>1.7175066312997351</v>
      </c>
      <c r="AN10" s="1616">
        <v>1</v>
      </c>
      <c r="AO10" s="940">
        <f t="shared" si="5"/>
        <v>42.937665782493376</v>
      </c>
      <c r="AP10" s="1617">
        <f t="shared" si="6"/>
        <v>42.937665782493376</v>
      </c>
      <c r="AQ10" s="955">
        <f>VLOOKUP(AJ10,Marination_Ordering!$A:$J,6,FALSE)</f>
        <v>1</v>
      </c>
      <c r="AR10" s="955">
        <f>VLOOKUP(AJ10,Marination_Ordering!$A:$J,10,FALSE)</f>
        <v>0.74</v>
      </c>
      <c r="AS10" s="1020">
        <f t="shared" si="12"/>
        <v>42.937665782493376</v>
      </c>
      <c r="AT10" s="955">
        <f t="shared" si="13"/>
        <v>3.17738726790451E-2</v>
      </c>
    </row>
    <row r="11" spans="1:46" x14ac:dyDescent="0.25">
      <c r="A11" s="1117"/>
      <c r="B11" s="1684" t="s">
        <v>107</v>
      </c>
      <c r="C11" s="947" t="s">
        <v>14</v>
      </c>
      <c r="D11" s="1618">
        <v>6</v>
      </c>
      <c r="E11" s="1627">
        <f t="shared" si="7"/>
        <v>7.4542124542124535</v>
      </c>
      <c r="F11" s="1616">
        <v>1</v>
      </c>
      <c r="G11" s="940">
        <f t="shared" si="0"/>
        <v>44.725274725274723</v>
      </c>
      <c r="H11" s="1617">
        <f t="shared" si="1"/>
        <v>44.725274725274723</v>
      </c>
      <c r="I11" s="914">
        <f>VLOOKUP(B11,All_Ingredients!$A$1:$F$161,6,FALSE())</f>
        <v>1</v>
      </c>
      <c r="J11" s="940">
        <f>VLOOKUP(B11,All_Ingredients!$A$1:$J$161,10,FALSE())</f>
        <v>8</v>
      </c>
      <c r="K11" s="945">
        <f t="shared" si="8"/>
        <v>4.4725274725274725E-2</v>
      </c>
      <c r="L11" s="945">
        <f t="shared" si="9"/>
        <v>0.3578021978021978</v>
      </c>
      <c r="M11" s="87"/>
      <c r="N11" s="87"/>
      <c r="AI11" s="1" t="s">
        <v>94</v>
      </c>
      <c r="AJ11" s="1684" t="s">
        <v>99</v>
      </c>
      <c r="AK11" s="947" t="s">
        <v>14</v>
      </c>
      <c r="AL11" s="1618">
        <v>25</v>
      </c>
      <c r="AM11" s="1627">
        <f t="shared" si="4"/>
        <v>1.7175066312997351</v>
      </c>
      <c r="AN11" s="1616">
        <v>1</v>
      </c>
      <c r="AO11" s="940">
        <f t="shared" si="5"/>
        <v>42.937665782493376</v>
      </c>
      <c r="AP11" s="1617">
        <f t="shared" si="6"/>
        <v>42.937665782493376</v>
      </c>
      <c r="AQ11" s="955">
        <f>VLOOKUP(AJ11,Marination_Ordering!$A:$J,6,FALSE)</f>
        <v>1</v>
      </c>
      <c r="AR11" s="955">
        <f>VLOOKUP(AJ11,Marination_Ordering!$A:$J,10,FALSE)</f>
        <v>31</v>
      </c>
      <c r="AS11" s="1020">
        <f t="shared" si="12"/>
        <v>42.937665782493376</v>
      </c>
      <c r="AT11" s="955">
        <f t="shared" si="13"/>
        <v>1.3310676392572947</v>
      </c>
    </row>
    <row r="12" spans="1:46" x14ac:dyDescent="0.25">
      <c r="A12" s="1117"/>
      <c r="B12" s="1684" t="s">
        <v>122</v>
      </c>
      <c r="C12" s="947" t="s">
        <v>14</v>
      </c>
      <c r="D12" s="1618">
        <v>5</v>
      </c>
      <c r="E12" s="1627">
        <f t="shared" si="7"/>
        <v>7.4542124542124535</v>
      </c>
      <c r="F12" s="1616">
        <v>0.9</v>
      </c>
      <c r="G12" s="940">
        <f t="shared" si="0"/>
        <v>37.27106227106227</v>
      </c>
      <c r="H12" s="1617">
        <f t="shared" si="1"/>
        <v>33.543956043956044</v>
      </c>
      <c r="I12" s="914">
        <f>VLOOKUP(B12,All_Ingredients!$A$1:$F$161,6,FALSE())</f>
        <v>1</v>
      </c>
      <c r="J12" s="940">
        <f>VLOOKUP(B12,All_Ingredients!$A$1:$J$161,10,FALSE())</f>
        <v>14</v>
      </c>
      <c r="K12" s="945">
        <f t="shared" si="8"/>
        <v>3.3543956043956047E-2</v>
      </c>
      <c r="L12" s="945">
        <f t="shared" si="9"/>
        <v>0.46961538461538466</v>
      </c>
      <c r="M12" s="87"/>
      <c r="N12" s="87"/>
      <c r="AI12" s="1" t="s">
        <v>94</v>
      </c>
      <c r="AJ12" s="1684" t="s">
        <v>107</v>
      </c>
      <c r="AK12" s="947" t="s">
        <v>14</v>
      </c>
      <c r="AL12" s="1618">
        <v>50</v>
      </c>
      <c r="AM12" s="1627">
        <f t="shared" si="4"/>
        <v>1.7175066312997351</v>
      </c>
      <c r="AN12" s="1616">
        <v>1</v>
      </c>
      <c r="AO12" s="940">
        <f t="shared" si="5"/>
        <v>85.875331564986752</v>
      </c>
      <c r="AP12" s="1617">
        <f t="shared" si="6"/>
        <v>85.875331564986752</v>
      </c>
      <c r="AQ12" s="955">
        <f>VLOOKUP(AJ12,Marination_Ordering!$A:$J,6,FALSE)</f>
        <v>1</v>
      </c>
      <c r="AR12" s="955">
        <f>VLOOKUP(AJ12,Marination_Ordering!$A:$J,10,FALSE)</f>
        <v>8</v>
      </c>
      <c r="AS12" s="1020">
        <f t="shared" si="12"/>
        <v>85.875331564986752</v>
      </c>
      <c r="AT12" s="955">
        <f t="shared" si="13"/>
        <v>0.68700265251989401</v>
      </c>
    </row>
    <row r="13" spans="1:46" x14ac:dyDescent="0.25">
      <c r="A13" s="1117"/>
      <c r="B13" s="1684" t="s">
        <v>93</v>
      </c>
      <c r="C13" s="947" t="s">
        <v>14</v>
      </c>
      <c r="D13" s="1618">
        <v>11</v>
      </c>
      <c r="E13" s="1627">
        <f t="shared" si="7"/>
        <v>7.4542124542124535</v>
      </c>
      <c r="F13" s="1616">
        <v>0.75</v>
      </c>
      <c r="G13" s="940">
        <f t="shared" si="0"/>
        <v>81.996336996336993</v>
      </c>
      <c r="H13" s="1617">
        <f t="shared" si="1"/>
        <v>61.497252747252745</v>
      </c>
      <c r="I13" s="914">
        <f>VLOOKUP(B13,All_Ingredients!$A$1:$F$161,6,FALSE())</f>
        <v>1</v>
      </c>
      <c r="J13" s="940">
        <f>VLOOKUP(B13,All_Ingredients!$A$1:$J$161,10,FALSE())</f>
        <v>0.74</v>
      </c>
      <c r="K13" s="945">
        <f t="shared" si="8"/>
        <v>6.1497252747252748E-2</v>
      </c>
      <c r="L13" s="945">
        <f t="shared" si="9"/>
        <v>4.5507967032967035E-2</v>
      </c>
      <c r="M13" s="87"/>
      <c r="N13" s="87"/>
      <c r="AI13" s="1" t="s">
        <v>94</v>
      </c>
      <c r="AJ13" s="1686" t="s">
        <v>118</v>
      </c>
      <c r="AK13" s="947" t="s">
        <v>14</v>
      </c>
      <c r="AL13" s="1618">
        <v>50</v>
      </c>
      <c r="AM13" s="1627">
        <f t="shared" si="4"/>
        <v>1.7175066312997351</v>
      </c>
      <c r="AN13" s="1616">
        <v>1</v>
      </c>
      <c r="AO13" s="940">
        <f t="shared" si="5"/>
        <v>85.875331564986752</v>
      </c>
      <c r="AP13" s="1617">
        <f t="shared" si="6"/>
        <v>85.875331564986752</v>
      </c>
      <c r="AQ13" s="955">
        <f>VLOOKUP(AJ13,Marination_Ordering!$A:$J,6,FALSE)</f>
        <v>1</v>
      </c>
      <c r="AR13" s="955">
        <f>VLOOKUP(AJ13,Marination_Ordering!$A:$J,10,FALSE)</f>
        <v>15</v>
      </c>
      <c r="AS13" s="1020">
        <f t="shared" si="12"/>
        <v>85.875331564986752</v>
      </c>
      <c r="AT13" s="955">
        <f t="shared" si="13"/>
        <v>1.2881299734748013</v>
      </c>
    </row>
    <row r="14" spans="1:46" x14ac:dyDescent="0.25">
      <c r="A14" s="1117"/>
      <c r="B14" s="1684" t="s">
        <v>678</v>
      </c>
      <c r="C14" s="947" t="s">
        <v>14</v>
      </c>
      <c r="D14" s="1618">
        <v>300</v>
      </c>
      <c r="E14" s="1627">
        <f t="shared" si="7"/>
        <v>7.4542124542124535</v>
      </c>
      <c r="F14" s="1616">
        <v>1</v>
      </c>
      <c r="G14" s="940">
        <f t="shared" si="0"/>
        <v>2236.2637362637361</v>
      </c>
      <c r="H14" s="1617">
        <f t="shared" si="1"/>
        <v>2236.2637362637361</v>
      </c>
      <c r="I14" s="914">
        <f>VLOOKUP(B14,All_Ingredients!$A$1:$F$161,6,FALSE())</f>
        <v>1</v>
      </c>
      <c r="J14" s="940">
        <f>VLOOKUP(B14,All_Ingredients!$A$1:$J$161,10,FALSE())</f>
        <v>8.1520833333333336</v>
      </c>
      <c r="K14" s="945">
        <f t="shared" si="8"/>
        <v>2.2362637362637359</v>
      </c>
      <c r="L14" s="945">
        <f t="shared" si="9"/>
        <v>18.23020833333333</v>
      </c>
      <c r="M14" s="87"/>
      <c r="N14" s="87"/>
      <c r="AI14" s="1" t="s">
        <v>61</v>
      </c>
      <c r="AJ14" s="1684" t="s">
        <v>64</v>
      </c>
      <c r="AK14" s="947" t="s">
        <v>14</v>
      </c>
      <c r="AL14" s="1618">
        <v>100</v>
      </c>
      <c r="AM14" s="1627">
        <f t="shared" si="4"/>
        <v>1.7175066312997351</v>
      </c>
      <c r="AN14" s="1616">
        <v>1</v>
      </c>
      <c r="AO14" s="940">
        <f t="shared" si="5"/>
        <v>171.7506631299735</v>
      </c>
      <c r="AP14" s="1617">
        <f t="shared" si="6"/>
        <v>171.7506631299735</v>
      </c>
      <c r="AQ14" s="955">
        <f>VLOOKUP(AJ14,Marination_Ordering!$A:$J,6,FALSE)</f>
        <v>0.65</v>
      </c>
      <c r="AR14" s="955">
        <f>VLOOKUP(AJ14,Marination_Ordering!$A:$J,10,FALSE)</f>
        <v>3.5</v>
      </c>
      <c r="AS14" s="1020">
        <f t="shared" si="12"/>
        <v>264.23178943072844</v>
      </c>
      <c r="AT14" s="955">
        <f t="shared" si="13"/>
        <v>0.92481126300754957</v>
      </c>
    </row>
    <row r="15" spans="1:46" x14ac:dyDescent="0.25">
      <c r="A15" s="1117"/>
      <c r="B15" s="1684" t="s">
        <v>187</v>
      </c>
      <c r="C15" s="947" t="s">
        <v>14</v>
      </c>
      <c r="D15" s="1618">
        <v>50</v>
      </c>
      <c r="E15" s="1627">
        <f t="shared" si="7"/>
        <v>7.4542124542124535</v>
      </c>
      <c r="F15" s="1616">
        <v>1</v>
      </c>
      <c r="G15" s="940">
        <f t="shared" si="0"/>
        <v>372.71062271062266</v>
      </c>
      <c r="H15" s="1617">
        <f t="shared" si="1"/>
        <v>372.71062271062266</v>
      </c>
      <c r="I15" s="914">
        <f>VLOOKUP(B15,All_Ingredients!$A$1:$F$161,6,FALSE())</f>
        <v>0.9</v>
      </c>
      <c r="J15" s="940">
        <f>VLOOKUP(B15,All_Ingredients!$A$1:$J$161,10,FALSE())</f>
        <v>2.3199999999999998</v>
      </c>
      <c r="K15" s="945">
        <f t="shared" si="8"/>
        <v>0.41412291412291402</v>
      </c>
      <c r="L15" s="945">
        <f t="shared" si="9"/>
        <v>0.9607651607651605</v>
      </c>
      <c r="M15" s="87"/>
      <c r="N15" s="87"/>
    </row>
    <row r="16" spans="1:46" x14ac:dyDescent="0.25">
      <c r="A16" s="1117"/>
      <c r="B16" s="1684" t="s">
        <v>152</v>
      </c>
      <c r="C16" s="947" t="s">
        <v>14</v>
      </c>
      <c r="D16" s="1618">
        <v>25</v>
      </c>
      <c r="E16" s="1627">
        <f t="shared" si="7"/>
        <v>7.4542124542124535</v>
      </c>
      <c r="F16" s="1616">
        <v>1</v>
      </c>
      <c r="G16" s="940">
        <f t="shared" si="0"/>
        <v>186.35531135531133</v>
      </c>
      <c r="H16" s="1617">
        <f t="shared" si="1"/>
        <v>186.35531135531133</v>
      </c>
      <c r="I16" s="914">
        <f>VLOOKUP(B16,All_Ingredients!$A$1:$F$161,6,FALSE())</f>
        <v>1</v>
      </c>
      <c r="J16" s="940">
        <f>VLOOKUP(B16,All_Ingredients!$A$1:$J$161,10,FALSE())</f>
        <v>30</v>
      </c>
      <c r="K16" s="945">
        <f t="shared" si="8"/>
        <v>0.18635531135531133</v>
      </c>
      <c r="L16" s="945">
        <f t="shared" si="9"/>
        <v>5.5906593406593403</v>
      </c>
      <c r="M16" s="87"/>
      <c r="N16" s="87"/>
      <c r="T16" s="602"/>
    </row>
    <row r="17" spans="1:32" x14ac:dyDescent="0.25">
      <c r="A17" s="1117"/>
      <c r="B17" s="1684" t="s">
        <v>139</v>
      </c>
      <c r="C17" s="947" t="s">
        <v>14</v>
      </c>
      <c r="D17" s="1618">
        <v>10</v>
      </c>
      <c r="E17" s="1627">
        <f t="shared" si="7"/>
        <v>7.4542124542124535</v>
      </c>
      <c r="F17" s="1616">
        <v>0.75</v>
      </c>
      <c r="G17" s="940">
        <f t="shared" si="0"/>
        <v>74.54212454212454</v>
      </c>
      <c r="H17" s="1617">
        <f t="shared" si="1"/>
        <v>55.906593406593402</v>
      </c>
      <c r="I17" s="914">
        <f>VLOOKUP(B17,All_Ingredients!$A$1:$F$161,6,FALSE())</f>
        <v>1</v>
      </c>
      <c r="J17" s="940">
        <f>VLOOKUP(B17,All_Ingredients!$A$1:$J$161,10,FALSE())</f>
        <v>15.277777777777779</v>
      </c>
      <c r="K17" s="945">
        <f t="shared" si="8"/>
        <v>5.5906593406593402E-2</v>
      </c>
      <c r="L17" s="945">
        <f t="shared" si="9"/>
        <v>0.85412851037851034</v>
      </c>
      <c r="M17" s="87"/>
      <c r="N17" s="87"/>
    </row>
    <row r="18" spans="1:32" x14ac:dyDescent="0.25">
      <c r="B18" s="172"/>
      <c r="C18" s="172"/>
      <c r="D18" s="172"/>
      <c r="E18" s="172"/>
      <c r="F18" s="91"/>
      <c r="G18" s="73"/>
      <c r="H18" s="93"/>
      <c r="I18" s="73"/>
      <c r="J18" s="94"/>
      <c r="K18" s="73"/>
      <c r="L18" s="144"/>
    </row>
    <row r="19" spans="1:32" x14ac:dyDescent="0.25">
      <c r="B19" s="172"/>
      <c r="C19" s="172"/>
      <c r="D19" s="172"/>
      <c r="E19" s="172"/>
      <c r="F19" s="91"/>
      <c r="G19" s="73"/>
      <c r="H19" s="93"/>
      <c r="I19" s="73"/>
      <c r="J19" s="94"/>
      <c r="K19" s="73"/>
      <c r="L19" s="144"/>
    </row>
    <row r="20" spans="1:32" x14ac:dyDescent="0.25">
      <c r="I20" s="73"/>
      <c r="J20" s="94"/>
      <c r="K20" s="73"/>
      <c r="L20" s="144"/>
    </row>
    <row r="21" spans="1:32" x14ac:dyDescent="0.25">
      <c r="I21" s="73"/>
      <c r="J21" s="94"/>
      <c r="K21" s="73"/>
      <c r="L21" s="144"/>
    </row>
    <row r="22" spans="1:32" x14ac:dyDescent="0.25">
      <c r="I22" s="73"/>
      <c r="J22" s="94"/>
      <c r="K22" s="73"/>
      <c r="L22" s="144"/>
    </row>
    <row r="23" spans="1:32" x14ac:dyDescent="0.25">
      <c r="I23" s="73"/>
      <c r="J23" s="94"/>
      <c r="K23" s="73"/>
      <c r="L23" s="144"/>
    </row>
    <row r="24" spans="1:32" ht="15.75" x14ac:dyDescent="0.25">
      <c r="B24" s="80"/>
      <c r="C24" s="426"/>
      <c r="D24" s="426"/>
      <c r="E24" s="426"/>
      <c r="F24" s="426"/>
      <c r="G24" s="426"/>
      <c r="I24" s="73"/>
      <c r="J24" s="94"/>
      <c r="K24" s="73"/>
      <c r="L24" s="144"/>
      <c r="V24" s="14"/>
      <c r="Z24" s="630"/>
    </row>
    <row r="25" spans="1:32" ht="15.75" x14ac:dyDescent="0.25">
      <c r="B25" s="235"/>
      <c r="C25" s="227"/>
      <c r="D25" s="177"/>
      <c r="E25" s="235"/>
      <c r="F25" s="235"/>
      <c r="G25" s="177"/>
      <c r="H25" s="52"/>
      <c r="I25" s="73"/>
      <c r="J25" s="94"/>
      <c r="K25" s="73"/>
      <c r="L25" s="144"/>
      <c r="R25" s="1885" t="s">
        <v>434</v>
      </c>
      <c r="S25" s="1850"/>
      <c r="T25" s="1850"/>
      <c r="U25" s="1850"/>
      <c r="V25" s="553"/>
      <c r="Z25" s="96" t="s">
        <v>252</v>
      </c>
      <c r="AA25" s="97">
        <v>1</v>
      </c>
      <c r="AB25" s="96" t="s">
        <v>249</v>
      </c>
      <c r="AC25" s="98">
        <f>(AF30*(4/3)*AA25)+(AA30*(AB28/R1))</f>
        <v>2.0361064744694964E-2</v>
      </c>
      <c r="AD25" s="14"/>
    </row>
    <row r="26" spans="1:32" x14ac:dyDescent="0.25">
      <c r="B26" s="235"/>
      <c r="C26" s="227"/>
      <c r="D26" s="177"/>
      <c r="E26" s="235"/>
      <c r="F26" s="235"/>
      <c r="G26" s="177"/>
      <c r="H26" s="52"/>
      <c r="I26" s="73"/>
      <c r="J26" s="94"/>
      <c r="K26" s="73"/>
      <c r="L26" s="144"/>
      <c r="R26" s="1897" t="s">
        <v>253</v>
      </c>
      <c r="S26" s="1850"/>
      <c r="T26" s="1850"/>
      <c r="U26" s="1850"/>
      <c r="V26" s="553"/>
      <c r="Z26" s="14"/>
      <c r="AA26" s="14"/>
      <c r="AB26" s="14"/>
      <c r="AC26" s="14"/>
      <c r="AD26" s="14"/>
    </row>
    <row r="27" spans="1:32" ht="15.75" thickBot="1" x14ac:dyDescent="0.3">
      <c r="I27" s="73"/>
      <c r="J27" s="94"/>
      <c r="K27" s="73"/>
      <c r="L27" s="144"/>
      <c r="R27" s="100" t="s">
        <v>254</v>
      </c>
      <c r="S27" s="101" t="s">
        <v>435</v>
      </c>
      <c r="T27" s="101" t="s">
        <v>256</v>
      </c>
      <c r="U27" s="101" t="s">
        <v>257</v>
      </c>
      <c r="V27" s="101" t="s">
        <v>746</v>
      </c>
      <c r="W27" s="101" t="s">
        <v>753</v>
      </c>
      <c r="Z27" s="96" t="s">
        <v>258</v>
      </c>
      <c r="AA27" s="580" t="s">
        <v>311</v>
      </c>
      <c r="AB27" s="102" t="s">
        <v>259</v>
      </c>
      <c r="AC27" s="102" t="s">
        <v>260</v>
      </c>
      <c r="AD27" s="102" t="s">
        <v>261</v>
      </c>
      <c r="AE27" s="581" t="s">
        <v>753</v>
      </c>
      <c r="AF27" s="102" t="s">
        <v>262</v>
      </c>
    </row>
    <row r="28" spans="1:32" ht="15.75" thickBot="1" x14ac:dyDescent="0.3">
      <c r="I28" s="73"/>
      <c r="J28" s="94"/>
      <c r="K28" s="73"/>
      <c r="L28" s="144"/>
      <c r="R28" s="103" t="s">
        <v>263</v>
      </c>
      <c r="S28" s="380">
        <f>U28*S40</f>
        <v>9192.3076923076933</v>
      </c>
      <c r="T28" s="380">
        <f>U28*U40</f>
        <v>2757.6923076923076</v>
      </c>
      <c r="U28" s="385">
        <f>$Z$1</f>
        <v>11950</v>
      </c>
      <c r="V28" s="104">
        <f>SUM(AP5:AP13)</f>
        <v>704.17771883289129</v>
      </c>
      <c r="W28" s="104">
        <f>SUM(H37:H38)</f>
        <v>92.02</v>
      </c>
      <c r="Z28" s="105"/>
      <c r="AA28" s="582"/>
      <c r="AB28" s="106">
        <f>AA25*$S$40</f>
        <v>0.76923076923076927</v>
      </c>
      <c r="AC28" s="106">
        <f>AA25*$U$40</f>
        <v>0.23076923076923078</v>
      </c>
      <c r="AD28" s="107">
        <f>AA25*(1/3)</f>
        <v>0.33333333333333331</v>
      </c>
      <c r="AE28" s="582"/>
      <c r="AF28" s="108">
        <f>SUM(AB28:AD28)</f>
        <v>1.3333333333333333</v>
      </c>
    </row>
    <row r="29" spans="1:32" ht="15.75" thickBot="1" x14ac:dyDescent="0.3">
      <c r="I29" s="73"/>
      <c r="J29" s="94"/>
      <c r="K29" s="73"/>
      <c r="L29" s="144"/>
      <c r="R29" s="103" t="s">
        <v>264</v>
      </c>
      <c r="S29" s="382"/>
      <c r="T29" s="104">
        <f>U28*(1/3)</f>
        <v>3983.333333333333</v>
      </c>
      <c r="U29" s="380">
        <f>T29</f>
        <v>3983.333333333333</v>
      </c>
      <c r="V29" s="104"/>
      <c r="W29" s="104"/>
      <c r="Z29" s="105"/>
      <c r="AA29" s="583"/>
      <c r="AB29" s="110">
        <f>AB28/$AF$28</f>
        <v>0.57692307692307698</v>
      </c>
      <c r="AC29" s="110">
        <f>AC28/$AF$28</f>
        <v>0.1730769230769231</v>
      </c>
      <c r="AD29" s="110">
        <f>AD28/$AF$28</f>
        <v>0.25</v>
      </c>
      <c r="AE29" s="583"/>
      <c r="AF29" s="110">
        <f>AF28/$AF$28</f>
        <v>1</v>
      </c>
    </row>
    <row r="30" spans="1:32" ht="15.75" thickBot="1" x14ac:dyDescent="0.3">
      <c r="I30" s="73"/>
      <c r="J30" s="94"/>
      <c r="K30" s="73"/>
      <c r="L30" s="144"/>
      <c r="R30" s="103" t="s">
        <v>265</v>
      </c>
      <c r="S30" s="666">
        <f>U30*S40</f>
        <v>769.23076923076928</v>
      </c>
      <c r="T30" s="666">
        <f>(U30*U40)+(U30*(1/3))</f>
        <v>564.10256410256409</v>
      </c>
      <c r="U30" s="657">
        <f>$AB$1</f>
        <v>1000</v>
      </c>
      <c r="V30" s="547"/>
      <c r="W30" s="547"/>
      <c r="Z30" s="96" t="s">
        <v>266</v>
      </c>
      <c r="AA30" s="584">
        <f>V35/(S32/R1)</f>
        <v>8.9652948717948726E-4</v>
      </c>
      <c r="AB30" s="111">
        <f>S35/(S32)</f>
        <v>2.0463253221873912E-2</v>
      </c>
      <c r="AC30" s="112">
        <f>T35/T32</f>
        <v>5.9870382248137346E-3</v>
      </c>
      <c r="AD30" s="112">
        <f>T35/T32</f>
        <v>5.9870382248137346E-3</v>
      </c>
      <c r="AE30" s="585">
        <f>W35/U32</f>
        <v>4.0324472824472828E-5</v>
      </c>
      <c r="AF30" s="587">
        <f>SUMPRODUCT(AB30:AD30,AB29:AD29)+AE30</f>
        <v>1.4379025195942158E-2</v>
      </c>
    </row>
    <row r="31" spans="1:32" ht="15.75" thickBot="1" x14ac:dyDescent="0.3">
      <c r="I31" s="73"/>
      <c r="J31" s="94"/>
      <c r="K31" s="73"/>
      <c r="L31" s="144"/>
      <c r="R31" s="103" t="s">
        <v>267</v>
      </c>
      <c r="S31" s="109"/>
      <c r="T31" s="104"/>
      <c r="U31" s="104"/>
      <c r="V31" s="104"/>
      <c r="W31" s="104"/>
    </row>
    <row r="32" spans="1:32" ht="15.75" thickBot="1" x14ac:dyDescent="0.3">
      <c r="I32" s="73"/>
      <c r="J32" s="94"/>
      <c r="K32" s="73"/>
      <c r="L32" s="144"/>
      <c r="R32" s="114" t="s">
        <v>257</v>
      </c>
      <c r="S32" s="104">
        <f>SUM(S28:S30)</f>
        <v>9961.5384615384628</v>
      </c>
      <c r="T32" s="104">
        <f>SUM(T28:T30)</f>
        <v>7305.1282051282051</v>
      </c>
      <c r="U32" s="104">
        <f>SUM(S32:T32)</f>
        <v>17266.666666666668</v>
      </c>
      <c r="V32" s="104">
        <f>SUM(V28:V30)</f>
        <v>704.17771883289129</v>
      </c>
      <c r="W32" s="104">
        <f>SUM(W28:W30)</f>
        <v>92.02</v>
      </c>
    </row>
    <row r="33" spans="2:23" ht="15.75" thickBot="1" x14ac:dyDescent="0.3">
      <c r="I33" s="73"/>
      <c r="J33" s="94"/>
      <c r="K33" s="73"/>
      <c r="L33" s="144"/>
      <c r="R33" s="115" t="s">
        <v>268</v>
      </c>
      <c r="S33" s="109"/>
      <c r="T33" s="109">
        <f>F79+F98</f>
        <v>0</v>
      </c>
      <c r="U33" s="109"/>
      <c r="V33" s="109"/>
      <c r="W33" s="109"/>
    </row>
    <row r="34" spans="2:23" ht="15.75" thickBot="1" x14ac:dyDescent="0.3">
      <c r="B34" s="172"/>
      <c r="C34" s="172"/>
      <c r="D34" s="172"/>
      <c r="E34" s="172"/>
      <c r="F34" s="91"/>
      <c r="G34" s="73"/>
      <c r="H34" s="93"/>
      <c r="I34" s="73"/>
      <c r="J34" s="94"/>
      <c r="K34" s="73"/>
      <c r="L34" s="144"/>
      <c r="R34" s="116" t="s">
        <v>269</v>
      </c>
      <c r="S34" s="109"/>
      <c r="T34" s="104"/>
      <c r="U34" s="109"/>
      <c r="V34" s="109"/>
      <c r="W34" s="109"/>
    </row>
    <row r="35" spans="2:23" ht="16.5" thickBot="1" x14ac:dyDescent="0.3">
      <c r="B35" s="1877" t="s">
        <v>654</v>
      </c>
      <c r="C35" s="1877"/>
      <c r="D35" s="1877"/>
      <c r="E35" s="1877"/>
      <c r="F35" s="1877"/>
      <c r="G35" s="439"/>
      <c r="H35" s="440"/>
      <c r="I35" s="444"/>
      <c r="J35" s="444"/>
      <c r="K35" s="444"/>
      <c r="L35" s="444"/>
      <c r="R35" s="117" t="s">
        <v>249</v>
      </c>
      <c r="S35" s="548">
        <f>$L$5</f>
        <v>203.84548401789786</v>
      </c>
      <c r="T35" s="635">
        <f>SUM(L6:L17)</f>
        <v>43.73608180126751</v>
      </c>
      <c r="U35" s="548">
        <f>S35+T35+V35+W35</f>
        <v>263.67578844379983</v>
      </c>
      <c r="V35" s="548">
        <f>SUM(AT6:AT14)</f>
        <v>15.397953393865201</v>
      </c>
      <c r="W35" s="595">
        <f>SUM(L37:L38)</f>
        <v>0.69626923076923086</v>
      </c>
    </row>
    <row r="36" spans="2:23" ht="47.25" x14ac:dyDescent="0.25">
      <c r="B36" s="1004" t="s">
        <v>241</v>
      </c>
      <c r="C36" s="1004" t="s">
        <v>316</v>
      </c>
      <c r="D36" s="1002" t="s">
        <v>610</v>
      </c>
      <c r="E36" s="1003" t="s">
        <v>611</v>
      </c>
      <c r="F36" s="1002" t="s">
        <v>612</v>
      </c>
      <c r="G36" s="441"/>
      <c r="H36" s="427" t="s">
        <v>612</v>
      </c>
      <c r="I36" s="427" t="s">
        <v>246</v>
      </c>
      <c r="J36" s="427" t="s">
        <v>247</v>
      </c>
      <c r="K36" s="427" t="s">
        <v>248</v>
      </c>
      <c r="L36" s="427" t="s">
        <v>249</v>
      </c>
    </row>
    <row r="37" spans="2:23" x14ac:dyDescent="0.25">
      <c r="B37" s="1005" t="s">
        <v>666</v>
      </c>
      <c r="C37" s="1006" t="s">
        <v>14</v>
      </c>
      <c r="D37" s="1645">
        <v>7.0000000000000007E-2</v>
      </c>
      <c r="E37" s="1005">
        <f>$AD$1</f>
        <v>86</v>
      </c>
      <c r="F37" s="1005">
        <f>D37*E37</f>
        <v>6.0200000000000005</v>
      </c>
      <c r="G37" s="435"/>
      <c r="H37" s="425">
        <f>F37</f>
        <v>6.0200000000000005</v>
      </c>
      <c r="I37" s="425">
        <f>VLOOKUP(B37,All_Ingredients!$A$1:$F$161,6,FALSE())</f>
        <v>0.65</v>
      </c>
      <c r="J37" s="425">
        <f>VLOOKUP(B37,All_Ingredients!$A$1:$J$161,10,FALSE())</f>
        <v>45</v>
      </c>
      <c r="K37" s="425">
        <f>(H37/I37)/1000</f>
        <v>9.2615384615384617E-3</v>
      </c>
      <c r="L37" s="425">
        <f>K37*J37</f>
        <v>0.41676923076923078</v>
      </c>
    </row>
    <row r="38" spans="2:23" x14ac:dyDescent="0.25">
      <c r="B38" s="1005" t="s">
        <v>19</v>
      </c>
      <c r="C38" s="1006" t="s">
        <v>14</v>
      </c>
      <c r="D38" s="1645">
        <v>1</v>
      </c>
      <c r="E38" s="1005">
        <f>$AD$1</f>
        <v>86</v>
      </c>
      <c r="F38" s="1005">
        <f>D38*E38</f>
        <v>86</v>
      </c>
      <c r="H38" s="425">
        <f>F38</f>
        <v>86</v>
      </c>
      <c r="I38" s="425">
        <f>VLOOKUP(B38,All_Ingredients!$A$1:$F$161,6,FALSE())</f>
        <v>0.8</v>
      </c>
      <c r="J38" s="425">
        <f>VLOOKUP(B38,All_Ingredients!$A$1:$J$161,10,FALSE())</f>
        <v>2.6</v>
      </c>
      <c r="K38" s="425">
        <f>(H38/I38)/1000</f>
        <v>0.1075</v>
      </c>
      <c r="L38" s="425">
        <f>K38*J38</f>
        <v>0.27950000000000003</v>
      </c>
    </row>
    <row r="39" spans="2:23" x14ac:dyDescent="0.25">
      <c r="B39" s="172"/>
      <c r="C39" s="172"/>
      <c r="D39" s="172"/>
      <c r="E39" s="172"/>
      <c r="F39" s="91"/>
      <c r="G39" s="73"/>
      <c r="H39" s="93"/>
      <c r="I39" s="73"/>
      <c r="J39" s="94"/>
      <c r="K39" s="73"/>
      <c r="L39" s="144"/>
    </row>
    <row r="40" spans="2:23" ht="51.75" x14ac:dyDescent="0.25">
      <c r="B40" s="172"/>
      <c r="C40" s="172"/>
      <c r="D40" s="172"/>
      <c r="E40" s="172"/>
      <c r="F40" s="91"/>
      <c r="G40" s="73"/>
      <c r="H40" s="93"/>
      <c r="I40" s="73"/>
      <c r="J40" s="94"/>
      <c r="K40" s="73"/>
      <c r="L40" s="144"/>
      <c r="Q40" s="14"/>
      <c r="R40" s="119" t="s">
        <v>270</v>
      </c>
      <c r="S40" s="292">
        <v>0.76923076923076927</v>
      </c>
      <c r="T40" s="119" t="s">
        <v>271</v>
      </c>
      <c r="U40" s="292">
        <v>0.23076923076923078</v>
      </c>
      <c r="V40" s="122">
        <f>S40+U40</f>
        <v>1</v>
      </c>
      <c r="W40" s="14"/>
    </row>
    <row r="41" spans="2:23" x14ac:dyDescent="0.25">
      <c r="B41" s="172"/>
      <c r="C41" s="172"/>
      <c r="D41" s="172"/>
      <c r="E41" s="172"/>
      <c r="F41" s="91"/>
      <c r="G41" s="73"/>
      <c r="H41" s="93"/>
      <c r="I41" s="73"/>
      <c r="J41" s="94"/>
      <c r="K41" s="73"/>
      <c r="L41" s="144"/>
      <c r="Q41" s="14"/>
      <c r="R41" s="14"/>
      <c r="S41" s="14"/>
      <c r="T41" s="14"/>
      <c r="U41" s="123"/>
      <c r="V41" s="14"/>
      <c r="W41" s="14"/>
    </row>
    <row r="42" spans="2:23" x14ac:dyDescent="0.25">
      <c r="B42" s="172"/>
      <c r="C42" s="172"/>
      <c r="D42" s="172"/>
      <c r="E42" s="172"/>
      <c r="F42" s="91"/>
      <c r="G42" s="73"/>
      <c r="H42" s="93"/>
      <c r="I42" s="73"/>
      <c r="J42" s="94"/>
      <c r="K42" s="73"/>
      <c r="L42" s="144"/>
      <c r="Q42" s="14"/>
      <c r="R42" s="14"/>
      <c r="S42" s="14"/>
      <c r="T42" s="14"/>
      <c r="U42" s="14"/>
      <c r="V42" s="14"/>
      <c r="W42" s="14"/>
    </row>
    <row r="43" spans="2:23" ht="15.75" thickBot="1" x14ac:dyDescent="0.3">
      <c r="B43" s="1"/>
      <c r="C43" s="89"/>
      <c r="D43" s="172"/>
      <c r="E43" s="172"/>
      <c r="F43" s="91"/>
      <c r="G43" s="73"/>
      <c r="H43" s="93"/>
      <c r="I43" s="73"/>
      <c r="J43" s="94"/>
      <c r="K43" s="73"/>
      <c r="L43" s="144"/>
      <c r="Q43" s="124" t="s">
        <v>272</v>
      </c>
      <c r="R43" s="124" t="s">
        <v>273</v>
      </c>
      <c r="S43" s="124" t="s">
        <v>274</v>
      </c>
      <c r="T43" s="124" t="s">
        <v>275</v>
      </c>
      <c r="U43" s="124" t="s">
        <v>276</v>
      </c>
      <c r="V43" s="124" t="s">
        <v>277</v>
      </c>
      <c r="W43" s="174" t="s">
        <v>278</v>
      </c>
    </row>
    <row r="44" spans="2:23" ht="15.75" thickBot="1" x14ac:dyDescent="0.3">
      <c r="B44" s="1"/>
      <c r="E44" s="80"/>
      <c r="F44" s="80"/>
      <c r="L44" s="144"/>
      <c r="Q44" s="663">
        <v>17728</v>
      </c>
      <c r="R44" s="127">
        <f>D51</f>
        <v>10000</v>
      </c>
      <c r="S44" s="267">
        <v>0.40909090909090912</v>
      </c>
      <c r="T44" s="267">
        <v>0.59090909090909094</v>
      </c>
      <c r="U44" s="165">
        <f>R44*S44</f>
        <v>4090.909090909091</v>
      </c>
      <c r="V44" s="129">
        <f>R44*T44</f>
        <v>5909.090909090909</v>
      </c>
      <c r="W44" s="175">
        <f>Q44-U44</f>
        <v>13637.090909090908</v>
      </c>
    </row>
    <row r="50" spans="1:12" x14ac:dyDescent="0.25">
      <c r="B50" s="181"/>
      <c r="C50" s="100" t="s">
        <v>233</v>
      </c>
      <c r="D50" s="100" t="s">
        <v>279</v>
      </c>
      <c r="E50" s="131"/>
      <c r="F50" s="80"/>
      <c r="G50" s="100" t="s">
        <v>280</v>
      </c>
      <c r="H50" s="100" t="s">
        <v>233</v>
      </c>
      <c r="I50" s="100" t="s">
        <v>281</v>
      </c>
      <c r="J50" s="100" t="s">
        <v>282</v>
      </c>
      <c r="L50" s="144"/>
    </row>
    <row r="51" spans="1:12" x14ac:dyDescent="0.25">
      <c r="B51" s="844" t="s">
        <v>283</v>
      </c>
      <c r="C51" s="133">
        <f>10/$K$1</f>
        <v>10.204081632653061</v>
      </c>
      <c r="D51" s="134">
        <f>$C$1*10</f>
        <v>10000</v>
      </c>
      <c r="E51" s="135"/>
      <c r="F51" s="80"/>
      <c r="G51" s="132" t="s">
        <v>283</v>
      </c>
      <c r="H51" s="182">
        <f>I51/$D$5</f>
        <v>10</v>
      </c>
      <c r="I51" s="133">
        <f>J51/$R$1</f>
        <v>23512.225705329154</v>
      </c>
      <c r="J51" s="133">
        <f>$W$44</f>
        <v>13637.090909090908</v>
      </c>
    </row>
    <row r="52" spans="1:12" x14ac:dyDescent="0.25">
      <c r="B52" s="846" t="s">
        <v>262</v>
      </c>
      <c r="C52" s="156">
        <f>$I$1</f>
        <v>7.4542124542124535</v>
      </c>
      <c r="D52" s="157">
        <f>$E$1</f>
        <v>7305.1282051282051</v>
      </c>
      <c r="E52" s="80"/>
      <c r="F52" s="80"/>
      <c r="G52" s="103" t="s">
        <v>262</v>
      </c>
      <c r="H52" s="145">
        <f>I52/$D$5</f>
        <v>7.3047386190685222</v>
      </c>
      <c r="I52" s="129">
        <f>J52/$R$1</f>
        <v>17175.066312997351</v>
      </c>
      <c r="J52" s="136">
        <f>$S$32</f>
        <v>9961.5384615384628</v>
      </c>
    </row>
    <row r="53" spans="1:12" x14ac:dyDescent="0.25">
      <c r="B53" s="846" t="s">
        <v>284</v>
      </c>
      <c r="C53" s="158">
        <f>MIN(C52, C51)</f>
        <v>7.4542124542124535</v>
      </c>
      <c r="D53" s="157">
        <f>(C53*$K$1)*$C$1</f>
        <v>7305.1282051282051</v>
      </c>
      <c r="E53" s="80"/>
      <c r="F53" s="80"/>
      <c r="G53" s="103" t="s">
        <v>284</v>
      </c>
      <c r="H53" s="139">
        <f>MIN(H52,H51)</f>
        <v>7.3047386190685222</v>
      </c>
      <c r="I53" s="129">
        <f>J53/$R$1</f>
        <v>17175.066312997351</v>
      </c>
      <c r="J53" s="129">
        <f>MIN(J52,J51)</f>
        <v>9961.5384615384628</v>
      </c>
    </row>
    <row r="54" spans="1:12" x14ac:dyDescent="0.25">
      <c r="B54" s="846" t="s">
        <v>285</v>
      </c>
      <c r="C54" s="158">
        <f>MIN(MAX(C52-C53,0),C51)</f>
        <v>0</v>
      </c>
      <c r="D54" s="157">
        <f>(C54*$K$1)*$C$1</f>
        <v>0</v>
      </c>
      <c r="E54" s="80"/>
      <c r="F54" s="80"/>
      <c r="G54" s="103" t="s">
        <v>285</v>
      </c>
      <c r="H54" s="139">
        <f>MIN(MAX(H52-H53),H51)</f>
        <v>0</v>
      </c>
      <c r="I54" s="129">
        <f>J54/$R$1</f>
        <v>0</v>
      </c>
      <c r="J54" s="129">
        <f>MIN(MAX(J52-J53),J51)</f>
        <v>0</v>
      </c>
    </row>
    <row r="55" spans="1:12" x14ac:dyDescent="0.25">
      <c r="B55" s="846" t="s">
        <v>286</v>
      </c>
      <c r="C55" s="158">
        <f>MIN(MAX(C52-C53-C54,0),C51)</f>
        <v>0</v>
      </c>
      <c r="D55" s="157">
        <f>(C55*$K$1)*$C$1</f>
        <v>0</v>
      </c>
      <c r="E55" s="80"/>
      <c r="F55" s="80"/>
      <c r="G55" s="100" t="s">
        <v>286</v>
      </c>
      <c r="H55" s="139">
        <f>MIN(MAX(H52-H53-H54),H51)</f>
        <v>0</v>
      </c>
      <c r="I55" s="129">
        <f>J55/$R$1</f>
        <v>0</v>
      </c>
      <c r="J55" s="129">
        <f>MIN(MAX(J52-J53-J54),J51)</f>
        <v>0</v>
      </c>
    </row>
    <row r="56" spans="1:12" x14ac:dyDescent="0.25">
      <c r="B56" s="131"/>
      <c r="C56" s="131"/>
      <c r="D56" s="131"/>
      <c r="E56" s="131"/>
      <c r="F56" s="80"/>
    </row>
    <row r="57" spans="1:12" x14ac:dyDescent="0.25">
      <c r="B57" s="131"/>
      <c r="C57" s="131"/>
      <c r="D57" s="131"/>
      <c r="E57" s="131"/>
      <c r="F57" s="80"/>
    </row>
    <row r="58" spans="1:12" x14ac:dyDescent="0.25">
      <c r="B58" s="131"/>
      <c r="C58" s="131"/>
      <c r="D58" s="131"/>
      <c r="E58" s="131"/>
      <c r="F58" s="80"/>
    </row>
    <row r="59" spans="1:12" x14ac:dyDescent="0.25">
      <c r="B59" s="80"/>
      <c r="E59" s="80"/>
      <c r="F59" s="80"/>
    </row>
    <row r="60" spans="1:12" x14ac:dyDescent="0.25">
      <c r="B60" s="80"/>
      <c r="E60" s="80"/>
      <c r="F60" s="80"/>
    </row>
    <row r="61" spans="1:12" x14ac:dyDescent="0.25">
      <c r="B61" s="80"/>
      <c r="E61" s="80"/>
      <c r="F61" s="80"/>
    </row>
    <row r="62" spans="1:12" x14ac:dyDescent="0.25">
      <c r="A62" s="868"/>
      <c r="B62" s="1871" t="str">
        <f>"كباب هندى   1 / " &amp; COUNTIF(C$53:C$55, "&gt;0")</f>
        <v>كباب هندى   1 / 1</v>
      </c>
      <c r="C62" s="1880"/>
      <c r="D62" s="1880"/>
      <c r="E62" s="1880"/>
      <c r="F62" s="1880"/>
      <c r="G62" s="1880"/>
      <c r="H62" s="1880"/>
    </row>
    <row r="63" spans="1:12" x14ac:dyDescent="0.25">
      <c r="A63" s="868"/>
      <c r="B63" s="1872" t="str">
        <f>"Kebab Hindi 1 / " &amp; COUNTIF($C$53:$C$55, "&gt;0")</f>
        <v>Kebab Hindi 1 / 1</v>
      </c>
      <c r="C63" s="1883"/>
      <c r="D63" s="1883"/>
      <c r="E63" s="1883"/>
      <c r="F63" s="1883"/>
      <c r="G63" s="1883"/>
      <c r="H63" s="1883"/>
    </row>
    <row r="64" spans="1:12" ht="30" x14ac:dyDescent="0.2">
      <c r="A64" s="1350" t="s">
        <v>864</v>
      </c>
      <c r="B64" s="923" t="s">
        <v>241</v>
      </c>
      <c r="C64" s="934" t="s">
        <v>242</v>
      </c>
      <c r="D64" s="923" t="s">
        <v>231</v>
      </c>
      <c r="E64" s="935" t="s">
        <v>234</v>
      </c>
      <c r="F64" s="935" t="s">
        <v>243</v>
      </c>
      <c r="G64" s="923" t="s">
        <v>244</v>
      </c>
      <c r="H64" s="936" t="s">
        <v>245</v>
      </c>
    </row>
    <row r="65" spans="1:8" ht="30" x14ac:dyDescent="0.2">
      <c r="A65" s="876" t="s">
        <v>891</v>
      </c>
      <c r="B65" s="1252" t="str">
        <f t="shared" ref="B65:D77" si="14">B5</f>
        <v>Indian Meat Tammam Mafroom - مفروم هندى</v>
      </c>
      <c r="C65" s="1252" t="str">
        <f t="shared" si="14"/>
        <v>gm</v>
      </c>
      <c r="D65" s="1639">
        <f t="shared" si="14"/>
        <v>2351.2225705329156</v>
      </c>
      <c r="E65" s="1621">
        <f>H53</f>
        <v>7.3047386190685222</v>
      </c>
      <c r="F65" s="1616">
        <f t="shared" ref="F65:F77" si="15">F5</f>
        <v>1</v>
      </c>
      <c r="G65" s="940">
        <f t="shared" ref="G65:G77" si="16">D65*E65</f>
        <v>17175.066312997351</v>
      </c>
      <c r="H65" s="1617">
        <f t="shared" ref="H65:H77" si="17">G65*F65</f>
        <v>17175.066312997351</v>
      </c>
    </row>
    <row r="66" spans="1:8" x14ac:dyDescent="0.25">
      <c r="A66" s="1" t="s">
        <v>881</v>
      </c>
      <c r="B66" s="1252" t="str">
        <f t="shared" si="14"/>
        <v>Onion - بصل</v>
      </c>
      <c r="C66" s="1252" t="str">
        <f t="shared" si="14"/>
        <v>gm</v>
      </c>
      <c r="D66" s="1252">
        <f t="shared" si="14"/>
        <v>200</v>
      </c>
      <c r="E66" s="1621">
        <f t="shared" ref="E66:E77" si="18">$C$53</f>
        <v>7.4542124542124535</v>
      </c>
      <c r="F66" s="1616">
        <f t="shared" si="15"/>
        <v>1</v>
      </c>
      <c r="G66" s="940">
        <f t="shared" si="16"/>
        <v>1490.8424908424906</v>
      </c>
      <c r="H66" s="1617">
        <f t="shared" si="17"/>
        <v>1490.8424908424906</v>
      </c>
    </row>
    <row r="67" spans="1:8" x14ac:dyDescent="0.25">
      <c r="A67" s="1" t="s">
        <v>870</v>
      </c>
      <c r="B67" s="1252" t="str">
        <f t="shared" si="14"/>
        <v>Tomato - طماطم</v>
      </c>
      <c r="C67" s="1252" t="str">
        <f t="shared" si="14"/>
        <v>gm</v>
      </c>
      <c r="D67" s="1252">
        <f t="shared" si="14"/>
        <v>300</v>
      </c>
      <c r="E67" s="1621">
        <f>$C$53</f>
        <v>7.4542124542124535</v>
      </c>
      <c r="F67" s="1616">
        <f t="shared" si="15"/>
        <v>1</v>
      </c>
      <c r="G67" s="940">
        <f t="shared" si="16"/>
        <v>2236.2637362637361</v>
      </c>
      <c r="H67" s="1617">
        <f t="shared" si="17"/>
        <v>2236.2637362637361</v>
      </c>
    </row>
    <row r="68" spans="1:8" x14ac:dyDescent="0.25">
      <c r="A68" s="1" t="s">
        <v>868</v>
      </c>
      <c r="B68" s="1252" t="str">
        <f t="shared" si="14"/>
        <v>Garlic - ثوم مقشر</v>
      </c>
      <c r="C68" s="1252" t="str">
        <f t="shared" si="14"/>
        <v>gm</v>
      </c>
      <c r="D68" s="1252">
        <f t="shared" si="14"/>
        <v>40</v>
      </c>
      <c r="E68" s="1621">
        <f t="shared" si="18"/>
        <v>7.4542124542124535</v>
      </c>
      <c r="F68" s="1616">
        <f t="shared" si="15"/>
        <v>1</v>
      </c>
      <c r="G68" s="940">
        <f t="shared" si="16"/>
        <v>298.16849816849816</v>
      </c>
      <c r="H68" s="1617">
        <f t="shared" si="17"/>
        <v>298.16849816849816</v>
      </c>
    </row>
    <row r="69" spans="1:8" x14ac:dyDescent="0.25">
      <c r="B69" s="1252" t="str">
        <f t="shared" si="14"/>
        <v>Black Pepper Powder - فلفل أسود مطحون</v>
      </c>
      <c r="C69" s="1252" t="str">
        <f t="shared" si="14"/>
        <v>gm</v>
      </c>
      <c r="D69" s="1252">
        <f t="shared" si="14"/>
        <v>3</v>
      </c>
      <c r="E69" s="1621">
        <f t="shared" si="18"/>
        <v>7.4542124542124535</v>
      </c>
      <c r="F69" s="1616">
        <f t="shared" si="15"/>
        <v>1</v>
      </c>
      <c r="G69" s="940">
        <f t="shared" si="16"/>
        <v>22.362637362637361</v>
      </c>
      <c r="H69" s="1617">
        <f t="shared" si="17"/>
        <v>22.362637362637361</v>
      </c>
    </row>
    <row r="70" spans="1:8" x14ac:dyDescent="0.25">
      <c r="B70" s="1252" t="str">
        <f t="shared" si="14"/>
        <v>Cumin Powder - كمون مطحون</v>
      </c>
      <c r="C70" s="1252" t="str">
        <f t="shared" si="14"/>
        <v>gm</v>
      </c>
      <c r="D70" s="1252">
        <f t="shared" si="14"/>
        <v>4</v>
      </c>
      <c r="E70" s="1621">
        <f t="shared" si="18"/>
        <v>7.4542124542124535</v>
      </c>
      <c r="F70" s="1616">
        <f t="shared" si="15"/>
        <v>1</v>
      </c>
      <c r="G70" s="940">
        <f t="shared" si="16"/>
        <v>29.816849816849814</v>
      </c>
      <c r="H70" s="1617">
        <f t="shared" si="17"/>
        <v>29.816849816849814</v>
      </c>
    </row>
    <row r="71" spans="1:8" x14ac:dyDescent="0.25">
      <c r="B71" s="1252" t="str">
        <f t="shared" si="14"/>
        <v>Coriander Powder - كزبرة مطحونة</v>
      </c>
      <c r="C71" s="1252" t="str">
        <f t="shared" si="14"/>
        <v>gm</v>
      </c>
      <c r="D71" s="1252">
        <f t="shared" si="14"/>
        <v>6</v>
      </c>
      <c r="E71" s="1621">
        <f t="shared" si="18"/>
        <v>7.4542124542124535</v>
      </c>
      <c r="F71" s="1616">
        <f t="shared" si="15"/>
        <v>1</v>
      </c>
      <c r="G71" s="940">
        <f t="shared" si="16"/>
        <v>44.725274725274723</v>
      </c>
      <c r="H71" s="1617">
        <f t="shared" si="17"/>
        <v>44.725274725274723</v>
      </c>
    </row>
    <row r="72" spans="1:8" x14ac:dyDescent="0.25">
      <c r="B72" s="1252" t="str">
        <f t="shared" si="14"/>
        <v>Cinnamon Powder - قرفة مطحونة</v>
      </c>
      <c r="C72" s="1252" t="str">
        <f t="shared" si="14"/>
        <v>gm</v>
      </c>
      <c r="D72" s="1252">
        <f t="shared" si="14"/>
        <v>5</v>
      </c>
      <c r="E72" s="1621">
        <f t="shared" si="18"/>
        <v>7.4542124542124535</v>
      </c>
      <c r="F72" s="1616">
        <f t="shared" si="15"/>
        <v>0.9</v>
      </c>
      <c r="G72" s="940">
        <f t="shared" si="16"/>
        <v>37.27106227106227</v>
      </c>
      <c r="H72" s="1617">
        <f t="shared" si="17"/>
        <v>33.543956043956044</v>
      </c>
    </row>
    <row r="73" spans="1:8" x14ac:dyDescent="0.25">
      <c r="B73" s="1252" t="str">
        <f t="shared" si="14"/>
        <v>Salt - ملح</v>
      </c>
      <c r="C73" s="1252" t="str">
        <f t="shared" si="14"/>
        <v>gm</v>
      </c>
      <c r="D73" s="1252">
        <f t="shared" si="14"/>
        <v>11</v>
      </c>
      <c r="E73" s="1621">
        <f t="shared" si="18"/>
        <v>7.4542124542124535</v>
      </c>
      <c r="F73" s="1616">
        <f t="shared" si="15"/>
        <v>0.75</v>
      </c>
      <c r="G73" s="940">
        <f t="shared" si="16"/>
        <v>81.996336996336993</v>
      </c>
      <c r="H73" s="1617">
        <f t="shared" si="17"/>
        <v>61.497252747252745</v>
      </c>
    </row>
    <row r="74" spans="1:8" x14ac:dyDescent="0.25">
      <c r="B74" s="1252" t="str">
        <f t="shared" si="14"/>
        <v>Tomato Paste - صلصة طماطم</v>
      </c>
      <c r="C74" s="1252" t="str">
        <f t="shared" si="14"/>
        <v>gm</v>
      </c>
      <c r="D74" s="1252">
        <f t="shared" si="14"/>
        <v>300</v>
      </c>
      <c r="E74" s="1621">
        <f t="shared" si="18"/>
        <v>7.4542124542124535</v>
      </c>
      <c r="F74" s="1616">
        <f t="shared" si="15"/>
        <v>1</v>
      </c>
      <c r="G74" s="940">
        <f t="shared" si="16"/>
        <v>2236.2637362637361</v>
      </c>
      <c r="H74" s="1617">
        <f t="shared" si="17"/>
        <v>2236.2637362637361</v>
      </c>
    </row>
    <row r="75" spans="1:8" x14ac:dyDescent="0.25">
      <c r="B75" s="1252" t="str">
        <f t="shared" si="14"/>
        <v>Corn Starch - نشا ذرة</v>
      </c>
      <c r="C75" s="1252" t="str">
        <f t="shared" si="14"/>
        <v>gm</v>
      </c>
      <c r="D75" s="1252">
        <f t="shared" si="14"/>
        <v>50</v>
      </c>
      <c r="E75" s="1621">
        <f t="shared" si="18"/>
        <v>7.4542124542124535</v>
      </c>
      <c r="F75" s="1616">
        <f t="shared" si="15"/>
        <v>1</v>
      </c>
      <c r="G75" s="940">
        <f t="shared" si="16"/>
        <v>372.71062271062266</v>
      </c>
      <c r="H75" s="1617">
        <f t="shared" si="17"/>
        <v>372.71062271062266</v>
      </c>
    </row>
    <row r="76" spans="1:8" x14ac:dyDescent="0.25">
      <c r="B76" s="1252" t="str">
        <f t="shared" si="14"/>
        <v>Butter - زبدة</v>
      </c>
      <c r="C76" s="1252" t="str">
        <f t="shared" si="14"/>
        <v>gm</v>
      </c>
      <c r="D76" s="1252">
        <f t="shared" si="14"/>
        <v>25</v>
      </c>
      <c r="E76" s="1621">
        <f t="shared" si="18"/>
        <v>7.4542124542124535</v>
      </c>
      <c r="F76" s="1616">
        <f t="shared" si="15"/>
        <v>1</v>
      </c>
      <c r="G76" s="940">
        <f t="shared" si="16"/>
        <v>186.35531135531133</v>
      </c>
      <c r="H76" s="1617">
        <f t="shared" si="17"/>
        <v>186.35531135531133</v>
      </c>
    </row>
    <row r="77" spans="1:8" x14ac:dyDescent="0.25">
      <c r="B77" s="1252" t="str">
        <f t="shared" si="14"/>
        <v>Maggi Cubes - مكعبات ماجي</v>
      </c>
      <c r="C77" s="1252" t="str">
        <f t="shared" si="14"/>
        <v>gm</v>
      </c>
      <c r="D77" s="1252">
        <f t="shared" si="14"/>
        <v>10</v>
      </c>
      <c r="E77" s="1621">
        <f t="shared" si="18"/>
        <v>7.4542124542124535</v>
      </c>
      <c r="F77" s="1616">
        <f t="shared" si="15"/>
        <v>0.75</v>
      </c>
      <c r="G77" s="940">
        <f t="shared" si="16"/>
        <v>74.54212454212454</v>
      </c>
      <c r="H77" s="1617">
        <f t="shared" si="17"/>
        <v>55.906593406593402</v>
      </c>
    </row>
    <row r="78" spans="1:8" ht="18" x14ac:dyDescent="0.25">
      <c r="A78" s="861"/>
      <c r="B78" s="1622" t="s">
        <v>287</v>
      </c>
      <c r="C78" s="1042" t="s">
        <v>273</v>
      </c>
      <c r="D78" s="952"/>
      <c r="E78" s="1042" t="s">
        <v>288</v>
      </c>
      <c r="F78" s="952"/>
      <c r="G78" s="1045" t="s">
        <v>264</v>
      </c>
      <c r="H78" s="1045" t="s">
        <v>661</v>
      </c>
    </row>
    <row r="79" spans="1:8" ht="20.25" x14ac:dyDescent="0.3">
      <c r="A79" s="861"/>
      <c r="B79" s="1048">
        <f>$J$53</f>
        <v>9961.5384615384628</v>
      </c>
      <c r="C79" s="1048">
        <f>E79+G79</f>
        <v>7305.1282051282051</v>
      </c>
      <c r="D79" s="1629"/>
      <c r="E79" s="1048">
        <f>$D$53*$S$44</f>
        <v>2988.4615384615386</v>
      </c>
      <c r="F79" s="1050"/>
      <c r="G79" s="1048">
        <f>$D$53*$T$44</f>
        <v>4316.666666666667</v>
      </c>
      <c r="H79" s="1048">
        <f>B79+E79</f>
        <v>12950.000000000002</v>
      </c>
    </row>
    <row r="80" spans="1:8" x14ac:dyDescent="0.25">
      <c r="B80" s="1208"/>
      <c r="C80" s="959"/>
      <c r="D80" s="959"/>
      <c r="E80" s="1208"/>
      <c r="F80" s="1208"/>
      <c r="G80" s="959"/>
      <c r="H80" s="959"/>
    </row>
    <row r="81" spans="1:8" x14ac:dyDescent="0.25">
      <c r="A81" s="868"/>
      <c r="B81" s="1776" t="str">
        <f>"كباب هندى   2 / " &amp; COUNTIF(C$53:C$55, "&gt;0")</f>
        <v>كباب هندى   2 / 1</v>
      </c>
      <c r="C81" s="1777"/>
      <c r="D81" s="1777"/>
      <c r="E81" s="1777"/>
      <c r="F81" s="1777"/>
      <c r="G81" s="1777"/>
      <c r="H81" s="1777"/>
    </row>
    <row r="82" spans="1:8" x14ac:dyDescent="0.25">
      <c r="A82" s="868"/>
      <c r="B82" s="1842" t="str">
        <f>"Kebab Hindi 2 / " &amp; COUNTIF($C$53:$C$55, "&gt;0")</f>
        <v>Kebab Hindi 2 / 1</v>
      </c>
      <c r="C82" s="1843"/>
      <c r="D82" s="1843"/>
      <c r="E82" s="1843"/>
      <c r="F82" s="1843"/>
      <c r="G82" s="1843"/>
      <c r="H82" s="1843"/>
    </row>
    <row r="83" spans="1:8" ht="30" x14ac:dyDescent="0.2">
      <c r="A83" s="1350" t="s">
        <v>864</v>
      </c>
      <c r="B83" s="923" t="s">
        <v>241</v>
      </c>
      <c r="C83" s="934" t="s">
        <v>242</v>
      </c>
      <c r="D83" s="923" t="s">
        <v>231</v>
      </c>
      <c r="E83" s="935" t="s">
        <v>234</v>
      </c>
      <c r="F83" s="935" t="s">
        <v>243</v>
      </c>
      <c r="G83" s="923" t="s">
        <v>244</v>
      </c>
      <c r="H83" s="936" t="s">
        <v>245</v>
      </c>
    </row>
    <row r="84" spans="1:8" ht="30" x14ac:dyDescent="0.2">
      <c r="A84" s="876" t="s">
        <v>891</v>
      </c>
      <c r="B84" s="947" t="str">
        <f t="shared" ref="B84:D96" si="19">B5</f>
        <v>Indian Meat Tammam Mafroom - مفروم هندى</v>
      </c>
      <c r="C84" s="947" t="str">
        <f t="shared" si="19"/>
        <v>gm</v>
      </c>
      <c r="D84" s="1617">
        <f t="shared" si="19"/>
        <v>2351.2225705329156</v>
      </c>
      <c r="E84" s="1621">
        <f>H54</f>
        <v>0</v>
      </c>
      <c r="F84" s="1616">
        <f t="shared" ref="F84:F96" si="20">F5</f>
        <v>1</v>
      </c>
      <c r="G84" s="940">
        <f t="shared" ref="G84:G96" si="21">D84*E84</f>
        <v>0</v>
      </c>
      <c r="H84" s="1617">
        <f t="shared" ref="H84:H96" si="22">G84*F84</f>
        <v>0</v>
      </c>
    </row>
    <row r="85" spans="1:8" x14ac:dyDescent="0.25">
      <c r="A85" s="1" t="s">
        <v>881</v>
      </c>
      <c r="B85" s="947" t="str">
        <f t="shared" si="19"/>
        <v>Onion - بصل</v>
      </c>
      <c r="C85" s="947" t="str">
        <f t="shared" si="19"/>
        <v>gm</v>
      </c>
      <c r="D85" s="947">
        <f t="shared" si="19"/>
        <v>200</v>
      </c>
      <c r="E85" s="1621">
        <f>$C$54</f>
        <v>0</v>
      </c>
      <c r="F85" s="1616">
        <f t="shared" si="20"/>
        <v>1</v>
      </c>
      <c r="G85" s="940">
        <f t="shared" si="21"/>
        <v>0</v>
      </c>
      <c r="H85" s="1617">
        <f t="shared" si="22"/>
        <v>0</v>
      </c>
    </row>
    <row r="86" spans="1:8" x14ac:dyDescent="0.25">
      <c r="A86" s="1" t="s">
        <v>870</v>
      </c>
      <c r="B86" s="947" t="str">
        <f t="shared" si="19"/>
        <v>Tomato - طماطم</v>
      </c>
      <c r="C86" s="947" t="str">
        <f t="shared" si="19"/>
        <v>gm</v>
      </c>
      <c r="D86" s="947">
        <f t="shared" si="19"/>
        <v>300</v>
      </c>
      <c r="E86" s="1621">
        <f t="shared" ref="E86:E96" si="23">$C$54</f>
        <v>0</v>
      </c>
      <c r="F86" s="1616">
        <f t="shared" si="20"/>
        <v>1</v>
      </c>
      <c r="G86" s="940">
        <f t="shared" si="21"/>
        <v>0</v>
      </c>
      <c r="H86" s="1617">
        <f t="shared" si="22"/>
        <v>0</v>
      </c>
    </row>
    <row r="87" spans="1:8" x14ac:dyDescent="0.25">
      <c r="A87" s="1" t="s">
        <v>868</v>
      </c>
      <c r="B87" s="947" t="str">
        <f t="shared" si="19"/>
        <v>Garlic - ثوم مقشر</v>
      </c>
      <c r="C87" s="947" t="str">
        <f t="shared" si="19"/>
        <v>gm</v>
      </c>
      <c r="D87" s="947">
        <f t="shared" si="19"/>
        <v>40</v>
      </c>
      <c r="E87" s="1621">
        <f t="shared" si="23"/>
        <v>0</v>
      </c>
      <c r="F87" s="1616">
        <f t="shared" si="20"/>
        <v>1</v>
      </c>
      <c r="G87" s="940">
        <f t="shared" si="21"/>
        <v>0</v>
      </c>
      <c r="H87" s="1617">
        <f t="shared" si="22"/>
        <v>0</v>
      </c>
    </row>
    <row r="88" spans="1:8" x14ac:dyDescent="0.25">
      <c r="B88" s="947" t="str">
        <f t="shared" si="19"/>
        <v>Black Pepper Powder - فلفل أسود مطحون</v>
      </c>
      <c r="C88" s="947" t="str">
        <f t="shared" si="19"/>
        <v>gm</v>
      </c>
      <c r="D88" s="947">
        <f t="shared" si="19"/>
        <v>3</v>
      </c>
      <c r="E88" s="1621">
        <f t="shared" si="23"/>
        <v>0</v>
      </c>
      <c r="F88" s="1616">
        <f t="shared" si="20"/>
        <v>1</v>
      </c>
      <c r="G88" s="940">
        <f t="shared" si="21"/>
        <v>0</v>
      </c>
      <c r="H88" s="1617">
        <f t="shared" si="22"/>
        <v>0</v>
      </c>
    </row>
    <row r="89" spans="1:8" x14ac:dyDescent="0.25">
      <c r="B89" s="947" t="str">
        <f t="shared" si="19"/>
        <v>Cumin Powder - كمون مطحون</v>
      </c>
      <c r="C89" s="947" t="str">
        <f t="shared" si="19"/>
        <v>gm</v>
      </c>
      <c r="D89" s="947">
        <f t="shared" si="19"/>
        <v>4</v>
      </c>
      <c r="E89" s="1621">
        <f t="shared" si="23"/>
        <v>0</v>
      </c>
      <c r="F89" s="1616">
        <f t="shared" si="20"/>
        <v>1</v>
      </c>
      <c r="G89" s="940">
        <f t="shared" si="21"/>
        <v>0</v>
      </c>
      <c r="H89" s="1617">
        <f t="shared" si="22"/>
        <v>0</v>
      </c>
    </row>
    <row r="90" spans="1:8" x14ac:dyDescent="0.25">
      <c r="B90" s="947" t="str">
        <f t="shared" si="19"/>
        <v>Coriander Powder - كزبرة مطحونة</v>
      </c>
      <c r="C90" s="947" t="str">
        <f t="shared" si="19"/>
        <v>gm</v>
      </c>
      <c r="D90" s="947">
        <f t="shared" si="19"/>
        <v>6</v>
      </c>
      <c r="E90" s="1621">
        <f t="shared" si="23"/>
        <v>0</v>
      </c>
      <c r="F90" s="1616">
        <f t="shared" si="20"/>
        <v>1</v>
      </c>
      <c r="G90" s="940">
        <f t="shared" si="21"/>
        <v>0</v>
      </c>
      <c r="H90" s="1617">
        <f t="shared" si="22"/>
        <v>0</v>
      </c>
    </row>
    <row r="91" spans="1:8" x14ac:dyDescent="0.25">
      <c r="B91" s="947" t="str">
        <f t="shared" si="19"/>
        <v>Cinnamon Powder - قرفة مطحونة</v>
      </c>
      <c r="C91" s="947" t="str">
        <f t="shared" si="19"/>
        <v>gm</v>
      </c>
      <c r="D91" s="947">
        <f t="shared" si="19"/>
        <v>5</v>
      </c>
      <c r="E91" s="1621">
        <f t="shared" si="23"/>
        <v>0</v>
      </c>
      <c r="F91" s="1616">
        <f t="shared" si="20"/>
        <v>0.9</v>
      </c>
      <c r="G91" s="940">
        <f t="shared" si="21"/>
        <v>0</v>
      </c>
      <c r="H91" s="1617">
        <f t="shared" si="22"/>
        <v>0</v>
      </c>
    </row>
    <row r="92" spans="1:8" x14ac:dyDescent="0.25">
      <c r="B92" s="947" t="str">
        <f t="shared" si="19"/>
        <v>Salt - ملح</v>
      </c>
      <c r="C92" s="947" t="str">
        <f t="shared" si="19"/>
        <v>gm</v>
      </c>
      <c r="D92" s="947">
        <f t="shared" si="19"/>
        <v>11</v>
      </c>
      <c r="E92" s="1621">
        <f t="shared" si="23"/>
        <v>0</v>
      </c>
      <c r="F92" s="1616">
        <f t="shared" si="20"/>
        <v>0.75</v>
      </c>
      <c r="G92" s="940">
        <f t="shared" si="21"/>
        <v>0</v>
      </c>
      <c r="H92" s="1617">
        <f t="shared" si="22"/>
        <v>0</v>
      </c>
    </row>
    <row r="93" spans="1:8" x14ac:dyDescent="0.25">
      <c r="B93" s="947" t="str">
        <f t="shared" si="19"/>
        <v>Tomato Paste - صلصة طماطم</v>
      </c>
      <c r="C93" s="947" t="str">
        <f t="shared" si="19"/>
        <v>gm</v>
      </c>
      <c r="D93" s="947">
        <f t="shared" si="19"/>
        <v>300</v>
      </c>
      <c r="E93" s="1621">
        <f t="shared" si="23"/>
        <v>0</v>
      </c>
      <c r="F93" s="1616">
        <f t="shared" si="20"/>
        <v>1</v>
      </c>
      <c r="G93" s="940">
        <f t="shared" si="21"/>
        <v>0</v>
      </c>
      <c r="H93" s="1617">
        <f t="shared" si="22"/>
        <v>0</v>
      </c>
    </row>
    <row r="94" spans="1:8" x14ac:dyDescent="0.25">
      <c r="B94" s="947" t="str">
        <f t="shared" si="19"/>
        <v>Corn Starch - نشا ذرة</v>
      </c>
      <c r="C94" s="947" t="str">
        <f t="shared" si="19"/>
        <v>gm</v>
      </c>
      <c r="D94" s="947">
        <f t="shared" si="19"/>
        <v>50</v>
      </c>
      <c r="E94" s="1621">
        <f t="shared" si="23"/>
        <v>0</v>
      </c>
      <c r="F94" s="1616">
        <f t="shared" si="20"/>
        <v>1</v>
      </c>
      <c r="G94" s="940">
        <f t="shared" si="21"/>
        <v>0</v>
      </c>
      <c r="H94" s="1617">
        <f t="shared" si="22"/>
        <v>0</v>
      </c>
    </row>
    <row r="95" spans="1:8" x14ac:dyDescent="0.25">
      <c r="B95" s="947" t="str">
        <f t="shared" si="19"/>
        <v>Butter - زبدة</v>
      </c>
      <c r="C95" s="947" t="str">
        <f t="shared" si="19"/>
        <v>gm</v>
      </c>
      <c r="D95" s="947">
        <f t="shared" si="19"/>
        <v>25</v>
      </c>
      <c r="E95" s="1621">
        <f t="shared" si="23"/>
        <v>0</v>
      </c>
      <c r="F95" s="1616">
        <f t="shared" si="20"/>
        <v>1</v>
      </c>
      <c r="G95" s="940">
        <f t="shared" si="21"/>
        <v>0</v>
      </c>
      <c r="H95" s="1617">
        <f t="shared" si="22"/>
        <v>0</v>
      </c>
    </row>
    <row r="96" spans="1:8" x14ac:dyDescent="0.25">
      <c r="B96" s="947" t="str">
        <f t="shared" si="19"/>
        <v>Maggi Cubes - مكعبات ماجي</v>
      </c>
      <c r="C96" s="947" t="str">
        <f t="shared" si="19"/>
        <v>gm</v>
      </c>
      <c r="D96" s="947">
        <f t="shared" si="19"/>
        <v>10</v>
      </c>
      <c r="E96" s="1621">
        <f t="shared" si="23"/>
        <v>0</v>
      </c>
      <c r="F96" s="1616">
        <f t="shared" si="20"/>
        <v>0.75</v>
      </c>
      <c r="G96" s="940">
        <f t="shared" si="21"/>
        <v>0</v>
      </c>
      <c r="H96" s="1617">
        <f t="shared" si="22"/>
        <v>0</v>
      </c>
    </row>
    <row r="97" spans="1:8" ht="18" x14ac:dyDescent="0.25">
      <c r="A97" s="861"/>
      <c r="B97" s="1622" t="s">
        <v>287</v>
      </c>
      <c r="C97" s="1042" t="s">
        <v>273</v>
      </c>
      <c r="D97" s="952"/>
      <c r="E97" s="1042" t="s">
        <v>288</v>
      </c>
      <c r="F97" s="952"/>
      <c r="G97" s="1045" t="s">
        <v>264</v>
      </c>
      <c r="H97" s="1045" t="s">
        <v>661</v>
      </c>
    </row>
    <row r="98" spans="1:8" ht="20.25" x14ac:dyDescent="0.3">
      <c r="A98" s="861"/>
      <c r="B98" s="1048">
        <f>$J$54</f>
        <v>0</v>
      </c>
      <c r="C98" s="1693">
        <f>E98+G98</f>
        <v>0</v>
      </c>
      <c r="D98" s="1694"/>
      <c r="E98" s="1693">
        <f>$D$54*$S$44</f>
        <v>0</v>
      </c>
      <c r="F98" s="1695"/>
      <c r="G98" s="1693">
        <f>$D$54*$T$44</f>
        <v>0</v>
      </c>
      <c r="H98" s="1693">
        <f>B98+E98</f>
        <v>0</v>
      </c>
    </row>
  </sheetData>
  <mergeCells count="11">
    <mergeCell ref="B2:J3"/>
    <mergeCell ref="AE2:AG3"/>
    <mergeCell ref="B82:H82"/>
    <mergeCell ref="R26:U26"/>
    <mergeCell ref="AN2:AN3"/>
    <mergeCell ref="R25:U25"/>
    <mergeCell ref="B62:H62"/>
    <mergeCell ref="B81:H81"/>
    <mergeCell ref="B63:H63"/>
    <mergeCell ref="AK2:AM2"/>
    <mergeCell ref="B35:F35"/>
  </mergeCells>
  <printOptions horizontalCentered="1"/>
  <pageMargins left="0.4" right="0.4" top="1" bottom="0.5" header="0.3" footer="0.511811023622047"/>
  <pageSetup paperSize="9" scale="50" orientation="landscape" r:id="rId1"/>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5" tint="-0.249977111117893"/>
    <pageSetUpPr fitToPage="1"/>
  </sheetPr>
  <dimension ref="A1:AT80"/>
  <sheetViews>
    <sheetView topLeftCell="O19" zoomScale="40" zoomScaleNormal="40" workbookViewId="0">
      <selection activeCell="Q44" sqref="Q44"/>
    </sheetView>
  </sheetViews>
  <sheetFormatPr defaultColWidth="12.5" defaultRowHeight="15" x14ac:dyDescent="0.25"/>
  <cols>
    <col min="1" max="1" width="16.75" style="61" bestFit="1" customWidth="1"/>
    <col min="2" max="2" width="30" style="14" bestFit="1" customWidth="1"/>
    <col min="3" max="3" width="16.375" style="14" bestFit="1" customWidth="1"/>
    <col min="4" max="4" width="17.75" style="14" bestFit="1" customWidth="1"/>
    <col min="5" max="5" width="19" style="14" bestFit="1" customWidth="1"/>
    <col min="6" max="6" width="23.125" style="14" bestFit="1" customWidth="1"/>
    <col min="7" max="7" width="21.75" style="14" bestFit="1" customWidth="1"/>
    <col min="8" max="8" width="39" style="14" bestFit="1" customWidth="1"/>
    <col min="9" max="9" width="16.75" style="14" bestFit="1" customWidth="1"/>
    <col min="10" max="10" width="13.875" style="14" bestFit="1" customWidth="1"/>
    <col min="11" max="12" width="12.75" style="14" bestFit="1" customWidth="1"/>
    <col min="13" max="14" width="5.75" style="14" customWidth="1"/>
    <col min="15" max="15" width="16.875" style="14" bestFit="1" customWidth="1"/>
    <col min="16" max="16" width="9.75" style="14" bestFit="1" customWidth="1"/>
    <col min="17" max="17" width="14.375" style="14" bestFit="1" customWidth="1"/>
    <col min="18" max="18" width="38.375" style="14" bestFit="1" customWidth="1"/>
    <col min="19" max="19" width="14.375" style="14" bestFit="1" customWidth="1"/>
    <col min="20" max="20" width="43.75" style="14" bestFit="1" customWidth="1"/>
    <col min="21" max="21" width="11.25" style="14" bestFit="1" customWidth="1"/>
    <col min="22" max="22" width="12.125" style="14" bestFit="1" customWidth="1"/>
    <col min="23" max="23" width="37.75" style="14" bestFit="1" customWidth="1"/>
    <col min="24" max="24" width="12.5" style="14" customWidth="1"/>
    <col min="25" max="25" width="7.75" style="14" bestFit="1" customWidth="1"/>
    <col min="26" max="26" width="11.25" style="14" bestFit="1" customWidth="1"/>
    <col min="27" max="27" width="11.875" style="14" bestFit="1" customWidth="1"/>
    <col min="28" max="28" width="13.125" style="14" bestFit="1" customWidth="1"/>
    <col min="29" max="29" width="13.5" style="14" bestFit="1" customWidth="1"/>
    <col min="30" max="30" width="11.25" style="14" bestFit="1" customWidth="1"/>
    <col min="31" max="31" width="8.5" style="14" bestFit="1" customWidth="1"/>
    <col min="32" max="34" width="4.875" style="14" customWidth="1"/>
    <col min="35" max="35" width="9.25" style="14" bestFit="1" customWidth="1"/>
    <col min="36" max="36" width="28.875" style="14" bestFit="1" customWidth="1"/>
    <col min="37" max="37" width="6.5" style="14" bestFit="1" customWidth="1"/>
    <col min="38" max="38" width="15.125" style="14" bestFit="1" customWidth="1"/>
    <col min="39" max="39" width="12.625" style="14" bestFit="1" customWidth="1"/>
    <col min="40" max="40" width="11.875" style="14" bestFit="1" customWidth="1"/>
    <col min="41" max="41" width="12.5" style="14"/>
    <col min="42" max="42" width="17.75" style="14" bestFit="1" customWidth="1"/>
    <col min="43" max="43" width="12.5" style="14"/>
    <col min="44" max="44" width="11.625" style="14" bestFit="1" customWidth="1"/>
    <col min="45" max="45" width="11.125" style="14" bestFit="1" customWidth="1"/>
    <col min="46" max="46" width="6" style="14" bestFit="1" customWidth="1"/>
    <col min="47" max="16384" width="12.5" style="14"/>
  </cols>
  <sheetData>
    <row r="1" spans="1:46" ht="25.5" x14ac:dyDescent="0.25">
      <c r="B1" s="843" t="s">
        <v>231</v>
      </c>
      <c r="C1" s="63">
        <v>1000</v>
      </c>
      <c r="D1" s="64" t="s">
        <v>232</v>
      </c>
      <c r="E1" s="84">
        <f>T32</f>
        <v>3821.5384615384655</v>
      </c>
      <c r="F1" s="62" t="s">
        <v>233</v>
      </c>
      <c r="G1" s="63">
        <f>E1/C1</f>
        <v>3.8215384615384655</v>
      </c>
      <c r="H1" s="62" t="s">
        <v>234</v>
      </c>
      <c r="I1" s="167">
        <f>(G1/K1)</f>
        <v>3.8995290423861895</v>
      </c>
      <c r="J1" s="68" t="s">
        <v>235</v>
      </c>
      <c r="K1" s="63">
        <v>0.98</v>
      </c>
      <c r="L1" s="80"/>
      <c r="M1" s="70"/>
      <c r="N1" s="71"/>
      <c r="O1" s="72" t="s">
        <v>236</v>
      </c>
      <c r="P1" s="73" t="s">
        <v>237</v>
      </c>
      <c r="Q1" s="74" t="s">
        <v>238</v>
      </c>
      <c r="R1" s="73">
        <v>0.59</v>
      </c>
      <c r="Y1" s="72" t="s">
        <v>444</v>
      </c>
      <c r="Z1" s="422">
        <v>15560</v>
      </c>
      <c r="AA1" s="72" t="s">
        <v>544</v>
      </c>
      <c r="AB1" s="422">
        <v>1000</v>
      </c>
      <c r="AC1" s="72" t="s">
        <v>537</v>
      </c>
      <c r="AD1" s="422">
        <v>110</v>
      </c>
      <c r="AE1" s="168"/>
      <c r="AF1" s="170"/>
      <c r="AG1" s="73"/>
      <c r="AI1" s="61"/>
      <c r="AJ1" s="75" t="s">
        <v>250</v>
      </c>
      <c r="AK1" s="75">
        <v>10000</v>
      </c>
      <c r="AL1" s="318" t="s">
        <v>474</v>
      </c>
      <c r="AM1" s="319">
        <f>$S$32</f>
        <v>12738.461538461535</v>
      </c>
      <c r="AN1" s="75" t="s">
        <v>239</v>
      </c>
      <c r="AO1" s="212">
        <f>((S32)/$R$1)/$AK$1</f>
        <v>2.1590612777053453</v>
      </c>
      <c r="AP1" s="77"/>
    </row>
    <row r="2" spans="1:46" ht="15.75" x14ac:dyDescent="0.25">
      <c r="A2" s="863"/>
      <c r="B2" s="78"/>
      <c r="C2" s="78"/>
      <c r="D2" s="78"/>
      <c r="E2" s="78"/>
      <c r="F2" s="1828" t="s">
        <v>915</v>
      </c>
      <c r="G2" s="78"/>
      <c r="H2" s="78"/>
      <c r="I2" s="78"/>
      <c r="J2" s="78"/>
      <c r="K2" s="78"/>
      <c r="L2" s="187"/>
      <c r="M2" s="80"/>
      <c r="N2" s="80"/>
      <c r="O2" s="80"/>
      <c r="P2" s="80"/>
      <c r="Q2" s="80"/>
      <c r="R2" s="80"/>
      <c r="AC2" s="79"/>
      <c r="AD2" s="79"/>
      <c r="AE2" s="1795"/>
      <c r="AF2" s="1799"/>
      <c r="AG2" s="1799"/>
      <c r="AI2" s="61"/>
      <c r="AJ2" s="81"/>
      <c r="AK2" s="1873" t="s">
        <v>480</v>
      </c>
      <c r="AL2" s="1873"/>
      <c r="AM2" s="1873"/>
      <c r="AN2" s="1873"/>
      <c r="AO2" s="81"/>
      <c r="AP2" s="81"/>
    </row>
    <row r="3" spans="1:46" ht="15.75" x14ac:dyDescent="0.25">
      <c r="A3" s="863"/>
      <c r="B3" s="78"/>
      <c r="C3" s="78"/>
      <c r="D3" s="78"/>
      <c r="E3" s="78"/>
      <c r="F3" s="1796"/>
      <c r="G3" s="78"/>
      <c r="H3" s="78"/>
      <c r="I3" s="78"/>
      <c r="J3" s="78"/>
      <c r="K3" s="78"/>
      <c r="L3" s="187"/>
      <c r="M3" s="80"/>
      <c r="N3" s="80"/>
      <c r="O3" s="80"/>
      <c r="P3" s="80"/>
      <c r="Q3" s="80"/>
      <c r="R3" s="80"/>
      <c r="AC3" s="79"/>
      <c r="AD3" s="79"/>
      <c r="AE3" s="1799"/>
      <c r="AF3" s="1799"/>
      <c r="AG3" s="1799"/>
      <c r="AI3" s="61"/>
      <c r="AJ3" s="81"/>
      <c r="AK3" s="81"/>
      <c r="AL3" s="81"/>
      <c r="AM3" s="81"/>
      <c r="AN3" s="1799"/>
      <c r="AO3" s="81"/>
      <c r="AP3" s="81"/>
    </row>
    <row r="4" spans="1:46" ht="38.25" x14ac:dyDescent="0.25">
      <c r="A4" s="1350" t="s">
        <v>864</v>
      </c>
      <c r="B4" s="923" t="s">
        <v>241</v>
      </c>
      <c r="C4" s="934" t="s">
        <v>242</v>
      </c>
      <c r="D4" s="923" t="s">
        <v>231</v>
      </c>
      <c r="E4" s="935" t="s">
        <v>234</v>
      </c>
      <c r="F4" s="935" t="s">
        <v>243</v>
      </c>
      <c r="G4" s="923" t="s">
        <v>244</v>
      </c>
      <c r="H4" s="1635" t="s">
        <v>334</v>
      </c>
      <c r="I4" s="923" t="s">
        <v>246</v>
      </c>
      <c r="J4" s="923" t="s">
        <v>247</v>
      </c>
      <c r="K4" s="923" t="s">
        <v>248</v>
      </c>
      <c r="L4" s="923" t="s">
        <v>249</v>
      </c>
      <c r="M4" s="235"/>
      <c r="N4" s="235"/>
      <c r="O4" s="80"/>
      <c r="P4" s="80"/>
      <c r="Q4" s="80"/>
      <c r="R4" s="80"/>
      <c r="AC4" s="169"/>
      <c r="AD4" s="171"/>
      <c r="AE4" s="169"/>
      <c r="AF4" s="169"/>
      <c r="AG4" s="169"/>
      <c r="AI4" s="61"/>
      <c r="AJ4" s="926" t="s">
        <v>241</v>
      </c>
      <c r="AK4" s="1169" t="s">
        <v>242</v>
      </c>
      <c r="AL4" s="926" t="s">
        <v>250</v>
      </c>
      <c r="AM4" s="926" t="s">
        <v>234</v>
      </c>
      <c r="AN4" s="926" t="s">
        <v>243</v>
      </c>
      <c r="AO4" s="926" t="s">
        <v>244</v>
      </c>
      <c r="AP4" s="926" t="s">
        <v>334</v>
      </c>
      <c r="AQ4" s="923" t="s">
        <v>246</v>
      </c>
      <c r="AR4" s="923" t="s">
        <v>247</v>
      </c>
      <c r="AS4" s="923" t="s">
        <v>248</v>
      </c>
      <c r="AT4" s="923" t="s">
        <v>249</v>
      </c>
    </row>
    <row r="5" spans="1:46" ht="25.5" x14ac:dyDescent="0.25">
      <c r="A5" s="1623" t="s">
        <v>893</v>
      </c>
      <c r="B5" s="1614" t="s">
        <v>220</v>
      </c>
      <c r="C5" s="939" t="s">
        <v>14</v>
      </c>
      <c r="D5" s="944">
        <f>I51/10</f>
        <v>5649.8305084745762</v>
      </c>
      <c r="E5" s="941">
        <f>H52</f>
        <v>3.821462032297815</v>
      </c>
      <c r="F5" s="1626">
        <v>1</v>
      </c>
      <c r="G5" s="940">
        <f t="shared" ref="G5:G18" si="0">D5*E5</f>
        <v>21590.612777053451</v>
      </c>
      <c r="H5" s="1038">
        <f t="shared" ref="H5:H18" si="1">G5*F5</f>
        <v>21590.612777053451</v>
      </c>
      <c r="I5" s="914">
        <f>VLOOKUP(B5,All_Ingredients!$A$1:$F$161,6,FALSE())</f>
        <v>0.86</v>
      </c>
      <c r="J5" s="940">
        <f>VLOOKUP(B5,All_Ingredients!$A$1:$J$161,10,FALSE())</f>
        <v>17.100000000000001</v>
      </c>
      <c r="K5" s="945">
        <f t="shared" ref="K5" si="2">(H5/I5)/1000</f>
        <v>25.105363694248201</v>
      </c>
      <c r="L5" s="945">
        <f t="shared" ref="L5" si="3">K5*J5</f>
        <v>429.30171917164427</v>
      </c>
      <c r="M5" s="87"/>
      <c r="N5" s="87"/>
      <c r="O5" s="80"/>
      <c r="P5" s="80"/>
      <c r="Q5" s="80"/>
      <c r="R5" s="80"/>
      <c r="AC5" s="73"/>
      <c r="AD5" s="89"/>
      <c r="AE5" s="172"/>
      <c r="AF5" s="90"/>
      <c r="AG5" s="91"/>
      <c r="AI5" s="61"/>
      <c r="AJ5" s="1686" t="s">
        <v>220</v>
      </c>
      <c r="AK5" s="939" t="s">
        <v>227</v>
      </c>
      <c r="AL5" s="1618">
        <v>10</v>
      </c>
      <c r="AM5" s="1621">
        <f t="shared" ref="AM5:AM12" si="4">$AO$1</f>
        <v>2.1590612777053453</v>
      </c>
      <c r="AN5" s="1626">
        <v>1</v>
      </c>
      <c r="AO5" s="940">
        <v>644.819466248038</v>
      </c>
      <c r="AP5" s="1038">
        <v>644.819466248038</v>
      </c>
      <c r="AQ5" s="952"/>
      <c r="AR5" s="953"/>
      <c r="AS5" s="1020"/>
      <c r="AT5" s="955"/>
    </row>
    <row r="6" spans="1:46" x14ac:dyDescent="0.25">
      <c r="A6" s="949"/>
      <c r="B6" s="938" t="s">
        <v>82</v>
      </c>
      <c r="C6" s="939" t="s">
        <v>14</v>
      </c>
      <c r="D6" s="1618">
        <v>1</v>
      </c>
      <c r="E6" s="1621">
        <f t="shared" ref="E6:E18" si="5">$I$1</f>
        <v>3.8995290423861895</v>
      </c>
      <c r="F6" s="1626">
        <v>1</v>
      </c>
      <c r="G6" s="940">
        <f t="shared" si="0"/>
        <v>3.8995290423861895</v>
      </c>
      <c r="H6" s="1038">
        <f t="shared" si="1"/>
        <v>3.8995290423861895</v>
      </c>
      <c r="I6" s="914">
        <f>VLOOKUP(B6,All_Ingredients!$A$1:$F$161,6,FALSE())</f>
        <v>1</v>
      </c>
      <c r="J6" s="940">
        <f>VLOOKUP(B6,All_Ingredients!$A$1:$J$161,10,FALSE())</f>
        <v>147.88732394366198</v>
      </c>
      <c r="K6" s="945">
        <f t="shared" ref="K6:K18" si="6">(H6/I6)/1000</f>
        <v>3.8995290423861893E-3</v>
      </c>
      <c r="L6" s="945">
        <f t="shared" ref="L6:L18" si="7">K6*J6</f>
        <v>0.5766909147190844</v>
      </c>
      <c r="M6" s="87"/>
      <c r="N6" s="87"/>
      <c r="AI6" s="61" t="s">
        <v>55</v>
      </c>
      <c r="AJ6" s="914" t="s">
        <v>54</v>
      </c>
      <c r="AK6" s="939" t="s">
        <v>14</v>
      </c>
      <c r="AL6" s="1618">
        <v>100</v>
      </c>
      <c r="AM6" s="1621">
        <f t="shared" si="4"/>
        <v>2.1590612777053453</v>
      </c>
      <c r="AN6" s="1626">
        <v>1</v>
      </c>
      <c r="AO6" s="940">
        <v>644.819466248038</v>
      </c>
      <c r="AP6" s="1038">
        <v>644.819466248038</v>
      </c>
      <c r="AQ6" s="955">
        <f>VLOOKUP(AJ6,Marination_Ordering!$A:$J,6,FALSE)</f>
        <v>0.87</v>
      </c>
      <c r="AR6" s="955">
        <f>VLOOKUP(AJ6,Marination_Ordering!$A:$J,10,FALSE)</f>
        <v>7</v>
      </c>
      <c r="AS6" s="1020">
        <f>AP6/AQ6</f>
        <v>741.1718002851012</v>
      </c>
      <c r="AT6" s="955">
        <f>AR6*(AS6/1000)</f>
        <v>5.1882026019957088</v>
      </c>
    </row>
    <row r="7" spans="1:46" x14ac:dyDescent="0.25">
      <c r="A7" s="949" t="s">
        <v>868</v>
      </c>
      <c r="B7" s="938" t="s">
        <v>706</v>
      </c>
      <c r="C7" s="939" t="s">
        <v>14</v>
      </c>
      <c r="D7" s="1618">
        <v>30</v>
      </c>
      <c r="E7" s="1621">
        <f t="shared" si="5"/>
        <v>3.8995290423861895</v>
      </c>
      <c r="F7" s="1626">
        <v>1</v>
      </c>
      <c r="G7" s="940">
        <f t="shared" si="0"/>
        <v>116.98587127158568</v>
      </c>
      <c r="H7" s="1038">
        <f t="shared" si="1"/>
        <v>116.98587127158568</v>
      </c>
      <c r="I7" s="914">
        <f>VLOOKUP(B7,All_Ingredients!$A$1:$F$161,6,FALSE())</f>
        <v>1</v>
      </c>
      <c r="J7" s="940">
        <f>VLOOKUP(B7,All_Ingredients!$A$1:$J$161,10,FALSE())</f>
        <v>10.5</v>
      </c>
      <c r="K7" s="945">
        <f t="shared" si="6"/>
        <v>0.11698587127158568</v>
      </c>
      <c r="L7" s="945">
        <f t="shared" si="7"/>
        <v>1.2283516483516497</v>
      </c>
      <c r="M7" s="87"/>
      <c r="N7" s="87"/>
      <c r="AI7" s="61" t="s">
        <v>13</v>
      </c>
      <c r="AJ7" s="914" t="s">
        <v>706</v>
      </c>
      <c r="AK7" s="939" t="s">
        <v>14</v>
      </c>
      <c r="AL7" s="1618">
        <v>200</v>
      </c>
      <c r="AM7" s="1621">
        <f t="shared" si="4"/>
        <v>2.1590612777053453</v>
      </c>
      <c r="AN7" s="1626">
        <v>1</v>
      </c>
      <c r="AO7" s="940">
        <v>1289.6389324960801</v>
      </c>
      <c r="AP7" s="1038">
        <v>1160.6750392464701</v>
      </c>
      <c r="AQ7" s="955">
        <f>VLOOKUP(AJ7,Marination_Ordering!$A:$J,6,FALSE)</f>
        <v>1</v>
      </c>
      <c r="AR7" s="955">
        <f>VLOOKUP(AJ7,Marination_Ordering!$A:$J,10,FALSE)</f>
        <v>10.5</v>
      </c>
      <c r="AS7" s="1020">
        <f t="shared" ref="AS7:AS8" si="8">AP7/AQ7</f>
        <v>1160.6750392464701</v>
      </c>
      <c r="AT7" s="955">
        <f t="shared" ref="AT7:AT8" si="9">AR7*(AS7/1000)</f>
        <v>12.187087912087934</v>
      </c>
    </row>
    <row r="8" spans="1:46" x14ac:dyDescent="0.25">
      <c r="A8" s="949" t="s">
        <v>870</v>
      </c>
      <c r="B8" s="938" t="s">
        <v>17</v>
      </c>
      <c r="C8" s="939" t="s">
        <v>14</v>
      </c>
      <c r="D8" s="1618">
        <v>400</v>
      </c>
      <c r="E8" s="1621">
        <f t="shared" si="5"/>
        <v>3.8995290423861895</v>
      </c>
      <c r="F8" s="1626">
        <v>0.9</v>
      </c>
      <c r="G8" s="940">
        <f t="shared" si="0"/>
        <v>1559.8116169544758</v>
      </c>
      <c r="H8" s="1038">
        <f t="shared" si="1"/>
        <v>1403.8304552590282</v>
      </c>
      <c r="I8" s="914">
        <f>VLOOKUP(B8,All_Ingredients!$A$1:$F$161,6,FALSE())</f>
        <v>0.98</v>
      </c>
      <c r="J8" s="940">
        <f>VLOOKUP(B8,All_Ingredients!$A$1:$J$161,10,FALSE())</f>
        <v>3.5</v>
      </c>
      <c r="K8" s="945">
        <f t="shared" si="6"/>
        <v>1.4324800563867635</v>
      </c>
      <c r="L8" s="945">
        <f t="shared" si="7"/>
        <v>5.013680197353672</v>
      </c>
      <c r="M8" s="87"/>
      <c r="N8" s="87"/>
      <c r="AI8" s="61" t="s">
        <v>204</v>
      </c>
      <c r="AJ8" s="914" t="s">
        <v>212</v>
      </c>
      <c r="AK8" s="939" t="s">
        <v>160</v>
      </c>
      <c r="AL8" s="1618">
        <v>350</v>
      </c>
      <c r="AM8" s="1621">
        <f t="shared" si="4"/>
        <v>2.1590612777053453</v>
      </c>
      <c r="AN8" s="1626">
        <v>1</v>
      </c>
      <c r="AO8" s="940">
        <v>2256.8681318681301</v>
      </c>
      <c r="AP8" s="1038">
        <v>2031.1813186813199</v>
      </c>
      <c r="AQ8" s="955">
        <f>VLOOKUP(AJ8,Marination_Ordering!$A:$J,6,FALSE)</f>
        <v>1</v>
      </c>
      <c r="AR8" s="955">
        <f>VLOOKUP(AJ8,Marination_Ordering!$A:$J,10,FALSE)</f>
        <v>5</v>
      </c>
      <c r="AS8" s="1020">
        <f t="shared" si="8"/>
        <v>2031.1813186813199</v>
      </c>
      <c r="AT8" s="955">
        <f t="shared" si="9"/>
        <v>10.1559065934066</v>
      </c>
    </row>
    <row r="9" spans="1:46" x14ac:dyDescent="0.25">
      <c r="A9" s="949"/>
      <c r="B9" s="938" t="s">
        <v>678</v>
      </c>
      <c r="C9" s="939" t="s">
        <v>14</v>
      </c>
      <c r="D9" s="1618">
        <v>200</v>
      </c>
      <c r="E9" s="1621">
        <f t="shared" si="5"/>
        <v>3.8995290423861895</v>
      </c>
      <c r="F9" s="1626">
        <v>0.9</v>
      </c>
      <c r="G9" s="940">
        <f t="shared" si="0"/>
        <v>779.90580847723788</v>
      </c>
      <c r="H9" s="1038">
        <f t="shared" si="1"/>
        <v>701.91522762951411</v>
      </c>
      <c r="I9" s="914">
        <f>VLOOKUP(B9,All_Ingredients!$A$1:$F$161,6,FALSE())</f>
        <v>1</v>
      </c>
      <c r="J9" s="940">
        <f>VLOOKUP(B9,All_Ingredients!$A$1:$J$161,10,FALSE())</f>
        <v>8.1520833333333336</v>
      </c>
      <c r="K9" s="945">
        <f t="shared" si="6"/>
        <v>0.70191522762951408</v>
      </c>
      <c r="L9" s="945">
        <f t="shared" si="7"/>
        <v>5.7220714285714349</v>
      </c>
      <c r="M9" s="87"/>
      <c r="N9" s="87"/>
      <c r="AI9" s="61" t="s">
        <v>204</v>
      </c>
      <c r="AJ9" s="914" t="s">
        <v>208</v>
      </c>
      <c r="AK9" s="947" t="s">
        <v>160</v>
      </c>
      <c r="AL9" s="1618">
        <v>50</v>
      </c>
      <c r="AM9" s="1621">
        <f t="shared" si="4"/>
        <v>2.1590612777053453</v>
      </c>
      <c r="AN9" s="1626">
        <v>1</v>
      </c>
      <c r="AO9" s="940">
        <v>322.409733124019</v>
      </c>
      <c r="AP9" s="1038">
        <v>322.409733124019</v>
      </c>
      <c r="AQ9" s="955">
        <f>VLOOKUP(AJ9,Marination_Ordering!$A:$J,6,FALSE)</f>
        <v>1</v>
      </c>
      <c r="AR9" s="955">
        <f>VLOOKUP(AJ9,Marination_Ordering!$A:$J,10,FALSE)</f>
        <v>2.1621621621621623</v>
      </c>
      <c r="AS9" s="1020">
        <f t="shared" ref="AS9:AS12" si="10">AP9/AQ9</f>
        <v>322.409733124019</v>
      </c>
      <c r="AT9" s="955">
        <f t="shared" ref="AT9:AT12" si="11">AR9*(AS9/1000)</f>
        <v>0.69710212567355467</v>
      </c>
    </row>
    <row r="10" spans="1:46" x14ac:dyDescent="0.25">
      <c r="A10" s="949"/>
      <c r="B10" s="938" t="s">
        <v>179</v>
      </c>
      <c r="C10" s="939" t="s">
        <v>14</v>
      </c>
      <c r="D10" s="1618">
        <v>10</v>
      </c>
      <c r="E10" s="1621">
        <f t="shared" si="5"/>
        <v>3.8995290423861895</v>
      </c>
      <c r="F10" s="1626">
        <v>1</v>
      </c>
      <c r="G10" s="940">
        <f t="shared" si="0"/>
        <v>38.995290423861896</v>
      </c>
      <c r="H10" s="1038">
        <f t="shared" si="1"/>
        <v>38.995290423861896</v>
      </c>
      <c r="I10" s="914">
        <f>VLOOKUP(B10,All_Ingredients!$A$1:$F$161,6,FALSE())</f>
        <v>1</v>
      </c>
      <c r="J10" s="940">
        <f>VLOOKUP(B10,All_Ingredients!$A$1:$J$161,10,FALSE())</f>
        <v>2.7</v>
      </c>
      <c r="K10" s="945">
        <f t="shared" si="6"/>
        <v>3.8995290423861899E-2</v>
      </c>
      <c r="L10" s="945">
        <f t="shared" si="7"/>
        <v>0.10528728414442713</v>
      </c>
      <c r="M10" s="87"/>
      <c r="N10" s="87"/>
      <c r="AI10" s="61" t="s">
        <v>94</v>
      </c>
      <c r="AJ10" s="914" t="s">
        <v>93</v>
      </c>
      <c r="AK10" s="939" t="s">
        <v>14</v>
      </c>
      <c r="AL10" s="1618">
        <v>2</v>
      </c>
      <c r="AM10" s="1621">
        <f t="shared" si="4"/>
        <v>2.1590612777053453</v>
      </c>
      <c r="AN10" s="1626">
        <v>1</v>
      </c>
      <c r="AO10" s="940">
        <v>12.896389324960801</v>
      </c>
      <c r="AP10" s="1038">
        <v>12.896389324960801</v>
      </c>
      <c r="AQ10" s="955">
        <f>VLOOKUP(AJ10,Marination_Ordering!$A:$J,6,FALSE)</f>
        <v>1</v>
      </c>
      <c r="AR10" s="955">
        <f>VLOOKUP(AJ10,Marination_Ordering!$A:$J,10,FALSE)</f>
        <v>0.74</v>
      </c>
      <c r="AS10" s="1020">
        <f t="shared" si="10"/>
        <v>12.896389324960801</v>
      </c>
      <c r="AT10" s="955">
        <f t="shared" si="11"/>
        <v>9.5433281004709929E-3</v>
      </c>
    </row>
    <row r="11" spans="1:46" ht="25.5" x14ac:dyDescent="0.25">
      <c r="A11" s="949"/>
      <c r="B11" s="938" t="s">
        <v>208</v>
      </c>
      <c r="C11" s="939" t="s">
        <v>160</v>
      </c>
      <c r="D11" s="1618">
        <v>5</v>
      </c>
      <c r="E11" s="1621">
        <f t="shared" si="5"/>
        <v>3.8995290423861895</v>
      </c>
      <c r="F11" s="1626">
        <v>1</v>
      </c>
      <c r="G11" s="940">
        <f t="shared" si="0"/>
        <v>19.497645211930948</v>
      </c>
      <c r="H11" s="1038">
        <f t="shared" si="1"/>
        <v>19.497645211930948</v>
      </c>
      <c r="I11" s="914">
        <f>VLOOKUP(B11,All_Ingredients!$A$1:$F$161,6,FALSE())</f>
        <v>1</v>
      </c>
      <c r="J11" s="940">
        <f>VLOOKUP(B11,All_Ingredients!$A$1:$J$161,10,FALSE())</f>
        <v>2.1621621621621623</v>
      </c>
      <c r="K11" s="945">
        <f t="shared" si="6"/>
        <v>1.9497645211930949E-2</v>
      </c>
      <c r="L11" s="945">
        <f t="shared" si="7"/>
        <v>4.2157070728499349E-2</v>
      </c>
      <c r="M11" s="87"/>
      <c r="N11" s="87"/>
      <c r="AI11" s="61" t="s">
        <v>94</v>
      </c>
      <c r="AJ11" s="914" t="s">
        <v>99</v>
      </c>
      <c r="AK11" s="939" t="s">
        <v>14</v>
      </c>
      <c r="AL11" s="1618">
        <v>2</v>
      </c>
      <c r="AM11" s="1621">
        <f t="shared" si="4"/>
        <v>2.1590612777053453</v>
      </c>
      <c r="AN11" s="1626">
        <v>1</v>
      </c>
      <c r="AO11" s="940">
        <v>12.896389324960801</v>
      </c>
      <c r="AP11" s="1038">
        <v>12.896389324960801</v>
      </c>
      <c r="AQ11" s="955">
        <f>VLOOKUP(AJ11,Marination_Ordering!$A:$J,6,FALSE)</f>
        <v>1</v>
      </c>
      <c r="AR11" s="955">
        <f>VLOOKUP(AJ11,Marination_Ordering!$A:$J,10,FALSE)</f>
        <v>31</v>
      </c>
      <c r="AS11" s="1020">
        <f t="shared" si="10"/>
        <v>12.896389324960801</v>
      </c>
      <c r="AT11" s="955">
        <f t="shared" si="11"/>
        <v>0.39978806907378484</v>
      </c>
    </row>
    <row r="12" spans="1:46" x14ac:dyDescent="0.25">
      <c r="A12" s="949"/>
      <c r="B12" s="938" t="s">
        <v>152</v>
      </c>
      <c r="C12" s="939" t="s">
        <v>14</v>
      </c>
      <c r="D12" s="1618">
        <v>25</v>
      </c>
      <c r="E12" s="1621">
        <f t="shared" si="5"/>
        <v>3.8995290423861895</v>
      </c>
      <c r="F12" s="1626">
        <v>1</v>
      </c>
      <c r="G12" s="940">
        <f t="shared" si="0"/>
        <v>97.488226059654735</v>
      </c>
      <c r="H12" s="1038">
        <f t="shared" si="1"/>
        <v>97.488226059654735</v>
      </c>
      <c r="I12" s="914">
        <f>VLOOKUP(B12,All_Ingredients!$A$1:$F$161,6,FALSE())</f>
        <v>1</v>
      </c>
      <c r="J12" s="940">
        <f>VLOOKUP(B12,All_Ingredients!$A$1:$J$161,10,FALSE())</f>
        <v>30</v>
      </c>
      <c r="K12" s="945">
        <f t="shared" si="6"/>
        <v>9.7488226059654737E-2</v>
      </c>
      <c r="L12" s="945">
        <f t="shared" si="7"/>
        <v>2.924646781789642</v>
      </c>
      <c r="M12" s="87"/>
      <c r="N12" s="87"/>
      <c r="AI12" s="61" t="s">
        <v>94</v>
      </c>
      <c r="AJ12" s="914" t="s">
        <v>110</v>
      </c>
      <c r="AK12" s="939" t="s">
        <v>14</v>
      </c>
      <c r="AL12" s="1618">
        <v>7</v>
      </c>
      <c r="AM12" s="1621">
        <f t="shared" si="4"/>
        <v>2.1590612777053453</v>
      </c>
      <c r="AN12" s="1626">
        <v>1</v>
      </c>
      <c r="AO12" s="940">
        <v>45.1373626373626</v>
      </c>
      <c r="AP12" s="1038">
        <v>40.623626373626401</v>
      </c>
      <c r="AQ12" s="955">
        <f>VLOOKUP(AJ12,Marination_Ordering!$A:$J,6,FALSE)</f>
        <v>1</v>
      </c>
      <c r="AR12" s="955">
        <f>VLOOKUP(AJ12,Marination_Ordering!$A:$J,10,FALSE)</f>
        <v>64.243759177679877</v>
      </c>
      <c r="AS12" s="1020">
        <f t="shared" si="10"/>
        <v>40.623626373626401</v>
      </c>
      <c r="AT12" s="955">
        <f t="shared" si="11"/>
        <v>2.6098144696712997</v>
      </c>
    </row>
    <row r="13" spans="1:46" x14ac:dyDescent="0.25">
      <c r="A13" s="949"/>
      <c r="B13" s="938" t="s">
        <v>84</v>
      </c>
      <c r="C13" s="939" t="s">
        <v>14</v>
      </c>
      <c r="D13" s="1618">
        <v>1</v>
      </c>
      <c r="E13" s="1621">
        <f t="shared" si="5"/>
        <v>3.8995290423861895</v>
      </c>
      <c r="F13" s="1626">
        <v>0.9</v>
      </c>
      <c r="G13" s="940">
        <f t="shared" si="0"/>
        <v>3.8995290423861895</v>
      </c>
      <c r="H13" s="1038">
        <f t="shared" si="1"/>
        <v>3.5095761381475707</v>
      </c>
      <c r="I13" s="914">
        <f>VLOOKUP(B13,All_Ingredients!$A$1:$F$161,6,FALSE())</f>
        <v>1</v>
      </c>
      <c r="J13" s="940">
        <f>VLOOKUP(B13,All_Ingredients!$A$1:$J$161,10,FALSE())</f>
        <v>140.84507042253523</v>
      </c>
      <c r="K13" s="945">
        <f t="shared" si="6"/>
        <v>3.5095761381475706E-3</v>
      </c>
      <c r="L13" s="945">
        <f t="shared" si="7"/>
        <v>0.49430649833064383</v>
      </c>
      <c r="M13" s="87"/>
      <c r="N13" s="87"/>
      <c r="R13" s="14" t="s">
        <v>436</v>
      </c>
      <c r="S13" s="14" t="s">
        <v>437</v>
      </c>
      <c r="T13" s="14" t="s">
        <v>438</v>
      </c>
    </row>
    <row r="14" spans="1:46" x14ac:dyDescent="0.25">
      <c r="A14" s="949"/>
      <c r="B14" s="938" t="s">
        <v>192</v>
      </c>
      <c r="C14" s="939" t="s">
        <v>160</v>
      </c>
      <c r="D14" s="1618">
        <v>35</v>
      </c>
      <c r="E14" s="1621">
        <f t="shared" si="5"/>
        <v>3.8995290423861895</v>
      </c>
      <c r="F14" s="1626">
        <v>0.75</v>
      </c>
      <c r="G14" s="940">
        <f t="shared" si="0"/>
        <v>136.48351648351664</v>
      </c>
      <c r="H14" s="1038">
        <f t="shared" si="1"/>
        <v>102.36263736263749</v>
      </c>
      <c r="I14" s="914">
        <f>VLOOKUP(B14,All_Ingredients!$A$1:$F$161,6,FALSE())</f>
        <v>1</v>
      </c>
      <c r="J14" s="940">
        <f>VLOOKUP(B14,All_Ingredients!$A$1:$J$161,10,FALSE())</f>
        <v>58.685446009389672</v>
      </c>
      <c r="K14" s="945">
        <f t="shared" si="6"/>
        <v>0.10236263736263748</v>
      </c>
      <c r="L14" s="945">
        <f t="shared" si="7"/>
        <v>6.0071970283237963</v>
      </c>
      <c r="M14" s="87"/>
      <c r="N14" s="87"/>
    </row>
    <row r="15" spans="1:46" x14ac:dyDescent="0.25">
      <c r="A15" s="949"/>
      <c r="B15" s="938" t="s">
        <v>198</v>
      </c>
      <c r="C15" s="1157" t="s">
        <v>160</v>
      </c>
      <c r="D15" s="1618">
        <v>200</v>
      </c>
      <c r="E15" s="1621">
        <f t="shared" si="5"/>
        <v>3.8995290423861895</v>
      </c>
      <c r="F15" s="1626">
        <v>0.9</v>
      </c>
      <c r="G15" s="940">
        <f t="shared" si="0"/>
        <v>779.90580847723788</v>
      </c>
      <c r="H15" s="1038">
        <f t="shared" si="1"/>
        <v>701.91522762951411</v>
      </c>
      <c r="I15" s="914">
        <f>VLOOKUP(B15,All_Ingredients!$A$1:$F$161,6,FALSE())</f>
        <v>1</v>
      </c>
      <c r="J15" s="940">
        <f>VLOOKUP(B15,All_Ingredients!$A$1:$J$161,10,FALSE())</f>
        <v>3.25</v>
      </c>
      <c r="K15" s="945">
        <f t="shared" si="6"/>
        <v>0.70191522762951408</v>
      </c>
      <c r="L15" s="945">
        <f t="shared" si="7"/>
        <v>2.2812244897959206</v>
      </c>
      <c r="M15" s="87"/>
      <c r="N15" s="87"/>
    </row>
    <row r="16" spans="1:46" x14ac:dyDescent="0.25">
      <c r="A16" s="949"/>
      <c r="B16" s="938" t="s">
        <v>93</v>
      </c>
      <c r="C16" s="939" t="s">
        <v>14</v>
      </c>
      <c r="D16" s="1618">
        <v>5</v>
      </c>
      <c r="E16" s="1621">
        <f t="shared" si="5"/>
        <v>3.8995290423861895</v>
      </c>
      <c r="F16" s="1626">
        <v>1</v>
      </c>
      <c r="G16" s="940">
        <f t="shared" si="0"/>
        <v>19.497645211930948</v>
      </c>
      <c r="H16" s="1038">
        <f t="shared" si="1"/>
        <v>19.497645211930948</v>
      </c>
      <c r="I16" s="914">
        <f>VLOOKUP(B16,All_Ingredients!$A$1:$F$161,6,FALSE())</f>
        <v>1</v>
      </c>
      <c r="J16" s="940">
        <f>VLOOKUP(B16,All_Ingredients!$A$1:$J$161,10,FALSE())</f>
        <v>0.74</v>
      </c>
      <c r="K16" s="945">
        <f t="shared" si="6"/>
        <v>1.9497645211930949E-2</v>
      </c>
      <c r="L16" s="945">
        <f t="shared" si="7"/>
        <v>1.4428257456828903E-2</v>
      </c>
      <c r="M16" s="87"/>
      <c r="N16" s="87"/>
      <c r="S16" s="642" t="s">
        <v>773</v>
      </c>
    </row>
    <row r="17" spans="1:31" x14ac:dyDescent="0.25">
      <c r="A17" s="949"/>
      <c r="B17" s="959" t="s">
        <v>172</v>
      </c>
      <c r="C17" s="939" t="s">
        <v>14</v>
      </c>
      <c r="D17" s="1618">
        <v>150</v>
      </c>
      <c r="E17" s="1621">
        <f t="shared" si="5"/>
        <v>3.8995290423861895</v>
      </c>
      <c r="F17" s="1626">
        <v>1</v>
      </c>
      <c r="G17" s="940">
        <f t="shared" si="0"/>
        <v>584.92935635792844</v>
      </c>
      <c r="H17" s="1038">
        <f t="shared" si="1"/>
        <v>584.92935635792844</v>
      </c>
      <c r="I17" s="914">
        <f>VLOOKUP(B17,All_Ingredients!$A$1:$F$161,6,FALSE())</f>
        <v>1</v>
      </c>
      <c r="J17" s="940">
        <f>VLOOKUP(B17,All_Ingredients!$A$1:$J$161,10,FALSE())</f>
        <v>17.934782608695652</v>
      </c>
      <c r="K17" s="945">
        <f t="shared" si="6"/>
        <v>0.58492935635792842</v>
      </c>
      <c r="L17" s="945">
        <f t="shared" si="7"/>
        <v>10.490580847723717</v>
      </c>
      <c r="M17" s="87"/>
      <c r="N17" s="87"/>
    </row>
    <row r="18" spans="1:31" x14ac:dyDescent="0.25">
      <c r="A18" s="949"/>
      <c r="B18" s="1696" t="s">
        <v>798</v>
      </c>
      <c r="C18" s="939" t="s">
        <v>230</v>
      </c>
      <c r="D18" s="1618">
        <v>50</v>
      </c>
      <c r="E18" s="1621">
        <f t="shared" si="5"/>
        <v>3.8995290423861895</v>
      </c>
      <c r="F18" s="1626">
        <v>1</v>
      </c>
      <c r="G18" s="940">
        <f t="shared" si="0"/>
        <v>194.97645211930947</v>
      </c>
      <c r="H18" s="1038">
        <f t="shared" si="1"/>
        <v>194.97645211930947</v>
      </c>
      <c r="I18" s="914">
        <f>VLOOKUP(B18,All_Ingredients!$A$1:$F$161,6,FALSE())</f>
        <v>1</v>
      </c>
      <c r="J18" s="940">
        <f>VLOOKUP(B18,All_Ingredients!$A$1:$J$161,10,FALSE())</f>
        <v>0.58333333333333337</v>
      </c>
      <c r="K18" s="945">
        <f t="shared" si="6"/>
        <v>0.19497645211930947</v>
      </c>
      <c r="L18" s="945">
        <f t="shared" si="7"/>
        <v>0.11373626373626387</v>
      </c>
      <c r="M18" s="87"/>
      <c r="N18" s="87"/>
    </row>
    <row r="19" spans="1:31" x14ac:dyDescent="0.25">
      <c r="B19" s="73"/>
      <c r="C19" s="168"/>
      <c r="D19" s="172"/>
      <c r="E19" s="189"/>
      <c r="F19" s="290"/>
      <c r="G19" s="92"/>
      <c r="H19" s="291"/>
      <c r="I19" s="73"/>
      <c r="J19" s="94"/>
      <c r="K19" s="73"/>
      <c r="L19" s="92"/>
      <c r="M19" s="87"/>
      <c r="N19" s="87"/>
      <c r="X19"/>
    </row>
    <row r="20" spans="1:31" x14ac:dyDescent="0.25">
      <c r="I20" s="73"/>
      <c r="J20" s="94"/>
      <c r="K20" s="73"/>
      <c r="L20" s="92"/>
      <c r="M20" s="87"/>
      <c r="N20" s="87"/>
    </row>
    <row r="21" spans="1:31" x14ac:dyDescent="0.25">
      <c r="I21" s="73"/>
      <c r="J21" s="94"/>
      <c r="K21" s="73"/>
      <c r="L21" s="92"/>
      <c r="M21" s="87"/>
      <c r="N21" s="87"/>
    </row>
    <row r="22" spans="1:31" x14ac:dyDescent="0.25">
      <c r="I22" s="73"/>
      <c r="J22" s="94"/>
      <c r="K22" s="73"/>
      <c r="L22" s="92"/>
      <c r="M22" s="87"/>
      <c r="N22" s="87"/>
    </row>
    <row r="23" spans="1:31" x14ac:dyDescent="0.25">
      <c r="I23" s="73"/>
      <c r="J23" s="94"/>
      <c r="K23" s="73"/>
      <c r="L23" s="92"/>
      <c r="M23" s="87"/>
      <c r="N23" s="87"/>
    </row>
    <row r="24" spans="1:31" x14ac:dyDescent="0.25">
      <c r="I24" s="73"/>
      <c r="J24" s="94"/>
      <c r="K24" s="73"/>
      <c r="L24" s="92"/>
      <c r="M24" s="87"/>
      <c r="N24" s="87"/>
      <c r="Z24" s="597"/>
    </row>
    <row r="25" spans="1:31" ht="15.75" x14ac:dyDescent="0.25">
      <c r="I25" s="73"/>
      <c r="J25" s="94"/>
      <c r="K25" s="73"/>
      <c r="L25" s="92"/>
      <c r="M25" s="87"/>
      <c r="N25" s="87"/>
      <c r="R25" s="1885" t="s">
        <v>480</v>
      </c>
      <c r="S25" s="1850"/>
      <c r="T25" s="1850"/>
      <c r="U25" s="1850"/>
      <c r="V25" s="592"/>
      <c r="W25" s="592"/>
      <c r="Z25" s="96" t="s">
        <v>252</v>
      </c>
      <c r="AA25" s="97">
        <v>1</v>
      </c>
      <c r="AB25" s="96" t="s">
        <v>249</v>
      </c>
      <c r="AC25" s="98">
        <f>(AA25*AE30)+(AA30*(AB28/R1))</f>
        <v>2.9964005672800925E-2</v>
      </c>
    </row>
    <row r="26" spans="1:31" x14ac:dyDescent="0.25">
      <c r="I26" s="73"/>
      <c r="J26" s="94"/>
      <c r="K26" s="73"/>
      <c r="L26" s="92"/>
      <c r="M26" s="87"/>
      <c r="N26" s="87"/>
      <c r="R26" s="1897" t="s">
        <v>356</v>
      </c>
      <c r="S26" s="1850"/>
      <c r="T26" s="1850"/>
      <c r="U26" s="1850"/>
      <c r="V26" s="592"/>
      <c r="W26" s="592"/>
    </row>
    <row r="27" spans="1:31" ht="15.75" thickBot="1" x14ac:dyDescent="0.3">
      <c r="I27" s="73"/>
      <c r="J27" s="94"/>
      <c r="K27" s="73"/>
      <c r="L27" s="92"/>
      <c r="M27" s="87"/>
      <c r="N27" s="87"/>
      <c r="R27" s="100" t="s">
        <v>254</v>
      </c>
      <c r="S27" s="101" t="s">
        <v>255</v>
      </c>
      <c r="T27" s="101" t="s">
        <v>256</v>
      </c>
      <c r="U27" s="101" t="s">
        <v>257</v>
      </c>
      <c r="V27" s="101" t="s">
        <v>746</v>
      </c>
      <c r="W27" s="101" t="s">
        <v>753</v>
      </c>
      <c r="Z27" s="96" t="s">
        <v>258</v>
      </c>
      <c r="AA27" s="580" t="s">
        <v>311</v>
      </c>
      <c r="AB27" s="102" t="s">
        <v>259</v>
      </c>
      <c r="AC27" s="102" t="s">
        <v>260</v>
      </c>
      <c r="AD27" s="581" t="s">
        <v>753</v>
      </c>
      <c r="AE27" s="102" t="s">
        <v>262</v>
      </c>
    </row>
    <row r="28" spans="1:31" ht="15.75" thickBot="1" x14ac:dyDescent="0.3">
      <c r="I28" s="73"/>
      <c r="J28" s="94"/>
      <c r="K28" s="73"/>
      <c r="L28" s="92"/>
      <c r="M28" s="87"/>
      <c r="N28" s="87"/>
      <c r="R28" s="103" t="s">
        <v>263</v>
      </c>
      <c r="S28" s="380">
        <f>U28*S40</f>
        <v>11969.230769230766</v>
      </c>
      <c r="T28" s="380">
        <f>U28*U40</f>
        <v>3590.7692307692346</v>
      </c>
      <c r="U28" s="385">
        <f>$Z$1</f>
        <v>15560</v>
      </c>
      <c r="V28" s="104">
        <f>SUM(AP5:AP13)</f>
        <v>4870.3214285714339</v>
      </c>
      <c r="W28" s="104">
        <f>H37</f>
        <v>55</v>
      </c>
      <c r="Z28" s="105"/>
      <c r="AA28" s="582"/>
      <c r="AB28" s="106">
        <f>AA25*$S$40</f>
        <v>0.76923076923076905</v>
      </c>
      <c r="AC28" s="106">
        <f>AA25-AB28</f>
        <v>0.23076923076923095</v>
      </c>
      <c r="AD28" s="582"/>
      <c r="AE28" s="108">
        <f>SUM(AB28:AC28)</f>
        <v>1</v>
      </c>
    </row>
    <row r="29" spans="1:31" ht="15.75" thickBot="1" x14ac:dyDescent="0.3">
      <c r="I29" s="73"/>
      <c r="J29" s="94"/>
      <c r="K29" s="73"/>
      <c r="L29" s="92"/>
      <c r="M29" s="87"/>
      <c r="N29" s="87"/>
      <c r="R29" s="103" t="s">
        <v>264</v>
      </c>
      <c r="S29" s="382"/>
      <c r="T29" s="380"/>
      <c r="U29" s="104">
        <f>T29</f>
        <v>0</v>
      </c>
      <c r="V29" s="104"/>
      <c r="W29" s="104"/>
      <c r="Z29" s="105"/>
      <c r="AA29" s="583"/>
      <c r="AB29" s="110">
        <f>AB28/$AE$28</f>
        <v>0.76923076923076905</v>
      </c>
      <c r="AC29" s="110">
        <f>AC28/$AE$28</f>
        <v>0.23076923076923095</v>
      </c>
      <c r="AD29" s="583"/>
      <c r="AE29" s="110">
        <f>AE28/$AE$28</f>
        <v>1</v>
      </c>
    </row>
    <row r="30" spans="1:31" ht="15.75" thickBot="1" x14ac:dyDescent="0.3">
      <c r="I30" s="73"/>
      <c r="J30" s="94"/>
      <c r="K30" s="73"/>
      <c r="L30" s="92"/>
      <c r="M30" s="87"/>
      <c r="N30" s="87"/>
      <c r="R30" s="103" t="s">
        <v>265</v>
      </c>
      <c r="S30" s="654">
        <f>U30*S40</f>
        <v>769.23076923076906</v>
      </c>
      <c r="T30" s="654">
        <f>U30*U40</f>
        <v>230.769230769231</v>
      </c>
      <c r="U30" s="385">
        <f>$AB$1</f>
        <v>1000</v>
      </c>
      <c r="V30" s="547"/>
      <c r="W30" s="547"/>
      <c r="Z30" s="96" t="s">
        <v>266</v>
      </c>
      <c r="AA30" s="584">
        <f>V35/(S32/R1)</f>
        <v>1.447269951190047E-3</v>
      </c>
      <c r="AB30" s="111">
        <f>S35/(S32)</f>
        <v>3.3701221915648408E-2</v>
      </c>
      <c r="AC30" s="112">
        <f>T35/T32</f>
        <v>9.1623724485372805E-3</v>
      </c>
      <c r="AD30" s="585">
        <f>W35/U32</f>
        <v>3.8672159354112905E-5</v>
      </c>
      <c r="AE30" s="587">
        <f>SUMPRODUCT(AB30:AC30,AB29:AC29)+AD30</f>
        <v>2.8077082659515334E-2</v>
      </c>
    </row>
    <row r="31" spans="1:31" ht="15.75" thickBot="1" x14ac:dyDescent="0.3">
      <c r="I31" s="73"/>
      <c r="J31" s="94"/>
      <c r="K31" s="73"/>
      <c r="L31" s="92"/>
      <c r="M31" s="87"/>
      <c r="N31" s="87"/>
      <c r="R31" s="103" t="s">
        <v>267</v>
      </c>
      <c r="S31" s="109"/>
      <c r="T31" s="104"/>
      <c r="U31" s="104"/>
      <c r="V31" s="104"/>
      <c r="W31" s="104"/>
    </row>
    <row r="32" spans="1:31" ht="15.75" thickBot="1" x14ac:dyDescent="0.3">
      <c r="B32" s="73"/>
      <c r="C32" s="168"/>
      <c r="D32" s="172"/>
      <c r="E32" s="189"/>
      <c r="F32" s="290"/>
      <c r="G32" s="92"/>
      <c r="H32" s="291"/>
      <c r="I32" s="73"/>
      <c r="J32" s="94"/>
      <c r="K32" s="73"/>
      <c r="L32" s="92"/>
      <c r="M32" s="87"/>
      <c r="N32" s="87"/>
      <c r="R32" s="114" t="s">
        <v>257</v>
      </c>
      <c r="S32" s="104">
        <f>SUM(S28:S30)</f>
        <v>12738.461538461535</v>
      </c>
      <c r="T32" s="104">
        <f>SUM(T28:T30)</f>
        <v>3821.5384615384655</v>
      </c>
      <c r="U32" s="104">
        <f>SUM(U28:U30)</f>
        <v>16560</v>
      </c>
      <c r="V32" s="104"/>
      <c r="W32" s="104">
        <f>SUM(W28:W30)</f>
        <v>55</v>
      </c>
    </row>
    <row r="33" spans="2:23" ht="15.75" thickBot="1" x14ac:dyDescent="0.3">
      <c r="B33" s="73"/>
      <c r="C33" s="168"/>
      <c r="D33" s="172"/>
      <c r="E33" s="189"/>
      <c r="F33" s="290"/>
      <c r="G33" s="92"/>
      <c r="H33" s="291"/>
      <c r="I33" s="73"/>
      <c r="J33" s="94"/>
      <c r="K33" s="73"/>
      <c r="L33" s="92"/>
      <c r="M33" s="87"/>
      <c r="N33" s="87"/>
      <c r="R33" s="115" t="s">
        <v>268</v>
      </c>
      <c r="S33" s="109"/>
      <c r="T33" s="109"/>
      <c r="U33" s="109"/>
      <c r="V33" s="109"/>
      <c r="W33" s="109"/>
    </row>
    <row r="34" spans="2:23" ht="15.75" thickBot="1" x14ac:dyDescent="0.3">
      <c r="B34" s="73"/>
      <c r="C34" s="168"/>
      <c r="D34" s="172"/>
      <c r="E34" s="189"/>
      <c r="F34" s="290"/>
      <c r="G34" s="92"/>
      <c r="H34" s="291"/>
      <c r="I34" s="73"/>
      <c r="J34" s="94"/>
      <c r="K34" s="73"/>
      <c r="L34" s="92"/>
      <c r="M34" s="87"/>
      <c r="N34" s="87"/>
      <c r="R34" s="116" t="s">
        <v>269</v>
      </c>
      <c r="S34" s="109"/>
      <c r="T34" s="104"/>
      <c r="U34" s="109"/>
      <c r="V34" s="109"/>
      <c r="W34" s="109"/>
    </row>
    <row r="35" spans="2:23" ht="16.5" thickBot="1" x14ac:dyDescent="0.3">
      <c r="B35" s="1877" t="s">
        <v>774</v>
      </c>
      <c r="C35" s="1877"/>
      <c r="D35" s="1877"/>
      <c r="E35" s="1877"/>
      <c r="F35" s="1877"/>
      <c r="G35" s="438"/>
      <c r="H35" s="438"/>
      <c r="I35" s="444"/>
      <c r="J35" s="444"/>
      <c r="K35" s="444"/>
      <c r="L35" s="444"/>
      <c r="M35" s="87"/>
      <c r="N35" s="87"/>
      <c r="R35" s="117" t="s">
        <v>249</v>
      </c>
      <c r="S35" s="548">
        <f>$L$5</f>
        <v>429.30171917164427</v>
      </c>
      <c r="T35" s="548">
        <f>SUM(L6:L18)</f>
        <v>35.014358711025579</v>
      </c>
      <c r="U35" s="548">
        <f>S35+T35+V35</f>
        <v>495.56352298267922</v>
      </c>
      <c r="V35" s="548">
        <f>SUM(AT6:AT13)</f>
        <v>31.247445100009354</v>
      </c>
      <c r="W35" s="548">
        <f>L37</f>
        <v>0.64041095890410971</v>
      </c>
    </row>
    <row r="36" spans="2:23" ht="47.25" x14ac:dyDescent="0.25">
      <c r="B36" s="1004" t="s">
        <v>241</v>
      </c>
      <c r="C36" s="1004" t="s">
        <v>316</v>
      </c>
      <c r="D36" s="1002" t="s">
        <v>610</v>
      </c>
      <c r="E36" s="1003" t="s">
        <v>611</v>
      </c>
      <c r="F36" s="1002" t="s">
        <v>612</v>
      </c>
      <c r="G36" s="1001"/>
      <c r="H36" s="427" t="s">
        <v>612</v>
      </c>
      <c r="I36" s="427" t="s">
        <v>246</v>
      </c>
      <c r="J36" s="427" t="s">
        <v>247</v>
      </c>
      <c r="K36" s="427" t="s">
        <v>248</v>
      </c>
      <c r="L36" s="427" t="s">
        <v>249</v>
      </c>
      <c r="M36" s="87"/>
      <c r="N36" s="87"/>
      <c r="S36" s="125"/>
      <c r="T36" s="125"/>
      <c r="U36" s="125"/>
      <c r="V36" s="125"/>
    </row>
    <row r="37" spans="2:23" x14ac:dyDescent="0.25">
      <c r="B37" s="1005" t="s">
        <v>28</v>
      </c>
      <c r="C37" s="1006" t="s">
        <v>14</v>
      </c>
      <c r="D37" s="1645">
        <v>0.5</v>
      </c>
      <c r="E37" s="1005">
        <f>$AD$1</f>
        <v>110</v>
      </c>
      <c r="F37" s="1005">
        <f>D37*E37</f>
        <v>55</v>
      </c>
      <c r="G37" s="437"/>
      <c r="H37" s="425">
        <f>F37</f>
        <v>55</v>
      </c>
      <c r="I37" s="425">
        <f>VLOOKUP(B37,All_Ingredients!$A$1:$F$161,6,FALSE())</f>
        <v>0.73</v>
      </c>
      <c r="J37" s="425">
        <f>VLOOKUP(B37,All_Ingredients!$A$1:$J$161,10,FALSE())</f>
        <v>8.5</v>
      </c>
      <c r="K37" s="425">
        <f>(H37/I37)/1000</f>
        <v>7.5342465753424667E-2</v>
      </c>
      <c r="L37" s="425">
        <f>K37*J37</f>
        <v>0.64041095890410971</v>
      </c>
      <c r="M37" s="87"/>
      <c r="N37" s="87"/>
    </row>
    <row r="38" spans="2:23" x14ac:dyDescent="0.25">
      <c r="B38" s="1005" t="s">
        <v>30</v>
      </c>
      <c r="C38" s="1006" t="s">
        <v>14</v>
      </c>
      <c r="D38" s="1645">
        <v>0.5</v>
      </c>
      <c r="E38" s="1005">
        <f t="shared" ref="E38:E39" si="12">$AD$1</f>
        <v>110</v>
      </c>
      <c r="F38" s="1005">
        <f t="shared" ref="F38:F39" si="13">D38*E38</f>
        <v>55</v>
      </c>
      <c r="G38" s="437"/>
      <c r="H38" s="425">
        <f t="shared" ref="H38:H39" si="14">F38</f>
        <v>55</v>
      </c>
      <c r="I38" s="425">
        <f>VLOOKUP(B38,All_Ingredients!$A$1:$F$161,6,FALSE())</f>
        <v>0.71</v>
      </c>
      <c r="J38" s="425">
        <f>VLOOKUP(B38,All_Ingredients!$A$1:$J$161,10,FALSE())</f>
        <v>8.5</v>
      </c>
      <c r="K38" s="425">
        <f t="shared" ref="K38:K39" si="15">(H38/I38)/1000</f>
        <v>7.7464788732394374E-2</v>
      </c>
      <c r="L38" s="425">
        <f t="shared" ref="L38:L39" si="16">K38*J38</f>
        <v>0.65845070422535223</v>
      </c>
      <c r="M38" s="87"/>
      <c r="N38" s="87"/>
    </row>
    <row r="39" spans="2:23" x14ac:dyDescent="0.25">
      <c r="B39" s="1005" t="s">
        <v>32</v>
      </c>
      <c r="C39" s="1006" t="s">
        <v>14</v>
      </c>
      <c r="D39" s="1645">
        <v>0.5</v>
      </c>
      <c r="E39" s="1005">
        <f t="shared" si="12"/>
        <v>110</v>
      </c>
      <c r="F39" s="1005">
        <f t="shared" si="13"/>
        <v>55</v>
      </c>
      <c r="G39" s="437"/>
      <c r="H39" s="425">
        <f t="shared" si="14"/>
        <v>55</v>
      </c>
      <c r="I39" s="425">
        <f>VLOOKUP(B39,All_Ingredients!$A$1:$F$161,6,FALSE())</f>
        <v>0.69</v>
      </c>
      <c r="J39" s="425">
        <f>VLOOKUP(B39,All_Ingredients!$A$1:$J$161,10,FALSE())</f>
        <v>4</v>
      </c>
      <c r="K39" s="425">
        <f t="shared" si="15"/>
        <v>7.9710144927536239E-2</v>
      </c>
      <c r="L39" s="425">
        <f t="shared" si="16"/>
        <v>0.31884057971014496</v>
      </c>
      <c r="M39" s="87"/>
      <c r="N39" s="87"/>
    </row>
    <row r="40" spans="2:23" x14ac:dyDescent="0.25">
      <c r="B40" s="73"/>
      <c r="C40" s="168"/>
      <c r="D40" s="172"/>
      <c r="E40" s="189"/>
      <c r="F40" s="290"/>
      <c r="G40" s="92"/>
      <c r="H40" s="291"/>
      <c r="I40" s="73"/>
      <c r="J40" s="94"/>
      <c r="K40" s="73"/>
      <c r="L40" s="92"/>
      <c r="M40" s="87"/>
      <c r="N40" s="87"/>
      <c r="R40" s="119" t="s">
        <v>270</v>
      </c>
      <c r="S40" s="120">
        <v>0.76923076923076905</v>
      </c>
      <c r="T40" s="119" t="s">
        <v>271</v>
      </c>
      <c r="U40" s="121">
        <v>0.230769230769231</v>
      </c>
      <c r="V40" s="122">
        <f>S40+U40</f>
        <v>1</v>
      </c>
    </row>
    <row r="41" spans="2:23" x14ac:dyDescent="0.25">
      <c r="B41"/>
      <c r="C41" s="168"/>
      <c r="D41" s="172"/>
      <c r="E41" s="189"/>
      <c r="F41" s="290"/>
      <c r="G41" s="92"/>
      <c r="H41" s="291"/>
      <c r="I41" s="73"/>
      <c r="J41" s="94"/>
      <c r="K41" s="73"/>
      <c r="L41" s="92"/>
      <c r="M41" s="87"/>
      <c r="N41" s="87"/>
      <c r="U41" s="123"/>
    </row>
    <row r="42" spans="2:23" x14ac:dyDescent="0.25">
      <c r="E42" s="189"/>
      <c r="G42" s="92"/>
      <c r="H42" s="291"/>
      <c r="I42" s="73"/>
      <c r="J42" s="94"/>
      <c r="K42" s="73"/>
      <c r="L42" s="190"/>
    </row>
    <row r="43" spans="2:23" x14ac:dyDescent="0.25">
      <c r="L43" s="190"/>
      <c r="Q43" s="124" t="s">
        <v>272</v>
      </c>
      <c r="R43" s="124" t="s">
        <v>273</v>
      </c>
      <c r="S43" s="124" t="s">
        <v>274</v>
      </c>
      <c r="T43" s="124" t="s">
        <v>275</v>
      </c>
      <c r="U43" s="124" t="s">
        <v>276</v>
      </c>
      <c r="V43" s="124" t="s">
        <v>277</v>
      </c>
      <c r="W43" s="174" t="s">
        <v>278</v>
      </c>
    </row>
    <row r="44" spans="2:23" x14ac:dyDescent="0.25">
      <c r="L44" s="190"/>
      <c r="Q44" s="126">
        <v>43334</v>
      </c>
      <c r="R44" s="127">
        <f>D51</f>
        <v>10000</v>
      </c>
      <c r="S44" s="128">
        <v>1</v>
      </c>
      <c r="T44" s="128">
        <v>0</v>
      </c>
      <c r="U44" s="165">
        <f>R44*S44</f>
        <v>10000</v>
      </c>
      <c r="V44" s="129">
        <f>R44*T44</f>
        <v>0</v>
      </c>
      <c r="W44" s="175">
        <f>Q44-U44</f>
        <v>33334</v>
      </c>
    </row>
    <row r="45" spans="2:23" x14ac:dyDescent="0.25">
      <c r="L45" s="190"/>
    </row>
    <row r="46" spans="2:23" x14ac:dyDescent="0.25">
      <c r="L46" s="190"/>
    </row>
    <row r="47" spans="2:23" x14ac:dyDescent="0.25">
      <c r="I47" s="14" t="s">
        <v>805</v>
      </c>
      <c r="L47" s="190"/>
    </row>
    <row r="50" spans="1:12" x14ac:dyDescent="0.25">
      <c r="B50" s="181"/>
      <c r="C50" s="100" t="s">
        <v>233</v>
      </c>
      <c r="D50" s="100" t="s">
        <v>279</v>
      </c>
      <c r="E50" s="80"/>
      <c r="F50" s="80"/>
      <c r="G50" s="100" t="s">
        <v>280</v>
      </c>
      <c r="H50" s="100" t="s">
        <v>233</v>
      </c>
      <c r="I50" s="100" t="s">
        <v>281</v>
      </c>
      <c r="J50" s="100" t="s">
        <v>282</v>
      </c>
      <c r="L50" s="190"/>
    </row>
    <row r="51" spans="1:12" x14ac:dyDescent="0.25">
      <c r="B51" s="844" t="s">
        <v>283</v>
      </c>
      <c r="C51" s="133">
        <f>10/$K$1</f>
        <v>10.204081632653061</v>
      </c>
      <c r="D51" s="134">
        <f>$C$1*10</f>
        <v>10000</v>
      </c>
      <c r="E51" s="135"/>
      <c r="F51" s="80"/>
      <c r="G51" s="132" t="s">
        <v>283</v>
      </c>
      <c r="H51" s="182">
        <f>I51/$D$5</f>
        <v>10</v>
      </c>
      <c r="I51" s="133">
        <f>J51/$R$1</f>
        <v>56498.305084745763</v>
      </c>
      <c r="J51" s="133">
        <f>$W$44</f>
        <v>33334</v>
      </c>
    </row>
    <row r="52" spans="1:12" x14ac:dyDescent="0.25">
      <c r="B52" s="846" t="s">
        <v>262</v>
      </c>
      <c r="C52" s="156">
        <f>$I$1</f>
        <v>3.8995290423861895</v>
      </c>
      <c r="D52" s="157">
        <f>$E$1</f>
        <v>3821.5384615384655</v>
      </c>
      <c r="E52" s="80"/>
      <c r="F52" s="80"/>
      <c r="G52" s="103" t="s">
        <v>262</v>
      </c>
      <c r="H52" s="145">
        <f>I52/$D$5</f>
        <v>3.821462032297815</v>
      </c>
      <c r="I52" s="129">
        <f>J52/$R$1</f>
        <v>21590.612777053451</v>
      </c>
      <c r="J52" s="136">
        <f>$S$32</f>
        <v>12738.461538461535</v>
      </c>
    </row>
    <row r="53" spans="1:12" x14ac:dyDescent="0.25">
      <c r="B53" s="846" t="s">
        <v>284</v>
      </c>
      <c r="C53" s="158">
        <f>MIN(C52, C51)</f>
        <v>3.8995290423861895</v>
      </c>
      <c r="D53" s="157">
        <f>(C53*$K$1)*$C$1</f>
        <v>3821.5384615384655</v>
      </c>
      <c r="E53" s="80"/>
      <c r="F53" s="80"/>
      <c r="G53" s="103" t="s">
        <v>284</v>
      </c>
      <c r="H53" s="139">
        <f>MIN(H52,H51)</f>
        <v>3.821462032297815</v>
      </c>
      <c r="I53" s="129">
        <f>J53/$R$1</f>
        <v>21590.612777053451</v>
      </c>
      <c r="J53" s="129">
        <f>MIN(J52,J51)</f>
        <v>12738.461538461535</v>
      </c>
    </row>
    <row r="54" spans="1:12" x14ac:dyDescent="0.25">
      <c r="B54" s="846" t="s">
        <v>285</v>
      </c>
      <c r="C54" s="158">
        <f>MIN(MAX(C52-C53,0),C51)</f>
        <v>0</v>
      </c>
      <c r="D54" s="157">
        <f>(C54*$K$1)*$C$1</f>
        <v>0</v>
      </c>
      <c r="E54" s="80"/>
      <c r="F54" s="80"/>
      <c r="G54" s="103" t="s">
        <v>285</v>
      </c>
      <c r="H54" s="139">
        <f>MIN(MAX(H52-H53),H51)</f>
        <v>0</v>
      </c>
      <c r="I54" s="129">
        <f>J54/$R$1</f>
        <v>0</v>
      </c>
      <c r="J54" s="129">
        <f>MIN(MAX(J52-J53),J51)</f>
        <v>0</v>
      </c>
    </row>
    <row r="55" spans="1:12" x14ac:dyDescent="0.25">
      <c r="B55" s="846" t="s">
        <v>286</v>
      </c>
      <c r="C55" s="158">
        <f>MIN(MAX(C52-C53-C54,0),C51)</f>
        <v>0</v>
      </c>
      <c r="D55" s="157">
        <f>(C55*$K$1)*$C$1</f>
        <v>0</v>
      </c>
      <c r="E55" s="80"/>
      <c r="F55" s="80"/>
      <c r="G55" s="100" t="s">
        <v>286</v>
      </c>
      <c r="H55" s="139">
        <f>MIN(MAX(H52-H53-H54),H51)</f>
        <v>0</v>
      </c>
      <c r="I55" s="129">
        <f>J55/$R$1</f>
        <v>0</v>
      </c>
      <c r="J55" s="129">
        <f>MIN(MAX(J52-J53-J54),J51)</f>
        <v>0</v>
      </c>
    </row>
    <row r="57" spans="1:12" x14ac:dyDescent="0.25">
      <c r="B57" s="80"/>
      <c r="E57" s="80"/>
      <c r="F57" s="80"/>
    </row>
    <row r="62" spans="1:12" x14ac:dyDescent="0.25">
      <c r="A62" s="867"/>
      <c r="B62" s="1871" t="str">
        <f>"دجاج البيتزا    1 / " &amp; COUNTIF($C$53:$C$55, "&gt;0")</f>
        <v>دجاج البيتزا    1 / 1</v>
      </c>
      <c r="C62" s="1880"/>
      <c r="D62" s="1880"/>
      <c r="E62" s="1880"/>
      <c r="F62" s="1880"/>
      <c r="G62" s="1880"/>
      <c r="H62" s="1880"/>
    </row>
    <row r="63" spans="1:12" x14ac:dyDescent="0.25">
      <c r="A63" s="867"/>
      <c r="B63" s="1872" t="str">
        <f>"Pizza Chicken  1 / " &amp; COUNTIF($C$53:$C$55, "&gt;0")</f>
        <v>Pizza Chicken  1 / 1</v>
      </c>
      <c r="C63" s="1883"/>
      <c r="D63" s="1883"/>
      <c r="E63" s="1883"/>
      <c r="F63" s="1883"/>
      <c r="G63" s="1883"/>
      <c r="H63" s="1883"/>
    </row>
    <row r="64" spans="1:12" ht="25.5" x14ac:dyDescent="0.2">
      <c r="A64" s="1350" t="s">
        <v>864</v>
      </c>
      <c r="B64" s="1104" t="s">
        <v>241</v>
      </c>
      <c r="C64" s="934" t="s">
        <v>242</v>
      </c>
      <c r="D64" s="1104" t="s">
        <v>231</v>
      </c>
      <c r="E64" s="936" t="s">
        <v>234</v>
      </c>
      <c r="F64" s="936" t="s">
        <v>243</v>
      </c>
      <c r="G64" s="1104" t="s">
        <v>244</v>
      </c>
      <c r="H64" s="936" t="s">
        <v>245</v>
      </c>
    </row>
    <row r="65" spans="1:10" ht="25.5" x14ac:dyDescent="0.2">
      <c r="A65" s="1751" t="s">
        <v>893</v>
      </c>
      <c r="B65" s="1750" t="str">
        <f t="shared" ref="B65:D78" si="17">B5</f>
        <v>Chicken - دجاج</v>
      </c>
      <c r="C65" s="938" t="str">
        <f t="shared" si="17"/>
        <v>gm</v>
      </c>
      <c r="D65" s="1127">
        <f t="shared" si="17"/>
        <v>5649.8305084745762</v>
      </c>
      <c r="E65" s="1646">
        <f>H53</f>
        <v>3.821462032297815</v>
      </c>
      <c r="F65" s="1626">
        <f t="shared" ref="F65:F78" si="18">F5</f>
        <v>1</v>
      </c>
      <c r="G65" s="941">
        <f t="shared" ref="G65:G77" si="19">D65*E65</f>
        <v>21590.612777053451</v>
      </c>
      <c r="H65" s="1038">
        <f t="shared" ref="H65:H77" si="20">G65*F65</f>
        <v>21590.612777053451</v>
      </c>
    </row>
    <row r="66" spans="1:10" x14ac:dyDescent="0.25">
      <c r="A66" s="1749"/>
      <c r="B66" s="1750" t="str">
        <f t="shared" si="17"/>
        <v>Dry Oregano - أوريجانو مجفف</v>
      </c>
      <c r="C66" s="938" t="str">
        <f t="shared" si="17"/>
        <v>gm</v>
      </c>
      <c r="D66" s="938">
        <f t="shared" si="17"/>
        <v>1</v>
      </c>
      <c r="E66" s="1646">
        <f>$C$53</f>
        <v>3.8995290423861895</v>
      </c>
      <c r="F66" s="1626">
        <f t="shared" si="18"/>
        <v>1</v>
      </c>
      <c r="G66" s="941">
        <f t="shared" si="19"/>
        <v>3.8995290423861895</v>
      </c>
      <c r="H66" s="1038">
        <f t="shared" si="20"/>
        <v>3.8995290423861895</v>
      </c>
    </row>
    <row r="67" spans="1:10" x14ac:dyDescent="0.25">
      <c r="A67" s="1749" t="s">
        <v>868</v>
      </c>
      <c r="B67" s="1750" t="str">
        <f t="shared" si="17"/>
        <v>Garlic - ثوم مقشر</v>
      </c>
      <c r="C67" s="938" t="str">
        <f t="shared" si="17"/>
        <v>gm</v>
      </c>
      <c r="D67" s="938">
        <f t="shared" si="17"/>
        <v>30</v>
      </c>
      <c r="E67" s="1646">
        <f t="shared" ref="E67:E78" si="21">$C$53</f>
        <v>3.8995290423861895</v>
      </c>
      <c r="F67" s="1626">
        <f t="shared" si="18"/>
        <v>1</v>
      </c>
      <c r="G67" s="1697">
        <f t="shared" si="19"/>
        <v>116.98587127158568</v>
      </c>
      <c r="H67" s="1038">
        <f t="shared" si="20"/>
        <v>116.98587127158568</v>
      </c>
    </row>
    <row r="68" spans="1:10" x14ac:dyDescent="0.25">
      <c r="A68" s="1749" t="s">
        <v>870</v>
      </c>
      <c r="B68" s="1750" t="str">
        <f t="shared" si="17"/>
        <v>Tomato - طماطم</v>
      </c>
      <c r="C68" s="938" t="str">
        <f t="shared" si="17"/>
        <v>gm</v>
      </c>
      <c r="D68" s="938">
        <f t="shared" si="17"/>
        <v>400</v>
      </c>
      <c r="E68" s="1646">
        <f t="shared" si="21"/>
        <v>3.8995290423861895</v>
      </c>
      <c r="F68" s="1626">
        <f t="shared" si="18"/>
        <v>0.9</v>
      </c>
      <c r="G68" s="1697">
        <f t="shared" si="19"/>
        <v>1559.8116169544758</v>
      </c>
      <c r="H68" s="1038">
        <f t="shared" si="20"/>
        <v>1403.8304552590282</v>
      </c>
    </row>
    <row r="69" spans="1:10" x14ac:dyDescent="0.25">
      <c r="A69" s="1749"/>
      <c r="B69" s="1750" t="str">
        <f t="shared" si="17"/>
        <v>Tomato Paste - صلصة طماطم</v>
      </c>
      <c r="C69" s="938" t="str">
        <f t="shared" si="17"/>
        <v>gm</v>
      </c>
      <c r="D69" s="938">
        <f t="shared" si="17"/>
        <v>200</v>
      </c>
      <c r="E69" s="1646">
        <f t="shared" si="21"/>
        <v>3.8995290423861895</v>
      </c>
      <c r="F69" s="1626">
        <f t="shared" si="18"/>
        <v>0.9</v>
      </c>
      <c r="G69" s="1697">
        <f t="shared" si="19"/>
        <v>779.90580847723788</v>
      </c>
      <c r="H69" s="1038">
        <f t="shared" si="20"/>
        <v>701.91522762951411</v>
      </c>
    </row>
    <row r="70" spans="1:10" x14ac:dyDescent="0.25">
      <c r="A70" s="1749"/>
      <c r="B70" s="1750" t="str">
        <f t="shared" si="17"/>
        <v>Sugar - سكر</v>
      </c>
      <c r="C70" s="938" t="str">
        <f t="shared" si="17"/>
        <v>gm</v>
      </c>
      <c r="D70" s="938">
        <f t="shared" si="17"/>
        <v>10</v>
      </c>
      <c r="E70" s="1646">
        <f t="shared" si="21"/>
        <v>3.8995290423861895</v>
      </c>
      <c r="F70" s="1626">
        <f t="shared" si="18"/>
        <v>1</v>
      </c>
      <c r="G70" s="1697">
        <f t="shared" si="19"/>
        <v>38.995290423861896</v>
      </c>
      <c r="H70" s="1038">
        <f t="shared" si="20"/>
        <v>38.995290423861896</v>
      </c>
    </row>
    <row r="71" spans="1:10" x14ac:dyDescent="0.25">
      <c r="A71" s="1749"/>
      <c r="B71" s="1750" t="str">
        <f t="shared" si="17"/>
        <v>Vinegar - خل</v>
      </c>
      <c r="C71" s="938" t="str">
        <f t="shared" si="17"/>
        <v>ml</v>
      </c>
      <c r="D71" s="938">
        <f t="shared" si="17"/>
        <v>5</v>
      </c>
      <c r="E71" s="1646">
        <f t="shared" si="21"/>
        <v>3.8995290423861895</v>
      </c>
      <c r="F71" s="1626">
        <f t="shared" si="18"/>
        <v>1</v>
      </c>
      <c r="G71" s="1697">
        <f t="shared" si="19"/>
        <v>19.497645211930948</v>
      </c>
      <c r="H71" s="1038">
        <f t="shared" si="20"/>
        <v>19.497645211930948</v>
      </c>
    </row>
    <row r="72" spans="1:10" x14ac:dyDescent="0.25">
      <c r="A72" s="1749"/>
      <c r="B72" s="1750" t="str">
        <f t="shared" si="17"/>
        <v>Butter - زبدة</v>
      </c>
      <c r="C72" s="938" t="str">
        <f t="shared" si="17"/>
        <v>gm</v>
      </c>
      <c r="D72" s="938">
        <f t="shared" si="17"/>
        <v>25</v>
      </c>
      <c r="E72" s="1646">
        <f t="shared" si="21"/>
        <v>3.8995290423861895</v>
      </c>
      <c r="F72" s="1626">
        <f t="shared" si="18"/>
        <v>1</v>
      </c>
      <c r="G72" s="1697">
        <f t="shared" si="19"/>
        <v>97.488226059654735</v>
      </c>
      <c r="H72" s="1038">
        <f t="shared" si="20"/>
        <v>97.488226059654735</v>
      </c>
    </row>
    <row r="73" spans="1:10" x14ac:dyDescent="0.25">
      <c r="A73" s="1749"/>
      <c r="B73" s="1750" t="str">
        <f t="shared" si="17"/>
        <v>Dry Basil - ريحان مجفف</v>
      </c>
      <c r="C73" s="938" t="str">
        <f t="shared" si="17"/>
        <v>gm</v>
      </c>
      <c r="D73" s="938">
        <f t="shared" si="17"/>
        <v>1</v>
      </c>
      <c r="E73" s="1646">
        <f t="shared" si="21"/>
        <v>3.8995290423861895</v>
      </c>
      <c r="F73" s="1626">
        <f t="shared" si="18"/>
        <v>0.9</v>
      </c>
      <c r="G73" s="1697">
        <f t="shared" si="19"/>
        <v>3.8995290423861895</v>
      </c>
      <c r="H73" s="1038">
        <f t="shared" si="20"/>
        <v>3.5095761381475707</v>
      </c>
    </row>
    <row r="74" spans="1:10" x14ac:dyDescent="0.25">
      <c r="A74" s="1749"/>
      <c r="B74" s="1750" t="str">
        <f t="shared" si="17"/>
        <v>Sriracha Sauce - صوص سريراتشا</v>
      </c>
      <c r="C74" s="938" t="str">
        <f t="shared" si="17"/>
        <v>ml</v>
      </c>
      <c r="D74" s="938">
        <f t="shared" si="17"/>
        <v>35</v>
      </c>
      <c r="E74" s="1646">
        <f t="shared" si="21"/>
        <v>3.8995290423861895</v>
      </c>
      <c r="F74" s="1626">
        <f t="shared" si="18"/>
        <v>0.75</v>
      </c>
      <c r="G74" s="1697">
        <f t="shared" si="19"/>
        <v>136.48351648351664</v>
      </c>
      <c r="H74" s="1038">
        <f t="shared" si="20"/>
        <v>102.36263736263749</v>
      </c>
    </row>
    <row r="75" spans="1:10" x14ac:dyDescent="0.25">
      <c r="A75" s="1749"/>
      <c r="B75" s="1750" t="str">
        <f t="shared" si="17"/>
        <v>Tomato Ketchup - كاتشب طماطم</v>
      </c>
      <c r="C75" s="938" t="str">
        <f t="shared" si="17"/>
        <v>ml</v>
      </c>
      <c r="D75" s="938">
        <f t="shared" si="17"/>
        <v>200</v>
      </c>
      <c r="E75" s="1646">
        <f t="shared" si="21"/>
        <v>3.8995290423861895</v>
      </c>
      <c r="F75" s="1626">
        <f t="shared" si="18"/>
        <v>0.9</v>
      </c>
      <c r="G75" s="1697">
        <f t="shared" si="19"/>
        <v>779.90580847723788</v>
      </c>
      <c r="H75" s="1038">
        <f t="shared" si="20"/>
        <v>701.91522762951411</v>
      </c>
    </row>
    <row r="76" spans="1:10" x14ac:dyDescent="0.25">
      <c r="A76" s="1749"/>
      <c r="B76" s="1750" t="str">
        <f t="shared" si="17"/>
        <v>Salt - ملح</v>
      </c>
      <c r="C76" s="938" t="str">
        <f t="shared" si="17"/>
        <v>gm</v>
      </c>
      <c r="D76" s="938">
        <f t="shared" si="17"/>
        <v>5</v>
      </c>
      <c r="E76" s="1646">
        <f t="shared" si="21"/>
        <v>3.8995290423861895</v>
      </c>
      <c r="F76" s="1626">
        <f t="shared" si="18"/>
        <v>1</v>
      </c>
      <c r="G76" s="1697">
        <f t="shared" si="19"/>
        <v>19.497645211930948</v>
      </c>
      <c r="H76" s="1038">
        <f t="shared" si="20"/>
        <v>19.497645211930948</v>
      </c>
    </row>
    <row r="77" spans="1:10" x14ac:dyDescent="0.25">
      <c r="A77" s="1749"/>
      <c r="B77" s="1750" t="str">
        <f t="shared" si="17"/>
        <v>Mozzarella Cheese - جبنة موتزاريلا</v>
      </c>
      <c r="C77" s="938" t="str">
        <f t="shared" si="17"/>
        <v>gm</v>
      </c>
      <c r="D77" s="938">
        <f t="shared" si="17"/>
        <v>150</v>
      </c>
      <c r="E77" s="1646">
        <f t="shared" si="21"/>
        <v>3.8995290423861895</v>
      </c>
      <c r="F77" s="1626">
        <f t="shared" si="18"/>
        <v>1</v>
      </c>
      <c r="G77" s="1697">
        <f t="shared" si="19"/>
        <v>584.92935635792844</v>
      </c>
      <c r="H77" s="1038">
        <f t="shared" si="20"/>
        <v>584.92935635792844</v>
      </c>
    </row>
    <row r="78" spans="1:10" ht="20.25" x14ac:dyDescent="0.3">
      <c r="A78" s="1749"/>
      <c r="B78" s="1750" t="str">
        <f t="shared" si="17"/>
        <v>Sliced cheese - جبنة شرائح</v>
      </c>
      <c r="C78" s="938" t="str">
        <f t="shared" si="17"/>
        <v>Piece</v>
      </c>
      <c r="D78" s="938">
        <f t="shared" si="17"/>
        <v>50</v>
      </c>
      <c r="E78" s="1646">
        <f t="shared" si="21"/>
        <v>3.8995290423861895</v>
      </c>
      <c r="F78" s="1626">
        <f t="shared" si="18"/>
        <v>1</v>
      </c>
      <c r="G78" s="1697">
        <f>D78*E78</f>
        <v>194.97645211930947</v>
      </c>
      <c r="H78" s="1038">
        <f>G78*F78</f>
        <v>194.97645211930947</v>
      </c>
      <c r="I78" s="142"/>
      <c r="J78" s="141"/>
    </row>
    <row r="79" spans="1:10" ht="18" x14ac:dyDescent="0.25">
      <c r="A79" s="861"/>
      <c r="B79" s="1622" t="s">
        <v>287</v>
      </c>
      <c r="C79" s="1042" t="s">
        <v>273</v>
      </c>
      <c r="D79" s="952"/>
      <c r="E79" s="1042" t="s">
        <v>288</v>
      </c>
      <c r="F79" s="952"/>
      <c r="G79" s="1045" t="s">
        <v>264</v>
      </c>
      <c r="H79" s="1045" t="s">
        <v>661</v>
      </c>
    </row>
    <row r="80" spans="1:10" ht="20.25" x14ac:dyDescent="0.3">
      <c r="A80" s="861"/>
      <c r="B80" s="1048">
        <f>$J$53</f>
        <v>12738.461538461535</v>
      </c>
      <c r="C80" s="1048">
        <f>E80+G80</f>
        <v>3821.5384615384655</v>
      </c>
      <c r="D80" s="1629"/>
      <c r="E80" s="1048">
        <f>$D$53*$S$44</f>
        <v>3821.5384615384655</v>
      </c>
      <c r="F80" s="1050"/>
      <c r="G80" s="1048">
        <f>$D$53*$T$44</f>
        <v>0</v>
      </c>
      <c r="H80" s="1048">
        <f>B80+E80</f>
        <v>16560</v>
      </c>
    </row>
  </sheetData>
  <mergeCells count="9">
    <mergeCell ref="B63:H63"/>
    <mergeCell ref="AE2:AG3"/>
    <mergeCell ref="R26:U26"/>
    <mergeCell ref="AN2:AN3"/>
    <mergeCell ref="B62:H62"/>
    <mergeCell ref="R25:U25"/>
    <mergeCell ref="F2:F3"/>
    <mergeCell ref="AK2:AM2"/>
    <mergeCell ref="B35:F35"/>
  </mergeCells>
  <printOptions horizontalCentered="1"/>
  <pageMargins left="0.4" right="0.4" top="1" bottom="0.5" header="0.3" footer="0.511811023622047"/>
  <pageSetup paperSize="9" scale="46" orientation="landscape"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tabColor rgb="FFC55A11"/>
    <pageSetUpPr fitToPage="1"/>
  </sheetPr>
  <dimension ref="A1:AG82"/>
  <sheetViews>
    <sheetView topLeftCell="A19" zoomScale="70" zoomScaleNormal="70" workbookViewId="0">
      <selection activeCell="F56" sqref="F56"/>
    </sheetView>
  </sheetViews>
  <sheetFormatPr defaultColWidth="12.5" defaultRowHeight="15" x14ac:dyDescent="0.25"/>
  <cols>
    <col min="1" max="1" width="14.75" style="61" bestFit="1" customWidth="1"/>
    <col min="2" max="2" width="35.75" style="14" bestFit="1" customWidth="1"/>
    <col min="3" max="3" width="16" style="14" bestFit="1" customWidth="1"/>
    <col min="4" max="4" width="15.625" style="14" bestFit="1" customWidth="1"/>
    <col min="5" max="5" width="16" style="14" bestFit="1" customWidth="1"/>
    <col min="6" max="6" width="22.625" style="14" bestFit="1" customWidth="1"/>
    <col min="7" max="7" width="20.25" style="14" bestFit="1" customWidth="1"/>
    <col min="8" max="8" width="33.75" style="14" bestFit="1" customWidth="1"/>
    <col min="9" max="9" width="16.5" style="14" bestFit="1" customWidth="1"/>
    <col min="10" max="10" width="13.625" style="14" bestFit="1" customWidth="1"/>
    <col min="11" max="11" width="15.125" style="14" bestFit="1" customWidth="1"/>
    <col min="12" max="12" width="10.25" style="14" bestFit="1" customWidth="1"/>
    <col min="13" max="14" width="3.375" style="14" customWidth="1"/>
    <col min="15" max="15" width="14.5" style="14" bestFit="1" customWidth="1"/>
    <col min="16" max="16" width="13.75" style="14" bestFit="1" customWidth="1"/>
    <col min="17" max="17" width="15" style="14" bestFit="1" customWidth="1"/>
    <col min="18" max="18" width="32.75" style="14" bestFit="1" customWidth="1"/>
    <col min="19" max="19" width="17.75" style="14" bestFit="1" customWidth="1"/>
    <col min="20" max="20" width="38" style="14" bestFit="1" customWidth="1"/>
    <col min="21" max="21" width="9.625" style="14" bestFit="1" customWidth="1"/>
    <col min="22" max="22" width="10.25" style="14" bestFit="1" customWidth="1"/>
    <col min="23" max="23" width="32.125" style="14" bestFit="1" customWidth="1"/>
    <col min="24" max="24" width="12.5" style="14"/>
    <col min="25" max="25" width="6.625" style="14" bestFit="1" customWidth="1"/>
    <col min="26" max="26" width="9.5" style="14" bestFit="1" customWidth="1"/>
    <col min="27" max="27" width="11.125" style="14" bestFit="1" customWidth="1"/>
    <col min="28" max="28" width="11.75" style="14" bestFit="1" customWidth="1"/>
    <col min="29" max="29" width="9.875" style="14" bestFit="1" customWidth="1"/>
    <col min="30" max="30" width="6.75" style="14" bestFit="1" customWidth="1"/>
    <col min="31" max="16384" width="12.5" style="14"/>
  </cols>
  <sheetData>
    <row r="1" spans="1:33" ht="25.5" x14ac:dyDescent="0.25">
      <c r="B1" s="843" t="s">
        <v>231</v>
      </c>
      <c r="C1" s="63">
        <v>1000</v>
      </c>
      <c r="D1" s="64" t="s">
        <v>232</v>
      </c>
      <c r="E1" s="84">
        <f>T32</f>
        <v>3707.2440000000001</v>
      </c>
      <c r="F1" s="62" t="s">
        <v>233</v>
      </c>
      <c r="G1" s="63">
        <f>E1/C1</f>
        <v>3.7072440000000002</v>
      </c>
      <c r="H1" s="62" t="s">
        <v>234</v>
      </c>
      <c r="I1" s="185">
        <f>G1/K1</f>
        <v>3.7072440000000002</v>
      </c>
      <c r="J1" s="68" t="s">
        <v>235</v>
      </c>
      <c r="K1" s="80">
        <v>1</v>
      </c>
      <c r="L1" s="80"/>
      <c r="M1" s="70"/>
      <c r="N1" s="71"/>
      <c r="O1" s="72" t="s">
        <v>236</v>
      </c>
      <c r="P1" s="73" t="s">
        <v>289</v>
      </c>
      <c r="Q1" s="74" t="s">
        <v>238</v>
      </c>
      <c r="R1" s="73">
        <v>0.66</v>
      </c>
      <c r="Y1" s="72" t="s">
        <v>444</v>
      </c>
      <c r="Z1" s="422">
        <v>10440</v>
      </c>
      <c r="AA1" s="72" t="s">
        <v>544</v>
      </c>
      <c r="AB1" s="422">
        <v>0</v>
      </c>
      <c r="AC1" s="72" t="s">
        <v>537</v>
      </c>
      <c r="AD1" s="422">
        <v>73</v>
      </c>
      <c r="AE1" s="168"/>
      <c r="AF1" s="170"/>
      <c r="AG1" s="73"/>
    </row>
    <row r="2" spans="1:33" ht="15.75" x14ac:dyDescent="0.25">
      <c r="A2" s="863"/>
      <c r="B2" s="1840" t="s">
        <v>134</v>
      </c>
      <c r="C2" s="1865"/>
      <c r="D2" s="1865"/>
      <c r="E2" s="1865"/>
      <c r="F2" s="1865"/>
      <c r="G2" s="1865"/>
      <c r="H2" s="1865"/>
      <c r="I2" s="1865"/>
      <c r="J2" s="1865"/>
      <c r="K2" s="1899"/>
      <c r="L2" s="187"/>
      <c r="M2" s="80"/>
      <c r="N2" s="80"/>
      <c r="O2" s="80"/>
      <c r="P2" s="80"/>
      <c r="Q2" s="80"/>
      <c r="R2" s="80"/>
      <c r="AC2" s="79"/>
      <c r="AD2" s="79"/>
      <c r="AE2" s="1795"/>
      <c r="AF2" s="1799"/>
      <c r="AG2" s="1799"/>
    </row>
    <row r="3" spans="1:33" ht="15.75" x14ac:dyDescent="0.25">
      <c r="A3" s="863"/>
      <c r="B3" s="1796"/>
      <c r="C3" s="1796"/>
      <c r="D3" s="1796"/>
      <c r="E3" s="1796"/>
      <c r="F3" s="1796"/>
      <c r="G3" s="1796"/>
      <c r="H3" s="1796"/>
      <c r="I3" s="1796"/>
      <c r="J3" s="1796"/>
      <c r="K3" s="1900"/>
      <c r="L3" s="187"/>
      <c r="M3" s="80"/>
      <c r="N3" s="80"/>
      <c r="O3" s="80"/>
      <c r="P3" s="80"/>
      <c r="Q3" s="80"/>
      <c r="R3" s="80"/>
      <c r="AC3" s="79"/>
      <c r="AD3" s="79"/>
      <c r="AE3" s="1799"/>
      <c r="AF3" s="1799"/>
      <c r="AG3" s="1799"/>
    </row>
    <row r="4" spans="1:33" ht="30" x14ac:dyDescent="0.2">
      <c r="A4" s="1350" t="s">
        <v>864</v>
      </c>
      <c r="B4" s="923" t="s">
        <v>241</v>
      </c>
      <c r="C4" s="934" t="s">
        <v>242</v>
      </c>
      <c r="D4" s="923" t="s">
        <v>231</v>
      </c>
      <c r="E4" s="936" t="s">
        <v>234</v>
      </c>
      <c r="F4" s="935" t="s">
        <v>243</v>
      </c>
      <c r="G4" s="923" t="s">
        <v>244</v>
      </c>
      <c r="H4" s="934" t="s">
        <v>334</v>
      </c>
      <c r="I4" s="923" t="s">
        <v>246</v>
      </c>
      <c r="J4" s="923" t="s">
        <v>247</v>
      </c>
      <c r="K4" s="923" t="s">
        <v>248</v>
      </c>
      <c r="L4" s="923" t="s">
        <v>249</v>
      </c>
      <c r="M4" s="80"/>
      <c r="N4" s="80"/>
      <c r="O4" s="80"/>
      <c r="P4" s="80"/>
      <c r="AA4" s="169"/>
      <c r="AB4" s="171"/>
      <c r="AC4" s="169"/>
      <c r="AD4" s="169"/>
      <c r="AE4" s="169"/>
    </row>
    <row r="5" spans="1:33" x14ac:dyDescent="0.2">
      <c r="A5" s="876" t="s">
        <v>892</v>
      </c>
      <c r="B5" s="947" t="s">
        <v>226</v>
      </c>
      <c r="C5" s="939" t="s">
        <v>14</v>
      </c>
      <c r="D5" s="944">
        <f>I51/10</f>
        <v>5050.6060606060601</v>
      </c>
      <c r="E5" s="941">
        <f>H52</f>
        <v>2.0197864042719149</v>
      </c>
      <c r="F5" s="1616">
        <v>1</v>
      </c>
      <c r="G5" s="944">
        <f t="shared" ref="G5:G20" si="0">D5*E5</f>
        <v>10201.145454545454</v>
      </c>
      <c r="H5" s="1617">
        <f t="shared" ref="H5:H20" si="1">G5*F5</f>
        <v>10201.145454545454</v>
      </c>
      <c r="I5" s="914">
        <f>VLOOKUP(B5,All_Ingredients!$A$1:$F$161,6,FALSE())</f>
        <v>0.99</v>
      </c>
      <c r="J5" s="940">
        <f>VLOOKUP(B5,All_Ingredients!$A$1:$J$161,10,FALSE())</f>
        <v>11.75</v>
      </c>
      <c r="K5" s="945">
        <f t="shared" ref="K5" si="2">(H5/I5)/1000</f>
        <v>10.304187327823691</v>
      </c>
      <c r="L5" s="945">
        <f t="shared" ref="L5" si="3">K5*J5</f>
        <v>121.07420110192837</v>
      </c>
      <c r="M5" s="80"/>
      <c r="N5" s="80"/>
      <c r="O5" s="80"/>
      <c r="P5" s="80"/>
      <c r="AA5" s="73"/>
      <c r="AB5" s="89"/>
      <c r="AC5" s="172"/>
      <c r="AD5" s="90"/>
      <c r="AE5" s="91"/>
    </row>
    <row r="6" spans="1:33" x14ac:dyDescent="0.2">
      <c r="A6" s="1572" t="s">
        <v>881</v>
      </c>
      <c r="B6" s="947" t="s">
        <v>12</v>
      </c>
      <c r="C6" s="947" t="s">
        <v>14</v>
      </c>
      <c r="D6" s="1618">
        <v>300</v>
      </c>
      <c r="E6" s="1621">
        <f t="shared" ref="E6:E20" si="4">$G$1</f>
        <v>3.7072440000000002</v>
      </c>
      <c r="F6" s="1616">
        <v>0.95</v>
      </c>
      <c r="G6" s="944">
        <f t="shared" si="0"/>
        <v>1112.1732</v>
      </c>
      <c r="H6" s="1617">
        <f t="shared" si="1"/>
        <v>1056.5645399999999</v>
      </c>
      <c r="I6" s="914">
        <f>VLOOKUP(B6,All_Ingredients!$A$1:$F$161,6,FALSE())</f>
        <v>0.9</v>
      </c>
      <c r="J6" s="940">
        <f>VLOOKUP(B6,All_Ingredients!$A$1:$J$161,10,FALSE())</f>
        <v>3</v>
      </c>
      <c r="K6" s="945">
        <f t="shared" ref="K6:K20" si="5">(H6/I6)/1000</f>
        <v>1.1739605999999998</v>
      </c>
      <c r="L6" s="945">
        <f t="shared" ref="L6:L20" si="6">K6*J6</f>
        <v>3.5218817999999992</v>
      </c>
    </row>
    <row r="7" spans="1:33" x14ac:dyDescent="0.2">
      <c r="A7" s="1572" t="s">
        <v>868</v>
      </c>
      <c r="B7" s="947" t="s">
        <v>706</v>
      </c>
      <c r="C7" s="947" t="s">
        <v>14</v>
      </c>
      <c r="D7" s="1618">
        <v>25</v>
      </c>
      <c r="E7" s="1627">
        <f t="shared" si="4"/>
        <v>3.7072440000000002</v>
      </c>
      <c r="F7" s="1616">
        <v>0.95</v>
      </c>
      <c r="G7" s="944">
        <f t="shared" si="0"/>
        <v>92.681100000000001</v>
      </c>
      <c r="H7" s="1617">
        <f t="shared" si="1"/>
        <v>88.047044999999997</v>
      </c>
      <c r="I7" s="914">
        <f>VLOOKUP(B7,All_Ingredients!$A$1:$F$161,6,FALSE())</f>
        <v>1</v>
      </c>
      <c r="J7" s="940">
        <f>VLOOKUP(B7,All_Ingredients!$A$1:$J$161,10,FALSE())</f>
        <v>10.5</v>
      </c>
      <c r="K7" s="945">
        <f t="shared" si="5"/>
        <v>8.804704499999999E-2</v>
      </c>
      <c r="L7" s="945">
        <f t="shared" si="6"/>
        <v>0.92449397249999987</v>
      </c>
    </row>
    <row r="8" spans="1:33" x14ac:dyDescent="0.2">
      <c r="A8" s="1572" t="s">
        <v>870</v>
      </c>
      <c r="B8" s="947" t="s">
        <v>17</v>
      </c>
      <c r="C8" s="947" t="s">
        <v>14</v>
      </c>
      <c r="D8" s="1618">
        <v>600</v>
      </c>
      <c r="E8" s="1627">
        <f t="shared" si="4"/>
        <v>3.7072440000000002</v>
      </c>
      <c r="F8" s="1616">
        <v>1</v>
      </c>
      <c r="G8" s="944">
        <f t="shared" si="0"/>
        <v>2224.3463999999999</v>
      </c>
      <c r="H8" s="1617">
        <f t="shared" si="1"/>
        <v>2224.3463999999999</v>
      </c>
      <c r="I8" s="914">
        <f>VLOOKUP(B8,All_Ingredients!$A$1:$F$161,6,FALSE())</f>
        <v>0.98</v>
      </c>
      <c r="J8" s="940">
        <f>VLOOKUP(B8,All_Ingredients!$A$1:$J$161,10,FALSE())</f>
        <v>3.5</v>
      </c>
      <c r="K8" s="945">
        <f t="shared" si="5"/>
        <v>2.2697412244897959</v>
      </c>
      <c r="L8" s="945">
        <f t="shared" si="6"/>
        <v>7.9440942857142858</v>
      </c>
    </row>
    <row r="9" spans="1:33" x14ac:dyDescent="0.2">
      <c r="A9" s="1572"/>
      <c r="B9" s="947" t="s">
        <v>678</v>
      </c>
      <c r="C9" s="947" t="s">
        <v>14</v>
      </c>
      <c r="D9" s="1698">
        <v>500</v>
      </c>
      <c r="E9" s="1627">
        <f t="shared" si="4"/>
        <v>3.7072440000000002</v>
      </c>
      <c r="F9" s="1616">
        <v>1</v>
      </c>
      <c r="G9" s="944">
        <f t="shared" si="0"/>
        <v>1853.6220000000001</v>
      </c>
      <c r="H9" s="1617">
        <f t="shared" si="1"/>
        <v>1853.6220000000001</v>
      </c>
      <c r="I9" s="914">
        <f>VLOOKUP(B9,All_Ingredients!$A$1:$F$161,6,FALSE())</f>
        <v>1</v>
      </c>
      <c r="J9" s="940">
        <f>VLOOKUP(B9,All_Ingredients!$A$1:$J$161,10,FALSE())</f>
        <v>8.1520833333333336</v>
      </c>
      <c r="K9" s="945">
        <f t="shared" si="5"/>
        <v>1.8536220000000001</v>
      </c>
      <c r="L9" s="945">
        <f t="shared" si="6"/>
        <v>15.110881012500002</v>
      </c>
    </row>
    <row r="10" spans="1:33" x14ac:dyDescent="0.2">
      <c r="A10" s="1572"/>
      <c r="B10" s="947" t="s">
        <v>99</v>
      </c>
      <c r="C10" s="947" t="s">
        <v>14</v>
      </c>
      <c r="D10" s="1698">
        <v>10</v>
      </c>
      <c r="E10" s="1627">
        <f t="shared" si="4"/>
        <v>3.7072440000000002</v>
      </c>
      <c r="F10" s="1616">
        <v>0.75</v>
      </c>
      <c r="G10" s="944">
        <f t="shared" si="0"/>
        <v>37.07244</v>
      </c>
      <c r="H10" s="1617">
        <f t="shared" si="1"/>
        <v>27.80433</v>
      </c>
      <c r="I10" s="914">
        <f>VLOOKUP(B10,All_Ingredients!$A$1:$F$161,6,FALSE())</f>
        <v>1</v>
      </c>
      <c r="J10" s="940">
        <f>VLOOKUP(B10,All_Ingredients!$A$1:$J$161,10,FALSE())</f>
        <v>31</v>
      </c>
      <c r="K10" s="945">
        <f t="shared" si="5"/>
        <v>2.7804329999999999E-2</v>
      </c>
      <c r="L10" s="945">
        <f t="shared" si="6"/>
        <v>0.86193422999999991</v>
      </c>
    </row>
    <row r="11" spans="1:33" x14ac:dyDescent="0.2">
      <c r="A11" s="1572"/>
      <c r="B11" s="947" t="s">
        <v>105</v>
      </c>
      <c r="C11" s="947" t="s">
        <v>14</v>
      </c>
      <c r="D11" s="1698">
        <v>20</v>
      </c>
      <c r="E11" s="1627">
        <f t="shared" si="4"/>
        <v>3.7072440000000002</v>
      </c>
      <c r="F11" s="1616">
        <v>1</v>
      </c>
      <c r="G11" s="944">
        <f t="shared" si="0"/>
        <v>74.144880000000001</v>
      </c>
      <c r="H11" s="1617">
        <f t="shared" si="1"/>
        <v>74.144880000000001</v>
      </c>
      <c r="I11" s="914">
        <f>VLOOKUP(B11,All_Ingredients!$A$1:$F$161,6,FALSE())</f>
        <v>1</v>
      </c>
      <c r="J11" s="940">
        <f>VLOOKUP(B11,All_Ingredients!$A$1:$J$161,10,FALSE())</f>
        <v>15</v>
      </c>
      <c r="K11" s="945">
        <f t="shared" si="5"/>
        <v>7.4144879999999996E-2</v>
      </c>
      <c r="L11" s="945">
        <f t="shared" si="6"/>
        <v>1.1121732</v>
      </c>
    </row>
    <row r="12" spans="1:33" x14ac:dyDescent="0.2">
      <c r="A12" s="1572"/>
      <c r="B12" s="947" t="s">
        <v>107</v>
      </c>
      <c r="C12" s="947" t="s">
        <v>14</v>
      </c>
      <c r="D12" s="1698">
        <v>20</v>
      </c>
      <c r="E12" s="1627">
        <f t="shared" si="4"/>
        <v>3.7072440000000002</v>
      </c>
      <c r="F12" s="1616">
        <v>1</v>
      </c>
      <c r="G12" s="944">
        <f t="shared" si="0"/>
        <v>74.144880000000001</v>
      </c>
      <c r="H12" s="1617">
        <f t="shared" si="1"/>
        <v>74.144880000000001</v>
      </c>
      <c r="I12" s="914">
        <f>VLOOKUP(B12,All_Ingredients!$A$1:$F$161,6,FALSE())</f>
        <v>1</v>
      </c>
      <c r="J12" s="940">
        <f>VLOOKUP(B12,All_Ingredients!$A$1:$J$161,10,FALSE())</f>
        <v>8</v>
      </c>
      <c r="K12" s="945">
        <f t="shared" si="5"/>
        <v>7.4144879999999996E-2</v>
      </c>
      <c r="L12" s="945">
        <f t="shared" si="6"/>
        <v>0.59315903999999997</v>
      </c>
    </row>
    <row r="13" spans="1:33" x14ac:dyDescent="0.2">
      <c r="A13" s="1572"/>
      <c r="B13" s="947" t="s">
        <v>122</v>
      </c>
      <c r="C13" s="947" t="s">
        <v>14</v>
      </c>
      <c r="D13" s="1618">
        <v>10</v>
      </c>
      <c r="E13" s="1627">
        <f t="shared" si="4"/>
        <v>3.7072440000000002</v>
      </c>
      <c r="F13" s="1616">
        <v>0.75</v>
      </c>
      <c r="G13" s="944">
        <f t="shared" si="0"/>
        <v>37.07244</v>
      </c>
      <c r="H13" s="1617">
        <f t="shared" si="1"/>
        <v>27.80433</v>
      </c>
      <c r="I13" s="914">
        <f>VLOOKUP(B13,All_Ingredients!$A$1:$F$161,6,FALSE())</f>
        <v>1</v>
      </c>
      <c r="J13" s="940">
        <f>VLOOKUP(B13,All_Ingredients!$A$1:$J$161,10,FALSE())</f>
        <v>14</v>
      </c>
      <c r="K13" s="945">
        <f t="shared" si="5"/>
        <v>2.7804329999999999E-2</v>
      </c>
      <c r="L13" s="945">
        <f t="shared" si="6"/>
        <v>0.38926062</v>
      </c>
      <c r="P13" s="80"/>
      <c r="Q13" s="80"/>
    </row>
    <row r="14" spans="1:33" x14ac:dyDescent="0.2">
      <c r="A14" s="1572"/>
      <c r="B14" s="947" t="s">
        <v>139</v>
      </c>
      <c r="C14" s="947" t="s">
        <v>14</v>
      </c>
      <c r="D14" s="1698">
        <v>15</v>
      </c>
      <c r="E14" s="1627">
        <f t="shared" si="4"/>
        <v>3.7072440000000002</v>
      </c>
      <c r="F14" s="1616">
        <v>0.75</v>
      </c>
      <c r="G14" s="944">
        <f t="shared" si="0"/>
        <v>55.60866</v>
      </c>
      <c r="H14" s="1617">
        <f t="shared" si="1"/>
        <v>41.706495000000004</v>
      </c>
      <c r="I14" s="914">
        <f>VLOOKUP(B14,All_Ingredients!$A$1:$F$161,6,FALSE())</f>
        <v>1</v>
      </c>
      <c r="J14" s="940">
        <f>VLOOKUP(B14,All_Ingredients!$A$1:$J$161,10,FALSE())</f>
        <v>15.277777777777779</v>
      </c>
      <c r="K14" s="945">
        <f t="shared" si="5"/>
        <v>4.1706495000000003E-2</v>
      </c>
      <c r="L14" s="945">
        <f t="shared" si="6"/>
        <v>0.63718256250000005</v>
      </c>
      <c r="P14" s="135"/>
      <c r="Q14" s="80"/>
    </row>
    <row r="15" spans="1:33" x14ac:dyDescent="0.2">
      <c r="A15" s="1572"/>
      <c r="B15" s="947" t="s">
        <v>93</v>
      </c>
      <c r="C15" s="947" t="s">
        <v>14</v>
      </c>
      <c r="D15" s="1618">
        <v>5</v>
      </c>
      <c r="E15" s="1627">
        <f t="shared" si="4"/>
        <v>3.7072440000000002</v>
      </c>
      <c r="F15" s="1616">
        <v>0.75</v>
      </c>
      <c r="G15" s="944">
        <f t="shared" si="0"/>
        <v>18.53622</v>
      </c>
      <c r="H15" s="1617">
        <f t="shared" si="1"/>
        <v>13.902165</v>
      </c>
      <c r="I15" s="914">
        <f>VLOOKUP(B15,All_Ingredients!$A$1:$F$161,6,FALSE())</f>
        <v>1</v>
      </c>
      <c r="J15" s="940">
        <f>VLOOKUP(B15,All_Ingredients!$A$1:$J$161,10,FALSE())</f>
        <v>0.74</v>
      </c>
      <c r="K15" s="945">
        <f t="shared" si="5"/>
        <v>1.3902164999999999E-2</v>
      </c>
      <c r="L15" s="945">
        <f t="shared" si="6"/>
        <v>1.0287602099999999E-2</v>
      </c>
      <c r="P15" s="80"/>
      <c r="Q15" s="80"/>
    </row>
    <row r="16" spans="1:33" x14ac:dyDescent="0.2">
      <c r="A16" s="1572" t="s">
        <v>884</v>
      </c>
      <c r="B16" s="914" t="s">
        <v>709</v>
      </c>
      <c r="C16" s="947" t="s">
        <v>14</v>
      </c>
      <c r="D16" s="1618">
        <v>5</v>
      </c>
      <c r="E16" s="1627">
        <f t="shared" si="4"/>
        <v>3.7072440000000002</v>
      </c>
      <c r="F16" s="1616">
        <v>0.75</v>
      </c>
      <c r="G16" s="944">
        <f t="shared" si="0"/>
        <v>18.53622</v>
      </c>
      <c r="H16" s="1617">
        <f t="shared" si="1"/>
        <v>13.902165</v>
      </c>
      <c r="I16" s="914">
        <f>VLOOKUP(B16,All_Ingredients!$A$1:$F$161,6,FALSE())</f>
        <v>0.52</v>
      </c>
      <c r="J16" s="940">
        <f>VLOOKUP(B16,All_Ingredients!$A$1:$J$161,10,FALSE())</f>
        <v>100</v>
      </c>
      <c r="K16" s="945">
        <f t="shared" si="5"/>
        <v>2.673493269230769E-2</v>
      </c>
      <c r="L16" s="945">
        <f t="shared" si="6"/>
        <v>2.6734932692307689</v>
      </c>
      <c r="P16" s="80"/>
      <c r="Q16" s="80"/>
    </row>
    <row r="17" spans="1:30" x14ac:dyDescent="0.2">
      <c r="A17" s="1572"/>
      <c r="B17" s="914" t="s">
        <v>705</v>
      </c>
      <c r="C17" s="947" t="s">
        <v>14</v>
      </c>
      <c r="D17" s="1380">
        <v>100</v>
      </c>
      <c r="E17" s="1627">
        <f t="shared" si="4"/>
        <v>3.7072440000000002</v>
      </c>
      <c r="F17" s="1616">
        <v>1</v>
      </c>
      <c r="G17" s="944">
        <f t="shared" si="0"/>
        <v>370.7244</v>
      </c>
      <c r="H17" s="1617">
        <f t="shared" si="1"/>
        <v>370.7244</v>
      </c>
      <c r="I17" s="914">
        <f>VLOOKUP(B17,All_Ingredients!$A$1:$F$161,6,FALSE())</f>
        <v>1</v>
      </c>
      <c r="J17" s="940">
        <f>VLOOKUP(B17,All_Ingredients!$A$1:$J$161,10,FALSE())</f>
        <v>67.91483113069016</v>
      </c>
      <c r="K17" s="945">
        <f t="shared" si="5"/>
        <v>0.37072440000000001</v>
      </c>
      <c r="L17" s="945">
        <f t="shared" si="6"/>
        <v>25.177685022026431</v>
      </c>
      <c r="P17" s="80"/>
      <c r="Q17" s="80"/>
    </row>
    <row r="18" spans="1:30" x14ac:dyDescent="0.2">
      <c r="A18" s="1572"/>
      <c r="B18" s="914" t="s">
        <v>214</v>
      </c>
      <c r="C18" s="947" t="s">
        <v>14</v>
      </c>
      <c r="D18" s="939">
        <v>1</v>
      </c>
      <c r="E18" s="1627">
        <f t="shared" si="4"/>
        <v>3.7072440000000002</v>
      </c>
      <c r="F18" s="1616">
        <v>1</v>
      </c>
      <c r="G18" s="944">
        <f t="shared" si="0"/>
        <v>3.7072440000000002</v>
      </c>
      <c r="H18" s="1617">
        <f t="shared" si="1"/>
        <v>3.7072440000000002</v>
      </c>
      <c r="I18" s="914">
        <f>VLOOKUP(B18,All_Ingredients!$A$1:$F$161,6,FALSE())</f>
        <v>1</v>
      </c>
      <c r="J18" s="940">
        <f>VLOOKUP(B18,All_Ingredients!$A$1:$J$161,10,FALSE())</f>
        <v>35</v>
      </c>
      <c r="K18" s="945">
        <f t="shared" si="5"/>
        <v>3.7072440000000002E-3</v>
      </c>
      <c r="L18" s="945">
        <f t="shared" si="6"/>
        <v>0.12975354</v>
      </c>
      <c r="P18" s="80"/>
      <c r="Q18" s="80"/>
    </row>
    <row r="19" spans="1:30" x14ac:dyDescent="0.25">
      <c r="A19" s="949"/>
      <c r="B19" s="914" t="s">
        <v>152</v>
      </c>
      <c r="C19" s="947" t="s">
        <v>14</v>
      </c>
      <c r="D19" s="939">
        <v>40</v>
      </c>
      <c r="E19" s="1627">
        <f t="shared" si="4"/>
        <v>3.7072440000000002</v>
      </c>
      <c r="F19" s="1616">
        <v>1</v>
      </c>
      <c r="G19" s="944">
        <f t="shared" si="0"/>
        <v>148.28976</v>
      </c>
      <c r="H19" s="1617">
        <f t="shared" si="1"/>
        <v>148.28976</v>
      </c>
      <c r="I19" s="914">
        <f>VLOOKUP(B19,All_Ingredients!$A$1:$F$161,6,FALSE())</f>
        <v>1</v>
      </c>
      <c r="J19" s="940">
        <f>VLOOKUP(B19,All_Ingredients!$A$1:$J$161,10,FALSE())</f>
        <v>30</v>
      </c>
      <c r="K19" s="945">
        <f t="shared" si="5"/>
        <v>0.14828975999999999</v>
      </c>
      <c r="L19" s="945">
        <f t="shared" si="6"/>
        <v>4.4486927999999999</v>
      </c>
      <c r="P19" s="80"/>
      <c r="Q19" s="80"/>
    </row>
    <row r="20" spans="1:30" x14ac:dyDescent="0.25">
      <c r="A20" s="949"/>
      <c r="B20" s="914" t="s">
        <v>172</v>
      </c>
      <c r="C20" s="947" t="s">
        <v>14</v>
      </c>
      <c r="D20" s="939">
        <v>100</v>
      </c>
      <c r="E20" s="1627">
        <f t="shared" si="4"/>
        <v>3.7072440000000002</v>
      </c>
      <c r="F20" s="1616">
        <v>1</v>
      </c>
      <c r="G20" s="944">
        <f t="shared" si="0"/>
        <v>370.7244</v>
      </c>
      <c r="H20" s="1617">
        <f t="shared" si="1"/>
        <v>370.7244</v>
      </c>
      <c r="I20" s="914">
        <f>VLOOKUP(B20,All_Ingredients!$A$1:$F$161,6,FALSE())</f>
        <v>1</v>
      </c>
      <c r="J20" s="940">
        <f>VLOOKUP(B20,All_Ingredients!$A$1:$J$161,10,FALSE())</f>
        <v>17.934782608695652</v>
      </c>
      <c r="K20" s="945">
        <f t="shared" si="5"/>
        <v>0.37072440000000001</v>
      </c>
      <c r="L20" s="945">
        <f t="shared" si="6"/>
        <v>6.6488615217391303</v>
      </c>
      <c r="P20" s="80"/>
      <c r="Q20" s="80"/>
    </row>
    <row r="21" spans="1:30" x14ac:dyDescent="0.25">
      <c r="B21" s="73"/>
      <c r="C21" s="89"/>
      <c r="D21" s="168"/>
      <c r="E21" s="149"/>
      <c r="F21" s="91"/>
      <c r="G21" s="95"/>
      <c r="H21" s="93"/>
      <c r="I21" s="73"/>
      <c r="J21" s="92"/>
      <c r="K21" s="87"/>
      <c r="L21" s="87"/>
      <c r="R21" s="80"/>
      <c r="S21" s="80"/>
    </row>
    <row r="22" spans="1:30" x14ac:dyDescent="0.25">
      <c r="B22"/>
    </row>
    <row r="23" spans="1:30" x14ac:dyDescent="0.25">
      <c r="L23" s="190"/>
    </row>
    <row r="24" spans="1:30" x14ac:dyDescent="0.25">
      <c r="L24" s="190"/>
      <c r="Z24" s="597"/>
    </row>
    <row r="25" spans="1:30" x14ac:dyDescent="0.25">
      <c r="L25" s="190"/>
      <c r="R25" s="1897" t="s">
        <v>439</v>
      </c>
      <c r="S25" s="1879"/>
      <c r="T25" s="1879"/>
      <c r="U25" s="1879"/>
      <c r="V25" s="593"/>
      <c r="Z25" s="96" t="s">
        <v>252</v>
      </c>
      <c r="AA25" s="97">
        <v>1</v>
      </c>
      <c r="AB25" s="96" t="s">
        <v>249</v>
      </c>
      <c r="AC25" s="98">
        <f>AD30*AA25</f>
        <v>1.8353621150479716E-2</v>
      </c>
    </row>
    <row r="26" spans="1:30" x14ac:dyDescent="0.25">
      <c r="L26" s="190"/>
      <c r="R26" s="1897" t="s">
        <v>356</v>
      </c>
      <c r="S26" s="1879"/>
      <c r="T26" s="1879"/>
      <c r="U26" s="1879"/>
      <c r="V26" s="592"/>
    </row>
    <row r="27" spans="1:30" ht="15.75" thickBot="1" x14ac:dyDescent="0.3">
      <c r="L27" s="190"/>
      <c r="R27" s="100" t="s">
        <v>254</v>
      </c>
      <c r="S27" s="101" t="s">
        <v>375</v>
      </c>
      <c r="T27" s="101" t="s">
        <v>256</v>
      </c>
      <c r="U27" s="101" t="s">
        <v>257</v>
      </c>
      <c r="V27" s="101" t="s">
        <v>753</v>
      </c>
      <c r="Z27" s="96" t="s">
        <v>258</v>
      </c>
      <c r="AA27" s="102" t="s">
        <v>259</v>
      </c>
      <c r="AB27" s="102" t="s">
        <v>260</v>
      </c>
      <c r="AC27" s="581" t="s">
        <v>753</v>
      </c>
      <c r="AD27" s="102" t="s">
        <v>262</v>
      </c>
    </row>
    <row r="28" spans="1:30" ht="15.75" thickBot="1" x14ac:dyDescent="0.3">
      <c r="L28" s="190"/>
      <c r="R28" s="103" t="s">
        <v>263</v>
      </c>
      <c r="S28" s="658">
        <f>U28*S40</f>
        <v>6732.7560000000003</v>
      </c>
      <c r="T28" s="380">
        <f>U28*U40</f>
        <v>3707.2440000000001</v>
      </c>
      <c r="U28" s="385">
        <f>$Z$1</f>
        <v>10440</v>
      </c>
      <c r="V28" s="104">
        <f>SUM(H37)</f>
        <v>5.1100000000000003</v>
      </c>
      <c r="Z28" s="105"/>
      <c r="AA28" s="106">
        <f>AA25*$S$40</f>
        <v>0.64490000000000003</v>
      </c>
      <c r="AB28" s="106">
        <f>AA25*$U$40</f>
        <v>0.35510000000000003</v>
      </c>
      <c r="AC28" s="582"/>
      <c r="AD28" s="108">
        <f>SUM(AA28:AC28)</f>
        <v>1</v>
      </c>
    </row>
    <row r="29" spans="1:30" ht="15.75" thickBot="1" x14ac:dyDescent="0.3">
      <c r="B29" s="80"/>
      <c r="L29" s="190"/>
      <c r="R29" s="103" t="s">
        <v>264</v>
      </c>
      <c r="S29" s="382"/>
      <c r="T29" s="380"/>
      <c r="U29" s="104">
        <f>T29</f>
        <v>0</v>
      </c>
      <c r="V29" s="104"/>
      <c r="Z29" s="105"/>
      <c r="AA29" s="110">
        <f>AA28/$AD$28</f>
        <v>0.64490000000000003</v>
      </c>
      <c r="AB29" s="110">
        <f>AB28/$AD$28</f>
        <v>0.35510000000000003</v>
      </c>
      <c r="AC29" s="583"/>
      <c r="AD29" s="110">
        <f>AD28/$AD$28</f>
        <v>1</v>
      </c>
    </row>
    <row r="30" spans="1:30" ht="15.75" thickBot="1" x14ac:dyDescent="0.3">
      <c r="B30" s="80"/>
      <c r="L30" s="190"/>
      <c r="R30" s="103" t="s">
        <v>265</v>
      </c>
      <c r="S30" s="654">
        <f>U30*S40</f>
        <v>0</v>
      </c>
      <c r="T30" s="380">
        <f>U30*U40</f>
        <v>0</v>
      </c>
      <c r="U30" s="657">
        <f>$AB$1</f>
        <v>0</v>
      </c>
      <c r="V30" s="547"/>
      <c r="Z30" s="96" t="s">
        <v>266</v>
      </c>
      <c r="AA30" s="111">
        <f>S35/(S32)</f>
        <v>1.79828588919498E-2</v>
      </c>
      <c r="AB30" s="112">
        <f>T35/T32</f>
        <v>1.8931539029616241E-2</v>
      </c>
      <c r="AC30" s="585">
        <f>V35/U32</f>
        <v>3.3885941644562338E-5</v>
      </c>
      <c r="AD30" s="587">
        <f>SUMPRODUCT(AA30:AB30,AA29:AB29)+AC30</f>
        <v>1.8353621150479716E-2</v>
      </c>
    </row>
    <row r="31" spans="1:30" ht="16.5" thickBot="1" x14ac:dyDescent="0.3">
      <c r="B31" s="80"/>
      <c r="C31" s="426"/>
      <c r="D31" s="426"/>
      <c r="E31" s="426"/>
      <c r="F31" s="426"/>
      <c r="G31" s="426"/>
      <c r="H31"/>
      <c r="R31" s="103" t="s">
        <v>267</v>
      </c>
      <c r="S31" s="109"/>
      <c r="T31" s="104"/>
      <c r="U31" s="104"/>
      <c r="V31" s="104"/>
    </row>
    <row r="32" spans="1:30" ht="15.75" thickBot="1" x14ac:dyDescent="0.3">
      <c r="B32" s="235"/>
      <c r="C32" s="227"/>
      <c r="D32" s="177"/>
      <c r="E32" s="235"/>
      <c r="F32" s="235"/>
      <c r="G32" s="177"/>
      <c r="H32" s="52"/>
      <c r="R32" s="114" t="s">
        <v>257</v>
      </c>
      <c r="S32" s="104">
        <f>SUM(S28:S30)</f>
        <v>6732.7560000000003</v>
      </c>
      <c r="T32" s="104">
        <f>SUM(T28:T30)</f>
        <v>3707.2440000000001</v>
      </c>
      <c r="U32" s="104">
        <f>SUM(U28:U30)</f>
        <v>10440</v>
      </c>
      <c r="V32" s="104">
        <f>SUM(V28:V30)</f>
        <v>5.1100000000000003</v>
      </c>
    </row>
    <row r="33" spans="2:23" ht="15.75" thickBot="1" x14ac:dyDescent="0.3">
      <c r="B33" s="80"/>
      <c r="E33" s="80"/>
      <c r="F33" s="80"/>
      <c r="R33" s="115" t="s">
        <v>268</v>
      </c>
      <c r="S33" s="109"/>
      <c r="T33" s="109"/>
      <c r="U33" s="104">
        <f>F57</f>
        <v>0</v>
      </c>
      <c r="V33" s="109"/>
    </row>
    <row r="34" spans="2:23" ht="15.75" thickBot="1" x14ac:dyDescent="0.3">
      <c r="R34" s="116" t="s">
        <v>269</v>
      </c>
      <c r="S34" s="109"/>
      <c r="T34" s="104"/>
      <c r="U34" s="104">
        <f>U33-(U28+U29)</f>
        <v>-10440</v>
      </c>
      <c r="V34" s="109"/>
    </row>
    <row r="35" spans="2:23" ht="16.5" thickBot="1" x14ac:dyDescent="0.3">
      <c r="B35" s="1877" t="s">
        <v>655</v>
      </c>
      <c r="C35" s="1877"/>
      <c r="D35" s="1877"/>
      <c r="E35" s="1877"/>
      <c r="F35" s="1877"/>
      <c r="G35" s="438"/>
      <c r="H35" s="438"/>
      <c r="I35" s="444"/>
      <c r="J35" s="444"/>
      <c r="K35" s="444"/>
      <c r="L35" s="444"/>
      <c r="R35" s="117" t="s">
        <v>249</v>
      </c>
      <c r="S35" s="548">
        <f>$L$5</f>
        <v>121.07420110192837</v>
      </c>
      <c r="T35" s="548">
        <f>SUM(L6:L20)</f>
        <v>70.183834478310629</v>
      </c>
      <c r="U35" s="548">
        <f>S35+T35+V35</f>
        <v>191.6118048110082</v>
      </c>
      <c r="V35" s="589">
        <f>SUM(L37)</f>
        <v>0.35376923076923078</v>
      </c>
    </row>
    <row r="36" spans="2:23" ht="47.25" x14ac:dyDescent="0.25">
      <c r="B36" s="1004" t="s">
        <v>241</v>
      </c>
      <c r="C36" s="1004" t="s">
        <v>316</v>
      </c>
      <c r="D36" s="1002" t="s">
        <v>610</v>
      </c>
      <c r="E36" s="1003" t="s">
        <v>611</v>
      </c>
      <c r="F36" s="1002" t="s">
        <v>612</v>
      </c>
      <c r="G36" s="1001"/>
      <c r="H36" s="427" t="s">
        <v>612</v>
      </c>
      <c r="I36" s="427" t="s">
        <v>246</v>
      </c>
      <c r="J36" s="427" t="s">
        <v>247</v>
      </c>
      <c r="K36" s="427" t="s">
        <v>248</v>
      </c>
      <c r="L36" s="427" t="s">
        <v>249</v>
      </c>
    </row>
    <row r="37" spans="2:23" x14ac:dyDescent="0.25">
      <c r="B37" s="1005" t="s">
        <v>666</v>
      </c>
      <c r="C37" s="1006" t="s">
        <v>14</v>
      </c>
      <c r="D37" s="1645">
        <v>7.0000000000000007E-2</v>
      </c>
      <c r="E37" s="1005">
        <f>$AD$1</f>
        <v>73</v>
      </c>
      <c r="F37" s="1005">
        <f>D37*E37</f>
        <v>5.1100000000000003</v>
      </c>
      <c r="G37" s="437"/>
      <c r="H37" s="425">
        <f>F37</f>
        <v>5.1100000000000003</v>
      </c>
      <c r="I37" s="425">
        <f>VLOOKUP(B37,All_Ingredients!$A$1:$F$161,6,FALSE())</f>
        <v>0.65</v>
      </c>
      <c r="J37" s="425">
        <f>VLOOKUP(B37,All_Ingredients!$A$1:$J$161,10,FALSE())</f>
        <v>45</v>
      </c>
      <c r="K37" s="425">
        <f>(H37/I37)/1000</f>
        <v>7.8615384615384615E-3</v>
      </c>
      <c r="L37" s="425">
        <f>K37*J37</f>
        <v>0.35376923076923078</v>
      </c>
    </row>
    <row r="38" spans="2:23" x14ac:dyDescent="0.25">
      <c r="B38"/>
      <c r="E38" s="80"/>
      <c r="F38" s="80"/>
    </row>
    <row r="39" spans="2:23" x14ac:dyDescent="0.25">
      <c r="B39"/>
    </row>
    <row r="40" spans="2:23" ht="26.25" x14ac:dyDescent="0.25">
      <c r="B40"/>
      <c r="R40" s="119" t="s">
        <v>270</v>
      </c>
      <c r="S40" s="163">
        <v>0.64490000000000003</v>
      </c>
      <c r="T40" s="119" t="s">
        <v>271</v>
      </c>
      <c r="U40" s="163">
        <v>0.35510000000000003</v>
      </c>
      <c r="V40" s="122">
        <f>S40+U40</f>
        <v>1</v>
      </c>
    </row>
    <row r="41" spans="2:23" x14ac:dyDescent="0.25">
      <c r="U41" s="123"/>
    </row>
    <row r="43" spans="2:23" x14ac:dyDescent="0.25">
      <c r="Q43" s="124" t="s">
        <v>272</v>
      </c>
      <c r="R43" s="124" t="s">
        <v>273</v>
      </c>
      <c r="S43" s="124" t="s">
        <v>274</v>
      </c>
      <c r="T43" s="124" t="s">
        <v>275</v>
      </c>
      <c r="U43" s="124" t="s">
        <v>276</v>
      </c>
      <c r="V43" s="124" t="s">
        <v>277</v>
      </c>
      <c r="W43" s="174" t="s">
        <v>278</v>
      </c>
    </row>
    <row r="44" spans="2:23" x14ac:dyDescent="0.25">
      <c r="Q44" s="126">
        <v>43334</v>
      </c>
      <c r="R44" s="127">
        <f>D51</f>
        <v>10000</v>
      </c>
      <c r="S44" s="128">
        <v>1</v>
      </c>
      <c r="T44" s="128">
        <v>0</v>
      </c>
      <c r="U44" s="165">
        <f>R44*S44</f>
        <v>10000</v>
      </c>
      <c r="V44" s="129">
        <f>R44*T44</f>
        <v>0</v>
      </c>
      <c r="W44" s="175">
        <f>Q44-U44</f>
        <v>33334</v>
      </c>
    </row>
    <row r="50" spans="1:10" x14ac:dyDescent="0.25">
      <c r="B50" s="181"/>
      <c r="C50" s="100" t="s">
        <v>233</v>
      </c>
      <c r="D50" s="100" t="s">
        <v>279</v>
      </c>
      <c r="G50" s="100" t="s">
        <v>280</v>
      </c>
      <c r="H50" s="100" t="s">
        <v>233</v>
      </c>
      <c r="I50" s="100" t="s">
        <v>281</v>
      </c>
      <c r="J50" s="100" t="s">
        <v>282</v>
      </c>
    </row>
    <row r="51" spans="1:10" x14ac:dyDescent="0.25">
      <c r="B51" s="844" t="s">
        <v>283</v>
      </c>
      <c r="C51" s="133">
        <f>10/$K$1</f>
        <v>10</v>
      </c>
      <c r="D51" s="134">
        <f>$C$1*10</f>
        <v>10000</v>
      </c>
      <c r="G51" s="132" t="s">
        <v>283</v>
      </c>
      <c r="H51" s="182">
        <f>I51/$D$5</f>
        <v>10</v>
      </c>
      <c r="I51" s="133">
        <f>J51/$R$1</f>
        <v>50506.060606060601</v>
      </c>
      <c r="J51" s="133">
        <f>$W$44</f>
        <v>33334</v>
      </c>
    </row>
    <row r="52" spans="1:10" x14ac:dyDescent="0.25">
      <c r="B52" s="846" t="s">
        <v>262</v>
      </c>
      <c r="C52" s="156">
        <f>$I$1</f>
        <v>3.7072440000000002</v>
      </c>
      <c r="D52" s="157">
        <f>$E$1</f>
        <v>3707.2440000000001</v>
      </c>
      <c r="G52" s="103" t="s">
        <v>262</v>
      </c>
      <c r="H52" s="145">
        <f>I52/$D$5</f>
        <v>2.0197864042719149</v>
      </c>
      <c r="I52" s="129">
        <f>J52/$R$1</f>
        <v>10201.145454545454</v>
      </c>
      <c r="J52" s="136">
        <f>$S$32</f>
        <v>6732.7560000000003</v>
      </c>
    </row>
    <row r="53" spans="1:10" x14ac:dyDescent="0.25">
      <c r="B53" s="846" t="s">
        <v>284</v>
      </c>
      <c r="C53" s="158">
        <f>MIN(C52, C51)</f>
        <v>3.7072440000000002</v>
      </c>
      <c r="D53" s="157">
        <f>(C53*$K$1)*$C$1</f>
        <v>3707.2440000000001</v>
      </c>
      <c r="G53" s="103" t="s">
        <v>284</v>
      </c>
      <c r="H53" s="139">
        <f>MIN(H52,H51)</f>
        <v>2.0197864042719149</v>
      </c>
      <c r="I53" s="129">
        <f>J53/$R$1</f>
        <v>10201.145454545454</v>
      </c>
      <c r="J53" s="129">
        <f>MIN(J52,J51)</f>
        <v>6732.7560000000003</v>
      </c>
    </row>
    <row r="54" spans="1:10" x14ac:dyDescent="0.25">
      <c r="B54" s="846" t="s">
        <v>285</v>
      </c>
      <c r="C54" s="158">
        <f>MIN(MAX(C52-C53,0),C51)</f>
        <v>0</v>
      </c>
      <c r="D54" s="157">
        <f>(C54*$K$1)*$C$1</f>
        <v>0</v>
      </c>
      <c r="G54" s="103" t="s">
        <v>285</v>
      </c>
      <c r="H54" s="139">
        <f>MIN(MAX(H52-H53),H51)</f>
        <v>0</v>
      </c>
      <c r="I54" s="129">
        <f>J54/$R$1</f>
        <v>0</v>
      </c>
      <c r="J54" s="129">
        <f>MIN(MAX(J52-J53),J51)</f>
        <v>0</v>
      </c>
    </row>
    <row r="55" spans="1:10" x14ac:dyDescent="0.25">
      <c r="B55" s="846" t="s">
        <v>286</v>
      </c>
      <c r="C55" s="158">
        <f>MIN(MAX(C52-C53-C54,0),C51)</f>
        <v>0</v>
      </c>
      <c r="D55" s="157">
        <f>(C55*$K$1)*$C$1</f>
        <v>0</v>
      </c>
      <c r="G55" s="100" t="s">
        <v>286</v>
      </c>
      <c r="H55" s="139">
        <f>MIN(MAX(H52-H53-H54),H51)</f>
        <v>0</v>
      </c>
      <c r="I55" s="129">
        <f>J55/$R$1</f>
        <v>0</v>
      </c>
      <c r="J55" s="129">
        <f>MIN(MAX(J52-J53-J54),J51)</f>
        <v>0</v>
      </c>
    </row>
    <row r="62" spans="1:10" x14ac:dyDescent="0.25">
      <c r="A62" s="867"/>
      <c r="B62" s="1871" t="str">
        <f>"لحم بولونيز    1 / " &amp; COUNTIF($C$53:$C$55, "&gt;0")</f>
        <v>لحم بولونيز    1 / 1</v>
      </c>
      <c r="C62" s="1880"/>
      <c r="D62" s="1880"/>
      <c r="E62" s="1880"/>
      <c r="F62" s="1880"/>
      <c r="G62" s="1880"/>
      <c r="H62" s="1880"/>
    </row>
    <row r="63" spans="1:10" x14ac:dyDescent="0.25">
      <c r="A63" s="867"/>
      <c r="B63" s="1872" t="str">
        <f>"Lahm Bolognese  1 / " &amp; COUNTIF($C$53:$C$55, "&gt;0")</f>
        <v>Lahm Bolognese  1 / 1</v>
      </c>
      <c r="C63" s="1883"/>
      <c r="D63" s="1883"/>
      <c r="E63" s="1883"/>
      <c r="F63" s="1883"/>
      <c r="G63" s="1883"/>
      <c r="H63" s="1883"/>
    </row>
    <row r="64" spans="1:10" ht="30" x14ac:dyDescent="0.2">
      <c r="A64" s="1350" t="s">
        <v>864</v>
      </c>
      <c r="B64" s="923" t="s">
        <v>241</v>
      </c>
      <c r="C64" s="934" t="s">
        <v>242</v>
      </c>
      <c r="D64" s="923" t="s">
        <v>231</v>
      </c>
      <c r="E64" s="936" t="s">
        <v>234</v>
      </c>
      <c r="F64" s="935" t="s">
        <v>243</v>
      </c>
      <c r="G64" s="923" t="s">
        <v>244</v>
      </c>
      <c r="H64" s="936" t="s">
        <v>245</v>
      </c>
    </row>
    <row r="65" spans="1:8" x14ac:dyDescent="0.2">
      <c r="A65" s="1748" t="s">
        <v>892</v>
      </c>
      <c r="B65" s="1747" t="str">
        <f t="shared" ref="B65:D80" si="7">B5</f>
        <v>Indian Meat Tammam Mafroom - مفروم هندى</v>
      </c>
      <c r="C65" s="947" t="str">
        <f t="shared" si="7"/>
        <v>gm</v>
      </c>
      <c r="D65" s="1627">
        <f t="shared" si="7"/>
        <v>5050.6060606060601</v>
      </c>
      <c r="E65" s="1646">
        <f>H53</f>
        <v>2.0197864042719149</v>
      </c>
      <c r="F65" s="1616">
        <f t="shared" ref="F65:F80" si="8">F5</f>
        <v>1</v>
      </c>
      <c r="G65" s="940">
        <f t="shared" ref="G65:G80" si="9">D65*E65</f>
        <v>10201.145454545454</v>
      </c>
      <c r="H65" s="1617">
        <f t="shared" ref="H65:H80" si="10">G65*F65</f>
        <v>10201.145454545454</v>
      </c>
    </row>
    <row r="66" spans="1:8" x14ac:dyDescent="0.25">
      <c r="A66" s="1749" t="s">
        <v>881</v>
      </c>
      <c r="B66" s="1747" t="str">
        <f t="shared" si="7"/>
        <v>Onion - بصل</v>
      </c>
      <c r="C66" s="947" t="str">
        <f t="shared" si="7"/>
        <v>gm</v>
      </c>
      <c r="D66" s="1618">
        <f t="shared" si="7"/>
        <v>300</v>
      </c>
      <c r="E66" s="1646">
        <f>$C$53</f>
        <v>3.7072440000000002</v>
      </c>
      <c r="F66" s="1616">
        <f t="shared" si="8"/>
        <v>0.95</v>
      </c>
      <c r="G66" s="940">
        <f t="shared" si="9"/>
        <v>1112.1732</v>
      </c>
      <c r="H66" s="1617">
        <f t="shared" si="10"/>
        <v>1056.5645399999999</v>
      </c>
    </row>
    <row r="67" spans="1:8" x14ac:dyDescent="0.25">
      <c r="A67" s="1749" t="s">
        <v>868</v>
      </c>
      <c r="B67" s="1747" t="str">
        <f t="shared" si="7"/>
        <v>Garlic - ثوم مقشر</v>
      </c>
      <c r="C67" s="947" t="str">
        <f t="shared" si="7"/>
        <v>gm</v>
      </c>
      <c r="D67" s="1618">
        <f t="shared" si="7"/>
        <v>25</v>
      </c>
      <c r="E67" s="1646">
        <f t="shared" ref="E67:E80" si="11">$C$53</f>
        <v>3.7072440000000002</v>
      </c>
      <c r="F67" s="1616">
        <f t="shared" si="8"/>
        <v>0.95</v>
      </c>
      <c r="G67" s="940">
        <f t="shared" si="9"/>
        <v>92.681100000000001</v>
      </c>
      <c r="H67" s="1617">
        <f t="shared" si="10"/>
        <v>88.047044999999997</v>
      </c>
    </row>
    <row r="68" spans="1:8" x14ac:dyDescent="0.25">
      <c r="A68" s="1749" t="s">
        <v>870</v>
      </c>
      <c r="B68" s="1747" t="str">
        <f t="shared" si="7"/>
        <v>Tomato - طماطم</v>
      </c>
      <c r="C68" s="947" t="str">
        <f t="shared" si="7"/>
        <v>gm</v>
      </c>
      <c r="D68" s="1618">
        <f t="shared" si="7"/>
        <v>600</v>
      </c>
      <c r="E68" s="1646">
        <f t="shared" si="11"/>
        <v>3.7072440000000002</v>
      </c>
      <c r="F68" s="1616">
        <f t="shared" si="8"/>
        <v>1</v>
      </c>
      <c r="G68" s="940">
        <f t="shared" si="9"/>
        <v>2224.3463999999999</v>
      </c>
      <c r="H68" s="1617">
        <f t="shared" si="10"/>
        <v>2224.3463999999999</v>
      </c>
    </row>
    <row r="69" spans="1:8" x14ac:dyDescent="0.25">
      <c r="A69" s="1749"/>
      <c r="B69" s="1747" t="str">
        <f t="shared" si="7"/>
        <v>Tomato Paste - صلصة طماطم</v>
      </c>
      <c r="C69" s="947" t="str">
        <f t="shared" si="7"/>
        <v>gm</v>
      </c>
      <c r="D69" s="1618">
        <f t="shared" si="7"/>
        <v>500</v>
      </c>
      <c r="E69" s="1646">
        <f t="shared" si="11"/>
        <v>3.7072440000000002</v>
      </c>
      <c r="F69" s="1616">
        <f t="shared" si="8"/>
        <v>1</v>
      </c>
      <c r="G69" s="940">
        <f t="shared" si="9"/>
        <v>1853.6220000000001</v>
      </c>
      <c r="H69" s="1617">
        <f t="shared" si="10"/>
        <v>1853.6220000000001</v>
      </c>
    </row>
    <row r="70" spans="1:8" x14ac:dyDescent="0.25">
      <c r="A70" s="1749"/>
      <c r="B70" s="1747" t="str">
        <f t="shared" si="7"/>
        <v>Black Pepper Powder - فلفل أسود مطحون</v>
      </c>
      <c r="C70" s="947" t="str">
        <f t="shared" si="7"/>
        <v>gm</v>
      </c>
      <c r="D70" s="1618">
        <f t="shared" si="7"/>
        <v>10</v>
      </c>
      <c r="E70" s="1646">
        <f t="shared" si="11"/>
        <v>3.7072440000000002</v>
      </c>
      <c r="F70" s="1616">
        <f t="shared" si="8"/>
        <v>0.75</v>
      </c>
      <c r="G70" s="940">
        <f t="shared" si="9"/>
        <v>37.07244</v>
      </c>
      <c r="H70" s="1617">
        <f t="shared" si="10"/>
        <v>27.80433</v>
      </c>
    </row>
    <row r="71" spans="1:8" x14ac:dyDescent="0.25">
      <c r="A71" s="1749"/>
      <c r="B71" s="1747" t="str">
        <f t="shared" si="7"/>
        <v>Cumin Powder - كمون مطحون</v>
      </c>
      <c r="C71" s="947" t="str">
        <f t="shared" si="7"/>
        <v>gm</v>
      </c>
      <c r="D71" s="1618">
        <f t="shared" si="7"/>
        <v>20</v>
      </c>
      <c r="E71" s="1646">
        <f t="shared" si="11"/>
        <v>3.7072440000000002</v>
      </c>
      <c r="F71" s="1616">
        <f t="shared" si="8"/>
        <v>1</v>
      </c>
      <c r="G71" s="940">
        <f t="shared" si="9"/>
        <v>74.144880000000001</v>
      </c>
      <c r="H71" s="1617">
        <f t="shared" si="10"/>
        <v>74.144880000000001</v>
      </c>
    </row>
    <row r="72" spans="1:8" x14ac:dyDescent="0.25">
      <c r="A72" s="1749"/>
      <c r="B72" s="1747" t="str">
        <f t="shared" si="7"/>
        <v>Coriander Powder - كزبرة مطحونة</v>
      </c>
      <c r="C72" s="947" t="str">
        <f t="shared" si="7"/>
        <v>gm</v>
      </c>
      <c r="D72" s="1618">
        <f t="shared" si="7"/>
        <v>20</v>
      </c>
      <c r="E72" s="1646">
        <f t="shared" si="11"/>
        <v>3.7072440000000002</v>
      </c>
      <c r="F72" s="1616">
        <f t="shared" si="8"/>
        <v>1</v>
      </c>
      <c r="G72" s="940">
        <f t="shared" si="9"/>
        <v>74.144880000000001</v>
      </c>
      <c r="H72" s="1617">
        <f t="shared" si="10"/>
        <v>74.144880000000001</v>
      </c>
    </row>
    <row r="73" spans="1:8" x14ac:dyDescent="0.25">
      <c r="A73" s="1749"/>
      <c r="B73" s="1747" t="str">
        <f t="shared" si="7"/>
        <v>Cinnamon Powder - قرفة مطحونة</v>
      </c>
      <c r="C73" s="947" t="str">
        <f t="shared" si="7"/>
        <v>gm</v>
      </c>
      <c r="D73" s="1618">
        <f t="shared" si="7"/>
        <v>10</v>
      </c>
      <c r="E73" s="1646">
        <f t="shared" si="11"/>
        <v>3.7072440000000002</v>
      </c>
      <c r="F73" s="1616">
        <f t="shared" si="8"/>
        <v>0.75</v>
      </c>
      <c r="G73" s="940">
        <f t="shared" si="9"/>
        <v>37.07244</v>
      </c>
      <c r="H73" s="1617">
        <f t="shared" si="10"/>
        <v>27.80433</v>
      </c>
    </row>
    <row r="74" spans="1:8" x14ac:dyDescent="0.25">
      <c r="A74" s="1749"/>
      <c r="B74" s="1747" t="str">
        <f t="shared" si="7"/>
        <v>Maggi Cubes - مكعبات ماجي</v>
      </c>
      <c r="C74" s="947" t="str">
        <f t="shared" si="7"/>
        <v>gm</v>
      </c>
      <c r="D74" s="1618">
        <f t="shared" si="7"/>
        <v>15</v>
      </c>
      <c r="E74" s="1646">
        <f t="shared" si="11"/>
        <v>3.7072440000000002</v>
      </c>
      <c r="F74" s="1616">
        <f t="shared" si="8"/>
        <v>0.75</v>
      </c>
      <c r="G74" s="940">
        <f t="shared" si="9"/>
        <v>55.60866</v>
      </c>
      <c r="H74" s="1617">
        <f t="shared" si="10"/>
        <v>41.706495000000004</v>
      </c>
    </row>
    <row r="75" spans="1:8" x14ac:dyDescent="0.25">
      <c r="A75" s="1749"/>
      <c r="B75" s="1747" t="str">
        <f t="shared" si="7"/>
        <v>Salt - ملح</v>
      </c>
      <c r="C75" s="947" t="str">
        <f t="shared" si="7"/>
        <v>gm</v>
      </c>
      <c r="D75" s="1618">
        <f t="shared" si="7"/>
        <v>5</v>
      </c>
      <c r="E75" s="1646">
        <f t="shared" si="11"/>
        <v>3.7072440000000002</v>
      </c>
      <c r="F75" s="1616">
        <f t="shared" si="8"/>
        <v>0.75</v>
      </c>
      <c r="G75" s="940">
        <f t="shared" si="9"/>
        <v>18.53622</v>
      </c>
      <c r="H75" s="1617">
        <f t="shared" si="10"/>
        <v>13.902165</v>
      </c>
    </row>
    <row r="76" spans="1:8" x14ac:dyDescent="0.25">
      <c r="A76" s="1749" t="s">
        <v>884</v>
      </c>
      <c r="B76" s="1747" t="str">
        <f t="shared" si="7"/>
        <v>Basil - ريحان</v>
      </c>
      <c r="C76" s="947" t="str">
        <f t="shared" si="7"/>
        <v>gm</v>
      </c>
      <c r="D76" s="1618">
        <f t="shared" si="7"/>
        <v>5</v>
      </c>
      <c r="E76" s="1646">
        <f t="shared" si="11"/>
        <v>3.7072440000000002</v>
      </c>
      <c r="F76" s="1616">
        <f t="shared" si="8"/>
        <v>0.75</v>
      </c>
      <c r="G76" s="940">
        <f t="shared" si="9"/>
        <v>18.53622</v>
      </c>
      <c r="H76" s="1617">
        <f t="shared" si="10"/>
        <v>13.902165</v>
      </c>
    </row>
    <row r="77" spans="1:8" x14ac:dyDescent="0.25">
      <c r="A77" s="1749"/>
      <c r="B77" s="1747" t="str">
        <f t="shared" si="7"/>
        <v>Parmesan Cheese Powder - بديل البارميزان</v>
      </c>
      <c r="C77" s="947" t="str">
        <f t="shared" si="7"/>
        <v>gm</v>
      </c>
      <c r="D77" s="1618">
        <f t="shared" si="7"/>
        <v>100</v>
      </c>
      <c r="E77" s="1646">
        <f t="shared" si="11"/>
        <v>3.7072440000000002</v>
      </c>
      <c r="F77" s="1616">
        <f t="shared" si="8"/>
        <v>1</v>
      </c>
      <c r="G77" s="940">
        <f t="shared" si="9"/>
        <v>370.7244</v>
      </c>
      <c r="H77" s="1617">
        <f t="shared" si="10"/>
        <v>370.7244</v>
      </c>
    </row>
    <row r="78" spans="1:8" x14ac:dyDescent="0.25">
      <c r="A78" s="1749"/>
      <c r="B78" s="1747" t="str">
        <f t="shared" si="7"/>
        <v>Orange Color - لون برتقالي</v>
      </c>
      <c r="C78" s="947" t="str">
        <f t="shared" si="7"/>
        <v>gm</v>
      </c>
      <c r="D78" s="1618">
        <f t="shared" si="7"/>
        <v>1</v>
      </c>
      <c r="E78" s="1646">
        <f t="shared" si="11"/>
        <v>3.7072440000000002</v>
      </c>
      <c r="F78" s="1616">
        <f t="shared" si="8"/>
        <v>1</v>
      </c>
      <c r="G78" s="940">
        <f t="shared" si="9"/>
        <v>3.7072440000000002</v>
      </c>
      <c r="H78" s="1617">
        <f t="shared" si="10"/>
        <v>3.7072440000000002</v>
      </c>
    </row>
    <row r="79" spans="1:8" x14ac:dyDescent="0.25">
      <c r="A79" s="1749"/>
      <c r="B79" s="1747" t="str">
        <f t="shared" si="7"/>
        <v>Butter - زبدة</v>
      </c>
      <c r="C79" s="947" t="str">
        <f t="shared" si="7"/>
        <v>gm</v>
      </c>
      <c r="D79" s="1618">
        <f t="shared" si="7"/>
        <v>40</v>
      </c>
      <c r="E79" s="1646">
        <f t="shared" si="11"/>
        <v>3.7072440000000002</v>
      </c>
      <c r="F79" s="1616">
        <f t="shared" si="8"/>
        <v>1</v>
      </c>
      <c r="G79" s="940">
        <f t="shared" si="9"/>
        <v>148.28976</v>
      </c>
      <c r="H79" s="1617">
        <f t="shared" si="10"/>
        <v>148.28976</v>
      </c>
    </row>
    <row r="80" spans="1:8" x14ac:dyDescent="0.25">
      <c r="A80" s="1749"/>
      <c r="B80" s="1747" t="str">
        <f t="shared" si="7"/>
        <v>Mozzarella Cheese - جبنة موتزاريلا</v>
      </c>
      <c r="C80" s="947" t="str">
        <f t="shared" si="7"/>
        <v>gm</v>
      </c>
      <c r="D80" s="1618">
        <f t="shared" si="7"/>
        <v>100</v>
      </c>
      <c r="E80" s="1646">
        <f t="shared" si="11"/>
        <v>3.7072440000000002</v>
      </c>
      <c r="F80" s="1616">
        <f t="shared" si="8"/>
        <v>1</v>
      </c>
      <c r="G80" s="940">
        <f t="shared" si="9"/>
        <v>370.7244</v>
      </c>
      <c r="H80" s="1617">
        <f t="shared" si="10"/>
        <v>370.7244</v>
      </c>
    </row>
    <row r="81" spans="1:8" ht="18" x14ac:dyDescent="0.25">
      <c r="A81" s="861"/>
      <c r="B81" s="1622" t="s">
        <v>287</v>
      </c>
      <c r="C81" s="1042" t="s">
        <v>273</v>
      </c>
      <c r="D81" s="952"/>
      <c r="E81" s="1042" t="s">
        <v>288</v>
      </c>
      <c r="F81" s="952"/>
      <c r="G81" s="1045" t="s">
        <v>264</v>
      </c>
      <c r="H81" s="1045" t="s">
        <v>661</v>
      </c>
    </row>
    <row r="82" spans="1:8" ht="20.25" x14ac:dyDescent="0.3">
      <c r="A82" s="861"/>
      <c r="B82" s="1048">
        <f>$J$53</f>
        <v>6732.7560000000003</v>
      </c>
      <c r="C82" s="1048">
        <f>E82+G82</f>
        <v>3707.2440000000001</v>
      </c>
      <c r="D82" s="1629"/>
      <c r="E82" s="1048">
        <f>$D$53*$S$44</f>
        <v>3707.2440000000001</v>
      </c>
      <c r="F82" s="1050"/>
      <c r="G82" s="1048">
        <f>$D$53*$T$44</f>
        <v>0</v>
      </c>
      <c r="H82" s="1048">
        <f>B82+E82</f>
        <v>10440</v>
      </c>
    </row>
  </sheetData>
  <mergeCells count="7">
    <mergeCell ref="AE2:AG3"/>
    <mergeCell ref="B63:H63"/>
    <mergeCell ref="R26:U26"/>
    <mergeCell ref="R25:U25"/>
    <mergeCell ref="B62:H62"/>
    <mergeCell ref="B2:K3"/>
    <mergeCell ref="B35:F35"/>
  </mergeCells>
  <printOptions horizontalCentered="1"/>
  <pageMargins left="0.5" right="0.5" top="1" bottom="0.5" header="0.3" footer="0.511811023622047"/>
  <pageSetup paperSize="9" scale="31"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4">
    <tabColor rgb="FFC55A11"/>
    <pageSetUpPr fitToPage="1"/>
  </sheetPr>
  <dimension ref="A1:AG169"/>
  <sheetViews>
    <sheetView topLeftCell="A16" zoomScale="55" zoomScaleNormal="55" workbookViewId="0">
      <selection activeCell="E42" sqref="E42"/>
    </sheetView>
  </sheetViews>
  <sheetFormatPr defaultColWidth="12.5" defaultRowHeight="15" x14ac:dyDescent="0.25"/>
  <cols>
    <col min="1" max="1" width="14.75" style="61" bestFit="1" customWidth="1"/>
    <col min="2" max="2" width="32.75" style="14" bestFit="1" customWidth="1"/>
    <col min="3" max="3" width="16" style="14" bestFit="1" customWidth="1"/>
    <col min="4" max="4" width="15.375" style="14" bestFit="1" customWidth="1"/>
    <col min="5" max="5" width="16" style="14" bestFit="1" customWidth="1"/>
    <col min="6" max="6" width="14.25" style="14" bestFit="1" customWidth="1"/>
    <col min="7" max="7" width="19.125" style="14" bestFit="1" customWidth="1"/>
    <col min="8" max="8" width="33.75" style="14" bestFit="1" customWidth="1"/>
    <col min="9" max="9" width="10.25" style="14" bestFit="1" customWidth="1"/>
    <col min="10" max="10" width="14.875" style="14" bestFit="1" customWidth="1"/>
    <col min="11" max="11" width="8.625" style="14" bestFit="1" customWidth="1"/>
    <col min="12" max="12" width="6.75" style="14" bestFit="1" customWidth="1"/>
    <col min="13" max="14" width="7.875" style="14" customWidth="1"/>
    <col min="15" max="15" width="14.5" style="14" bestFit="1" customWidth="1"/>
    <col min="16" max="16" width="3.625" style="14" bestFit="1" customWidth="1"/>
    <col min="17" max="17" width="12.125" style="14" bestFit="1" customWidth="1"/>
    <col min="18" max="18" width="32" style="14" bestFit="1" customWidth="1"/>
    <col min="19" max="19" width="8.25" style="14" customWidth="1"/>
    <col min="20" max="20" width="7.5" style="14" bestFit="1" customWidth="1"/>
    <col min="21" max="21" width="8.125" style="14" bestFit="1" customWidth="1"/>
    <col min="22" max="24" width="12.5" style="14"/>
    <col min="25" max="25" width="6.625" style="14" bestFit="1" customWidth="1"/>
    <col min="26" max="26" width="6.25" style="14" bestFit="1" customWidth="1"/>
    <col min="27" max="27" width="6" style="14" bestFit="1" customWidth="1"/>
    <col min="28" max="28" width="4.875" style="14" bestFit="1" customWidth="1"/>
    <col min="29" max="29" width="5.875" style="14" bestFit="1" customWidth="1"/>
    <col min="30" max="30" width="3.625" style="14" bestFit="1" customWidth="1"/>
    <col min="31" max="16384" width="12.5" style="14"/>
  </cols>
  <sheetData>
    <row r="1" spans="1:33" ht="25.5" x14ac:dyDescent="0.25">
      <c r="B1" s="843" t="s">
        <v>231</v>
      </c>
      <c r="C1" s="63">
        <v>1000</v>
      </c>
      <c r="D1" s="64" t="s">
        <v>232</v>
      </c>
      <c r="E1" s="84">
        <f>T32</f>
        <v>48331.927068723693</v>
      </c>
      <c r="F1" s="62" t="s">
        <v>233</v>
      </c>
      <c r="G1" s="63">
        <f>E1/C1</f>
        <v>48.331927068723694</v>
      </c>
      <c r="H1" s="62" t="s">
        <v>234</v>
      </c>
      <c r="I1" s="185">
        <f>G1/K1</f>
        <v>48.331927068723694</v>
      </c>
      <c r="J1" s="68" t="s">
        <v>235</v>
      </c>
      <c r="K1" s="80">
        <v>1</v>
      </c>
      <c r="L1" s="80"/>
      <c r="M1" s="70"/>
      <c r="N1" s="71"/>
      <c r="O1" s="72" t="s">
        <v>236</v>
      </c>
      <c r="P1" s="73" t="s">
        <v>289</v>
      </c>
      <c r="Q1" s="74" t="s">
        <v>238</v>
      </c>
      <c r="R1" s="73">
        <v>0.51</v>
      </c>
      <c r="Y1" s="72" t="s">
        <v>444</v>
      </c>
      <c r="Z1" s="422">
        <v>107600</v>
      </c>
      <c r="AA1" s="72" t="s">
        <v>544</v>
      </c>
      <c r="AB1" s="422">
        <v>1000</v>
      </c>
      <c r="AC1" s="72" t="s">
        <v>537</v>
      </c>
      <c r="AD1" s="422">
        <v>352</v>
      </c>
    </row>
    <row r="2" spans="1:33" ht="15.75" x14ac:dyDescent="0.25">
      <c r="A2" s="863"/>
      <c r="B2" s="1828" t="s">
        <v>440</v>
      </c>
      <c r="C2" s="1865"/>
      <c r="D2" s="1865"/>
      <c r="E2" s="1865"/>
      <c r="F2" s="1865"/>
      <c r="G2" s="1865"/>
      <c r="H2" s="1865"/>
      <c r="I2" s="296"/>
      <c r="J2" s="296"/>
      <c r="K2" s="297"/>
      <c r="L2" s="187"/>
      <c r="M2" s="80"/>
      <c r="N2" s="80"/>
      <c r="O2" s="80"/>
      <c r="P2" s="80"/>
      <c r="Q2" s="80"/>
      <c r="R2" s="80"/>
      <c r="AE2" s="1821"/>
      <c r="AF2" s="1799"/>
      <c r="AG2" s="1799"/>
    </row>
    <row r="3" spans="1:33" ht="15.75" x14ac:dyDescent="0.25">
      <c r="A3" s="863"/>
      <c r="B3" s="1796"/>
      <c r="C3" s="1796"/>
      <c r="D3" s="1796"/>
      <c r="E3" s="1796"/>
      <c r="F3" s="1796"/>
      <c r="G3" s="1796"/>
      <c r="H3" s="1796"/>
      <c r="I3" s="265"/>
      <c r="J3" s="265"/>
      <c r="K3" s="269"/>
      <c r="L3" s="187"/>
      <c r="M3" s="80"/>
      <c r="N3" s="80"/>
      <c r="O3" s="80"/>
      <c r="P3" s="80"/>
      <c r="Q3" s="80"/>
      <c r="R3" s="80"/>
      <c r="AE3" s="1799"/>
      <c r="AF3" s="1799"/>
      <c r="AG3" s="1799"/>
    </row>
    <row r="4" spans="1:33" ht="38.25" x14ac:dyDescent="0.2">
      <c r="A4" s="1350" t="s">
        <v>864</v>
      </c>
      <c r="B4" s="923" t="s">
        <v>241</v>
      </c>
      <c r="C4" s="934" t="s">
        <v>242</v>
      </c>
      <c r="D4" s="923" t="s">
        <v>231</v>
      </c>
      <c r="E4" s="936" t="s">
        <v>234</v>
      </c>
      <c r="F4" s="935" t="s">
        <v>243</v>
      </c>
      <c r="G4" s="923" t="s">
        <v>244</v>
      </c>
      <c r="H4" s="936" t="s">
        <v>245</v>
      </c>
      <c r="I4" s="923" t="s">
        <v>246</v>
      </c>
      <c r="J4" s="923" t="s">
        <v>247</v>
      </c>
      <c r="K4" s="923" t="s">
        <v>248</v>
      </c>
      <c r="L4" s="923" t="s">
        <v>249</v>
      </c>
      <c r="M4" s="80"/>
      <c r="N4" s="80"/>
      <c r="O4" s="80"/>
      <c r="P4" s="80"/>
    </row>
    <row r="5" spans="1:33" x14ac:dyDescent="0.2">
      <c r="A5" s="1699"/>
      <c r="B5" s="1252" t="s">
        <v>441</v>
      </c>
      <c r="C5" s="947" t="s">
        <v>14</v>
      </c>
      <c r="D5" s="1618">
        <v>154</v>
      </c>
      <c r="E5" s="1621">
        <f t="shared" ref="E5:E13" si="0">$G$1</f>
        <v>48.331927068723694</v>
      </c>
      <c r="F5" s="1616">
        <v>1</v>
      </c>
      <c r="G5" s="944">
        <f t="shared" ref="G5:G13" si="1">D5*E5</f>
        <v>7443.1167685834489</v>
      </c>
      <c r="H5" s="1617">
        <f t="shared" ref="H5:H13" si="2">G5*F5</f>
        <v>7443.1167685834489</v>
      </c>
      <c r="I5" s="914">
        <f>VLOOKUP(B5,All_Ingredients!$A$1:$F$161,6,FALSE())</f>
        <v>1</v>
      </c>
      <c r="J5" s="940">
        <f>VLOOKUP(B5,All_Ingredients!$A$1:$J$161,10,FALSE())</f>
        <v>30.2863436123348</v>
      </c>
      <c r="K5" s="945">
        <f t="shared" ref="K5" si="3">(H5/I5)/1000</f>
        <v>7.4431167685834492</v>
      </c>
      <c r="L5" s="945">
        <f t="shared" ref="L5" si="4">K5*J5</f>
        <v>225.42479200004939</v>
      </c>
      <c r="M5" s="80"/>
      <c r="N5" s="80"/>
      <c r="O5" s="80"/>
      <c r="P5" s="80"/>
    </row>
    <row r="6" spans="1:33" x14ac:dyDescent="0.25">
      <c r="A6" s="949"/>
      <c r="B6" s="1252" t="s">
        <v>159</v>
      </c>
      <c r="C6" s="947" t="s">
        <v>14</v>
      </c>
      <c r="D6" s="1618">
        <v>212</v>
      </c>
      <c r="E6" s="1621">
        <f t="shared" si="0"/>
        <v>48.331927068723694</v>
      </c>
      <c r="F6" s="1616">
        <v>1</v>
      </c>
      <c r="G6" s="940">
        <f t="shared" si="1"/>
        <v>10246.368538569423</v>
      </c>
      <c r="H6" s="1617">
        <f t="shared" si="2"/>
        <v>10246.368538569423</v>
      </c>
      <c r="I6" s="914">
        <f>VLOOKUP(B6,All_Ingredients!$A$1:$F$161,6,FALSE())</f>
        <v>1</v>
      </c>
      <c r="J6" s="940">
        <f>VLOOKUP(B6,All_Ingredients!$A$1:$J$161,10,FALSE())</f>
        <v>4.2033333333333331</v>
      </c>
      <c r="K6" s="945">
        <f t="shared" ref="K6:K13" si="5">(H6/I6)/1000</f>
        <v>10.246368538569422</v>
      </c>
      <c r="L6" s="945">
        <f t="shared" ref="L6:L13" si="6">K6*J6</f>
        <v>43.068902423786803</v>
      </c>
    </row>
    <row r="7" spans="1:33" x14ac:dyDescent="0.25">
      <c r="A7" s="949"/>
      <c r="B7" s="1252" t="s">
        <v>166</v>
      </c>
      <c r="C7" s="947" t="s">
        <v>160</v>
      </c>
      <c r="D7" s="1618">
        <v>212</v>
      </c>
      <c r="E7" s="1627">
        <f t="shared" si="0"/>
        <v>48.331927068723694</v>
      </c>
      <c r="F7" s="1616">
        <v>1</v>
      </c>
      <c r="G7" s="940">
        <f t="shared" si="1"/>
        <v>10246.368538569423</v>
      </c>
      <c r="H7" s="1617">
        <f t="shared" si="2"/>
        <v>10246.368538569423</v>
      </c>
      <c r="I7" s="914">
        <f>VLOOKUP(B7,All_Ingredients!$A$1:$F$161,6,FALSE())</f>
        <v>1</v>
      </c>
      <c r="J7" s="940">
        <f>VLOOKUP(B7,All_Ingredients!$A$1:$J$161,10,FALSE())</f>
        <v>12.666666666666666</v>
      </c>
      <c r="K7" s="945">
        <f t="shared" si="5"/>
        <v>10.246368538569422</v>
      </c>
      <c r="L7" s="945">
        <f t="shared" si="6"/>
        <v>129.78733482187934</v>
      </c>
    </row>
    <row r="8" spans="1:33" x14ac:dyDescent="0.25">
      <c r="A8" s="949"/>
      <c r="B8" s="1252" t="s">
        <v>152</v>
      </c>
      <c r="C8" s="947" t="s">
        <v>14</v>
      </c>
      <c r="D8" s="1618">
        <v>9.3000000000000007</v>
      </c>
      <c r="E8" s="1627">
        <f t="shared" si="0"/>
        <v>48.331927068723694</v>
      </c>
      <c r="F8" s="1616">
        <v>1</v>
      </c>
      <c r="G8" s="944">
        <f t="shared" si="1"/>
        <v>449.48692173913037</v>
      </c>
      <c r="H8" s="1617">
        <f t="shared" si="2"/>
        <v>449.48692173913037</v>
      </c>
      <c r="I8" s="914">
        <f>VLOOKUP(B8,All_Ingredients!$A$1:$F$161,6,FALSE())</f>
        <v>1</v>
      </c>
      <c r="J8" s="940">
        <f>VLOOKUP(B8,All_Ingredients!$A$1:$J$161,10,FALSE())</f>
        <v>30</v>
      </c>
      <c r="K8" s="945">
        <f t="shared" si="5"/>
        <v>0.44948692173913035</v>
      </c>
      <c r="L8" s="945">
        <f t="shared" si="6"/>
        <v>13.48460765217391</v>
      </c>
    </row>
    <row r="9" spans="1:33" x14ac:dyDescent="0.25">
      <c r="A9" s="949"/>
      <c r="B9" s="1252" t="s">
        <v>185</v>
      </c>
      <c r="C9" s="947" t="s">
        <v>14</v>
      </c>
      <c r="D9" s="1618">
        <v>33</v>
      </c>
      <c r="E9" s="1627">
        <f t="shared" si="0"/>
        <v>48.331927068723694</v>
      </c>
      <c r="F9" s="1616">
        <v>1</v>
      </c>
      <c r="G9" s="944">
        <f t="shared" si="1"/>
        <v>1594.9535932678818</v>
      </c>
      <c r="H9" s="1617">
        <f t="shared" si="2"/>
        <v>1594.9535932678818</v>
      </c>
      <c r="I9" s="914">
        <f>VLOOKUP(B9,All_Ingredients!$A$1:$F$161,6,FALSE())</f>
        <v>1</v>
      </c>
      <c r="J9" s="940">
        <f>VLOOKUP(B9,All_Ingredients!$A$1:$J$161,10,FALSE())</f>
        <v>1.7</v>
      </c>
      <c r="K9" s="945">
        <f t="shared" si="5"/>
        <v>1.5949535932678818</v>
      </c>
      <c r="L9" s="945">
        <f t="shared" si="6"/>
        <v>2.711421108555399</v>
      </c>
    </row>
    <row r="10" spans="1:33" x14ac:dyDescent="0.25">
      <c r="A10" s="949"/>
      <c r="B10" s="1252" t="s">
        <v>139</v>
      </c>
      <c r="C10" s="947" t="s">
        <v>14</v>
      </c>
      <c r="D10" s="1618">
        <v>18.600000000000001</v>
      </c>
      <c r="E10" s="1627">
        <f t="shared" si="0"/>
        <v>48.331927068723694</v>
      </c>
      <c r="F10" s="1616">
        <v>1</v>
      </c>
      <c r="G10" s="944">
        <f t="shared" si="1"/>
        <v>898.97384347826073</v>
      </c>
      <c r="H10" s="1617">
        <f t="shared" si="2"/>
        <v>898.97384347826073</v>
      </c>
      <c r="I10" s="914">
        <f>VLOOKUP(B10,All_Ingredients!$A$1:$F$161,6,FALSE())</f>
        <v>1</v>
      </c>
      <c r="J10" s="940">
        <f>VLOOKUP(B10,All_Ingredients!$A$1:$J$161,10,FALSE())</f>
        <v>15.277777777777779</v>
      </c>
      <c r="K10" s="945">
        <f t="shared" si="5"/>
        <v>0.8989738434782607</v>
      </c>
      <c r="L10" s="945">
        <f t="shared" si="6"/>
        <v>13.734322608695651</v>
      </c>
    </row>
    <row r="11" spans="1:33" x14ac:dyDescent="0.25">
      <c r="A11" s="949"/>
      <c r="B11" s="1252" t="s">
        <v>101</v>
      </c>
      <c r="C11" s="947" t="s">
        <v>14</v>
      </c>
      <c r="D11" s="1621">
        <v>0.6</v>
      </c>
      <c r="E11" s="1627">
        <f t="shared" si="0"/>
        <v>48.331927068723694</v>
      </c>
      <c r="F11" s="1616">
        <v>1</v>
      </c>
      <c r="G11" s="944">
        <f t="shared" si="1"/>
        <v>28.999156241234214</v>
      </c>
      <c r="H11" s="1617">
        <f t="shared" si="2"/>
        <v>28.999156241234214</v>
      </c>
      <c r="I11" s="914">
        <f>VLOOKUP(B11,All_Ingredients!$A$1:$F$161,6,FALSE())</f>
        <v>1</v>
      </c>
      <c r="J11" s="940">
        <f>VLOOKUP(B11,All_Ingredients!$A$1:$J$161,10,FALSE())</f>
        <v>47</v>
      </c>
      <c r="K11" s="945">
        <f t="shared" si="5"/>
        <v>2.8999156241234215E-2</v>
      </c>
      <c r="L11" s="945">
        <f t="shared" si="6"/>
        <v>1.3629603433380082</v>
      </c>
      <c r="R11" s="80"/>
    </row>
    <row r="12" spans="1:33" x14ac:dyDescent="0.25">
      <c r="A12" s="949"/>
      <c r="B12" s="1252" t="s">
        <v>93</v>
      </c>
      <c r="C12" s="947" t="s">
        <v>14</v>
      </c>
      <c r="D12" s="1618">
        <v>5</v>
      </c>
      <c r="E12" s="1627">
        <f t="shared" si="0"/>
        <v>48.331927068723694</v>
      </c>
      <c r="F12" s="1616">
        <v>1</v>
      </c>
      <c r="G12" s="944">
        <f t="shared" si="1"/>
        <v>241.65963534361848</v>
      </c>
      <c r="H12" s="1617">
        <f t="shared" si="2"/>
        <v>241.65963534361848</v>
      </c>
      <c r="I12" s="914">
        <f>VLOOKUP(B12,All_Ingredients!$A$1:$F$161,6,FALSE())</f>
        <v>1</v>
      </c>
      <c r="J12" s="940">
        <f>VLOOKUP(B12,All_Ingredients!$A$1:$J$161,10,FALSE())</f>
        <v>0.74</v>
      </c>
      <c r="K12" s="945">
        <f t="shared" si="5"/>
        <v>0.24165963534361848</v>
      </c>
      <c r="L12" s="945">
        <f t="shared" si="6"/>
        <v>0.17882813015427768</v>
      </c>
      <c r="R12" s="80"/>
    </row>
    <row r="13" spans="1:33" x14ac:dyDescent="0.25">
      <c r="A13" s="949"/>
      <c r="B13" s="1252" t="s">
        <v>172</v>
      </c>
      <c r="C13" s="947" t="s">
        <v>14</v>
      </c>
      <c r="D13" s="939">
        <v>310</v>
      </c>
      <c r="E13" s="1627">
        <f t="shared" si="0"/>
        <v>48.331927068723694</v>
      </c>
      <c r="F13" s="1616">
        <v>1</v>
      </c>
      <c r="G13" s="944">
        <f t="shared" si="1"/>
        <v>14982.897391304345</v>
      </c>
      <c r="H13" s="1617">
        <f t="shared" si="2"/>
        <v>14982.897391304345</v>
      </c>
      <c r="I13" s="914">
        <f>VLOOKUP(B13,All_Ingredients!$A$1:$F$161,6,FALSE())</f>
        <v>1</v>
      </c>
      <c r="J13" s="940">
        <f>VLOOKUP(B13,All_Ingredients!$A$1:$J$161,10,FALSE())</f>
        <v>17.934782608695652</v>
      </c>
      <c r="K13" s="945">
        <f t="shared" si="5"/>
        <v>14.982897391304345</v>
      </c>
      <c r="L13" s="945">
        <f t="shared" si="6"/>
        <v>268.71500756143661</v>
      </c>
      <c r="P13" s="80"/>
      <c r="R13" s="300"/>
    </row>
    <row r="22" spans="18:29" x14ac:dyDescent="0.25">
      <c r="R22" s="80"/>
      <c r="S22" s="301"/>
      <c r="T22" s="314">
        <f>U28/U23</f>
        <v>0.43988779803646555</v>
      </c>
    </row>
    <row r="23" spans="18:29" x14ac:dyDescent="0.25">
      <c r="T23" s="217" t="s">
        <v>444</v>
      </c>
      <c r="U23" s="243">
        <f>$Z$1</f>
        <v>107600</v>
      </c>
    </row>
    <row r="25" spans="18:29" x14ac:dyDescent="0.25">
      <c r="R25" s="1897" t="s">
        <v>440</v>
      </c>
      <c r="S25" s="1850"/>
      <c r="T25" s="1850"/>
      <c r="U25" s="1850"/>
      <c r="Z25" s="96" t="s">
        <v>252</v>
      </c>
      <c r="AA25" s="97">
        <v>1</v>
      </c>
      <c r="AB25" s="96" t="s">
        <v>249</v>
      </c>
      <c r="AC25" s="98">
        <f>(T35/T32)*AA25</f>
        <v>1.4451486191661877E-2</v>
      </c>
    </row>
    <row r="26" spans="18:29" x14ac:dyDescent="0.25">
      <c r="R26" s="1897" t="s">
        <v>356</v>
      </c>
      <c r="S26" s="1850"/>
      <c r="T26" s="1850"/>
      <c r="U26" s="1850"/>
    </row>
    <row r="27" spans="18:29" x14ac:dyDescent="0.25">
      <c r="R27" s="100" t="s">
        <v>254</v>
      </c>
      <c r="S27" s="101" t="s">
        <v>351</v>
      </c>
      <c r="T27" s="101" t="s">
        <v>256</v>
      </c>
      <c r="U27" s="101" t="s">
        <v>257</v>
      </c>
    </row>
    <row r="28" spans="18:29" x14ac:dyDescent="0.25">
      <c r="R28" s="103" t="s">
        <v>263</v>
      </c>
      <c r="S28" s="104"/>
      <c r="T28" s="682">
        <f>U28-S28</f>
        <v>47331.927068723693</v>
      </c>
      <c r="U28" s="682">
        <f>U23-'Beef Lasagne Sauce'!U28</f>
        <v>47331.927068723693</v>
      </c>
    </row>
    <row r="29" spans="18:29" x14ac:dyDescent="0.25">
      <c r="R29" s="103" t="s">
        <v>264</v>
      </c>
      <c r="S29" s="109"/>
      <c r="T29" s="682"/>
      <c r="U29" s="682">
        <f>T29</f>
        <v>0</v>
      </c>
    </row>
    <row r="30" spans="18:29" x14ac:dyDescent="0.25">
      <c r="R30" s="103" t="s">
        <v>265</v>
      </c>
      <c r="S30" s="109"/>
      <c r="T30" s="665">
        <f>$AB$1</f>
        <v>1000</v>
      </c>
      <c r="U30" s="684">
        <f>T30</f>
        <v>1000</v>
      </c>
    </row>
    <row r="31" spans="18:29" x14ac:dyDescent="0.25">
      <c r="R31" s="103" t="s">
        <v>267</v>
      </c>
      <c r="S31" s="109"/>
      <c r="T31" s="682"/>
      <c r="U31" s="682"/>
    </row>
    <row r="32" spans="18:29" x14ac:dyDescent="0.25">
      <c r="R32" s="114" t="s">
        <v>257</v>
      </c>
      <c r="S32" s="104">
        <f>SUM(S28:S30)</f>
        <v>0</v>
      </c>
      <c r="T32" s="104">
        <f>SUM(T28:T30)</f>
        <v>48331.927068723693</v>
      </c>
      <c r="U32" s="104">
        <f>SUM(U28:U30)</f>
        <v>48331.927068723693</v>
      </c>
    </row>
    <row r="33" spans="18:21" x14ac:dyDescent="0.25">
      <c r="R33" s="115" t="s">
        <v>268</v>
      </c>
      <c r="S33" s="109"/>
      <c r="T33" s="109"/>
      <c r="U33" s="104">
        <f>F75</f>
        <v>0</v>
      </c>
    </row>
    <row r="34" spans="18:21" x14ac:dyDescent="0.25">
      <c r="R34" s="116" t="s">
        <v>269</v>
      </c>
      <c r="S34" s="109"/>
      <c r="T34" s="104"/>
      <c r="U34" s="104">
        <f>U33-(U28+U29)</f>
        <v>-47331.927068723693</v>
      </c>
    </row>
    <row r="35" spans="18:21" x14ac:dyDescent="0.25">
      <c r="R35" s="117" t="s">
        <v>249</v>
      </c>
      <c r="S35" s="548"/>
      <c r="T35" s="548">
        <f>SUM(L5:L13)</f>
        <v>698.46817665006938</v>
      </c>
      <c r="U35" s="548">
        <f>S35+T35</f>
        <v>698.46817665006938</v>
      </c>
    </row>
    <row r="50" spans="1:10" x14ac:dyDescent="0.25">
      <c r="B50" s="181"/>
      <c r="C50" s="100" t="s">
        <v>233</v>
      </c>
      <c r="D50" s="100" t="s">
        <v>279</v>
      </c>
      <c r="G50" s="962" t="s">
        <v>280</v>
      </c>
      <c r="H50" s="961" t="s">
        <v>233</v>
      </c>
      <c r="I50" s="962" t="s">
        <v>497</v>
      </c>
      <c r="J50" s="962" t="s">
        <v>496</v>
      </c>
    </row>
    <row r="51" spans="1:10" x14ac:dyDescent="0.25">
      <c r="B51" s="844" t="s">
        <v>283</v>
      </c>
      <c r="C51" s="133">
        <f>10/$K$1</f>
        <v>10</v>
      </c>
      <c r="D51" s="134">
        <f>$C$1*10</f>
        <v>10000</v>
      </c>
      <c r="G51" s="1033" t="s">
        <v>283</v>
      </c>
      <c r="H51" s="1122">
        <v>10</v>
      </c>
      <c r="I51" s="1028">
        <f>J51/$R$1</f>
        <v>0</v>
      </c>
      <c r="J51" s="1028">
        <f>$W$44</f>
        <v>0</v>
      </c>
    </row>
    <row r="52" spans="1:10" x14ac:dyDescent="0.25">
      <c r="B52" s="181" t="s">
        <v>262</v>
      </c>
      <c r="C52" s="137">
        <f>I1</f>
        <v>48.331927068723694</v>
      </c>
      <c r="D52" s="137">
        <f>E1</f>
        <v>48331.927068723693</v>
      </c>
      <c r="G52" s="962" t="s">
        <v>262</v>
      </c>
      <c r="H52" s="1384">
        <f>I52/$D$5</f>
        <v>0</v>
      </c>
      <c r="I52" s="1021">
        <f>J52/$R$1</f>
        <v>0</v>
      </c>
      <c r="J52" s="1030">
        <f>$S$32</f>
        <v>0</v>
      </c>
    </row>
    <row r="53" spans="1:10" x14ac:dyDescent="0.25">
      <c r="B53" s="181" t="s">
        <v>284</v>
      </c>
      <c r="C53" s="299">
        <f>MIN($C$52, C51)</f>
        <v>10</v>
      </c>
      <c r="D53" s="137">
        <f t="shared" ref="D53:D59" si="7">(C53*$K$1)*$C$1</f>
        <v>10000</v>
      </c>
      <c r="G53" s="962" t="s">
        <v>284</v>
      </c>
      <c r="H53" s="1035">
        <f>MIN(H52,H51)</f>
        <v>0</v>
      </c>
      <c r="I53" s="1021">
        <f>J53/$R$1</f>
        <v>0</v>
      </c>
      <c r="J53" s="1021">
        <f>MIN(J52,J51)</f>
        <v>0</v>
      </c>
    </row>
    <row r="54" spans="1:10" x14ac:dyDescent="0.25">
      <c r="B54" s="181" t="s">
        <v>285</v>
      </c>
      <c r="C54" s="138">
        <f>MIN(MAX($C$52-C53,0),C51)</f>
        <v>10</v>
      </c>
      <c r="D54" s="137">
        <f t="shared" si="7"/>
        <v>10000</v>
      </c>
      <c r="G54" s="962" t="s">
        <v>285</v>
      </c>
      <c r="H54" s="1035">
        <f>MIN(MAX(H52-H53),H51)</f>
        <v>0</v>
      </c>
      <c r="I54" s="1021">
        <f>J54/$R$1</f>
        <v>0</v>
      </c>
      <c r="J54" s="1021">
        <f>MIN(MAX(J52-J53),J51)</f>
        <v>0</v>
      </c>
    </row>
    <row r="55" spans="1:10" x14ac:dyDescent="0.25">
      <c r="B55" s="181" t="s">
        <v>286</v>
      </c>
      <c r="C55" s="138">
        <f>MIN(MAX($C$52-C53-C54,0),C51)</f>
        <v>10</v>
      </c>
      <c r="D55" s="137">
        <f t="shared" si="7"/>
        <v>10000</v>
      </c>
      <c r="G55" s="962" t="s">
        <v>286</v>
      </c>
      <c r="H55" s="1035">
        <f>MIN(MAX(H52-H53-H54),H51)</f>
        <v>0</v>
      </c>
      <c r="I55" s="1021">
        <f>J55/$R$1</f>
        <v>0</v>
      </c>
      <c r="J55" s="1021">
        <f>MIN(MAX(J52-J53-J54),J51)</f>
        <v>0</v>
      </c>
    </row>
    <row r="56" spans="1:10" x14ac:dyDescent="0.25">
      <c r="B56" s="181" t="s">
        <v>293</v>
      </c>
      <c r="C56" s="138">
        <f>MIN(MAX($C$52-C53-C54-C55,0),C51)</f>
        <v>10</v>
      </c>
      <c r="D56" s="137">
        <f t="shared" si="7"/>
        <v>10000</v>
      </c>
    </row>
    <row r="57" spans="1:10" x14ac:dyDescent="0.25">
      <c r="B57" s="181" t="s">
        <v>343</v>
      </c>
      <c r="C57" s="138">
        <f>MIN(MAX($C$52-C53-C54-C55-C56,0),C51)</f>
        <v>8.3319270687236937</v>
      </c>
      <c r="D57" s="137">
        <f t="shared" si="7"/>
        <v>8331.9270687236931</v>
      </c>
    </row>
    <row r="58" spans="1:10" x14ac:dyDescent="0.25">
      <c r="B58" s="181" t="s">
        <v>442</v>
      </c>
      <c r="C58" s="138">
        <f>MIN(MAX($C$52-C53-C54-C55-C56-C57,0),C51)</f>
        <v>0</v>
      </c>
      <c r="D58" s="137">
        <f t="shared" si="7"/>
        <v>0</v>
      </c>
    </row>
    <row r="59" spans="1:10" x14ac:dyDescent="0.25">
      <c r="B59" s="181" t="s">
        <v>443</v>
      </c>
      <c r="C59" s="138">
        <f>MIN(MAX($C$52-C53-C54-C55-C56-C57-C58,0),C51)</f>
        <v>0</v>
      </c>
      <c r="D59" s="137">
        <f t="shared" si="7"/>
        <v>0</v>
      </c>
    </row>
    <row r="62" spans="1:10" x14ac:dyDescent="0.25">
      <c r="A62" s="863"/>
      <c r="B62" s="1828" t="s">
        <v>440</v>
      </c>
      <c r="C62" s="1865"/>
      <c r="D62" s="1865"/>
      <c r="E62" s="1865"/>
      <c r="F62" s="1865"/>
      <c r="G62" s="1865"/>
      <c r="H62" s="1865"/>
    </row>
    <row r="63" spans="1:10" x14ac:dyDescent="0.25">
      <c r="A63" s="863"/>
      <c r="B63" s="1796"/>
      <c r="C63" s="1796"/>
      <c r="D63" s="1796"/>
      <c r="E63" s="1796"/>
      <c r="F63" s="1796"/>
      <c r="G63" s="1796"/>
      <c r="H63" s="1796"/>
    </row>
    <row r="64" spans="1:10" ht="37.5" customHeight="1" x14ac:dyDescent="0.2">
      <c r="A64" s="1350" t="s">
        <v>864</v>
      </c>
      <c r="B64" s="923" t="s">
        <v>241</v>
      </c>
      <c r="C64" s="934" t="s">
        <v>242</v>
      </c>
      <c r="D64" s="923" t="s">
        <v>231</v>
      </c>
      <c r="E64" s="936" t="s">
        <v>234</v>
      </c>
      <c r="F64" s="935" t="s">
        <v>243</v>
      </c>
      <c r="G64" s="923" t="s">
        <v>244</v>
      </c>
      <c r="H64" s="936" t="s">
        <v>245</v>
      </c>
    </row>
    <row r="65" spans="1:8" x14ac:dyDescent="0.2">
      <c r="A65" s="1699"/>
      <c r="B65" s="1252" t="s">
        <v>441</v>
      </c>
      <c r="C65" s="947" t="s">
        <v>14</v>
      </c>
      <c r="D65" s="1618">
        <v>154</v>
      </c>
      <c r="E65" s="1621">
        <f t="shared" ref="E65:E73" si="8">$G$1</f>
        <v>48.331927068723694</v>
      </c>
      <c r="F65" s="1616">
        <v>1</v>
      </c>
      <c r="G65" s="944">
        <f t="shared" ref="G65:G73" si="9">D65*E65</f>
        <v>7443.1167685834489</v>
      </c>
      <c r="H65" s="1617">
        <f t="shared" ref="H65:H73" si="10">G65*F65</f>
        <v>7443.1167685834489</v>
      </c>
    </row>
    <row r="66" spans="1:8" x14ac:dyDescent="0.25">
      <c r="A66" s="949"/>
      <c r="B66" s="1252" t="s">
        <v>159</v>
      </c>
      <c r="C66" s="947" t="s">
        <v>14</v>
      </c>
      <c r="D66" s="1618">
        <v>212</v>
      </c>
      <c r="E66" s="1621">
        <f t="shared" si="8"/>
        <v>48.331927068723694</v>
      </c>
      <c r="F66" s="1616">
        <v>1</v>
      </c>
      <c r="G66" s="940">
        <f t="shared" si="9"/>
        <v>10246.368538569423</v>
      </c>
      <c r="H66" s="1617">
        <f t="shared" si="10"/>
        <v>10246.368538569423</v>
      </c>
    </row>
    <row r="67" spans="1:8" x14ac:dyDescent="0.25">
      <c r="A67" s="949"/>
      <c r="B67" s="1252" t="s">
        <v>166</v>
      </c>
      <c r="C67" s="947" t="s">
        <v>160</v>
      </c>
      <c r="D67" s="1618">
        <v>212</v>
      </c>
      <c r="E67" s="1627">
        <f t="shared" si="8"/>
        <v>48.331927068723694</v>
      </c>
      <c r="F67" s="1616">
        <v>1</v>
      </c>
      <c r="G67" s="940">
        <f t="shared" si="9"/>
        <v>10246.368538569423</v>
      </c>
      <c r="H67" s="1617">
        <f t="shared" si="10"/>
        <v>10246.368538569423</v>
      </c>
    </row>
    <row r="68" spans="1:8" x14ac:dyDescent="0.25">
      <c r="A68" s="949"/>
      <c r="B68" s="1252" t="s">
        <v>152</v>
      </c>
      <c r="C68" s="947" t="s">
        <v>14</v>
      </c>
      <c r="D68" s="1618">
        <v>9.3000000000000007</v>
      </c>
      <c r="E68" s="1627">
        <f t="shared" si="8"/>
        <v>48.331927068723694</v>
      </c>
      <c r="F68" s="1616">
        <v>1</v>
      </c>
      <c r="G68" s="944">
        <f t="shared" si="9"/>
        <v>449.48692173913037</v>
      </c>
      <c r="H68" s="1617">
        <f t="shared" si="10"/>
        <v>449.48692173913037</v>
      </c>
    </row>
    <row r="69" spans="1:8" x14ac:dyDescent="0.25">
      <c r="A69" s="949"/>
      <c r="B69" s="1252" t="s">
        <v>185</v>
      </c>
      <c r="C69" s="947" t="s">
        <v>14</v>
      </c>
      <c r="D69" s="1618">
        <v>33</v>
      </c>
      <c r="E69" s="1627">
        <f t="shared" si="8"/>
        <v>48.331927068723694</v>
      </c>
      <c r="F69" s="1616">
        <v>1</v>
      </c>
      <c r="G69" s="944">
        <f t="shared" si="9"/>
        <v>1594.9535932678818</v>
      </c>
      <c r="H69" s="1617">
        <f t="shared" si="10"/>
        <v>1594.9535932678818</v>
      </c>
    </row>
    <row r="70" spans="1:8" x14ac:dyDescent="0.25">
      <c r="A70" s="949"/>
      <c r="B70" s="1252" t="s">
        <v>139</v>
      </c>
      <c r="C70" s="947" t="s">
        <v>14</v>
      </c>
      <c r="D70" s="1618">
        <v>18.600000000000001</v>
      </c>
      <c r="E70" s="1627">
        <f t="shared" si="8"/>
        <v>48.331927068723694</v>
      </c>
      <c r="F70" s="1616">
        <v>1</v>
      </c>
      <c r="G70" s="944">
        <f t="shared" si="9"/>
        <v>898.97384347826073</v>
      </c>
      <c r="H70" s="1617">
        <f t="shared" si="10"/>
        <v>898.97384347826073</v>
      </c>
    </row>
    <row r="71" spans="1:8" x14ac:dyDescent="0.25">
      <c r="A71" s="949"/>
      <c r="B71" s="1252" t="s">
        <v>101</v>
      </c>
      <c r="C71" s="947" t="s">
        <v>14</v>
      </c>
      <c r="D71" s="1621">
        <v>0.6</v>
      </c>
      <c r="E71" s="1627">
        <f t="shared" si="8"/>
        <v>48.331927068723694</v>
      </c>
      <c r="F71" s="1616">
        <v>1</v>
      </c>
      <c r="G71" s="944">
        <f t="shared" si="9"/>
        <v>28.999156241234214</v>
      </c>
      <c r="H71" s="1617">
        <f t="shared" si="10"/>
        <v>28.999156241234214</v>
      </c>
    </row>
    <row r="72" spans="1:8" x14ac:dyDescent="0.25">
      <c r="A72" s="949"/>
      <c r="B72" s="1252" t="s">
        <v>93</v>
      </c>
      <c r="C72" s="947" t="s">
        <v>14</v>
      </c>
      <c r="D72" s="1618">
        <v>5</v>
      </c>
      <c r="E72" s="1627">
        <f t="shared" si="8"/>
        <v>48.331927068723694</v>
      </c>
      <c r="F72" s="1616">
        <v>1</v>
      </c>
      <c r="G72" s="944">
        <f t="shared" si="9"/>
        <v>241.65963534361848</v>
      </c>
      <c r="H72" s="1617">
        <f t="shared" si="10"/>
        <v>241.65963534361848</v>
      </c>
    </row>
    <row r="73" spans="1:8" x14ac:dyDescent="0.25">
      <c r="A73" s="949"/>
      <c r="B73" s="1252" t="s">
        <v>172</v>
      </c>
      <c r="C73" s="947" t="s">
        <v>14</v>
      </c>
      <c r="D73" s="939">
        <v>310</v>
      </c>
      <c r="E73" s="1627">
        <f t="shared" si="8"/>
        <v>48.331927068723694</v>
      </c>
      <c r="F73" s="1616">
        <v>1</v>
      </c>
      <c r="G73" s="944">
        <f t="shared" si="9"/>
        <v>14982.897391304345</v>
      </c>
      <c r="H73" s="1617">
        <f t="shared" si="10"/>
        <v>14982.897391304345</v>
      </c>
    </row>
    <row r="74" spans="1:8" ht="18" x14ac:dyDescent="0.25">
      <c r="B74" s="1622" t="s">
        <v>682</v>
      </c>
      <c r="C74" s="1042" t="s">
        <v>273</v>
      </c>
      <c r="D74" s="952"/>
      <c r="E74" s="1042" t="s">
        <v>288</v>
      </c>
      <c r="F74" s="952"/>
      <c r="G74" s="1045" t="s">
        <v>264</v>
      </c>
      <c r="H74" s="1045" t="s">
        <v>664</v>
      </c>
    </row>
    <row r="75" spans="1:8" ht="20.25" x14ac:dyDescent="0.3">
      <c r="B75" s="1048">
        <f>H65/$R$1</f>
        <v>14594.346605065586</v>
      </c>
      <c r="C75" s="1048"/>
      <c r="D75" s="1629"/>
      <c r="E75" s="1048"/>
      <c r="F75" s="1050"/>
      <c r="G75" s="1048">
        <f>$D$53*$T$44</f>
        <v>0</v>
      </c>
      <c r="H75" s="1048">
        <f>D52</f>
        <v>48331.927068723693</v>
      </c>
    </row>
    <row r="80" spans="1:8" ht="18" x14ac:dyDescent="0.25">
      <c r="B80" s="1803"/>
      <c r="C80" s="1796"/>
      <c r="D80" s="1796"/>
      <c r="E80" s="1796"/>
      <c r="F80" s="1796"/>
      <c r="G80" s="1796"/>
      <c r="H80" s="1796"/>
    </row>
    <row r="81" spans="1:8" ht="18" x14ac:dyDescent="0.25">
      <c r="B81" s="1803"/>
      <c r="C81" s="1796"/>
      <c r="D81" s="1796"/>
      <c r="E81" s="1796"/>
      <c r="F81" s="1796"/>
      <c r="G81" s="1796"/>
      <c r="H81" s="1796"/>
    </row>
    <row r="82" spans="1:8" x14ac:dyDescent="0.2">
      <c r="A82" s="876"/>
      <c r="B82" s="235"/>
      <c r="C82" s="227"/>
      <c r="D82" s="235"/>
      <c r="E82" s="226"/>
      <c r="F82" s="235"/>
      <c r="G82" s="235"/>
      <c r="H82" s="226"/>
    </row>
    <row r="83" spans="1:8" x14ac:dyDescent="0.25">
      <c r="B83" s="228"/>
      <c r="C83" s="228"/>
      <c r="D83" s="228"/>
      <c r="E83" s="90"/>
      <c r="F83" s="91"/>
      <c r="G83" s="92"/>
      <c r="H83" s="93"/>
    </row>
    <row r="84" spans="1:8" x14ac:dyDescent="0.25">
      <c r="B84" s="228"/>
      <c r="C84" s="228"/>
      <c r="D84" s="228"/>
      <c r="E84" s="90"/>
      <c r="F84" s="91"/>
      <c r="G84" s="92"/>
      <c r="H84" s="93"/>
    </row>
    <row r="85" spans="1:8" x14ac:dyDescent="0.25">
      <c r="B85" s="228"/>
      <c r="C85" s="228"/>
      <c r="D85" s="228"/>
      <c r="E85" s="90"/>
      <c r="F85" s="91"/>
      <c r="G85" s="92"/>
      <c r="H85" s="93"/>
    </row>
    <row r="86" spans="1:8" x14ac:dyDescent="0.25">
      <c r="B86" s="228"/>
      <c r="C86" s="228"/>
      <c r="D86" s="228"/>
      <c r="E86" s="90"/>
      <c r="F86" s="91"/>
      <c r="G86" s="92"/>
      <c r="H86" s="93"/>
    </row>
    <row r="87" spans="1:8" x14ac:dyDescent="0.25">
      <c r="B87" s="228"/>
      <c r="C87" s="228"/>
      <c r="D87" s="228"/>
      <c r="E87" s="90"/>
      <c r="F87" s="91"/>
      <c r="G87" s="92"/>
      <c r="H87" s="93"/>
    </row>
    <row r="88" spans="1:8" x14ac:dyDescent="0.25">
      <c r="B88" s="228"/>
      <c r="C88" s="228"/>
      <c r="D88" s="228"/>
      <c r="E88" s="90"/>
      <c r="F88" s="91"/>
      <c r="G88" s="92"/>
      <c r="H88" s="93"/>
    </row>
    <row r="89" spans="1:8" x14ac:dyDescent="0.25">
      <c r="B89" s="228"/>
      <c r="C89" s="228"/>
      <c r="D89" s="228"/>
      <c r="E89" s="90"/>
      <c r="F89" s="91"/>
      <c r="G89" s="92"/>
      <c r="H89" s="93"/>
    </row>
    <row r="90" spans="1:8" x14ac:dyDescent="0.25">
      <c r="B90" s="228"/>
      <c r="C90" s="228"/>
      <c r="D90" s="228"/>
      <c r="E90" s="90"/>
      <c r="F90" s="91"/>
      <c r="G90" s="92"/>
      <c r="H90" s="93"/>
    </row>
    <row r="91" spans="1:8" ht="20.25" x14ac:dyDescent="0.3">
      <c r="B91" s="80"/>
      <c r="E91" s="80"/>
      <c r="F91" s="80"/>
      <c r="G91" s="142"/>
      <c r="H91" s="141"/>
    </row>
    <row r="92" spans="1:8" x14ac:dyDescent="0.25">
      <c r="B92" s="80"/>
    </row>
    <row r="98" spans="1:8" ht="18" x14ac:dyDescent="0.25">
      <c r="B98" s="1803"/>
      <c r="C98" s="1796"/>
      <c r="D98" s="1796"/>
      <c r="E98" s="1796"/>
      <c r="F98" s="1796"/>
      <c r="G98" s="1796"/>
      <c r="H98" s="1796"/>
    </row>
    <row r="99" spans="1:8" ht="18" x14ac:dyDescent="0.25">
      <c r="B99" s="1803"/>
      <c r="C99" s="1796"/>
      <c r="D99" s="1796"/>
      <c r="E99" s="1796"/>
      <c r="F99" s="1796"/>
      <c r="G99" s="1796"/>
      <c r="H99" s="1796"/>
    </row>
    <row r="100" spans="1:8" x14ac:dyDescent="0.2">
      <c r="A100" s="876"/>
      <c r="B100" s="235"/>
      <c r="C100" s="227"/>
      <c r="D100" s="235"/>
      <c r="E100" s="226"/>
      <c r="F100" s="235"/>
      <c r="G100" s="235"/>
      <c r="H100" s="226"/>
    </row>
    <row r="101" spans="1:8" x14ac:dyDescent="0.25">
      <c r="B101" s="228"/>
      <c r="C101" s="228"/>
      <c r="D101" s="228"/>
      <c r="E101" s="455"/>
      <c r="F101" s="456"/>
      <c r="G101" s="92"/>
      <c r="H101" s="93"/>
    </row>
    <row r="102" spans="1:8" x14ac:dyDescent="0.25">
      <c r="B102" s="228"/>
      <c r="C102" s="228"/>
      <c r="D102" s="228"/>
      <c r="E102" s="455"/>
      <c r="F102" s="456"/>
      <c r="G102" s="92"/>
      <c r="H102" s="93"/>
    </row>
    <row r="103" spans="1:8" x14ac:dyDescent="0.25">
      <c r="B103" s="228"/>
      <c r="C103" s="228"/>
      <c r="D103" s="228"/>
      <c r="E103" s="455"/>
      <c r="F103" s="456"/>
      <c r="G103" s="92"/>
      <c r="H103" s="93"/>
    </row>
    <row r="104" spans="1:8" x14ac:dyDescent="0.25">
      <c r="B104" s="228"/>
      <c r="C104" s="228"/>
      <c r="D104" s="228"/>
      <c r="E104" s="455"/>
      <c r="F104" s="456"/>
      <c r="G104" s="92"/>
      <c r="H104" s="93"/>
    </row>
    <row r="105" spans="1:8" x14ac:dyDescent="0.25">
      <c r="B105" s="228"/>
      <c r="C105" s="228"/>
      <c r="D105" s="228"/>
      <c r="E105" s="455"/>
      <c r="F105" s="456"/>
      <c r="G105" s="92"/>
      <c r="H105" s="93"/>
    </row>
    <row r="106" spans="1:8" x14ac:dyDescent="0.25">
      <c r="B106" s="228"/>
      <c r="C106" s="228"/>
      <c r="D106" s="228"/>
      <c r="E106" s="455"/>
      <c r="F106" s="456"/>
      <c r="G106" s="92"/>
      <c r="H106" s="93"/>
    </row>
    <row r="107" spans="1:8" x14ac:dyDescent="0.25">
      <c r="B107" s="228"/>
      <c r="C107" s="228"/>
      <c r="D107" s="228"/>
      <c r="E107" s="455"/>
      <c r="F107" s="456"/>
      <c r="G107" s="92"/>
      <c r="H107" s="93"/>
    </row>
    <row r="108" spans="1:8" x14ac:dyDescent="0.25">
      <c r="B108" s="228"/>
      <c r="C108" s="228"/>
      <c r="D108" s="228"/>
      <c r="E108" s="455"/>
      <c r="F108" s="456"/>
      <c r="G108" s="92"/>
      <c r="H108" s="93"/>
    </row>
    <row r="109" spans="1:8" ht="20.25" x14ac:dyDescent="0.3">
      <c r="B109" s="80"/>
      <c r="E109" s="80"/>
      <c r="F109" s="80"/>
      <c r="G109" s="142"/>
      <c r="H109" s="141"/>
    </row>
    <row r="110" spans="1:8" x14ac:dyDescent="0.25">
      <c r="B110" s="80"/>
    </row>
    <row r="116" spans="1:8" ht="18" x14ac:dyDescent="0.25">
      <c r="B116" s="1803"/>
      <c r="C116" s="1796"/>
      <c r="D116" s="1796"/>
      <c r="E116" s="1796"/>
      <c r="F116" s="1796"/>
      <c r="G116" s="1796"/>
      <c r="H116" s="1796"/>
    </row>
    <row r="117" spans="1:8" ht="18" x14ac:dyDescent="0.25">
      <c r="B117" s="1803"/>
      <c r="C117" s="1796"/>
      <c r="D117" s="1796"/>
      <c r="E117" s="1796"/>
      <c r="F117" s="1796"/>
      <c r="G117" s="1796"/>
      <c r="H117" s="1796"/>
    </row>
    <row r="118" spans="1:8" x14ac:dyDescent="0.2">
      <c r="A118" s="876"/>
      <c r="B118" s="235"/>
      <c r="C118" s="227"/>
      <c r="D118" s="235"/>
      <c r="E118" s="226"/>
      <c r="F118" s="235"/>
      <c r="G118" s="235"/>
      <c r="H118" s="226"/>
    </row>
    <row r="119" spans="1:8" x14ac:dyDescent="0.25">
      <c r="B119" s="228"/>
      <c r="C119" s="228"/>
      <c r="D119" s="228"/>
      <c r="E119" s="455"/>
      <c r="F119" s="456"/>
      <c r="G119" s="92"/>
      <c r="H119" s="93"/>
    </row>
    <row r="120" spans="1:8" x14ac:dyDescent="0.25">
      <c r="B120" s="228"/>
      <c r="C120" s="228"/>
      <c r="D120" s="228"/>
      <c r="E120" s="455"/>
      <c r="F120" s="456"/>
      <c r="G120" s="92"/>
      <c r="H120" s="93"/>
    </row>
    <row r="121" spans="1:8" x14ac:dyDescent="0.25">
      <c r="B121" s="228"/>
      <c r="C121" s="228"/>
      <c r="D121" s="228"/>
      <c r="E121" s="455"/>
      <c r="F121" s="456"/>
      <c r="G121" s="92"/>
      <c r="H121" s="93"/>
    </row>
    <row r="122" spans="1:8" x14ac:dyDescent="0.25">
      <c r="B122" s="228"/>
      <c r="C122" s="228"/>
      <c r="D122" s="228"/>
      <c r="E122" s="455"/>
      <c r="F122" s="456"/>
      <c r="G122" s="92"/>
      <c r="H122" s="93"/>
    </row>
    <row r="123" spans="1:8" x14ac:dyDescent="0.25">
      <c r="B123" s="228"/>
      <c r="C123" s="228"/>
      <c r="D123" s="228"/>
      <c r="E123" s="455"/>
      <c r="F123" s="456"/>
      <c r="G123" s="92"/>
      <c r="H123" s="93"/>
    </row>
    <row r="124" spans="1:8" x14ac:dyDescent="0.25">
      <c r="B124" s="228"/>
      <c r="C124" s="228"/>
      <c r="D124" s="228"/>
      <c r="E124" s="455"/>
      <c r="F124" s="456"/>
      <c r="G124" s="92"/>
      <c r="H124" s="93"/>
    </row>
    <row r="125" spans="1:8" x14ac:dyDescent="0.25">
      <c r="B125" s="228"/>
      <c r="C125" s="228"/>
      <c r="D125" s="228"/>
      <c r="E125" s="455"/>
      <c r="F125" s="456"/>
      <c r="G125" s="92"/>
      <c r="H125" s="93"/>
    </row>
    <row r="126" spans="1:8" x14ac:dyDescent="0.25">
      <c r="B126" s="228"/>
      <c r="C126" s="89"/>
      <c r="D126" s="172"/>
      <c r="E126" s="90"/>
      <c r="F126" s="91"/>
      <c r="G126" s="92"/>
      <c r="H126" s="93"/>
    </row>
    <row r="127" spans="1:8" ht="20.25" x14ac:dyDescent="0.3">
      <c r="B127" s="80"/>
      <c r="E127" s="80"/>
      <c r="F127" s="80"/>
      <c r="G127" s="142"/>
      <c r="H127" s="141"/>
    </row>
    <row r="130" spans="1:8" ht="18" x14ac:dyDescent="0.25">
      <c r="B130" s="1803"/>
      <c r="C130" s="1796"/>
      <c r="D130" s="1796"/>
      <c r="E130" s="1796"/>
      <c r="F130" s="1796"/>
      <c r="G130" s="1796"/>
      <c r="H130" s="1796"/>
    </row>
    <row r="131" spans="1:8" ht="18" x14ac:dyDescent="0.25">
      <c r="B131" s="1803"/>
      <c r="C131" s="1796"/>
      <c r="D131" s="1796"/>
      <c r="E131" s="1796"/>
      <c r="F131" s="1796"/>
      <c r="G131" s="1796"/>
      <c r="H131" s="1796"/>
    </row>
    <row r="132" spans="1:8" x14ac:dyDescent="0.2">
      <c r="A132" s="876"/>
      <c r="B132" s="235"/>
      <c r="C132" s="227"/>
      <c r="D132" s="235"/>
      <c r="E132" s="226"/>
      <c r="F132" s="235"/>
      <c r="G132" s="235"/>
      <c r="H132" s="226"/>
    </row>
    <row r="133" spans="1:8" x14ac:dyDescent="0.25">
      <c r="B133" s="228"/>
      <c r="C133" s="228"/>
      <c r="D133" s="228"/>
      <c r="E133" s="455"/>
      <c r="F133" s="456"/>
      <c r="G133" s="92"/>
      <c r="H133" s="93"/>
    </row>
    <row r="134" spans="1:8" x14ac:dyDescent="0.25">
      <c r="B134" s="228"/>
      <c r="C134" s="228"/>
      <c r="D134" s="228"/>
      <c r="E134" s="455"/>
      <c r="F134" s="456"/>
      <c r="G134" s="92"/>
      <c r="H134" s="93"/>
    </row>
    <row r="135" spans="1:8" x14ac:dyDescent="0.25">
      <c r="B135" s="228"/>
      <c r="C135" s="228"/>
      <c r="D135" s="228"/>
      <c r="E135" s="455"/>
      <c r="F135" s="456"/>
      <c r="G135" s="92"/>
      <c r="H135" s="93"/>
    </row>
    <row r="136" spans="1:8" x14ac:dyDescent="0.25">
      <c r="B136" s="228"/>
      <c r="C136" s="228"/>
      <c r="D136" s="228"/>
      <c r="E136" s="455"/>
      <c r="F136" s="456"/>
      <c r="G136" s="92"/>
      <c r="H136" s="93"/>
    </row>
    <row r="137" spans="1:8" x14ac:dyDescent="0.25">
      <c r="B137" s="228"/>
      <c r="C137" s="228"/>
      <c r="D137" s="228"/>
      <c r="E137" s="455"/>
      <c r="F137" s="456"/>
      <c r="G137" s="92"/>
      <c r="H137" s="93"/>
    </row>
    <row r="138" spans="1:8" x14ac:dyDescent="0.25">
      <c r="B138" s="228"/>
      <c r="C138" s="228"/>
      <c r="D138" s="228"/>
      <c r="E138" s="455"/>
      <c r="F138" s="456"/>
      <c r="G138" s="92"/>
      <c r="H138" s="93"/>
    </row>
    <row r="139" spans="1:8" x14ac:dyDescent="0.25">
      <c r="B139" s="228"/>
      <c r="C139" s="228"/>
      <c r="D139" s="228"/>
      <c r="E139" s="455"/>
      <c r="F139" s="456"/>
      <c r="G139" s="92"/>
      <c r="H139" s="93"/>
    </row>
    <row r="140" spans="1:8" x14ac:dyDescent="0.25">
      <c r="B140" s="228"/>
      <c r="C140" s="89"/>
      <c r="D140" s="172"/>
      <c r="E140" s="90"/>
      <c r="F140" s="91"/>
      <c r="G140" s="92"/>
      <c r="H140" s="93"/>
    </row>
    <row r="141" spans="1:8" ht="20.25" x14ac:dyDescent="0.3">
      <c r="B141" s="80"/>
      <c r="E141" s="80"/>
      <c r="F141" s="80"/>
      <c r="G141" s="142"/>
      <c r="H141" s="141"/>
    </row>
    <row r="144" spans="1:8" ht="18" x14ac:dyDescent="0.25">
      <c r="B144" s="1803"/>
      <c r="C144" s="1796"/>
      <c r="D144" s="1796"/>
      <c r="E144" s="1796"/>
      <c r="F144" s="1796"/>
      <c r="G144" s="1796"/>
      <c r="H144" s="1796"/>
    </row>
    <row r="145" spans="1:8" ht="18" x14ac:dyDescent="0.25">
      <c r="B145" s="1803"/>
      <c r="C145" s="1796"/>
      <c r="D145" s="1796"/>
      <c r="E145" s="1796"/>
      <c r="F145" s="1796"/>
      <c r="G145" s="1796"/>
      <c r="H145" s="1796"/>
    </row>
    <row r="146" spans="1:8" x14ac:dyDescent="0.2">
      <c r="A146" s="876"/>
      <c r="B146" s="235"/>
      <c r="C146" s="227"/>
      <c r="D146" s="235"/>
      <c r="E146" s="226"/>
      <c r="F146" s="235"/>
      <c r="G146" s="235"/>
      <c r="H146" s="226"/>
    </row>
    <row r="147" spans="1:8" x14ac:dyDescent="0.25">
      <c r="B147" s="228"/>
      <c r="C147" s="228"/>
      <c r="D147" s="228"/>
      <c r="E147" s="455"/>
      <c r="F147" s="456"/>
      <c r="G147" s="92"/>
      <c r="H147" s="93"/>
    </row>
    <row r="148" spans="1:8" x14ac:dyDescent="0.25">
      <c r="B148" s="228"/>
      <c r="C148" s="228"/>
      <c r="D148" s="228"/>
      <c r="E148" s="455"/>
      <c r="F148" s="456"/>
      <c r="G148" s="92"/>
      <c r="H148" s="93"/>
    </row>
    <row r="149" spans="1:8" x14ac:dyDescent="0.25">
      <c r="B149" s="228"/>
      <c r="C149" s="228"/>
      <c r="D149" s="228"/>
      <c r="E149" s="455"/>
      <c r="F149" s="456"/>
      <c r="G149" s="92"/>
      <c r="H149" s="93"/>
    </row>
    <row r="150" spans="1:8" x14ac:dyDescent="0.25">
      <c r="B150" s="228"/>
      <c r="C150" s="228"/>
      <c r="D150" s="228"/>
      <c r="E150" s="455"/>
      <c r="F150" s="456"/>
      <c r="G150" s="92"/>
      <c r="H150" s="93"/>
    </row>
    <row r="151" spans="1:8" x14ac:dyDescent="0.25">
      <c r="B151" s="228"/>
      <c r="C151" s="228"/>
      <c r="D151" s="228"/>
      <c r="E151" s="455"/>
      <c r="F151" s="456"/>
      <c r="G151" s="92"/>
      <c r="H151" s="93"/>
    </row>
    <row r="152" spans="1:8" x14ac:dyDescent="0.25">
      <c r="B152" s="228"/>
      <c r="C152" s="228"/>
      <c r="D152" s="228"/>
      <c r="E152" s="455"/>
      <c r="F152" s="456"/>
      <c r="G152" s="92"/>
      <c r="H152" s="93"/>
    </row>
    <row r="153" spans="1:8" x14ac:dyDescent="0.25">
      <c r="B153" s="228"/>
      <c r="C153" s="228"/>
      <c r="D153" s="228"/>
      <c r="E153" s="455"/>
      <c r="F153" s="456"/>
      <c r="G153" s="92"/>
      <c r="H153" s="93"/>
    </row>
    <row r="154" spans="1:8" x14ac:dyDescent="0.25">
      <c r="B154" s="228"/>
      <c r="C154" s="89"/>
      <c r="D154" s="172"/>
      <c r="E154" s="90"/>
      <c r="F154" s="91"/>
      <c r="G154" s="92"/>
      <c r="H154" s="93"/>
    </row>
    <row r="155" spans="1:8" ht="20.25" x14ac:dyDescent="0.3">
      <c r="B155" s="80"/>
      <c r="E155" s="80"/>
      <c r="F155" s="80"/>
      <c r="G155" s="142"/>
      <c r="H155" s="141"/>
    </row>
    <row r="160" spans="1:8" ht="18" x14ac:dyDescent="0.25">
      <c r="B160" s="1803"/>
      <c r="C160" s="1796"/>
      <c r="D160" s="1796"/>
      <c r="E160" s="1796"/>
      <c r="F160" s="1796"/>
      <c r="G160" s="1796"/>
      <c r="H160" s="1796"/>
    </row>
    <row r="161" spans="1:8" ht="18" x14ac:dyDescent="0.25">
      <c r="B161" s="1803"/>
      <c r="C161" s="1796"/>
      <c r="D161" s="1796"/>
      <c r="E161" s="1796"/>
      <c r="F161" s="1796"/>
      <c r="G161" s="1796"/>
      <c r="H161" s="1796"/>
    </row>
    <row r="162" spans="1:8" x14ac:dyDescent="0.2">
      <c r="A162" s="876"/>
      <c r="B162" s="235"/>
      <c r="C162" s="227"/>
      <c r="D162" s="235"/>
      <c r="E162" s="226"/>
      <c r="F162" s="235"/>
      <c r="G162" s="235"/>
      <c r="H162" s="226"/>
    </row>
    <row r="163" spans="1:8" x14ac:dyDescent="0.25">
      <c r="B163" s="228"/>
      <c r="C163" s="228"/>
      <c r="D163" s="228"/>
      <c r="E163" s="455"/>
      <c r="F163" s="456"/>
      <c r="G163" s="92"/>
      <c r="H163" s="93"/>
    </row>
    <row r="164" spans="1:8" x14ac:dyDescent="0.25">
      <c r="B164" s="228"/>
      <c r="C164" s="228"/>
      <c r="D164" s="228"/>
      <c r="E164" s="455"/>
      <c r="F164" s="456"/>
      <c r="G164" s="92"/>
      <c r="H164" s="93"/>
    </row>
    <row r="165" spans="1:8" x14ac:dyDescent="0.25">
      <c r="B165" s="228"/>
      <c r="C165" s="228"/>
      <c r="D165" s="228"/>
      <c r="E165" s="455"/>
      <c r="F165" s="456"/>
      <c r="G165" s="92"/>
      <c r="H165" s="93"/>
    </row>
    <row r="166" spans="1:8" x14ac:dyDescent="0.25">
      <c r="B166" s="228"/>
      <c r="C166" s="228"/>
      <c r="D166" s="228"/>
      <c r="E166" s="455"/>
      <c r="F166" s="456"/>
      <c r="G166" s="92"/>
      <c r="H166" s="93"/>
    </row>
    <row r="167" spans="1:8" x14ac:dyDescent="0.25">
      <c r="B167" s="228"/>
      <c r="C167" s="228"/>
      <c r="D167" s="228"/>
      <c r="E167" s="455"/>
      <c r="F167" s="456"/>
      <c r="G167" s="92"/>
      <c r="H167" s="93"/>
    </row>
    <row r="168" spans="1:8" x14ac:dyDescent="0.25">
      <c r="B168" s="228"/>
      <c r="C168" s="228"/>
      <c r="D168" s="228"/>
      <c r="E168" s="455"/>
      <c r="F168" s="456"/>
      <c r="G168" s="92"/>
      <c r="H168" s="93"/>
    </row>
    <row r="169" spans="1:8" x14ac:dyDescent="0.25">
      <c r="B169" s="228"/>
      <c r="C169" s="228"/>
      <c r="D169" s="228"/>
      <c r="E169" s="455"/>
      <c r="F169" s="456"/>
      <c r="G169" s="92"/>
      <c r="H169" s="93"/>
    </row>
  </sheetData>
  <mergeCells count="17">
    <mergeCell ref="B161:H161"/>
    <mergeCell ref="B80:H80"/>
    <mergeCell ref="B81:H81"/>
    <mergeCell ref="B145:H145"/>
    <mergeCell ref="B99:H99"/>
    <mergeCell ref="B160:H160"/>
    <mergeCell ref="B62:H63"/>
    <mergeCell ref="AE2:AG3"/>
    <mergeCell ref="B131:H131"/>
    <mergeCell ref="B98:H98"/>
    <mergeCell ref="B144:H144"/>
    <mergeCell ref="R26:U26"/>
    <mergeCell ref="R25:U25"/>
    <mergeCell ref="B116:H116"/>
    <mergeCell ref="B2:H3"/>
    <mergeCell ref="B117:H117"/>
    <mergeCell ref="B130:H130"/>
  </mergeCells>
  <printOptions horizontalCentered="1"/>
  <pageMargins left="0.5" right="0.5" top="1" bottom="0.5" header="0.3" footer="0.511811023622047"/>
  <pageSetup paperSize="9" scale="29" orientation="portrait"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5">
    <tabColor rgb="FFC55A11"/>
    <pageSetUpPr fitToPage="1"/>
  </sheetPr>
  <dimension ref="A1:AG143"/>
  <sheetViews>
    <sheetView topLeftCell="A14" zoomScale="85" zoomScaleNormal="85" workbookViewId="0">
      <selection activeCell="C39" sqref="C39"/>
    </sheetView>
  </sheetViews>
  <sheetFormatPr defaultColWidth="12.5" defaultRowHeight="15" x14ac:dyDescent="0.25"/>
  <cols>
    <col min="1" max="1" width="18.125" style="61" bestFit="1" customWidth="1"/>
    <col min="2" max="2" width="37.625" style="14" bestFit="1" customWidth="1"/>
    <col min="3" max="3" width="17.5" style="14" bestFit="1" customWidth="1"/>
    <col min="4" max="4" width="18.5" style="14" bestFit="1" customWidth="1"/>
    <col min="5" max="5" width="15.375" style="14" bestFit="1" customWidth="1"/>
    <col min="6" max="6" width="15.875" style="14" bestFit="1" customWidth="1"/>
    <col min="7" max="7" width="21.75" style="14" bestFit="1" customWidth="1"/>
    <col min="8" max="8" width="38.875" style="14" bestFit="1" customWidth="1"/>
    <col min="9" max="9" width="17.875" style="14" bestFit="1" customWidth="1"/>
    <col min="10" max="10" width="15" style="14" bestFit="1" customWidth="1"/>
    <col min="11" max="11" width="11.125" style="14" bestFit="1" customWidth="1"/>
    <col min="12" max="12" width="6.75" style="14" bestFit="1" customWidth="1"/>
    <col min="13" max="14" width="5.25" style="14" customWidth="1"/>
    <col min="15" max="15" width="17.25" style="14" bestFit="1" customWidth="1"/>
    <col min="16" max="16" width="4.375" style="14" bestFit="1" customWidth="1"/>
    <col min="17" max="17" width="15" style="14" bestFit="1" customWidth="1"/>
    <col min="18" max="18" width="39.625" style="14" bestFit="1" customWidth="1"/>
    <col min="19" max="19" width="10.375" style="14" bestFit="1" customWidth="1"/>
    <col min="20" max="20" width="45.125" style="14" bestFit="1" customWidth="1"/>
    <col min="21" max="21" width="11.875" style="14" bestFit="1" customWidth="1"/>
    <col min="22" max="22" width="12.625" style="14" bestFit="1" customWidth="1"/>
    <col min="23" max="23" width="38.25" style="14" bestFit="1" customWidth="1"/>
    <col min="24" max="24" width="12.5" style="14"/>
    <col min="25" max="25" width="8.375" style="14" bestFit="1" customWidth="1"/>
    <col min="26" max="26" width="11.375" style="14" bestFit="1" customWidth="1"/>
    <col min="27" max="27" width="13" style="14" bestFit="1" customWidth="1"/>
    <col min="28" max="28" width="15.25" style="14" bestFit="1" customWidth="1"/>
    <col min="29" max="29" width="9" style="14" bestFit="1" customWidth="1"/>
    <col min="30" max="30" width="5.375" style="14" bestFit="1" customWidth="1"/>
    <col min="31" max="33" width="5.75" style="14" customWidth="1"/>
    <col min="34" max="16384" width="12.5" style="14"/>
  </cols>
  <sheetData>
    <row r="1" spans="1:33" ht="25.5" x14ac:dyDescent="0.25">
      <c r="B1" s="843" t="s">
        <v>231</v>
      </c>
      <c r="C1" s="63">
        <v>1000</v>
      </c>
      <c r="D1" s="64" t="s">
        <v>232</v>
      </c>
      <c r="E1" s="84">
        <f>T32</f>
        <v>17296.936931276297</v>
      </c>
      <c r="F1" s="62" t="s">
        <v>233</v>
      </c>
      <c r="G1" s="178">
        <f>E1/C1</f>
        <v>17.296936931276296</v>
      </c>
      <c r="H1" s="62" t="s">
        <v>234</v>
      </c>
      <c r="I1" s="185">
        <f>G1/K1</f>
        <v>17.296936931276296</v>
      </c>
      <c r="J1" s="68" t="s">
        <v>235</v>
      </c>
      <c r="K1" s="80">
        <v>1</v>
      </c>
      <c r="L1" s="80"/>
      <c r="M1" s="70"/>
      <c r="N1" s="71"/>
      <c r="O1" s="72" t="s">
        <v>236</v>
      </c>
      <c r="P1" s="73" t="s">
        <v>289</v>
      </c>
      <c r="Q1" s="74" t="s">
        <v>238</v>
      </c>
      <c r="R1" s="302">
        <v>0.78</v>
      </c>
      <c r="Y1" s="72" t="s">
        <v>444</v>
      </c>
      <c r="Z1" s="422">
        <v>107600</v>
      </c>
      <c r="AA1" s="72" t="s">
        <v>544</v>
      </c>
      <c r="AB1" s="422">
        <v>0</v>
      </c>
      <c r="AC1" s="72" t="s">
        <v>537</v>
      </c>
      <c r="AD1" s="422">
        <v>352</v>
      </c>
      <c r="AE1" s="168"/>
      <c r="AF1" s="170"/>
      <c r="AG1" s="73"/>
    </row>
    <row r="2" spans="1:33" ht="15.75" x14ac:dyDescent="0.25">
      <c r="A2" s="863"/>
      <c r="B2" s="1828" t="s">
        <v>445</v>
      </c>
      <c r="C2" s="1865"/>
      <c r="D2" s="1865"/>
      <c r="E2" s="1865"/>
      <c r="F2" s="1865"/>
      <c r="G2" s="1865"/>
      <c r="H2" s="1865"/>
      <c r="I2" s="296"/>
      <c r="J2" s="296"/>
      <c r="K2" s="297"/>
      <c r="L2" s="187"/>
      <c r="M2" s="80"/>
      <c r="N2" s="80"/>
      <c r="O2" s="80"/>
      <c r="P2" s="80"/>
      <c r="Q2" s="80"/>
      <c r="R2" s="80"/>
      <c r="AC2" s="79"/>
      <c r="AD2" s="79"/>
      <c r="AE2" s="1795"/>
      <c r="AF2" s="1799"/>
      <c r="AG2" s="1799"/>
    </row>
    <row r="3" spans="1:33" ht="15.75" x14ac:dyDescent="0.25">
      <c r="A3" s="863"/>
      <c r="B3" s="1796"/>
      <c r="C3" s="1796"/>
      <c r="D3" s="1796"/>
      <c r="E3" s="1796"/>
      <c r="F3" s="1796"/>
      <c r="G3" s="1796"/>
      <c r="H3" s="1796"/>
      <c r="I3" s="265"/>
      <c r="J3" s="265"/>
      <c r="K3" s="269"/>
      <c r="L3" s="187"/>
      <c r="M3" s="80"/>
      <c r="N3" s="80"/>
      <c r="O3" s="80"/>
      <c r="P3" s="80"/>
      <c r="Q3" s="80"/>
      <c r="R3" s="80"/>
      <c r="AC3" s="79"/>
      <c r="AD3" s="79"/>
      <c r="AE3" s="1799"/>
      <c r="AF3" s="1799"/>
      <c r="AG3" s="1799"/>
    </row>
    <row r="4" spans="1:33" ht="38.25" x14ac:dyDescent="0.2">
      <c r="A4" s="1350" t="s">
        <v>864</v>
      </c>
      <c r="B4" s="923" t="s">
        <v>241</v>
      </c>
      <c r="C4" s="934" t="s">
        <v>242</v>
      </c>
      <c r="D4" s="923" t="s">
        <v>231</v>
      </c>
      <c r="E4" s="936" t="s">
        <v>234</v>
      </c>
      <c r="F4" s="935" t="s">
        <v>243</v>
      </c>
      <c r="G4" s="923" t="s">
        <v>244</v>
      </c>
      <c r="H4" s="1635" t="s">
        <v>334</v>
      </c>
      <c r="I4" s="923" t="s">
        <v>246</v>
      </c>
      <c r="J4" s="923" t="s">
        <v>247</v>
      </c>
      <c r="K4" s="923" t="s">
        <v>248</v>
      </c>
      <c r="L4" s="923" t="s">
        <v>249</v>
      </c>
      <c r="M4" s="80"/>
      <c r="N4" s="80"/>
      <c r="O4" s="80"/>
      <c r="P4" s="80"/>
      <c r="AA4" s="169"/>
      <c r="AB4" s="171"/>
      <c r="AC4" s="169"/>
      <c r="AD4" s="169"/>
      <c r="AE4" s="169"/>
    </row>
    <row r="5" spans="1:33" x14ac:dyDescent="0.2">
      <c r="A5" s="937" t="s">
        <v>892</v>
      </c>
      <c r="B5" s="1252" t="s">
        <v>226</v>
      </c>
      <c r="C5" s="947" t="s">
        <v>14</v>
      </c>
      <c r="D5" s="944">
        <f>I51/H51</f>
        <v>3185.1282051282051</v>
      </c>
      <c r="E5" s="1621">
        <f>$H$52</f>
        <v>17.29638383513122</v>
      </c>
      <c r="F5" s="1616">
        <v>1</v>
      </c>
      <c r="G5" s="944">
        <f t="shared" ref="G5:G19" si="0">D5*E5</f>
        <v>55091.200000000004</v>
      </c>
      <c r="H5" s="1617">
        <f t="shared" ref="H5:H19" si="1">G5*F5</f>
        <v>55091.200000000004</v>
      </c>
      <c r="I5" s="914">
        <f>VLOOKUP(B5,All_Ingredients!$A$1:$F$161,6,FALSE())</f>
        <v>0.99</v>
      </c>
      <c r="J5" s="940">
        <f>VLOOKUP(B5,All_Ingredients!$A$1:$J$161,10,FALSE())</f>
        <v>11.75</v>
      </c>
      <c r="K5" s="945">
        <f t="shared" ref="K5" si="2">(H5/I5)/1000</f>
        <v>55.647676767676771</v>
      </c>
      <c r="L5" s="945">
        <f t="shared" ref="L5" si="3">K5*J5</f>
        <v>653.86020202020211</v>
      </c>
      <c r="M5" s="80"/>
      <c r="N5" s="80"/>
      <c r="O5" s="80"/>
      <c r="P5" s="80"/>
      <c r="X5" s="80"/>
      <c r="AA5" s="73"/>
      <c r="AB5" s="89"/>
      <c r="AC5" s="172"/>
      <c r="AD5" s="90"/>
      <c r="AE5" s="91"/>
    </row>
    <row r="6" spans="1:33" x14ac:dyDescent="0.25">
      <c r="A6" s="949" t="s">
        <v>883</v>
      </c>
      <c r="B6" s="1252" t="s">
        <v>17</v>
      </c>
      <c r="C6" s="947" t="s">
        <v>14</v>
      </c>
      <c r="D6" s="1618">
        <v>500</v>
      </c>
      <c r="E6" s="1621">
        <f t="shared" ref="E6:E19" si="4">$G$1</f>
        <v>17.296936931276296</v>
      </c>
      <c r="F6" s="1616">
        <v>1</v>
      </c>
      <c r="G6" s="944">
        <f t="shared" si="0"/>
        <v>8648.4684656381487</v>
      </c>
      <c r="H6" s="1617">
        <f t="shared" si="1"/>
        <v>8648.4684656381487</v>
      </c>
      <c r="I6" s="914">
        <f>VLOOKUP(B6,All_Ingredients!$A$1:$F$161,6,FALSE())</f>
        <v>0.98</v>
      </c>
      <c r="J6" s="940">
        <f>VLOOKUP(B6,All_Ingredients!$A$1:$J$161,10,FALSE())</f>
        <v>3.5</v>
      </c>
      <c r="K6" s="945">
        <f t="shared" ref="K6:K19" si="5">(H6/I6)/1000</f>
        <v>8.8249678220797438</v>
      </c>
      <c r="L6" s="945">
        <f t="shared" ref="L6:L19" si="6">K6*J6</f>
        <v>30.887387377279104</v>
      </c>
      <c r="U6" s="301"/>
      <c r="V6" s="80"/>
    </row>
    <row r="7" spans="1:33" x14ac:dyDescent="0.25">
      <c r="A7" s="949" t="s">
        <v>881</v>
      </c>
      <c r="B7" s="1252" t="s">
        <v>12</v>
      </c>
      <c r="C7" s="947" t="s">
        <v>14</v>
      </c>
      <c r="D7" s="1618">
        <v>300</v>
      </c>
      <c r="E7" s="1627">
        <f t="shared" si="4"/>
        <v>17.296936931276296</v>
      </c>
      <c r="F7" s="1616">
        <v>1</v>
      </c>
      <c r="G7" s="944">
        <f t="shared" si="0"/>
        <v>5189.0810793828887</v>
      </c>
      <c r="H7" s="1617">
        <f t="shared" si="1"/>
        <v>5189.0810793828887</v>
      </c>
      <c r="I7" s="914">
        <f>VLOOKUP(B7,All_Ingredients!$A$1:$F$161,6,FALSE())</f>
        <v>0.9</v>
      </c>
      <c r="J7" s="940">
        <f>VLOOKUP(B7,All_Ingredients!$A$1:$J$161,10,FALSE())</f>
        <v>3</v>
      </c>
      <c r="K7" s="945">
        <f t="shared" si="5"/>
        <v>5.7656456437587646</v>
      </c>
      <c r="L7" s="945">
        <f t="shared" si="6"/>
        <v>17.296936931276292</v>
      </c>
      <c r="U7" s="301"/>
      <c r="V7" s="80"/>
    </row>
    <row r="8" spans="1:33" x14ac:dyDescent="0.25">
      <c r="A8" s="949"/>
      <c r="B8" s="1252" t="s">
        <v>152</v>
      </c>
      <c r="C8" s="947" t="s">
        <v>14</v>
      </c>
      <c r="D8" s="1618">
        <v>50</v>
      </c>
      <c r="E8" s="1627">
        <f t="shared" si="4"/>
        <v>17.296936931276296</v>
      </c>
      <c r="F8" s="1616">
        <v>1</v>
      </c>
      <c r="G8" s="944">
        <f t="shared" si="0"/>
        <v>864.84684656381478</v>
      </c>
      <c r="H8" s="1617">
        <f t="shared" si="1"/>
        <v>864.84684656381478</v>
      </c>
      <c r="I8" s="914">
        <f>VLOOKUP(B8,All_Ingredients!$A$1:$F$161,6,FALSE())</f>
        <v>1</v>
      </c>
      <c r="J8" s="940">
        <f>VLOOKUP(B8,All_Ingredients!$A$1:$J$161,10,FALSE())</f>
        <v>30</v>
      </c>
      <c r="K8" s="945">
        <f t="shared" si="5"/>
        <v>0.86484684656381483</v>
      </c>
      <c r="L8" s="945">
        <f t="shared" si="6"/>
        <v>25.945405396914445</v>
      </c>
      <c r="U8" s="301"/>
      <c r="V8" s="80"/>
    </row>
    <row r="9" spans="1:33" x14ac:dyDescent="0.25">
      <c r="A9" s="949" t="s">
        <v>868</v>
      </c>
      <c r="B9" s="1252" t="s">
        <v>706</v>
      </c>
      <c r="C9" s="947" t="s">
        <v>14</v>
      </c>
      <c r="D9" s="1618">
        <v>50</v>
      </c>
      <c r="E9" s="1627">
        <f t="shared" si="4"/>
        <v>17.296936931276296</v>
      </c>
      <c r="F9" s="1616">
        <v>1</v>
      </c>
      <c r="G9" s="944">
        <f t="shared" si="0"/>
        <v>864.84684656381478</v>
      </c>
      <c r="H9" s="1617">
        <f t="shared" si="1"/>
        <v>864.84684656381478</v>
      </c>
      <c r="I9" s="914">
        <f>VLOOKUP(B9,All_Ingredients!$A$1:$F$161,6,FALSE())</f>
        <v>1</v>
      </c>
      <c r="J9" s="940">
        <f>VLOOKUP(B9,All_Ingredients!$A$1:$J$161,10,FALSE())</f>
        <v>10.5</v>
      </c>
      <c r="K9" s="945">
        <f t="shared" si="5"/>
        <v>0.86484684656381483</v>
      </c>
      <c r="L9" s="945">
        <f t="shared" si="6"/>
        <v>9.0808918889200552</v>
      </c>
      <c r="U9" s="301"/>
      <c r="V9" s="80"/>
    </row>
    <row r="10" spans="1:33" x14ac:dyDescent="0.25">
      <c r="A10" s="949"/>
      <c r="B10" s="1252" t="s">
        <v>678</v>
      </c>
      <c r="C10" s="947" t="s">
        <v>14</v>
      </c>
      <c r="D10" s="1618">
        <v>500</v>
      </c>
      <c r="E10" s="1627">
        <f t="shared" si="4"/>
        <v>17.296936931276296</v>
      </c>
      <c r="F10" s="1616">
        <v>1</v>
      </c>
      <c r="G10" s="944">
        <f t="shared" si="0"/>
        <v>8648.4684656381487</v>
      </c>
      <c r="H10" s="1617">
        <f t="shared" si="1"/>
        <v>8648.4684656381487</v>
      </c>
      <c r="I10" s="914">
        <f>VLOOKUP(B10,All_Ingredients!$A$1:$F$161,6,FALSE())</f>
        <v>1</v>
      </c>
      <c r="J10" s="940">
        <f>VLOOKUP(B10,All_Ingredients!$A$1:$J$161,10,FALSE())</f>
        <v>8.1520833333333336</v>
      </c>
      <c r="K10" s="945">
        <f t="shared" si="5"/>
        <v>8.6484684656381479</v>
      </c>
      <c r="L10" s="945">
        <f t="shared" si="6"/>
        <v>70.503035637587658</v>
      </c>
      <c r="U10" s="301"/>
      <c r="V10" s="80"/>
    </row>
    <row r="11" spans="1:33" x14ac:dyDescent="0.25">
      <c r="A11" s="949"/>
      <c r="B11" s="1252" t="s">
        <v>192</v>
      </c>
      <c r="C11" s="947" t="s">
        <v>160</v>
      </c>
      <c r="D11" s="1618">
        <v>50</v>
      </c>
      <c r="E11" s="1627">
        <f t="shared" si="4"/>
        <v>17.296936931276296</v>
      </c>
      <c r="F11" s="1616">
        <v>1</v>
      </c>
      <c r="G11" s="944">
        <f t="shared" si="0"/>
        <v>864.84684656381478</v>
      </c>
      <c r="H11" s="1617">
        <f t="shared" si="1"/>
        <v>864.84684656381478</v>
      </c>
      <c r="I11" s="914">
        <f>VLOOKUP(B11,All_Ingredients!$A$1:$F$161,6,FALSE())</f>
        <v>1</v>
      </c>
      <c r="J11" s="940">
        <f>VLOOKUP(B11,All_Ingredients!$A$1:$J$161,10,FALSE())</f>
        <v>58.685446009389672</v>
      </c>
      <c r="K11" s="945">
        <f t="shared" si="5"/>
        <v>0.86484684656381483</v>
      </c>
      <c r="L11" s="945">
        <f t="shared" si="6"/>
        <v>50.753922920411668</v>
      </c>
      <c r="U11" s="301"/>
      <c r="V11" s="80"/>
    </row>
    <row r="12" spans="1:33" x14ac:dyDescent="0.25">
      <c r="A12" s="949"/>
      <c r="B12" s="1252" t="s">
        <v>107</v>
      </c>
      <c r="C12" s="947" t="s">
        <v>14</v>
      </c>
      <c r="D12" s="1618">
        <v>20</v>
      </c>
      <c r="E12" s="1627">
        <f t="shared" si="4"/>
        <v>17.296936931276296</v>
      </c>
      <c r="F12" s="1616">
        <v>1</v>
      </c>
      <c r="G12" s="944">
        <f t="shared" si="0"/>
        <v>345.9387386255259</v>
      </c>
      <c r="H12" s="1617">
        <f t="shared" si="1"/>
        <v>345.9387386255259</v>
      </c>
      <c r="I12" s="914">
        <f>VLOOKUP(B12,All_Ingredients!$A$1:$F$161,6,FALSE())</f>
        <v>1</v>
      </c>
      <c r="J12" s="940">
        <f>VLOOKUP(B12,All_Ingredients!$A$1:$J$161,10,FALSE())</f>
        <v>8</v>
      </c>
      <c r="K12" s="945">
        <f t="shared" si="5"/>
        <v>0.34593873862552588</v>
      </c>
      <c r="L12" s="945">
        <f t="shared" si="6"/>
        <v>2.767509909004207</v>
      </c>
      <c r="U12" s="301"/>
      <c r="V12" s="80"/>
    </row>
    <row r="13" spans="1:33" x14ac:dyDescent="0.25">
      <c r="A13" s="949"/>
      <c r="B13" s="1252" t="s">
        <v>105</v>
      </c>
      <c r="C13" s="947" t="s">
        <v>14</v>
      </c>
      <c r="D13" s="1618">
        <v>20</v>
      </c>
      <c r="E13" s="1627">
        <f t="shared" si="4"/>
        <v>17.296936931276296</v>
      </c>
      <c r="F13" s="1616">
        <v>1</v>
      </c>
      <c r="G13" s="944">
        <f t="shared" si="0"/>
        <v>345.9387386255259</v>
      </c>
      <c r="H13" s="1617">
        <f t="shared" si="1"/>
        <v>345.9387386255259</v>
      </c>
      <c r="I13" s="914">
        <f>VLOOKUP(B13,All_Ingredients!$A$1:$F$161,6,FALSE())</f>
        <v>1</v>
      </c>
      <c r="J13" s="940">
        <f>VLOOKUP(B13,All_Ingredients!$A$1:$J$161,10,FALSE())</f>
        <v>15</v>
      </c>
      <c r="K13" s="945">
        <f t="shared" si="5"/>
        <v>0.34593873862552588</v>
      </c>
      <c r="L13" s="945">
        <f t="shared" si="6"/>
        <v>5.1890810793828885</v>
      </c>
      <c r="U13" s="301"/>
      <c r="V13" s="80"/>
    </row>
    <row r="14" spans="1:33" x14ac:dyDescent="0.25">
      <c r="A14" s="949"/>
      <c r="B14" s="1252" t="s">
        <v>99</v>
      </c>
      <c r="C14" s="947" t="s">
        <v>14</v>
      </c>
      <c r="D14" s="1618">
        <v>10</v>
      </c>
      <c r="E14" s="1627">
        <f t="shared" si="4"/>
        <v>17.296936931276296</v>
      </c>
      <c r="F14" s="1616">
        <v>1</v>
      </c>
      <c r="G14" s="944">
        <f t="shared" si="0"/>
        <v>172.96936931276295</v>
      </c>
      <c r="H14" s="1617">
        <f t="shared" si="1"/>
        <v>172.96936931276295</v>
      </c>
      <c r="I14" s="914">
        <f>VLOOKUP(B14,All_Ingredients!$A$1:$F$161,6,FALSE())</f>
        <v>1</v>
      </c>
      <c r="J14" s="940">
        <f>VLOOKUP(B14,All_Ingredients!$A$1:$J$161,10,FALSE())</f>
        <v>31</v>
      </c>
      <c r="K14" s="945">
        <f t="shared" si="5"/>
        <v>0.17296936931276294</v>
      </c>
      <c r="L14" s="945">
        <f t="shared" si="6"/>
        <v>5.3620504486956513</v>
      </c>
      <c r="U14" s="301"/>
      <c r="V14" s="80"/>
    </row>
    <row r="15" spans="1:33" x14ac:dyDescent="0.25">
      <c r="A15" s="949"/>
      <c r="B15" s="1252" t="s">
        <v>122</v>
      </c>
      <c r="C15" s="947" t="s">
        <v>14</v>
      </c>
      <c r="D15" s="1618">
        <v>5</v>
      </c>
      <c r="E15" s="1627">
        <f t="shared" si="4"/>
        <v>17.296936931276296</v>
      </c>
      <c r="F15" s="1616">
        <v>1</v>
      </c>
      <c r="G15" s="944">
        <f t="shared" si="0"/>
        <v>86.484684656381475</v>
      </c>
      <c r="H15" s="1617">
        <f t="shared" si="1"/>
        <v>86.484684656381475</v>
      </c>
      <c r="I15" s="914">
        <f>VLOOKUP(B15,All_Ingredients!$A$1:$F$161,6,FALSE())</f>
        <v>1</v>
      </c>
      <c r="J15" s="940">
        <f>VLOOKUP(B15,All_Ingredients!$A$1:$J$161,10,FALSE())</f>
        <v>14</v>
      </c>
      <c r="K15" s="945">
        <f t="shared" si="5"/>
        <v>8.6484684656381469E-2</v>
      </c>
      <c r="L15" s="945">
        <f t="shared" si="6"/>
        <v>1.2107855851893405</v>
      </c>
      <c r="U15" s="301"/>
      <c r="V15" s="80"/>
    </row>
    <row r="16" spans="1:33" x14ac:dyDescent="0.25">
      <c r="A16" s="949"/>
      <c r="B16" s="1252" t="s">
        <v>214</v>
      </c>
      <c r="C16" s="947" t="s">
        <v>14</v>
      </c>
      <c r="D16" s="1618">
        <v>1</v>
      </c>
      <c r="E16" s="1627">
        <f t="shared" si="4"/>
        <v>17.296936931276296</v>
      </c>
      <c r="F16" s="1616">
        <v>1</v>
      </c>
      <c r="G16" s="944">
        <f t="shared" si="0"/>
        <v>17.296936931276296</v>
      </c>
      <c r="H16" s="1617">
        <f t="shared" si="1"/>
        <v>17.296936931276296</v>
      </c>
      <c r="I16" s="914">
        <f>VLOOKUP(B16,All_Ingredients!$A$1:$F$161,6,FALSE())</f>
        <v>1</v>
      </c>
      <c r="J16" s="940">
        <f>VLOOKUP(B16,All_Ingredients!$A$1:$J$161,10,FALSE())</f>
        <v>35</v>
      </c>
      <c r="K16" s="945">
        <f t="shared" si="5"/>
        <v>1.7296936931276295E-2</v>
      </c>
      <c r="L16" s="945">
        <f t="shared" si="6"/>
        <v>0.60539279259467027</v>
      </c>
      <c r="U16" s="301"/>
      <c r="V16" s="80"/>
    </row>
    <row r="17" spans="1:29" x14ac:dyDescent="0.25">
      <c r="A17" s="949"/>
      <c r="B17" s="1252" t="s">
        <v>172</v>
      </c>
      <c r="C17" s="947" t="s">
        <v>14</v>
      </c>
      <c r="D17" s="939">
        <v>297</v>
      </c>
      <c r="E17" s="1627">
        <f t="shared" si="4"/>
        <v>17.296936931276296</v>
      </c>
      <c r="F17" s="1616">
        <v>1</v>
      </c>
      <c r="G17" s="944">
        <f t="shared" si="0"/>
        <v>5137.19026858906</v>
      </c>
      <c r="H17" s="1617">
        <f t="shared" si="1"/>
        <v>5137.19026858906</v>
      </c>
      <c r="I17" s="914">
        <f>VLOOKUP(B17,All_Ingredients!$A$1:$F$161,6,FALSE())</f>
        <v>1</v>
      </c>
      <c r="J17" s="940">
        <f>VLOOKUP(B17,All_Ingredients!$A$1:$J$161,10,FALSE())</f>
        <v>17.934782608695652</v>
      </c>
      <c r="K17" s="945">
        <f t="shared" si="5"/>
        <v>5.1371902685890598</v>
      </c>
      <c r="L17" s="945">
        <f t="shared" si="6"/>
        <v>92.134390686651614</v>
      </c>
      <c r="Q17" s="244"/>
      <c r="T17" s="14" t="s">
        <v>776</v>
      </c>
    </row>
    <row r="18" spans="1:29" x14ac:dyDescent="0.25">
      <c r="A18" s="949"/>
      <c r="B18" s="1252" t="s">
        <v>93</v>
      </c>
      <c r="C18" s="947" t="s">
        <v>14</v>
      </c>
      <c r="D18" s="1618">
        <v>5</v>
      </c>
      <c r="E18" s="1627">
        <f t="shared" si="4"/>
        <v>17.296936931276296</v>
      </c>
      <c r="F18" s="1616">
        <v>1</v>
      </c>
      <c r="G18" s="944">
        <f t="shared" si="0"/>
        <v>86.484684656381475</v>
      </c>
      <c r="H18" s="1617">
        <f t="shared" si="1"/>
        <v>86.484684656381475</v>
      </c>
      <c r="I18" s="914">
        <f>VLOOKUP(B18,All_Ingredients!$A$1:$F$161,6,FALSE())</f>
        <v>1</v>
      </c>
      <c r="J18" s="940">
        <f>VLOOKUP(B18,All_Ingredients!$A$1:$J$161,10,FALSE())</f>
        <v>0.74</v>
      </c>
      <c r="K18" s="945">
        <f t="shared" si="5"/>
        <v>8.6484684656381469E-2</v>
      </c>
      <c r="L18" s="945">
        <f t="shared" si="6"/>
        <v>6.3998666645722291E-2</v>
      </c>
    </row>
    <row r="19" spans="1:29" x14ac:dyDescent="0.25">
      <c r="A19" s="949"/>
      <c r="B19" s="1252" t="s">
        <v>185</v>
      </c>
      <c r="C19" s="947" t="s">
        <v>14</v>
      </c>
      <c r="D19" s="1618">
        <v>100</v>
      </c>
      <c r="E19" s="1627">
        <f t="shared" si="4"/>
        <v>17.296936931276296</v>
      </c>
      <c r="F19" s="1616">
        <v>1</v>
      </c>
      <c r="G19" s="944">
        <f t="shared" si="0"/>
        <v>1729.6936931276296</v>
      </c>
      <c r="H19" s="1617">
        <f t="shared" si="1"/>
        <v>1729.6936931276296</v>
      </c>
      <c r="I19" s="914">
        <f>VLOOKUP(B19,All_Ingredients!$A$1:$F$161,6,FALSE())</f>
        <v>1</v>
      </c>
      <c r="J19" s="940">
        <f>VLOOKUP(B19,All_Ingredients!$A$1:$J$161,10,FALSE())</f>
        <v>1.7</v>
      </c>
      <c r="K19" s="945">
        <f t="shared" si="5"/>
        <v>1.7296936931276297</v>
      </c>
      <c r="L19" s="945">
        <f t="shared" si="6"/>
        <v>2.9404792783169702</v>
      </c>
      <c r="T19" s="14" t="s">
        <v>777</v>
      </c>
    </row>
    <row r="20" spans="1:29" x14ac:dyDescent="0.25">
      <c r="R20" s="314">
        <f>U28/R22</f>
        <v>0.56011220196353451</v>
      </c>
    </row>
    <row r="21" spans="1:29" x14ac:dyDescent="0.25">
      <c r="L21" s="190"/>
      <c r="R21" s="303" t="s">
        <v>352</v>
      </c>
      <c r="T21" s="303" t="s">
        <v>446</v>
      </c>
    </row>
    <row r="22" spans="1:29" x14ac:dyDescent="0.25">
      <c r="L22" s="190"/>
      <c r="R22" s="243">
        <f>$Z$1</f>
        <v>107600</v>
      </c>
      <c r="T22" s="243">
        <f>$AB$1</f>
        <v>0</v>
      </c>
    </row>
    <row r="23" spans="1:29" x14ac:dyDescent="0.25">
      <c r="L23" s="190"/>
    </row>
    <row r="24" spans="1:29" x14ac:dyDescent="0.25">
      <c r="L24" s="190"/>
      <c r="Z24" s="597"/>
    </row>
    <row r="25" spans="1:29" x14ac:dyDescent="0.25">
      <c r="L25" s="190"/>
      <c r="R25" s="1897" t="s">
        <v>447</v>
      </c>
      <c r="S25" s="1850"/>
      <c r="T25" s="1850"/>
      <c r="U25" s="1850"/>
      <c r="Z25" s="96" t="s">
        <v>252</v>
      </c>
      <c r="AA25" s="97">
        <v>1</v>
      </c>
      <c r="AB25" s="96" t="s">
        <v>249</v>
      </c>
      <c r="AC25" s="98">
        <f>AC30*AA25</f>
        <v>1.6071552042547781E-2</v>
      </c>
    </row>
    <row r="26" spans="1:29" x14ac:dyDescent="0.25">
      <c r="L26" s="190"/>
      <c r="R26" s="1897" t="s">
        <v>356</v>
      </c>
      <c r="S26" s="1850"/>
      <c r="T26" s="1850"/>
      <c r="U26" s="1850"/>
    </row>
    <row r="27" spans="1:29" x14ac:dyDescent="0.25">
      <c r="L27" s="190"/>
      <c r="R27" s="100" t="s">
        <v>254</v>
      </c>
      <c r="S27" s="101" t="s">
        <v>375</v>
      </c>
      <c r="T27" s="101" t="s">
        <v>256</v>
      </c>
      <c r="U27" s="101" t="s">
        <v>257</v>
      </c>
      <c r="Z27" s="96" t="s">
        <v>258</v>
      </c>
      <c r="AA27" s="102" t="s">
        <v>259</v>
      </c>
      <c r="AB27" s="102" t="s">
        <v>260</v>
      </c>
      <c r="AC27" s="102" t="s">
        <v>262</v>
      </c>
    </row>
    <row r="28" spans="1:29" x14ac:dyDescent="0.25">
      <c r="L28" s="190"/>
      <c r="R28" s="103" t="s">
        <v>263</v>
      </c>
      <c r="S28" s="380">
        <f>($R$22*0.512)*$R$1</f>
        <v>42971.136000000006</v>
      </c>
      <c r="T28" s="380">
        <f>U28*U40</f>
        <v>17296.936931276297</v>
      </c>
      <c r="U28" s="380">
        <f>S28/S40</f>
        <v>60268.072931276307</v>
      </c>
      <c r="Z28" s="105"/>
      <c r="AA28" s="106">
        <f>AA25*$S$40</f>
        <v>0.71299999999999997</v>
      </c>
      <c r="AB28" s="106">
        <f>AA25*$U$40</f>
        <v>0.28699999999999998</v>
      </c>
      <c r="AC28" s="108">
        <f>SUM(AA28:AB28)</f>
        <v>1</v>
      </c>
    </row>
    <row r="29" spans="1:29" x14ac:dyDescent="0.25">
      <c r="R29" s="103" t="s">
        <v>264</v>
      </c>
      <c r="S29" s="382"/>
      <c r="T29" s="380"/>
      <c r="U29" s="380">
        <f>T29</f>
        <v>0</v>
      </c>
      <c r="Z29" s="105"/>
      <c r="AA29" s="110">
        <f>AA28/$AC$28</f>
        <v>0.71299999999999997</v>
      </c>
      <c r="AB29" s="110">
        <f>AB28/$AC$28</f>
        <v>0.28699999999999998</v>
      </c>
      <c r="AC29" s="110">
        <f>AC28/$AC$28</f>
        <v>1</v>
      </c>
    </row>
    <row r="30" spans="1:29" x14ac:dyDescent="0.25">
      <c r="B30" s="80"/>
      <c r="R30" s="103" t="s">
        <v>265</v>
      </c>
      <c r="S30" s="380">
        <f>($T$22*0.512)*$R$1</f>
        <v>0</v>
      </c>
      <c r="T30" s="380">
        <f>U30-S30</f>
        <v>0</v>
      </c>
      <c r="U30" s="380">
        <f>S30/S40</f>
        <v>0</v>
      </c>
      <c r="Z30" s="96" t="s">
        <v>266</v>
      </c>
      <c r="AA30" s="111">
        <f>S35/(S32)</f>
        <v>1.5216265216265215E-2</v>
      </c>
      <c r="AB30" s="112">
        <f>T35/T32</f>
        <v>1.8196358687633044E-2</v>
      </c>
      <c r="AC30" s="633">
        <f>SUMPRODUCT(AA29:AB29,AA30:AB30)</f>
        <v>1.6071552042547781E-2</v>
      </c>
    </row>
    <row r="31" spans="1:29" x14ac:dyDescent="0.25">
      <c r="B31" s="80"/>
      <c r="R31" s="103" t="s">
        <v>267</v>
      </c>
      <c r="S31" s="109"/>
      <c r="T31" s="104"/>
      <c r="U31" s="104"/>
      <c r="AC31" s="636"/>
    </row>
    <row r="32" spans="1:29" x14ac:dyDescent="0.25">
      <c r="B32" s="80"/>
      <c r="E32" s="80"/>
      <c r="F32" s="80"/>
      <c r="R32" s="114" t="s">
        <v>257</v>
      </c>
      <c r="S32" s="104">
        <f>SUM(S28:S30)</f>
        <v>42971.136000000006</v>
      </c>
      <c r="T32" s="104">
        <f>SUM(T28:T30)</f>
        <v>17296.936931276297</v>
      </c>
      <c r="U32" s="104">
        <f>SUM(U28:U30)</f>
        <v>60268.072931276307</v>
      </c>
    </row>
    <row r="33" spans="1:23" x14ac:dyDescent="0.25">
      <c r="R33" s="115" t="s">
        <v>268</v>
      </c>
      <c r="S33" s="109"/>
      <c r="T33" s="109"/>
      <c r="U33" s="104">
        <f>F82</f>
        <v>0</v>
      </c>
    </row>
    <row r="34" spans="1:23" x14ac:dyDescent="0.25">
      <c r="R34" s="116" t="s">
        <v>269</v>
      </c>
      <c r="S34" s="109"/>
      <c r="T34" s="104"/>
      <c r="U34" s="104"/>
    </row>
    <row r="35" spans="1:23" ht="15.75" x14ac:dyDescent="0.2">
      <c r="A35" s="444"/>
      <c r="B35" s="1892" t="s">
        <v>1016</v>
      </c>
      <c r="C35" s="1892"/>
      <c r="D35" s="1892"/>
      <c r="E35" s="1892"/>
      <c r="F35" s="1892"/>
      <c r="G35" s="444"/>
      <c r="H35" s="444"/>
      <c r="I35" s="444"/>
      <c r="J35" s="444"/>
      <c r="K35" s="444"/>
      <c r="L35" s="444"/>
      <c r="R35" s="117" t="s">
        <v>249</v>
      </c>
      <c r="S35" s="548">
        <f>$L$5</f>
        <v>653.86020202020211</v>
      </c>
      <c r="T35" s="548">
        <f>SUM(L6:L19)</f>
        <v>314.74126859887031</v>
      </c>
      <c r="U35" s="548">
        <f>S35+T35</f>
        <v>968.60147061907242</v>
      </c>
    </row>
    <row r="36" spans="1:23" ht="63" x14ac:dyDescent="0.2">
      <c r="A36" s="1001" t="s">
        <v>864</v>
      </c>
      <c r="B36" s="1004" t="s">
        <v>241</v>
      </c>
      <c r="C36" s="1004" t="s">
        <v>316</v>
      </c>
      <c r="D36" s="1002" t="s">
        <v>610</v>
      </c>
      <c r="E36" s="1003" t="s">
        <v>611</v>
      </c>
      <c r="F36" s="1002" t="s">
        <v>612</v>
      </c>
      <c r="G36" s="1001"/>
      <c r="H36" s="427" t="s">
        <v>612</v>
      </c>
      <c r="I36" s="427" t="s">
        <v>246</v>
      </c>
      <c r="J36" s="427" t="s">
        <v>247</v>
      </c>
      <c r="K36" s="427" t="s">
        <v>248</v>
      </c>
      <c r="L36" s="427" t="s">
        <v>249</v>
      </c>
    </row>
    <row r="37" spans="1:23" x14ac:dyDescent="0.2">
      <c r="A37" s="1005" t="s">
        <v>1005</v>
      </c>
      <c r="B37" s="1005" t="s">
        <v>64</v>
      </c>
      <c r="C37" s="1006" t="s">
        <v>14</v>
      </c>
      <c r="D37" s="1645">
        <v>0.2</v>
      </c>
      <c r="E37" s="1005">
        <f>$AD$1</f>
        <v>352</v>
      </c>
      <c r="F37" s="1005">
        <f>D37*E37</f>
        <v>70.400000000000006</v>
      </c>
      <c r="G37" s="437"/>
      <c r="H37" s="425">
        <f>F37</f>
        <v>70.400000000000006</v>
      </c>
      <c r="I37" s="425">
        <f>VLOOKUP(B37,All_Ingredients!$A$1:$F$161,6,FALSE())</f>
        <v>0.65</v>
      </c>
      <c r="J37" s="425">
        <f>VLOOKUP(B37,All_Ingredients!$A$1:$J$161,10,FALSE())</f>
        <v>3.5</v>
      </c>
      <c r="K37" s="425">
        <f t="shared" ref="K37" si="7">(H37/I37)/1000</f>
        <v>0.10830769230769231</v>
      </c>
      <c r="L37" s="425">
        <f t="shared" ref="L37" si="8">K37*J37</f>
        <v>0.37907692307692309</v>
      </c>
    </row>
    <row r="40" spans="1:23" x14ac:dyDescent="0.25">
      <c r="R40" s="119" t="s">
        <v>270</v>
      </c>
      <c r="S40" s="163">
        <v>0.71299999999999997</v>
      </c>
      <c r="T40" s="119" t="s">
        <v>271</v>
      </c>
      <c r="U40" s="163">
        <v>0.28699999999999998</v>
      </c>
      <c r="V40" s="122">
        <f>S40+U40</f>
        <v>1</v>
      </c>
    </row>
    <row r="41" spans="1:23" x14ac:dyDescent="0.25">
      <c r="U41" s="123"/>
    </row>
    <row r="43" spans="1:23" x14ac:dyDescent="0.25">
      <c r="Q43" s="124" t="s">
        <v>272</v>
      </c>
      <c r="R43" s="124" t="s">
        <v>273</v>
      </c>
      <c r="S43" s="124" t="s">
        <v>274</v>
      </c>
      <c r="T43" s="124" t="s">
        <v>275</v>
      </c>
      <c r="U43" s="124" t="s">
        <v>276</v>
      </c>
      <c r="V43" s="124" t="s">
        <v>277</v>
      </c>
      <c r="W43" s="174" t="s">
        <v>278</v>
      </c>
    </row>
    <row r="44" spans="1:23" x14ac:dyDescent="0.25">
      <c r="Q44" s="126">
        <v>34844</v>
      </c>
      <c r="R44" s="127">
        <f>D51</f>
        <v>10000</v>
      </c>
      <c r="S44" s="164">
        <v>1</v>
      </c>
      <c r="T44" s="164">
        <v>0</v>
      </c>
      <c r="U44" s="165">
        <f>R44*S44</f>
        <v>10000</v>
      </c>
      <c r="V44" s="129">
        <f>R44*T44</f>
        <v>0</v>
      </c>
      <c r="W44" s="175">
        <f>Q44-U44</f>
        <v>24844</v>
      </c>
    </row>
    <row r="50" spans="1:10" x14ac:dyDescent="0.25">
      <c r="B50" s="181"/>
      <c r="C50" s="100" t="s">
        <v>233</v>
      </c>
      <c r="D50" s="100" t="s">
        <v>279</v>
      </c>
      <c r="G50" s="100" t="s">
        <v>280</v>
      </c>
      <c r="H50" s="100" t="s">
        <v>233</v>
      </c>
      <c r="I50" s="100" t="s">
        <v>281</v>
      </c>
      <c r="J50" s="100" t="s">
        <v>282</v>
      </c>
    </row>
    <row r="51" spans="1:10" x14ac:dyDescent="0.25">
      <c r="B51" s="844" t="s">
        <v>283</v>
      </c>
      <c r="C51" s="133">
        <f>10/$K$1</f>
        <v>10</v>
      </c>
      <c r="D51" s="134">
        <f>$C$1*10</f>
        <v>10000</v>
      </c>
      <c r="G51" s="132" t="s">
        <v>283</v>
      </c>
      <c r="H51" s="182">
        <v>10</v>
      </c>
      <c r="I51" s="133">
        <f t="shared" ref="I51:I57" si="9">J51/$R$1</f>
        <v>31851.282051282051</v>
      </c>
      <c r="J51" s="133">
        <f>$W$44</f>
        <v>24844</v>
      </c>
    </row>
    <row r="52" spans="1:10" x14ac:dyDescent="0.25">
      <c r="B52" s="846" t="s">
        <v>262</v>
      </c>
      <c r="C52" s="156">
        <f>$I$1</f>
        <v>17.296936931276296</v>
      </c>
      <c r="D52" s="157">
        <f>$T$32</f>
        <v>17296.936931276297</v>
      </c>
      <c r="G52" s="103" t="s">
        <v>262</v>
      </c>
      <c r="H52" s="145">
        <f>I52/$D$5</f>
        <v>17.29638383513122</v>
      </c>
      <c r="I52" s="129">
        <f t="shared" si="9"/>
        <v>55091.200000000004</v>
      </c>
      <c r="J52" s="136">
        <f>$S$32</f>
        <v>42971.136000000006</v>
      </c>
    </row>
    <row r="53" spans="1:10" x14ac:dyDescent="0.25">
      <c r="B53" s="846" t="s">
        <v>284</v>
      </c>
      <c r="C53" s="158">
        <f>MIN(C52, C51)</f>
        <v>10</v>
      </c>
      <c r="D53" s="157">
        <f>(C53*$K$1)*$C$1</f>
        <v>10000</v>
      </c>
      <c r="G53" s="103" t="s">
        <v>284</v>
      </c>
      <c r="H53" s="139">
        <f>MIN(H52,H51)</f>
        <v>10</v>
      </c>
      <c r="I53" s="129">
        <f t="shared" si="9"/>
        <v>31851.282051282051</v>
      </c>
      <c r="J53" s="129">
        <f>MIN(J52,J51)</f>
        <v>24844</v>
      </c>
    </row>
    <row r="54" spans="1:10" x14ac:dyDescent="0.25">
      <c r="B54" s="846" t="s">
        <v>285</v>
      </c>
      <c r="C54" s="158">
        <f>MIN(MAX(C52-C53,0),C51)</f>
        <v>7.2969369312762957</v>
      </c>
      <c r="D54" s="157">
        <f>(C54*$K$1)*$C$1</f>
        <v>7296.9369312762956</v>
      </c>
      <c r="G54" s="103" t="s">
        <v>285</v>
      </c>
      <c r="H54" s="304">
        <f>MIN(MAX(H52-H53),H51)</f>
        <v>7.2963838351312198</v>
      </c>
      <c r="I54" s="129">
        <f t="shared" si="9"/>
        <v>23239.917948717957</v>
      </c>
      <c r="J54" s="129">
        <f>MIN(MAX(J52-J53,0),J51)</f>
        <v>18127.136000000006</v>
      </c>
    </row>
    <row r="55" spans="1:10" x14ac:dyDescent="0.25">
      <c r="B55" s="846" t="s">
        <v>286</v>
      </c>
      <c r="C55" s="158">
        <f>MIN(MAX(C52-C53-C54,0),C51)</f>
        <v>0</v>
      </c>
      <c r="D55" s="157">
        <f>(C55*$K$1)*$C$1</f>
        <v>0</v>
      </c>
      <c r="G55" s="100" t="s">
        <v>286</v>
      </c>
      <c r="H55" s="139">
        <f>MIN(MAX(H52-H53-H54),H51)</f>
        <v>0</v>
      </c>
      <c r="I55" s="129">
        <f t="shared" si="9"/>
        <v>0</v>
      </c>
      <c r="J55" s="129">
        <f>MIN(MAX(J52-J53-J54,0),J51)</f>
        <v>0</v>
      </c>
    </row>
    <row r="56" spans="1:10" x14ac:dyDescent="0.25">
      <c r="B56" s="846" t="s">
        <v>293</v>
      </c>
      <c r="C56" s="158">
        <f>MIN(MAX(C52-C53-C54-C55,0),C51)</f>
        <v>0</v>
      </c>
      <c r="D56" s="159">
        <f>C56*$K$1</f>
        <v>0</v>
      </c>
      <c r="G56" s="100" t="s">
        <v>293</v>
      </c>
      <c r="H56" s="139">
        <f>MIN(MAX(H52-H53-H54-H55,0),H51)</f>
        <v>0</v>
      </c>
      <c r="I56" s="129">
        <f t="shared" si="9"/>
        <v>0</v>
      </c>
      <c r="J56" s="129">
        <f>MIN(MAX(J52-J53-J54-J55,0),J51)</f>
        <v>0</v>
      </c>
    </row>
    <row r="57" spans="1:10" x14ac:dyDescent="0.25">
      <c r="B57" s="80"/>
      <c r="G57" s="100" t="s">
        <v>343</v>
      </c>
      <c r="H57" s="139">
        <f>MIN(MAX(H52-H53-H54-H55-H56,0),H51)</f>
        <v>0</v>
      </c>
      <c r="I57" s="129">
        <f t="shared" si="9"/>
        <v>0</v>
      </c>
      <c r="J57" s="145">
        <f>MIN(MAX(J52-J53-J54-J55-J56,0),J51)</f>
        <v>0</v>
      </c>
    </row>
    <row r="62" spans="1:10" x14ac:dyDescent="0.25">
      <c r="A62" s="863"/>
      <c r="B62" s="1828" t="s">
        <v>445</v>
      </c>
      <c r="C62" s="1865"/>
      <c r="D62" s="1865"/>
      <c r="E62" s="1865"/>
      <c r="F62" s="1865"/>
      <c r="G62" s="1865"/>
      <c r="H62" s="1865"/>
    </row>
    <row r="63" spans="1:10" x14ac:dyDescent="0.25">
      <c r="A63" s="863"/>
      <c r="B63" s="1796"/>
      <c r="C63" s="1796"/>
      <c r="D63" s="1796"/>
      <c r="E63" s="1796"/>
      <c r="F63" s="1796"/>
      <c r="G63" s="1796"/>
      <c r="H63" s="1796"/>
    </row>
    <row r="64" spans="1:10" ht="38.25" x14ac:dyDescent="0.2">
      <c r="A64" s="1350" t="s">
        <v>864</v>
      </c>
      <c r="B64" s="923" t="s">
        <v>241</v>
      </c>
      <c r="C64" s="934" t="s">
        <v>242</v>
      </c>
      <c r="D64" s="923" t="s">
        <v>231</v>
      </c>
      <c r="E64" s="936" t="s">
        <v>234</v>
      </c>
      <c r="F64" s="935" t="s">
        <v>243</v>
      </c>
      <c r="G64" s="923" t="s">
        <v>244</v>
      </c>
      <c r="H64" s="1635" t="s">
        <v>334</v>
      </c>
    </row>
    <row r="65" spans="1:8" x14ac:dyDescent="0.2">
      <c r="A65" s="937" t="s">
        <v>892</v>
      </c>
      <c r="B65" s="1252" t="str">
        <f>B5</f>
        <v>Indian Meat Tammam Mafroom - مفروم هندى</v>
      </c>
      <c r="C65" s="1252" t="str">
        <f t="shared" ref="C65:F65" si="10">C5</f>
        <v>gm</v>
      </c>
      <c r="D65" s="1620">
        <f t="shared" si="10"/>
        <v>3185.1282051282051</v>
      </c>
      <c r="E65" s="1620">
        <f t="shared" si="10"/>
        <v>17.29638383513122</v>
      </c>
      <c r="F65" s="1743">
        <f t="shared" si="10"/>
        <v>1</v>
      </c>
      <c r="G65" s="944">
        <f t="shared" ref="G65:G79" si="11">D65*E65</f>
        <v>55091.200000000004</v>
      </c>
      <c r="H65" s="1617">
        <f t="shared" ref="H65:H79" si="12">G65*F65</f>
        <v>55091.200000000004</v>
      </c>
    </row>
    <row r="66" spans="1:8" x14ac:dyDescent="0.25">
      <c r="A66" s="949" t="s">
        <v>883</v>
      </c>
      <c r="B66" s="1252" t="str">
        <f t="shared" ref="B66:F66" si="13">B6</f>
        <v>Tomato - طماطم</v>
      </c>
      <c r="C66" s="1252" t="str">
        <f t="shared" si="13"/>
        <v>gm</v>
      </c>
      <c r="D66" s="1252">
        <f t="shared" si="13"/>
        <v>500</v>
      </c>
      <c r="E66" s="1620">
        <f t="shared" si="13"/>
        <v>17.296936931276296</v>
      </c>
      <c r="F66" s="1743">
        <f t="shared" si="13"/>
        <v>1</v>
      </c>
      <c r="G66" s="944">
        <f t="shared" si="11"/>
        <v>8648.4684656381487</v>
      </c>
      <c r="H66" s="1617">
        <f t="shared" si="12"/>
        <v>8648.4684656381487</v>
      </c>
    </row>
    <row r="67" spans="1:8" x14ac:dyDescent="0.25">
      <c r="A67" s="949" t="s">
        <v>881</v>
      </c>
      <c r="B67" s="1252" t="str">
        <f t="shared" ref="B67:F67" si="14">B7</f>
        <v>Onion - بصل</v>
      </c>
      <c r="C67" s="1252" t="str">
        <f t="shared" si="14"/>
        <v>gm</v>
      </c>
      <c r="D67" s="1252">
        <f t="shared" si="14"/>
        <v>300</v>
      </c>
      <c r="E67" s="1620">
        <f t="shared" si="14"/>
        <v>17.296936931276296</v>
      </c>
      <c r="F67" s="1743">
        <f t="shared" si="14"/>
        <v>1</v>
      </c>
      <c r="G67" s="944">
        <f t="shared" si="11"/>
        <v>5189.0810793828887</v>
      </c>
      <c r="H67" s="1617">
        <f t="shared" si="12"/>
        <v>5189.0810793828887</v>
      </c>
    </row>
    <row r="68" spans="1:8" x14ac:dyDescent="0.25">
      <c r="A68" s="949"/>
      <c r="B68" s="1252" t="str">
        <f t="shared" ref="B68:F68" si="15">B8</f>
        <v>Butter - زبدة</v>
      </c>
      <c r="C68" s="1252" t="str">
        <f t="shared" si="15"/>
        <v>gm</v>
      </c>
      <c r="D68" s="1252">
        <f t="shared" si="15"/>
        <v>50</v>
      </c>
      <c r="E68" s="1620">
        <f t="shared" si="15"/>
        <v>17.296936931276296</v>
      </c>
      <c r="F68" s="1743">
        <f t="shared" si="15"/>
        <v>1</v>
      </c>
      <c r="G68" s="944">
        <f t="shared" si="11"/>
        <v>864.84684656381478</v>
      </c>
      <c r="H68" s="1617">
        <f t="shared" si="12"/>
        <v>864.84684656381478</v>
      </c>
    </row>
    <row r="69" spans="1:8" x14ac:dyDescent="0.25">
      <c r="A69" s="949" t="s">
        <v>868</v>
      </c>
      <c r="B69" s="1252" t="str">
        <f t="shared" ref="B69:F69" si="16">B9</f>
        <v>Garlic - ثوم مقشر</v>
      </c>
      <c r="C69" s="1252" t="str">
        <f t="shared" si="16"/>
        <v>gm</v>
      </c>
      <c r="D69" s="1252">
        <f t="shared" si="16"/>
        <v>50</v>
      </c>
      <c r="E69" s="1620">
        <f t="shared" si="16"/>
        <v>17.296936931276296</v>
      </c>
      <c r="F69" s="1743">
        <f t="shared" si="16"/>
        <v>1</v>
      </c>
      <c r="G69" s="944">
        <f t="shared" si="11"/>
        <v>864.84684656381478</v>
      </c>
      <c r="H69" s="1617">
        <f t="shared" si="12"/>
        <v>864.84684656381478</v>
      </c>
    </row>
    <row r="70" spans="1:8" x14ac:dyDescent="0.25">
      <c r="A70" s="949"/>
      <c r="B70" s="1252" t="str">
        <f t="shared" ref="B70:F70" si="17">B10</f>
        <v>Tomato Paste - صلصة طماطم</v>
      </c>
      <c r="C70" s="1252" t="str">
        <f t="shared" si="17"/>
        <v>gm</v>
      </c>
      <c r="D70" s="1252">
        <f t="shared" si="17"/>
        <v>500</v>
      </c>
      <c r="E70" s="1620">
        <f t="shared" si="17"/>
        <v>17.296936931276296</v>
      </c>
      <c r="F70" s="1743">
        <f t="shared" si="17"/>
        <v>1</v>
      </c>
      <c r="G70" s="944">
        <f t="shared" si="11"/>
        <v>8648.4684656381487</v>
      </c>
      <c r="H70" s="1617">
        <f t="shared" si="12"/>
        <v>8648.4684656381487</v>
      </c>
    </row>
    <row r="71" spans="1:8" x14ac:dyDescent="0.25">
      <c r="A71" s="949"/>
      <c r="B71" s="1252" t="str">
        <f t="shared" ref="B71:F71" si="18">B11</f>
        <v>Sriracha Sauce - صوص سريراتشا</v>
      </c>
      <c r="C71" s="1252" t="str">
        <f t="shared" si="18"/>
        <v>ml</v>
      </c>
      <c r="D71" s="1252">
        <f t="shared" si="18"/>
        <v>50</v>
      </c>
      <c r="E71" s="1620">
        <f t="shared" si="18"/>
        <v>17.296936931276296</v>
      </c>
      <c r="F71" s="1743">
        <f t="shared" si="18"/>
        <v>1</v>
      </c>
      <c r="G71" s="944">
        <f t="shared" si="11"/>
        <v>864.84684656381478</v>
      </c>
      <c r="H71" s="1617">
        <f t="shared" si="12"/>
        <v>864.84684656381478</v>
      </c>
    </row>
    <row r="72" spans="1:8" x14ac:dyDescent="0.25">
      <c r="A72" s="949"/>
      <c r="B72" s="1252" t="str">
        <f t="shared" ref="B72:F72" si="19">B12</f>
        <v>Coriander Powder - كزبرة مطحونة</v>
      </c>
      <c r="C72" s="1252" t="str">
        <f t="shared" si="19"/>
        <v>gm</v>
      </c>
      <c r="D72" s="1252">
        <f t="shared" si="19"/>
        <v>20</v>
      </c>
      <c r="E72" s="1620">
        <f t="shared" si="19"/>
        <v>17.296936931276296</v>
      </c>
      <c r="F72" s="1743">
        <f t="shared" si="19"/>
        <v>1</v>
      </c>
      <c r="G72" s="944">
        <f t="shared" si="11"/>
        <v>345.9387386255259</v>
      </c>
      <c r="H72" s="1617">
        <f t="shared" si="12"/>
        <v>345.9387386255259</v>
      </c>
    </row>
    <row r="73" spans="1:8" x14ac:dyDescent="0.25">
      <c r="A73" s="949"/>
      <c r="B73" s="1252" t="str">
        <f t="shared" ref="B73:F73" si="20">B13</f>
        <v>Cumin Powder - كمون مطحون</v>
      </c>
      <c r="C73" s="1252" t="str">
        <f t="shared" si="20"/>
        <v>gm</v>
      </c>
      <c r="D73" s="1252">
        <f t="shared" si="20"/>
        <v>20</v>
      </c>
      <c r="E73" s="1620">
        <f t="shared" si="20"/>
        <v>17.296936931276296</v>
      </c>
      <c r="F73" s="1743">
        <f t="shared" si="20"/>
        <v>1</v>
      </c>
      <c r="G73" s="944">
        <f t="shared" si="11"/>
        <v>345.9387386255259</v>
      </c>
      <c r="H73" s="1617">
        <f t="shared" si="12"/>
        <v>345.9387386255259</v>
      </c>
    </row>
    <row r="74" spans="1:8" x14ac:dyDescent="0.25">
      <c r="A74" s="949"/>
      <c r="B74" s="1252" t="str">
        <f t="shared" ref="B74:F74" si="21">B14</f>
        <v>Black Pepper Powder - فلفل أسود مطحون</v>
      </c>
      <c r="C74" s="1252" t="str">
        <f t="shared" si="21"/>
        <v>gm</v>
      </c>
      <c r="D74" s="1252">
        <f t="shared" si="21"/>
        <v>10</v>
      </c>
      <c r="E74" s="1620">
        <f t="shared" si="21"/>
        <v>17.296936931276296</v>
      </c>
      <c r="F74" s="1743">
        <f t="shared" si="21"/>
        <v>1</v>
      </c>
      <c r="G74" s="944">
        <f t="shared" si="11"/>
        <v>172.96936931276295</v>
      </c>
      <c r="H74" s="1617">
        <f t="shared" si="12"/>
        <v>172.96936931276295</v>
      </c>
    </row>
    <row r="75" spans="1:8" x14ac:dyDescent="0.25">
      <c r="A75" s="949"/>
      <c r="B75" s="1252" t="str">
        <f t="shared" ref="B75:F75" si="22">B15</f>
        <v>Cinnamon Powder - قرفة مطحونة</v>
      </c>
      <c r="C75" s="1252" t="str">
        <f t="shared" si="22"/>
        <v>gm</v>
      </c>
      <c r="D75" s="1252">
        <f t="shared" si="22"/>
        <v>5</v>
      </c>
      <c r="E75" s="1620">
        <f t="shared" si="22"/>
        <v>17.296936931276296</v>
      </c>
      <c r="F75" s="1743">
        <f t="shared" si="22"/>
        <v>1</v>
      </c>
      <c r="G75" s="944">
        <f t="shared" si="11"/>
        <v>86.484684656381475</v>
      </c>
      <c r="H75" s="1617">
        <f t="shared" si="12"/>
        <v>86.484684656381475</v>
      </c>
    </row>
    <row r="76" spans="1:8" x14ac:dyDescent="0.25">
      <c r="A76" s="949"/>
      <c r="B76" s="1252" t="str">
        <f t="shared" ref="B76:F76" si="23">B16</f>
        <v>Orange Color - لون برتقالي</v>
      </c>
      <c r="C76" s="1252" t="str">
        <f t="shared" si="23"/>
        <v>gm</v>
      </c>
      <c r="D76" s="1252">
        <f t="shared" si="23"/>
        <v>1</v>
      </c>
      <c r="E76" s="1620">
        <f t="shared" si="23"/>
        <v>17.296936931276296</v>
      </c>
      <c r="F76" s="1743">
        <f t="shared" si="23"/>
        <v>1</v>
      </c>
      <c r="G76" s="944">
        <f t="shared" si="11"/>
        <v>17.296936931276296</v>
      </c>
      <c r="H76" s="1617">
        <f t="shared" si="12"/>
        <v>17.296936931276296</v>
      </c>
    </row>
    <row r="77" spans="1:8" x14ac:dyDescent="0.25">
      <c r="A77" s="949"/>
      <c r="B77" s="1252" t="str">
        <f t="shared" ref="B77:F77" si="24">B17</f>
        <v>Mozzarella Cheese - جبنة موتزاريلا</v>
      </c>
      <c r="C77" s="1252" t="str">
        <f t="shared" si="24"/>
        <v>gm</v>
      </c>
      <c r="D77" s="1252">
        <f t="shared" si="24"/>
        <v>297</v>
      </c>
      <c r="E77" s="1620">
        <f t="shared" si="24"/>
        <v>17.296936931276296</v>
      </c>
      <c r="F77" s="1743">
        <f t="shared" si="24"/>
        <v>1</v>
      </c>
      <c r="G77" s="944">
        <f t="shared" si="11"/>
        <v>5137.19026858906</v>
      </c>
      <c r="H77" s="1617">
        <f t="shared" si="12"/>
        <v>5137.19026858906</v>
      </c>
    </row>
    <row r="78" spans="1:8" x14ac:dyDescent="0.25">
      <c r="A78" s="949"/>
      <c r="B78" s="1252" t="str">
        <f t="shared" ref="B78:F78" si="25">B18</f>
        <v>Salt - ملح</v>
      </c>
      <c r="C78" s="1252" t="str">
        <f t="shared" si="25"/>
        <v>gm</v>
      </c>
      <c r="D78" s="1252">
        <f t="shared" si="25"/>
        <v>5</v>
      </c>
      <c r="E78" s="1620">
        <f t="shared" si="25"/>
        <v>17.296936931276296</v>
      </c>
      <c r="F78" s="1743">
        <f t="shared" si="25"/>
        <v>1</v>
      </c>
      <c r="G78" s="944">
        <f t="shared" si="11"/>
        <v>86.484684656381475</v>
      </c>
      <c r="H78" s="1617">
        <f t="shared" si="12"/>
        <v>86.484684656381475</v>
      </c>
    </row>
    <row r="79" spans="1:8" x14ac:dyDescent="0.25">
      <c r="A79" s="949"/>
      <c r="B79" s="1252" t="str">
        <f t="shared" ref="B79:F79" si="26">B19</f>
        <v>Flour - دقيق</v>
      </c>
      <c r="C79" s="1252" t="str">
        <f t="shared" si="26"/>
        <v>gm</v>
      </c>
      <c r="D79" s="1252">
        <f t="shared" si="26"/>
        <v>100</v>
      </c>
      <c r="E79" s="1620">
        <f t="shared" si="26"/>
        <v>17.296936931276296</v>
      </c>
      <c r="F79" s="1743">
        <f t="shared" si="26"/>
        <v>1</v>
      </c>
      <c r="G79" s="944">
        <f t="shared" si="11"/>
        <v>1729.6936931276296</v>
      </c>
      <c r="H79" s="1617">
        <f t="shared" si="12"/>
        <v>1729.6936931276296</v>
      </c>
    </row>
    <row r="80" spans="1:8" ht="18" x14ac:dyDescent="0.25">
      <c r="B80" s="1622" t="s">
        <v>287</v>
      </c>
      <c r="C80" s="1042" t="s">
        <v>273</v>
      </c>
      <c r="D80" s="952"/>
      <c r="E80" s="1042" t="s">
        <v>288</v>
      </c>
      <c r="F80" s="952"/>
      <c r="G80" s="1045" t="s">
        <v>264</v>
      </c>
      <c r="H80" s="1045" t="s">
        <v>661</v>
      </c>
    </row>
    <row r="81" spans="1:8" ht="25.5" customHeight="1" x14ac:dyDescent="0.3">
      <c r="B81" s="1048">
        <f>$J$52</f>
        <v>42971.136000000006</v>
      </c>
      <c r="C81" s="1048">
        <f>E81+G81</f>
        <v>17296.936931276297</v>
      </c>
      <c r="D81" s="1629"/>
      <c r="E81" s="1048">
        <f>$D$52*$S$44</f>
        <v>17296.936931276297</v>
      </c>
      <c r="F81" s="1050"/>
      <c r="G81" s="1048">
        <f>$D$52*$T$44</f>
        <v>0</v>
      </c>
      <c r="H81" s="1048">
        <f>B81+E81</f>
        <v>60268.0729312763</v>
      </c>
    </row>
    <row r="82" spans="1:8" x14ac:dyDescent="0.25">
      <c r="B82" s="80"/>
      <c r="C82" s="143"/>
      <c r="D82" s="144"/>
      <c r="E82" s="80"/>
      <c r="F82" s="80"/>
    </row>
    <row r="85" spans="1:8" ht="18" x14ac:dyDescent="0.25">
      <c r="B85" s="1803"/>
      <c r="C85" s="1796"/>
      <c r="D85" s="1796"/>
      <c r="E85" s="1796"/>
      <c r="F85" s="1796"/>
      <c r="G85" s="1796"/>
      <c r="H85" s="1796"/>
    </row>
    <row r="86" spans="1:8" ht="18" x14ac:dyDescent="0.25">
      <c r="B86" s="1803"/>
      <c r="C86" s="1796"/>
      <c r="D86" s="1796"/>
      <c r="E86" s="1796"/>
      <c r="F86" s="1796"/>
      <c r="G86" s="1796"/>
      <c r="H86" s="1796"/>
    </row>
    <row r="87" spans="1:8" x14ac:dyDescent="0.2">
      <c r="A87" s="876"/>
      <c r="B87" s="235"/>
      <c r="C87" s="227"/>
      <c r="D87" s="235"/>
      <c r="E87" s="226"/>
      <c r="F87" s="235"/>
      <c r="G87" s="235"/>
      <c r="H87" s="226"/>
    </row>
    <row r="88" spans="1:8" x14ac:dyDescent="0.2">
      <c r="A88" s="876"/>
      <c r="B88" s="228"/>
      <c r="C88" s="228"/>
      <c r="D88" s="457"/>
      <c r="E88" s="90"/>
      <c r="F88" s="91"/>
      <c r="G88" s="92"/>
      <c r="H88" s="93"/>
    </row>
    <row r="89" spans="1:8" x14ac:dyDescent="0.25">
      <c r="B89" s="228"/>
      <c r="C89" s="228"/>
      <c r="D89" s="228"/>
      <c r="E89" s="90"/>
      <c r="F89" s="91"/>
      <c r="G89" s="92"/>
      <c r="H89" s="93"/>
    </row>
    <row r="90" spans="1:8" x14ac:dyDescent="0.25">
      <c r="B90" s="228"/>
      <c r="C90" s="228"/>
      <c r="D90" s="228"/>
      <c r="E90" s="90"/>
      <c r="F90" s="91"/>
      <c r="G90" s="92"/>
      <c r="H90" s="93"/>
    </row>
    <row r="91" spans="1:8" x14ac:dyDescent="0.25">
      <c r="B91" s="228"/>
      <c r="C91" s="228"/>
      <c r="D91" s="228"/>
      <c r="E91" s="90"/>
      <c r="F91" s="91"/>
      <c r="G91" s="92"/>
      <c r="H91" s="93"/>
    </row>
    <row r="92" spans="1:8" x14ac:dyDescent="0.25">
      <c r="B92" s="228"/>
      <c r="C92" s="228"/>
      <c r="D92" s="228"/>
      <c r="E92" s="90"/>
      <c r="F92" s="91"/>
      <c r="G92" s="92"/>
      <c r="H92" s="93"/>
    </row>
    <row r="93" spans="1:8" x14ac:dyDescent="0.25">
      <c r="B93" s="228"/>
      <c r="C93" s="228"/>
      <c r="D93" s="228"/>
      <c r="E93" s="90"/>
      <c r="F93" s="91"/>
      <c r="G93" s="92"/>
      <c r="H93" s="93"/>
    </row>
    <row r="94" spans="1:8" x14ac:dyDescent="0.25">
      <c r="B94" s="228"/>
      <c r="C94" s="228"/>
      <c r="D94" s="228"/>
      <c r="E94" s="90"/>
      <c r="F94" s="91"/>
      <c r="G94" s="92"/>
      <c r="H94" s="93"/>
    </row>
    <row r="95" spans="1:8" x14ac:dyDescent="0.25">
      <c r="B95" s="228"/>
      <c r="C95" s="228"/>
      <c r="D95" s="228"/>
      <c r="E95" s="90"/>
      <c r="F95" s="91"/>
      <c r="G95" s="92"/>
      <c r="H95" s="93"/>
    </row>
    <row r="96" spans="1:8" x14ac:dyDescent="0.25">
      <c r="B96" s="228"/>
      <c r="C96" s="228"/>
      <c r="D96" s="228"/>
      <c r="E96" s="90"/>
      <c r="F96" s="91"/>
      <c r="G96" s="92"/>
      <c r="H96" s="93"/>
    </row>
    <row r="97" spans="1:8" x14ac:dyDescent="0.25">
      <c r="B97" s="228"/>
      <c r="C97" s="228"/>
      <c r="D97" s="228"/>
      <c r="E97" s="90"/>
      <c r="F97" s="91"/>
      <c r="G97" s="92"/>
      <c r="H97" s="93"/>
    </row>
    <row r="98" spans="1:8" x14ac:dyDescent="0.25">
      <c r="B98" s="228"/>
      <c r="C98" s="228"/>
      <c r="D98" s="228"/>
      <c r="E98" s="90"/>
      <c r="F98" s="91"/>
      <c r="G98" s="92"/>
      <c r="H98" s="93"/>
    </row>
    <row r="99" spans="1:8" x14ac:dyDescent="0.25">
      <c r="B99" s="228"/>
      <c r="C99" s="228"/>
      <c r="D99" s="228"/>
      <c r="E99" s="90"/>
      <c r="F99" s="91"/>
      <c r="G99" s="92"/>
      <c r="H99" s="93"/>
    </row>
    <row r="100" spans="1:8" x14ac:dyDescent="0.25">
      <c r="B100" s="228"/>
      <c r="C100" s="228"/>
      <c r="D100" s="228"/>
      <c r="E100" s="90"/>
      <c r="F100" s="91"/>
      <c r="G100" s="92"/>
      <c r="H100" s="93"/>
    </row>
    <row r="101" spans="1:8" x14ac:dyDescent="0.25">
      <c r="B101" s="228"/>
      <c r="C101" s="228"/>
      <c r="D101" s="228"/>
      <c r="E101" s="90"/>
      <c r="F101" s="91"/>
      <c r="G101" s="92"/>
      <c r="H101" s="93"/>
    </row>
    <row r="102" spans="1:8" ht="20.25" x14ac:dyDescent="0.3">
      <c r="B102" s="142"/>
      <c r="C102" s="261"/>
      <c r="D102" s="262"/>
      <c r="E102" s="263"/>
      <c r="F102" s="262"/>
      <c r="G102" s="264"/>
      <c r="H102" s="141"/>
    </row>
    <row r="106" spans="1:8" ht="18" x14ac:dyDescent="0.25">
      <c r="B106" s="1803"/>
      <c r="C106" s="1796"/>
      <c r="D106" s="1796"/>
      <c r="E106" s="1796"/>
      <c r="F106" s="1796"/>
      <c r="G106" s="1796"/>
      <c r="H106" s="1796"/>
    </row>
    <row r="107" spans="1:8" ht="18" x14ac:dyDescent="0.25">
      <c r="B107" s="1803"/>
      <c r="C107" s="1796"/>
      <c r="D107" s="1796"/>
      <c r="E107" s="1796"/>
      <c r="F107" s="1796"/>
      <c r="G107" s="1796"/>
      <c r="H107" s="1796"/>
    </row>
    <row r="108" spans="1:8" x14ac:dyDescent="0.2">
      <c r="A108" s="876"/>
      <c r="B108" s="235"/>
      <c r="C108" s="227"/>
      <c r="D108" s="235"/>
      <c r="E108" s="226"/>
      <c r="F108" s="235"/>
      <c r="G108" s="235"/>
      <c r="H108" s="226"/>
    </row>
    <row r="109" spans="1:8" x14ac:dyDescent="0.2">
      <c r="A109" s="876"/>
      <c r="B109" s="228"/>
      <c r="C109" s="228"/>
      <c r="D109" s="228"/>
      <c r="E109" s="90"/>
      <c r="F109" s="91"/>
      <c r="G109" s="170"/>
      <c r="H109" s="458"/>
    </row>
    <row r="110" spans="1:8" x14ac:dyDescent="0.25">
      <c r="B110" s="228"/>
      <c r="C110" s="228"/>
      <c r="D110" s="228"/>
      <c r="E110" s="90"/>
      <c r="F110" s="91"/>
      <c r="G110" s="92"/>
      <c r="H110" s="93"/>
    </row>
    <row r="111" spans="1:8" x14ac:dyDescent="0.25">
      <c r="B111" s="228"/>
      <c r="C111" s="228"/>
      <c r="D111" s="228"/>
      <c r="E111" s="90"/>
      <c r="F111" s="91"/>
      <c r="G111" s="92"/>
      <c r="H111" s="93"/>
    </row>
    <row r="112" spans="1:8" x14ac:dyDescent="0.25">
      <c r="B112" s="228"/>
      <c r="C112" s="228"/>
      <c r="D112" s="228"/>
      <c r="E112" s="90"/>
      <c r="F112" s="91"/>
      <c r="G112" s="92"/>
      <c r="H112" s="93"/>
    </row>
    <row r="113" spans="2:8" x14ac:dyDescent="0.25">
      <c r="B113" s="228"/>
      <c r="C113" s="228"/>
      <c r="D113" s="228"/>
      <c r="E113" s="90"/>
      <c r="F113" s="91"/>
      <c r="G113" s="92"/>
      <c r="H113" s="93"/>
    </row>
    <row r="114" spans="2:8" x14ac:dyDescent="0.25">
      <c r="B114" s="228"/>
      <c r="C114" s="228"/>
      <c r="D114" s="228"/>
      <c r="E114" s="90"/>
      <c r="F114" s="91"/>
      <c r="G114" s="92"/>
      <c r="H114" s="93"/>
    </row>
    <row r="115" spans="2:8" x14ac:dyDescent="0.25">
      <c r="B115" s="228"/>
      <c r="C115" s="228"/>
      <c r="D115" s="228"/>
      <c r="E115" s="90"/>
      <c r="F115" s="91"/>
      <c r="G115" s="92"/>
      <c r="H115" s="93"/>
    </row>
    <row r="116" spans="2:8" x14ac:dyDescent="0.25">
      <c r="B116" s="228"/>
      <c r="C116" s="228"/>
      <c r="D116" s="228"/>
      <c r="E116" s="90"/>
      <c r="F116" s="91"/>
      <c r="G116" s="92"/>
      <c r="H116" s="93"/>
    </row>
    <row r="117" spans="2:8" x14ac:dyDescent="0.25">
      <c r="B117" s="228"/>
      <c r="C117" s="228"/>
      <c r="D117" s="228"/>
      <c r="E117" s="90"/>
      <c r="F117" s="91"/>
      <c r="G117" s="92"/>
      <c r="H117" s="93"/>
    </row>
    <row r="118" spans="2:8" x14ac:dyDescent="0.25">
      <c r="B118" s="228"/>
      <c r="C118" s="228"/>
      <c r="D118" s="228"/>
      <c r="E118" s="90"/>
      <c r="F118" s="91"/>
      <c r="G118" s="92"/>
      <c r="H118" s="93"/>
    </row>
    <row r="119" spans="2:8" x14ac:dyDescent="0.25">
      <c r="B119" s="228"/>
      <c r="C119" s="228"/>
      <c r="D119" s="228"/>
      <c r="E119" s="90"/>
      <c r="F119" s="91"/>
      <c r="G119" s="92"/>
      <c r="H119" s="93"/>
    </row>
    <row r="120" spans="2:8" x14ac:dyDescent="0.25">
      <c r="B120" s="228"/>
      <c r="C120" s="228"/>
      <c r="D120" s="228"/>
      <c r="E120" s="90"/>
      <c r="F120" s="91"/>
      <c r="G120" s="92"/>
      <c r="H120" s="93"/>
    </row>
    <row r="121" spans="2:8" x14ac:dyDescent="0.25">
      <c r="B121" s="228"/>
      <c r="C121" s="228"/>
      <c r="D121" s="228"/>
      <c r="E121" s="90"/>
      <c r="F121" s="91"/>
      <c r="G121" s="92"/>
      <c r="H121" s="93"/>
    </row>
    <row r="122" spans="2:8" x14ac:dyDescent="0.25">
      <c r="B122" s="228"/>
      <c r="C122" s="228"/>
      <c r="D122" s="228"/>
      <c r="E122" s="90"/>
      <c r="F122" s="91"/>
      <c r="G122" s="92"/>
      <c r="H122" s="93"/>
    </row>
    <row r="123" spans="2:8" ht="20.25" x14ac:dyDescent="0.3">
      <c r="B123" s="142"/>
      <c r="C123" s="261"/>
      <c r="D123" s="262"/>
      <c r="E123" s="263"/>
      <c r="F123" s="262"/>
      <c r="G123" s="264"/>
      <c r="H123" s="141"/>
    </row>
    <row r="127" spans="2:8" ht="18" x14ac:dyDescent="0.25">
      <c r="B127" s="1803"/>
      <c r="C127" s="1796"/>
      <c r="D127" s="1796"/>
      <c r="E127" s="1796"/>
      <c r="F127" s="1796"/>
      <c r="G127" s="1796"/>
      <c r="H127" s="1796"/>
    </row>
    <row r="128" spans="2:8" ht="18" x14ac:dyDescent="0.25">
      <c r="B128" s="1803"/>
      <c r="C128" s="1796"/>
      <c r="D128" s="1796"/>
      <c r="E128" s="1796"/>
      <c r="F128" s="1796"/>
      <c r="G128" s="1796"/>
      <c r="H128" s="1796"/>
    </row>
    <row r="129" spans="1:8" x14ac:dyDescent="0.2">
      <c r="A129" s="876"/>
      <c r="B129" s="235"/>
      <c r="C129" s="227"/>
      <c r="D129" s="235"/>
      <c r="E129" s="226"/>
      <c r="F129" s="235"/>
      <c r="G129" s="235"/>
      <c r="H129" s="226"/>
    </row>
    <row r="130" spans="1:8" x14ac:dyDescent="0.2">
      <c r="A130" s="876"/>
      <c r="B130" s="228"/>
      <c r="C130" s="228"/>
      <c r="D130" s="228"/>
      <c r="E130" s="90"/>
      <c r="F130" s="91"/>
      <c r="G130" s="170"/>
      <c r="H130" s="458"/>
    </row>
    <row r="131" spans="1:8" x14ac:dyDescent="0.25">
      <c r="B131" s="228"/>
      <c r="C131" s="228"/>
      <c r="D131" s="228"/>
      <c r="E131" s="90"/>
      <c r="F131" s="91"/>
      <c r="G131" s="92"/>
      <c r="H131" s="93"/>
    </row>
    <row r="132" spans="1:8" x14ac:dyDescent="0.25">
      <c r="B132" s="228"/>
      <c r="C132" s="228"/>
      <c r="D132" s="228"/>
      <c r="E132" s="90"/>
      <c r="F132" s="91"/>
      <c r="G132" s="92"/>
      <c r="H132" s="93"/>
    </row>
    <row r="133" spans="1:8" x14ac:dyDescent="0.25">
      <c r="B133" s="228"/>
      <c r="C133" s="228"/>
      <c r="D133" s="228"/>
      <c r="E133" s="90"/>
      <c r="F133" s="91"/>
      <c r="G133" s="92"/>
      <c r="H133" s="93"/>
    </row>
    <row r="134" spans="1:8" x14ac:dyDescent="0.25">
      <c r="B134" s="228"/>
      <c r="C134" s="228"/>
      <c r="D134" s="228"/>
      <c r="E134" s="90"/>
      <c r="F134" s="91"/>
      <c r="G134" s="92"/>
      <c r="H134" s="93"/>
    </row>
    <row r="135" spans="1:8" x14ac:dyDescent="0.25">
      <c r="B135" s="228"/>
      <c r="C135" s="228"/>
      <c r="D135" s="228"/>
      <c r="E135" s="90"/>
      <c r="F135" s="91"/>
      <c r="G135" s="92"/>
      <c r="H135" s="93"/>
    </row>
    <row r="136" spans="1:8" x14ac:dyDescent="0.25">
      <c r="B136" s="228"/>
      <c r="C136" s="228"/>
      <c r="D136" s="228"/>
      <c r="E136" s="90"/>
      <c r="F136" s="91"/>
      <c r="G136" s="92"/>
      <c r="H136" s="93"/>
    </row>
    <row r="137" spans="1:8" x14ac:dyDescent="0.25">
      <c r="B137" s="228"/>
      <c r="C137" s="228"/>
      <c r="D137" s="228"/>
      <c r="E137" s="90"/>
      <c r="F137" s="91"/>
      <c r="G137" s="92"/>
      <c r="H137" s="93"/>
    </row>
    <row r="138" spans="1:8" x14ac:dyDescent="0.25">
      <c r="B138" s="228"/>
      <c r="C138" s="228"/>
      <c r="D138" s="228"/>
      <c r="E138" s="90"/>
      <c r="F138" s="91"/>
      <c r="G138" s="92"/>
      <c r="H138" s="93"/>
    </row>
    <row r="139" spans="1:8" x14ac:dyDescent="0.25">
      <c r="B139" s="228"/>
      <c r="C139" s="228"/>
      <c r="D139" s="228"/>
      <c r="E139" s="90"/>
      <c r="F139" s="91"/>
      <c r="G139" s="92"/>
      <c r="H139" s="93"/>
    </row>
    <row r="140" spans="1:8" x14ac:dyDescent="0.25">
      <c r="B140" s="228"/>
      <c r="C140" s="228"/>
      <c r="D140" s="228"/>
      <c r="E140" s="90"/>
      <c r="F140" s="91"/>
      <c r="G140" s="92"/>
      <c r="H140" s="93"/>
    </row>
    <row r="141" spans="1:8" x14ac:dyDescent="0.25">
      <c r="B141" s="228"/>
      <c r="C141" s="228"/>
      <c r="D141" s="228"/>
      <c r="E141" s="90"/>
      <c r="F141" s="91"/>
      <c r="G141" s="92"/>
      <c r="H141" s="93"/>
    </row>
    <row r="142" spans="1:8" x14ac:dyDescent="0.25">
      <c r="B142" s="228"/>
      <c r="C142" s="228"/>
      <c r="D142" s="228"/>
      <c r="E142" s="90"/>
      <c r="F142" s="91"/>
      <c r="G142" s="92"/>
      <c r="H142" s="93"/>
    </row>
    <row r="143" spans="1:8" x14ac:dyDescent="0.25">
      <c r="B143" s="228"/>
      <c r="C143" s="228"/>
      <c r="D143" s="228"/>
      <c r="E143" s="90"/>
      <c r="F143" s="91"/>
      <c r="G143" s="92"/>
      <c r="H143" s="93"/>
    </row>
  </sheetData>
  <mergeCells count="12">
    <mergeCell ref="B128:H128"/>
    <mergeCell ref="B107:H107"/>
    <mergeCell ref="B85:H85"/>
    <mergeCell ref="AE2:AG3"/>
    <mergeCell ref="B127:H127"/>
    <mergeCell ref="B106:H106"/>
    <mergeCell ref="R26:U26"/>
    <mergeCell ref="R25:U25"/>
    <mergeCell ref="B86:H86"/>
    <mergeCell ref="B2:H3"/>
    <mergeCell ref="B62:H63"/>
    <mergeCell ref="B35:F35"/>
  </mergeCells>
  <printOptions horizontalCentered="1"/>
  <pageMargins left="0.5" right="0.5" top="1" bottom="0.5" header="0.3" footer="0.511811023622047"/>
  <pageSetup paperSize="9" scale="32" orientation="portrait"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0B8C2-F8E0-4E06-A510-6DF56A345C92}">
  <sheetPr codeName="Sheet93">
    <tabColor theme="5" tint="-0.249977111117893"/>
    <pageSetUpPr fitToPage="1"/>
  </sheetPr>
  <dimension ref="A1:AF84"/>
  <sheetViews>
    <sheetView topLeftCell="A34" zoomScale="70" zoomScaleNormal="70" workbookViewId="0">
      <selection activeCell="C69" sqref="C69:D70"/>
    </sheetView>
  </sheetViews>
  <sheetFormatPr defaultColWidth="12.5" defaultRowHeight="15" x14ac:dyDescent="0.25"/>
  <cols>
    <col min="1" max="1" width="19.25" style="61" bestFit="1" customWidth="1"/>
    <col min="2" max="2" width="39.125" style="14" bestFit="1" customWidth="1"/>
    <col min="3" max="3" width="21.375" style="14" bestFit="1" customWidth="1"/>
    <col min="4" max="4" width="17" style="14" bestFit="1" customWidth="1"/>
    <col min="5" max="5" width="15.5" style="14" bestFit="1" customWidth="1"/>
    <col min="6" max="6" width="19.25" style="14" bestFit="1" customWidth="1"/>
    <col min="7" max="7" width="20.25" style="14" bestFit="1" customWidth="1"/>
    <col min="8" max="8" width="47" style="14" bestFit="1" customWidth="1"/>
    <col min="9" max="9" width="17" style="14" bestFit="1" customWidth="1"/>
    <col min="10" max="10" width="14.25" style="14" bestFit="1" customWidth="1"/>
    <col min="11" max="11" width="12.625" style="14" bestFit="1" customWidth="1"/>
    <col min="12" max="12" width="7.375" style="14" bestFit="1" customWidth="1"/>
    <col min="13" max="14" width="3.75" style="14" customWidth="1"/>
    <col min="15" max="15" width="19.875" style="14" bestFit="1" customWidth="1"/>
    <col min="16" max="16" width="11.125" style="14" bestFit="1" customWidth="1"/>
    <col min="17" max="17" width="18" style="14" bestFit="1" customWidth="1"/>
    <col min="18" max="18" width="23.625" style="14" bestFit="1" customWidth="1"/>
    <col min="19" max="19" width="12.375" style="14" bestFit="1" customWidth="1"/>
    <col min="20" max="20" width="20.125" style="14" bestFit="1" customWidth="1"/>
    <col min="21" max="21" width="14.25" style="14" bestFit="1" customWidth="1"/>
    <col min="22" max="22" width="14.875" style="14" bestFit="1" customWidth="1"/>
    <col min="23" max="23" width="46.75" style="14" bestFit="1" customWidth="1"/>
    <col min="24" max="24" width="9.875" style="14" bestFit="1" customWidth="1"/>
    <col min="25" max="25" width="9.5" style="14" bestFit="1" customWidth="1"/>
    <col min="26" max="26" width="13.875" style="14" bestFit="1" customWidth="1"/>
    <col min="27" max="27" width="14.5" style="14" bestFit="1" customWidth="1"/>
    <col min="28" max="28" width="16.75" style="14" bestFit="1" customWidth="1"/>
    <col min="29" max="29" width="18.875" style="14" bestFit="1" customWidth="1"/>
    <col min="30" max="31" width="8.625" style="14" bestFit="1" customWidth="1"/>
    <col min="32" max="32" width="5.75" style="14" bestFit="1" customWidth="1"/>
    <col min="33" max="35" width="2.875" style="14" customWidth="1"/>
    <col min="36" max="16384" width="12.5" style="14"/>
  </cols>
  <sheetData>
    <row r="1" spans="1:32" ht="25.5" x14ac:dyDescent="0.25">
      <c r="B1" s="843" t="s">
        <v>330</v>
      </c>
      <c r="C1" s="63">
        <v>1</v>
      </c>
      <c r="D1" s="64" t="s">
        <v>232</v>
      </c>
      <c r="E1" s="84">
        <f>U32</f>
        <v>149</v>
      </c>
      <c r="F1" s="62" t="s">
        <v>233</v>
      </c>
      <c r="G1" s="84">
        <f>E1/C1</f>
        <v>149</v>
      </c>
      <c r="H1" s="62" t="s">
        <v>234</v>
      </c>
      <c r="I1" s="84"/>
      <c r="J1" s="209" t="s">
        <v>235</v>
      </c>
      <c r="K1" s="210">
        <v>1</v>
      </c>
      <c r="L1" s="80"/>
      <c r="M1" s="80"/>
      <c r="N1" s="80"/>
      <c r="O1" s="72" t="s">
        <v>236</v>
      </c>
      <c r="P1" s="73" t="s">
        <v>237</v>
      </c>
      <c r="Q1" s="74" t="s">
        <v>238</v>
      </c>
      <c r="R1" s="73">
        <v>0.89</v>
      </c>
      <c r="S1" s="74" t="s">
        <v>332</v>
      </c>
      <c r="T1" s="211">
        <v>100</v>
      </c>
      <c r="U1" s="80"/>
      <c r="V1" s="80"/>
      <c r="Y1" s="72" t="s">
        <v>444</v>
      </c>
      <c r="Z1" s="422">
        <v>144</v>
      </c>
      <c r="AA1" s="72" t="s">
        <v>544</v>
      </c>
      <c r="AB1" s="422">
        <v>5</v>
      </c>
      <c r="AC1" s="72" t="s">
        <v>537</v>
      </c>
      <c r="AD1" s="422">
        <v>144</v>
      </c>
      <c r="AE1" s="72" t="s">
        <v>529</v>
      </c>
      <c r="AF1" s="422">
        <f>Z1+AB1</f>
        <v>149</v>
      </c>
    </row>
    <row r="2" spans="1:32" x14ac:dyDescent="0.25">
      <c r="A2" s="863"/>
      <c r="B2" s="1805" t="s">
        <v>818</v>
      </c>
      <c r="C2" s="1805"/>
      <c r="D2" s="1805"/>
      <c r="E2" s="1805"/>
      <c r="F2" s="1805"/>
      <c r="G2" s="1805"/>
      <c r="H2" s="1805"/>
      <c r="I2" s="327"/>
      <c r="J2" s="327"/>
      <c r="K2" s="327"/>
      <c r="L2" s="187"/>
      <c r="M2" s="80"/>
      <c r="N2" s="80"/>
      <c r="O2" s="80"/>
      <c r="P2" s="80"/>
      <c r="Q2" s="80"/>
      <c r="R2" s="80"/>
      <c r="S2" s="80"/>
      <c r="T2" s="80"/>
      <c r="U2" s="80"/>
    </row>
    <row r="3" spans="1:32" x14ac:dyDescent="0.25">
      <c r="A3" s="863"/>
      <c r="B3" s="1791"/>
      <c r="C3" s="1791"/>
      <c r="D3" s="1791"/>
      <c r="E3" s="1791"/>
      <c r="F3" s="1791"/>
      <c r="G3" s="1791"/>
      <c r="H3" s="1791"/>
      <c r="I3" s="1187"/>
      <c r="J3" s="1187"/>
      <c r="K3" s="1187"/>
      <c r="L3" s="187"/>
      <c r="M3" s="80"/>
      <c r="N3" s="80"/>
      <c r="O3" s="80"/>
      <c r="P3" s="80"/>
      <c r="Q3" s="80"/>
      <c r="R3" s="80"/>
      <c r="S3" s="80"/>
      <c r="T3" s="80"/>
      <c r="U3" s="80"/>
    </row>
    <row r="4" spans="1:32" ht="38.25" x14ac:dyDescent="0.2">
      <c r="A4" s="1350" t="s">
        <v>864</v>
      </c>
      <c r="B4" s="923" t="s">
        <v>241</v>
      </c>
      <c r="C4" s="934" t="s">
        <v>242</v>
      </c>
      <c r="D4" s="923" t="s">
        <v>231</v>
      </c>
      <c r="E4" s="935" t="s">
        <v>234</v>
      </c>
      <c r="F4" s="935" t="s">
        <v>243</v>
      </c>
      <c r="G4" s="923" t="s">
        <v>244</v>
      </c>
      <c r="H4" s="1635" t="s">
        <v>334</v>
      </c>
      <c r="I4" s="923" t="s">
        <v>246</v>
      </c>
      <c r="J4" s="923" t="s">
        <v>247</v>
      </c>
      <c r="K4" s="923" t="s">
        <v>248</v>
      </c>
      <c r="L4" s="923" t="s">
        <v>249</v>
      </c>
      <c r="M4" s="235"/>
      <c r="N4" s="80"/>
      <c r="O4" s="80"/>
      <c r="P4" s="80"/>
      <c r="Q4" s="80"/>
      <c r="R4" s="80"/>
      <c r="S4" s="80"/>
    </row>
    <row r="5" spans="1:32" x14ac:dyDescent="0.25">
      <c r="A5" s="949" t="s">
        <v>897</v>
      </c>
      <c r="B5" s="1252" t="s">
        <v>821</v>
      </c>
      <c r="C5" s="1247" t="s">
        <v>14</v>
      </c>
      <c r="D5" s="1636">
        <v>120</v>
      </c>
      <c r="E5" s="1615">
        <f>$G$1</f>
        <v>149</v>
      </c>
      <c r="F5" s="1616">
        <v>1</v>
      </c>
      <c r="G5" s="940">
        <f>D5*E5</f>
        <v>17880</v>
      </c>
      <c r="H5" s="1617">
        <f>G5*F5</f>
        <v>17880</v>
      </c>
      <c r="I5" s="914">
        <f>VLOOKUP(B5,All_Ingredients!$A$1:$F$161,6,FALSE())</f>
        <v>0.95</v>
      </c>
      <c r="J5" s="940">
        <f>VLOOKUP(B5,All_Ingredients!$A$1:$J$161,10,FALSE())</f>
        <v>17.100000000000001</v>
      </c>
      <c r="K5" s="945">
        <f t="shared" ref="K5" si="0">(H5/I5)/1000</f>
        <v>18.821052631578947</v>
      </c>
      <c r="L5" s="945">
        <f t="shared" ref="L5" si="1">K5*J5</f>
        <v>321.84000000000003</v>
      </c>
      <c r="M5" s="87"/>
    </row>
    <row r="6" spans="1:32" x14ac:dyDescent="0.25">
      <c r="A6" s="949"/>
      <c r="B6" s="947" t="s">
        <v>775</v>
      </c>
      <c r="C6" s="947" t="s">
        <v>230</v>
      </c>
      <c r="D6" s="1636">
        <v>1</v>
      </c>
      <c r="E6" s="1615">
        <f>$G$1</f>
        <v>149</v>
      </c>
      <c r="F6" s="1616">
        <v>1</v>
      </c>
      <c r="G6" s="940">
        <f>D6*E6</f>
        <v>149</v>
      </c>
      <c r="H6" s="1617">
        <f>G6*F6</f>
        <v>149</v>
      </c>
      <c r="I6" s="914">
        <f>VLOOKUP(B6,All_Ingredients!$A$1:$F$161,6,FALSE())</f>
        <v>1</v>
      </c>
      <c r="J6" s="940">
        <f>VLOOKUP(B6,All_Ingredients!$A$1:$J$161,10,FALSE())</f>
        <v>0.6</v>
      </c>
      <c r="K6" s="945">
        <f t="shared" ref="K6:K7" si="2">(H6/I6)/1000</f>
        <v>0.14899999999999999</v>
      </c>
      <c r="L6" s="945">
        <f t="shared" ref="L6:L7" si="3">K6*J6</f>
        <v>8.9399999999999993E-2</v>
      </c>
      <c r="M6" s="87"/>
    </row>
    <row r="7" spans="1:32" x14ac:dyDescent="0.2">
      <c r="A7" s="1573" t="s">
        <v>888</v>
      </c>
      <c r="B7" s="947" t="s">
        <v>951</v>
      </c>
      <c r="C7" s="1247" t="s">
        <v>14</v>
      </c>
      <c r="D7" s="1636">
        <v>10</v>
      </c>
      <c r="E7" s="1615">
        <f t="shared" ref="E7:E8" si="4">$G$1</f>
        <v>149</v>
      </c>
      <c r="F7" s="1616">
        <v>1</v>
      </c>
      <c r="G7" s="944">
        <f>D7*($Z$1+$AB$1)</f>
        <v>1490</v>
      </c>
      <c r="H7" s="1617">
        <f>G7*F7</f>
        <v>1490</v>
      </c>
      <c r="I7" s="914">
        <f>VLOOKUP(B7,All_Ingredients!$A$1:$F$161,6,FALSE())</f>
        <v>0.5</v>
      </c>
      <c r="J7" s="940">
        <f>VLOOKUP(B7,All_Ingredients!$A$1:$J$161,10,FALSE())</f>
        <v>8.5</v>
      </c>
      <c r="K7" s="945">
        <f t="shared" si="2"/>
        <v>2.98</v>
      </c>
      <c r="L7" s="945">
        <f t="shared" si="3"/>
        <v>25.33</v>
      </c>
      <c r="M7" s="87"/>
    </row>
    <row r="8" spans="1:32" x14ac:dyDescent="0.25">
      <c r="A8" s="949"/>
      <c r="B8" s="947" t="s">
        <v>798</v>
      </c>
      <c r="C8" s="947" t="s">
        <v>230</v>
      </c>
      <c r="D8" s="1636">
        <v>1</v>
      </c>
      <c r="E8" s="1615">
        <f t="shared" si="4"/>
        <v>149</v>
      </c>
      <c r="F8" s="1616">
        <v>1</v>
      </c>
      <c r="G8" s="944">
        <f t="shared" ref="G8" si="5">D8*($Z$1+$AB$1)</f>
        <v>149</v>
      </c>
      <c r="H8" s="1617">
        <f>G8*F8</f>
        <v>149</v>
      </c>
      <c r="I8" s="914">
        <f>VLOOKUP(B8,All_Ingredients!$A$1:$F$161,6,FALSE())</f>
        <v>1</v>
      </c>
      <c r="J8" s="940">
        <f>VLOOKUP(B8,All_Ingredients!$A$1:$J$161,10,FALSE())</f>
        <v>0.58333333333333337</v>
      </c>
      <c r="K8" s="945">
        <f>(H8/I8)/1000</f>
        <v>0.14899999999999999</v>
      </c>
      <c r="L8" s="945">
        <f>K8*J8</f>
        <v>8.691666666666667E-2</v>
      </c>
      <c r="M8" s="87"/>
    </row>
    <row r="9" spans="1:32" x14ac:dyDescent="0.25">
      <c r="M9" s="87"/>
    </row>
    <row r="10" spans="1:32" ht="15.75" x14ac:dyDescent="0.25">
      <c r="B10" s="1191" t="s">
        <v>1015</v>
      </c>
      <c r="C10" s="1783" t="s">
        <v>810</v>
      </c>
      <c r="D10" s="1783"/>
      <c r="E10" s="1783"/>
      <c r="F10" s="1783"/>
      <c r="G10" s="930"/>
      <c r="H10" s="930"/>
      <c r="I10" s="930"/>
      <c r="J10" s="930"/>
      <c r="K10" s="930"/>
      <c r="L10" s="930"/>
      <c r="M10" s="87"/>
    </row>
    <row r="11" spans="1:32" ht="25.5" x14ac:dyDescent="0.25">
      <c r="B11" s="926" t="s">
        <v>250</v>
      </c>
      <c r="C11" s="926">
        <v>10000</v>
      </c>
      <c r="D11" s="927" t="s">
        <v>474</v>
      </c>
      <c r="E11" s="928">
        <f>$S$32*$T$1</f>
        <v>14900</v>
      </c>
      <c r="F11" s="926" t="s">
        <v>239</v>
      </c>
      <c r="G11" s="929">
        <f>(($S$32*$T$1)/$R$1)/C11</f>
        <v>1.6741573033707864</v>
      </c>
      <c r="H11" s="1207"/>
      <c r="I11" s="1207"/>
      <c r="J11" s="1207"/>
      <c r="K11" s="1207"/>
      <c r="L11" s="1207"/>
      <c r="M11" s="87"/>
    </row>
    <row r="12" spans="1:32" ht="38.25" x14ac:dyDescent="0.25">
      <c r="B12" s="926" t="s">
        <v>241</v>
      </c>
      <c r="C12" s="926" t="s">
        <v>242</v>
      </c>
      <c r="D12" s="926" t="s">
        <v>250</v>
      </c>
      <c r="E12" s="926" t="s">
        <v>234</v>
      </c>
      <c r="F12" s="926" t="s">
        <v>243</v>
      </c>
      <c r="G12" s="926" t="s">
        <v>244</v>
      </c>
      <c r="H12" s="926" t="s">
        <v>245</v>
      </c>
      <c r="I12" s="926" t="s">
        <v>246</v>
      </c>
      <c r="J12" s="926" t="s">
        <v>247</v>
      </c>
      <c r="K12" s="926" t="s">
        <v>248</v>
      </c>
      <c r="L12" s="926" t="s">
        <v>249</v>
      </c>
      <c r="M12" s="87"/>
    </row>
    <row r="13" spans="1:32" x14ac:dyDescent="0.25">
      <c r="B13" s="1252" t="s">
        <v>93</v>
      </c>
      <c r="C13" s="947" t="s">
        <v>14</v>
      </c>
      <c r="D13" s="1636">
        <v>30</v>
      </c>
      <c r="E13" s="1637">
        <f>$G$11</f>
        <v>1.6741573033707864</v>
      </c>
      <c r="F13" s="1616">
        <v>1</v>
      </c>
      <c r="G13" s="944">
        <f t="shared" ref="G13:G22" si="6">D13*E13</f>
        <v>50.22471910112359</v>
      </c>
      <c r="H13" s="1617">
        <f t="shared" ref="H13:H22" si="7">G13*F13</f>
        <v>50.22471910112359</v>
      </c>
      <c r="I13" s="914">
        <f>VLOOKUP(B13,All_Ingredients!$A$1:$F$161,6,FALSE())</f>
        <v>1</v>
      </c>
      <c r="J13" s="940">
        <f>VLOOKUP(B13,All_Ingredients!$A$1:$J$161,10,FALSE())</f>
        <v>0.74</v>
      </c>
      <c r="K13" s="945">
        <f t="shared" ref="K13" si="8">(H13/I13)/1000</f>
        <v>5.022471910112359E-2</v>
      </c>
      <c r="L13" s="945">
        <f t="shared" ref="L13" si="9">K13*J13</f>
        <v>3.7166292134831455E-2</v>
      </c>
      <c r="M13" s="87"/>
    </row>
    <row r="14" spans="1:32" x14ac:dyDescent="0.25">
      <c r="B14" s="1252" t="s">
        <v>99</v>
      </c>
      <c r="C14" s="947" t="s">
        <v>14</v>
      </c>
      <c r="D14" s="1636">
        <v>30</v>
      </c>
      <c r="E14" s="1637">
        <f t="shared" ref="E14:E22" si="10">$G$11</f>
        <v>1.6741573033707864</v>
      </c>
      <c r="F14" s="1616">
        <v>1</v>
      </c>
      <c r="G14" s="944">
        <f t="shared" si="6"/>
        <v>50.22471910112359</v>
      </c>
      <c r="H14" s="1617">
        <f t="shared" si="7"/>
        <v>50.22471910112359</v>
      </c>
      <c r="I14" s="914">
        <f>VLOOKUP(B14,All_Ingredients!$A$1:$F$161,6,FALSE())</f>
        <v>1</v>
      </c>
      <c r="J14" s="940">
        <f>VLOOKUP(B14,All_Ingredients!$A$1:$J$161,10,FALSE())</f>
        <v>31</v>
      </c>
      <c r="K14" s="945">
        <f t="shared" ref="K14:K22" si="11">(H14/I14)/1000</f>
        <v>5.022471910112359E-2</v>
      </c>
      <c r="L14" s="945">
        <f t="shared" ref="L14:L22" si="12">K14*J14</f>
        <v>1.5569662921348313</v>
      </c>
      <c r="M14" s="87"/>
    </row>
    <row r="15" spans="1:32" x14ac:dyDescent="0.25">
      <c r="B15" s="1252" t="s">
        <v>811</v>
      </c>
      <c r="C15" s="947" t="s">
        <v>14</v>
      </c>
      <c r="D15" s="1636">
        <v>150</v>
      </c>
      <c r="E15" s="1637">
        <f t="shared" si="10"/>
        <v>1.6741573033707864</v>
      </c>
      <c r="F15" s="1616">
        <v>1</v>
      </c>
      <c r="G15" s="944">
        <f t="shared" si="6"/>
        <v>251.12359550561797</v>
      </c>
      <c r="H15" s="1617">
        <f t="shared" si="7"/>
        <v>251.12359550561797</v>
      </c>
      <c r="I15" s="914">
        <f>VLOOKUP(B15,All_Ingredients!$A$1:$F$161,6,FALSE())</f>
        <v>1</v>
      </c>
      <c r="J15" s="940">
        <f>VLOOKUP(B15,All_Ingredients!$A$1:$J$161,10,FALSE())</f>
        <v>96.916299559471369</v>
      </c>
      <c r="K15" s="945">
        <f t="shared" si="11"/>
        <v>0.25112359550561797</v>
      </c>
      <c r="L15" s="945">
        <f t="shared" si="12"/>
        <v>24.33796960847399</v>
      </c>
      <c r="M15" s="87"/>
    </row>
    <row r="16" spans="1:32" x14ac:dyDescent="0.25">
      <c r="B16" s="1252" t="s">
        <v>149</v>
      </c>
      <c r="C16" s="947" t="s">
        <v>14</v>
      </c>
      <c r="D16" s="1636">
        <v>150</v>
      </c>
      <c r="E16" s="1637">
        <f t="shared" si="10"/>
        <v>1.6741573033707864</v>
      </c>
      <c r="F16" s="1616">
        <v>1</v>
      </c>
      <c r="G16" s="944">
        <f t="shared" si="6"/>
        <v>251.12359550561797</v>
      </c>
      <c r="H16" s="1617">
        <f t="shared" si="7"/>
        <v>251.12359550561797</v>
      </c>
      <c r="I16" s="914">
        <f>VLOOKUP(B16,All_Ingredients!$A$1:$F$161,6,FALSE())</f>
        <v>1</v>
      </c>
      <c r="J16" s="940">
        <f>VLOOKUP(B16,All_Ingredients!$A$1:$J$161,10,FALSE())</f>
        <v>10</v>
      </c>
      <c r="K16" s="945">
        <f t="shared" si="11"/>
        <v>0.25112359550561797</v>
      </c>
      <c r="L16" s="945">
        <f t="shared" si="12"/>
        <v>2.5112359550561796</v>
      </c>
    </row>
    <row r="17" spans="2:31" x14ac:dyDescent="0.25">
      <c r="B17" s="1252" t="s">
        <v>146</v>
      </c>
      <c r="C17" s="947" t="s">
        <v>14</v>
      </c>
      <c r="D17" s="1636">
        <v>150</v>
      </c>
      <c r="E17" s="1637">
        <f t="shared" si="10"/>
        <v>1.6741573033707864</v>
      </c>
      <c r="F17" s="1616">
        <v>1</v>
      </c>
      <c r="G17" s="944">
        <f t="shared" si="6"/>
        <v>251.12359550561797</v>
      </c>
      <c r="H17" s="1617">
        <f t="shared" si="7"/>
        <v>251.12359550561797</v>
      </c>
      <c r="I17" s="914">
        <f>VLOOKUP(B17,All_Ingredients!$A$1:$F$161,6,FALSE())</f>
        <v>1</v>
      </c>
      <c r="J17" s="940">
        <f>VLOOKUP(B17,All_Ingredients!$A$1:$J$161,10,FALSE())</f>
        <v>12</v>
      </c>
      <c r="K17" s="945">
        <f t="shared" si="11"/>
        <v>0.25112359550561797</v>
      </c>
      <c r="L17" s="945">
        <f t="shared" si="12"/>
        <v>3.0134831460674159</v>
      </c>
    </row>
    <row r="18" spans="2:31" x14ac:dyDescent="0.25">
      <c r="B18" s="1252" t="s">
        <v>181</v>
      </c>
      <c r="C18" s="947" t="s">
        <v>14</v>
      </c>
      <c r="D18" s="1636">
        <v>200</v>
      </c>
      <c r="E18" s="1637">
        <f t="shared" si="10"/>
        <v>1.6741573033707864</v>
      </c>
      <c r="F18" s="1616">
        <v>1</v>
      </c>
      <c r="G18" s="944">
        <f t="shared" si="6"/>
        <v>334.83146067415726</v>
      </c>
      <c r="H18" s="1617">
        <f t="shared" si="7"/>
        <v>334.83146067415726</v>
      </c>
      <c r="I18" s="914">
        <f>VLOOKUP(B18,All_Ingredients!$A$1:$F$161,6,FALSE())</f>
        <v>1</v>
      </c>
      <c r="J18" s="940">
        <f>VLOOKUP(B18,All_Ingredients!$A$1:$J$161,10,FALSE())</f>
        <v>6.5</v>
      </c>
      <c r="K18" s="945">
        <f t="shared" si="11"/>
        <v>0.33483146067415726</v>
      </c>
      <c r="L18" s="945">
        <f t="shared" si="12"/>
        <v>2.1764044943820222</v>
      </c>
    </row>
    <row r="19" spans="2:31" x14ac:dyDescent="0.25">
      <c r="B19" s="1252" t="s">
        <v>477</v>
      </c>
      <c r="C19" s="947" t="s">
        <v>14</v>
      </c>
      <c r="D19" s="1636">
        <v>200</v>
      </c>
      <c r="E19" s="1637">
        <f t="shared" si="10"/>
        <v>1.6741573033707864</v>
      </c>
      <c r="F19" s="1616">
        <v>1</v>
      </c>
      <c r="G19" s="944">
        <f t="shared" si="6"/>
        <v>334.83146067415726</v>
      </c>
      <c r="H19" s="1617">
        <f t="shared" si="7"/>
        <v>334.83146067415726</v>
      </c>
      <c r="I19" s="914">
        <f>VLOOKUP(B19,All_Ingredients!$A$1:$F$161,6,FALSE())</f>
        <v>1</v>
      </c>
      <c r="J19" s="940">
        <f>VLOOKUP(B19,All_Ingredients!$A$1:$J$161,10,FALSE())</f>
        <v>35.310734463276837</v>
      </c>
      <c r="K19" s="945">
        <f t="shared" si="11"/>
        <v>0.33483146067415726</v>
      </c>
      <c r="L19" s="945">
        <f t="shared" si="12"/>
        <v>11.823144797816287</v>
      </c>
    </row>
    <row r="20" spans="2:31" x14ac:dyDescent="0.25">
      <c r="B20" s="1252" t="s">
        <v>188</v>
      </c>
      <c r="C20" s="947" t="s">
        <v>14</v>
      </c>
      <c r="D20" s="1636">
        <v>1000</v>
      </c>
      <c r="E20" s="1637">
        <f t="shared" si="10"/>
        <v>1.6741573033707864</v>
      </c>
      <c r="F20" s="1616">
        <v>1</v>
      </c>
      <c r="G20" s="944">
        <f t="shared" si="6"/>
        <v>1674.1573033707864</v>
      </c>
      <c r="H20" s="1617">
        <f t="shared" si="7"/>
        <v>1674.1573033707864</v>
      </c>
      <c r="I20" s="914">
        <f>VLOOKUP(B20,All_Ingredients!$A$1:$F$161,6,FALSE())</f>
        <v>1</v>
      </c>
      <c r="J20" s="940">
        <f>VLOOKUP(B20,All_Ingredients!$A$1:$J$161,10,FALSE())</f>
        <v>8.5</v>
      </c>
      <c r="K20" s="945">
        <f t="shared" si="11"/>
        <v>1.6741573033707864</v>
      </c>
      <c r="L20" s="945">
        <f t="shared" si="12"/>
        <v>14.230337078651685</v>
      </c>
    </row>
    <row r="21" spans="2:31" x14ac:dyDescent="0.25">
      <c r="B21" s="1252" t="s">
        <v>229</v>
      </c>
      <c r="C21" s="947" t="s">
        <v>230</v>
      </c>
      <c r="D21" s="1636">
        <v>20</v>
      </c>
      <c r="E21" s="1637">
        <f t="shared" si="10"/>
        <v>1.6741573033707864</v>
      </c>
      <c r="F21" s="1616">
        <v>1</v>
      </c>
      <c r="G21" s="944">
        <f t="shared" si="6"/>
        <v>33.483146067415731</v>
      </c>
      <c r="H21" s="1617">
        <f t="shared" si="7"/>
        <v>33.483146067415731</v>
      </c>
      <c r="I21" s="914">
        <f>VLOOKUP(B21,All_Ingredients!$A$1:$F$161,6,FALSE())</f>
        <v>1</v>
      </c>
      <c r="J21" s="940">
        <f>VLOOKUP(B21,All_Ingredients!$A$1:$J$161,10,FALSE())</f>
        <v>0.43333333333333335</v>
      </c>
      <c r="K21" s="945">
        <f t="shared" si="11"/>
        <v>3.3483146067415731E-2</v>
      </c>
      <c r="L21" s="945">
        <f t="shared" si="12"/>
        <v>1.4509363295880151E-2</v>
      </c>
    </row>
    <row r="22" spans="2:31" x14ac:dyDescent="0.25">
      <c r="B22" s="1252" t="s">
        <v>222</v>
      </c>
      <c r="C22" s="947" t="s">
        <v>14</v>
      </c>
      <c r="D22" s="1636">
        <v>500</v>
      </c>
      <c r="E22" s="1637">
        <f t="shared" si="10"/>
        <v>1.6741573033707864</v>
      </c>
      <c r="F22" s="1616">
        <v>1</v>
      </c>
      <c r="G22" s="944">
        <f t="shared" si="6"/>
        <v>837.0786516853932</v>
      </c>
      <c r="H22" s="1617">
        <f t="shared" si="7"/>
        <v>837.0786516853932</v>
      </c>
      <c r="I22" s="914">
        <f>VLOOKUP(B22,All_Ingredients!$A$1:$F$161,6,FALSE())</f>
        <v>1</v>
      </c>
      <c r="J22" s="940">
        <f>VLOOKUP(B22,All_Ingredients!$A$1:$J$161,10,FALSE())</f>
        <v>30</v>
      </c>
      <c r="K22" s="945">
        <f t="shared" si="11"/>
        <v>0.83707865168539319</v>
      </c>
      <c r="L22" s="945">
        <f t="shared" si="12"/>
        <v>25.112359550561795</v>
      </c>
    </row>
    <row r="25" spans="2:31" x14ac:dyDescent="0.25">
      <c r="R25" s="1886" t="s">
        <v>810</v>
      </c>
      <c r="S25" s="1850"/>
      <c r="T25" s="1850"/>
      <c r="U25" s="1850"/>
      <c r="V25" s="553"/>
      <c r="Z25" s="96" t="s">
        <v>252</v>
      </c>
      <c r="AA25" s="97">
        <v>1</v>
      </c>
      <c r="AB25" s="96" t="s">
        <v>249</v>
      </c>
      <c r="AC25" s="98">
        <f>AE30*AA25</f>
        <v>2.8998186347555364</v>
      </c>
    </row>
    <row r="26" spans="2:31" x14ac:dyDescent="0.25">
      <c r="R26" s="1889" t="s">
        <v>291</v>
      </c>
      <c r="S26" s="1799"/>
      <c r="T26" s="1799"/>
      <c r="U26" s="1799"/>
      <c r="V26" s="553"/>
    </row>
    <row r="27" spans="2:31" ht="15.75" thickBot="1" x14ac:dyDescent="0.3">
      <c r="R27" s="100" t="s">
        <v>254</v>
      </c>
      <c r="S27" s="100" t="s">
        <v>354</v>
      </c>
      <c r="T27" s="100" t="s">
        <v>256</v>
      </c>
      <c r="U27" s="100" t="s">
        <v>262</v>
      </c>
      <c r="V27" s="101" t="s">
        <v>746</v>
      </c>
      <c r="W27" s="101" t="s">
        <v>767</v>
      </c>
      <c r="X27" s="101" t="s">
        <v>766</v>
      </c>
      <c r="Z27" s="96" t="s">
        <v>258</v>
      </c>
      <c r="AA27" s="102" t="s">
        <v>746</v>
      </c>
      <c r="AB27" s="102" t="s">
        <v>259</v>
      </c>
      <c r="AC27" s="102" t="s">
        <v>757</v>
      </c>
      <c r="AD27" s="102" t="s">
        <v>754</v>
      </c>
      <c r="AE27" s="102" t="s">
        <v>262</v>
      </c>
    </row>
    <row r="28" spans="2:31" ht="15.75" thickBot="1" x14ac:dyDescent="0.3">
      <c r="R28" s="100" t="s">
        <v>263</v>
      </c>
      <c r="S28" s="677">
        <f>$Z$1</f>
        <v>144</v>
      </c>
      <c r="T28" s="683"/>
      <c r="U28" s="683">
        <f>S28</f>
        <v>144</v>
      </c>
      <c r="V28" s="104">
        <f>SUM(H13:H22)</f>
        <v>4068.2022471910113</v>
      </c>
      <c r="W28" s="104">
        <f>SUM(L6)</f>
        <v>8.9399999999999993E-2</v>
      </c>
      <c r="X28" s="104">
        <f>K13</f>
        <v>5.022471910112359E-2</v>
      </c>
      <c r="Z28" s="105"/>
      <c r="AA28" s="591"/>
      <c r="AB28" s="106">
        <f>AA25*$S$40</f>
        <v>1</v>
      </c>
      <c r="AC28" s="591"/>
      <c r="AD28" s="591"/>
      <c r="AE28" s="108">
        <f>SUM(AB28:AB28)</f>
        <v>1</v>
      </c>
    </row>
    <row r="29" spans="2:31" ht="15.75" thickBot="1" x14ac:dyDescent="0.3">
      <c r="R29" s="100" t="s">
        <v>264</v>
      </c>
      <c r="S29" s="686"/>
      <c r="T29" s="218"/>
      <c r="U29" s="683">
        <f>T29</f>
        <v>0</v>
      </c>
      <c r="V29" s="104"/>
      <c r="W29" s="104"/>
      <c r="X29" s="104"/>
      <c r="Z29" s="105"/>
      <c r="AA29" s="591"/>
      <c r="AB29" s="110">
        <f>AB28/$AE$28</f>
        <v>1</v>
      </c>
      <c r="AC29" s="591"/>
      <c r="AD29" s="591"/>
      <c r="AE29" s="110">
        <f>AE28/$AE$28</f>
        <v>1</v>
      </c>
    </row>
    <row r="30" spans="2:31" ht="15.75" thickBot="1" x14ac:dyDescent="0.3">
      <c r="R30" s="100" t="s">
        <v>265</v>
      </c>
      <c r="S30" s="678">
        <f>$AB$1</f>
        <v>5</v>
      </c>
      <c r="T30" s="683"/>
      <c r="U30" s="683"/>
      <c r="V30" s="547"/>
      <c r="W30" s="547"/>
      <c r="X30" s="547"/>
      <c r="Z30" s="96" t="s">
        <v>266</v>
      </c>
      <c r="AA30" s="549">
        <f>V35/$AF$1</f>
        <v>0.56921863475553636</v>
      </c>
      <c r="AB30" s="111">
        <f>S35/(AF1)</f>
        <v>2.16</v>
      </c>
      <c r="AC30" s="549">
        <f>W35/AF1</f>
        <v>5.9999999999999995E-4</v>
      </c>
      <c r="AD30" s="549">
        <f>X35/$AF$1</f>
        <v>0.16999999999999998</v>
      </c>
      <c r="AE30" s="588">
        <f>AB30+AD30+AC30+AA30</f>
        <v>2.8998186347555364</v>
      </c>
    </row>
    <row r="31" spans="2:31" ht="15.75" thickBot="1" x14ac:dyDescent="0.3">
      <c r="R31" s="100" t="s">
        <v>267</v>
      </c>
      <c r="S31" s="188" t="s">
        <v>309</v>
      </c>
      <c r="T31" s="218"/>
      <c r="U31" s="218"/>
      <c r="V31" s="104"/>
      <c r="W31" s="104"/>
      <c r="X31" s="104"/>
    </row>
    <row r="32" spans="2:31" ht="15.75" thickBot="1" x14ac:dyDescent="0.3">
      <c r="R32" s="101" t="s">
        <v>257</v>
      </c>
      <c r="S32" s="626">
        <f>S28+S30</f>
        <v>149</v>
      </c>
      <c r="T32" s="219">
        <f>SUM(T28:T30)</f>
        <v>0</v>
      </c>
      <c r="U32" s="219">
        <f>T32+S32</f>
        <v>149</v>
      </c>
      <c r="V32" s="104"/>
      <c r="W32" s="104"/>
      <c r="X32" s="104"/>
    </row>
    <row r="33" spans="2:24" ht="15.75" thickBot="1" x14ac:dyDescent="0.3">
      <c r="R33" s="220" t="s">
        <v>254</v>
      </c>
      <c r="S33" s="221"/>
      <c r="T33" s="221">
        <f>F40+F59</f>
        <v>0</v>
      </c>
      <c r="U33" s="222"/>
      <c r="V33" s="109"/>
      <c r="W33" s="109"/>
      <c r="X33" s="109"/>
    </row>
    <row r="34" spans="2:24" ht="15.75" thickBot="1" x14ac:dyDescent="0.3">
      <c r="R34" s="130" t="s">
        <v>269</v>
      </c>
      <c r="S34" s="223"/>
      <c r="T34" s="224">
        <f>T33-(T28+T29)</f>
        <v>0</v>
      </c>
      <c r="U34" s="223"/>
      <c r="V34" s="109"/>
      <c r="W34" s="109"/>
      <c r="X34" s="109"/>
    </row>
    <row r="35" spans="2:24" ht="15.75" thickBot="1" x14ac:dyDescent="0.3">
      <c r="R35" s="117" t="s">
        <v>249</v>
      </c>
      <c r="S35" s="548">
        <f>L5</f>
        <v>321.84000000000003</v>
      </c>
      <c r="T35" s="548">
        <f>SUM(O6:O19)</f>
        <v>0</v>
      </c>
      <c r="U35" s="589">
        <f>S35+T35+V35+W35+X35</f>
        <v>432.07297657857498</v>
      </c>
      <c r="V35" s="548">
        <f>SUM(L13:L22)</f>
        <v>84.813576578574924</v>
      </c>
      <c r="W35" s="548">
        <f>L6</f>
        <v>8.9399999999999993E-2</v>
      </c>
      <c r="X35" s="548">
        <f>L7</f>
        <v>25.33</v>
      </c>
    </row>
    <row r="39" spans="2:24" x14ac:dyDescent="0.25">
      <c r="B39" s="80"/>
      <c r="E39" s="80"/>
      <c r="F39" s="80"/>
    </row>
    <row r="40" spans="2:24" ht="39" x14ac:dyDescent="0.25">
      <c r="B40" s="80"/>
      <c r="C40" s="80"/>
      <c r="D40" s="225"/>
      <c r="E40" s="80"/>
      <c r="F40" s="80"/>
      <c r="G40" s="80"/>
      <c r="H40" s="80"/>
      <c r="I40" s="80"/>
      <c r="J40" s="80"/>
      <c r="R40" s="119" t="s">
        <v>270</v>
      </c>
      <c r="S40" s="120">
        <v>1</v>
      </c>
      <c r="T40" s="119" t="s">
        <v>271</v>
      </c>
      <c r="U40" s="121">
        <v>0</v>
      </c>
      <c r="V40" s="122">
        <f>S40+U40</f>
        <v>1</v>
      </c>
    </row>
    <row r="41" spans="2:24" x14ac:dyDescent="0.25">
      <c r="B41" s="80"/>
      <c r="C41" s="80"/>
      <c r="D41" s="80"/>
      <c r="E41" s="80"/>
      <c r="F41" s="80"/>
      <c r="G41" s="80"/>
      <c r="H41" s="80"/>
      <c r="I41" s="80"/>
      <c r="J41" s="80"/>
      <c r="U41" s="123"/>
    </row>
    <row r="42" spans="2:24" ht="18" x14ac:dyDescent="0.25">
      <c r="B42" s="1815"/>
      <c r="C42" s="1799"/>
      <c r="D42" s="1799"/>
      <c r="E42" s="1799"/>
      <c r="F42" s="1799"/>
      <c r="G42" s="1799"/>
      <c r="H42" s="1799"/>
      <c r="I42" s="1799"/>
      <c r="J42" s="1799"/>
    </row>
    <row r="43" spans="2:24" ht="18" x14ac:dyDescent="0.25">
      <c r="B43" s="1803"/>
      <c r="C43" s="1799"/>
      <c r="D43" s="1799"/>
      <c r="E43" s="1799"/>
      <c r="F43" s="1799"/>
      <c r="G43" s="1799"/>
      <c r="H43" s="1799"/>
      <c r="I43" s="1799"/>
      <c r="J43" s="1799"/>
      <c r="Q43" s="124" t="s">
        <v>272</v>
      </c>
      <c r="R43" s="124" t="s">
        <v>273</v>
      </c>
      <c r="S43" s="124" t="s">
        <v>274</v>
      </c>
      <c r="T43" s="124" t="s">
        <v>275</v>
      </c>
      <c r="U43" s="124" t="s">
        <v>276</v>
      </c>
      <c r="V43" s="124" t="s">
        <v>277</v>
      </c>
      <c r="W43" s="124" t="s">
        <v>278</v>
      </c>
    </row>
    <row r="44" spans="2:24" x14ac:dyDescent="0.25">
      <c r="B44" s="226"/>
      <c r="C44" s="227"/>
      <c r="D44" s="226"/>
      <c r="E44" s="226"/>
      <c r="F44" s="226"/>
      <c r="G44" s="226"/>
      <c r="H44" s="226"/>
      <c r="I44" s="226"/>
      <c r="J44" s="226"/>
      <c r="Q44" s="126">
        <v>18841</v>
      </c>
      <c r="R44" s="127">
        <f>E51</f>
        <v>0</v>
      </c>
      <c r="S44" s="128">
        <v>0</v>
      </c>
      <c r="T44" s="128">
        <v>0</v>
      </c>
      <c r="U44" s="165">
        <f>R44*S44</f>
        <v>0</v>
      </c>
      <c r="V44" s="129">
        <f>R44*T44</f>
        <v>0</v>
      </c>
      <c r="W44" s="129">
        <f>Q44-U44</f>
        <v>18841</v>
      </c>
    </row>
    <row r="50" spans="1:14" x14ac:dyDescent="0.25">
      <c r="B50" s="229"/>
      <c r="C50" s="130" t="s">
        <v>233</v>
      </c>
      <c r="D50" s="130" t="s">
        <v>279</v>
      </c>
      <c r="E50" s="80"/>
      <c r="F50" s="80"/>
      <c r="G50" s="100" t="s">
        <v>280</v>
      </c>
      <c r="H50" s="100" t="s">
        <v>233</v>
      </c>
      <c r="I50" s="130" t="s">
        <v>281</v>
      </c>
      <c r="J50" s="130" t="s">
        <v>282</v>
      </c>
    </row>
    <row r="51" spans="1:14" x14ac:dyDescent="0.25">
      <c r="B51" s="844" t="s">
        <v>283</v>
      </c>
      <c r="C51" s="133">
        <f>10/$K$1</f>
        <v>10</v>
      </c>
      <c r="D51" s="134">
        <f>$C$1*10</f>
        <v>10</v>
      </c>
      <c r="E51" s="135"/>
      <c r="F51" s="80"/>
      <c r="G51" s="132" t="s">
        <v>283</v>
      </c>
      <c r="H51" s="182">
        <f>I51/$D$5</f>
        <v>176.41385767790263</v>
      </c>
      <c r="I51" s="133">
        <f>J51/$R$1</f>
        <v>21169.662921348314</v>
      </c>
      <c r="J51" s="133">
        <f>$W$44</f>
        <v>18841</v>
      </c>
    </row>
    <row r="52" spans="1:14" x14ac:dyDescent="0.25">
      <c r="B52" s="846" t="s">
        <v>262</v>
      </c>
      <c r="C52" s="156">
        <f>$I$1</f>
        <v>0</v>
      </c>
      <c r="D52" s="157">
        <f>$E$1</f>
        <v>149</v>
      </c>
      <c r="E52" s="80"/>
      <c r="F52" s="80"/>
      <c r="G52" s="103" t="s">
        <v>262</v>
      </c>
      <c r="H52" s="83">
        <f>I52/$D$5</f>
        <v>139.51310861423221</v>
      </c>
      <c r="I52" s="129">
        <f>J52/$R$1</f>
        <v>16741.573033707864</v>
      </c>
      <c r="J52" s="136">
        <f>$U$32*$T$1</f>
        <v>14900</v>
      </c>
    </row>
    <row r="53" spans="1:14" x14ac:dyDescent="0.25">
      <c r="B53" s="846" t="s">
        <v>284</v>
      </c>
      <c r="C53" s="158">
        <f>MIN(C52, C51)</f>
        <v>0</v>
      </c>
      <c r="D53" s="157">
        <f>(C53*$K$1)*$C$1</f>
        <v>0</v>
      </c>
      <c r="E53" s="80"/>
      <c r="F53" s="80"/>
      <c r="G53" s="103" t="s">
        <v>284</v>
      </c>
      <c r="H53" s="139">
        <f>MIN(H52,H51)</f>
        <v>139.51310861423221</v>
      </c>
      <c r="I53" s="129">
        <f>J53/$R$1</f>
        <v>16741.573033707864</v>
      </c>
      <c r="J53" s="129">
        <f>MIN(J52,J51)</f>
        <v>14900</v>
      </c>
    </row>
    <row r="54" spans="1:14" x14ac:dyDescent="0.25">
      <c r="B54" s="846" t="s">
        <v>285</v>
      </c>
      <c r="C54" s="158">
        <f>MIN(MAX(C52-C53,0),C51)</f>
        <v>0</v>
      </c>
      <c r="D54" s="157">
        <f>(C54*$K$1)*$C$1</f>
        <v>0</v>
      </c>
      <c r="E54" s="80"/>
      <c r="F54" s="80"/>
      <c r="G54" s="103" t="s">
        <v>285</v>
      </c>
      <c r="H54" s="139">
        <f>MIN(MAX(H52-H53),H51)</f>
        <v>0</v>
      </c>
      <c r="I54" s="129">
        <f>J54/$R$1</f>
        <v>0</v>
      </c>
      <c r="J54" s="129">
        <f>MIN(MAX(J52-J53),J51)</f>
        <v>0</v>
      </c>
    </row>
    <row r="55" spans="1:14" x14ac:dyDescent="0.25">
      <c r="B55" s="846" t="s">
        <v>286</v>
      </c>
      <c r="C55" s="158">
        <f>MIN(MAX(C52-C53-C54,0),C51)</f>
        <v>0</v>
      </c>
      <c r="D55" s="157">
        <f>(C55*$K$1)*$C$1</f>
        <v>0</v>
      </c>
      <c r="E55" s="80"/>
      <c r="F55" s="80"/>
      <c r="G55" s="100" t="s">
        <v>286</v>
      </c>
      <c r="H55" s="139">
        <f>MIN(MAX(H52-H53-H54),H51)</f>
        <v>0</v>
      </c>
      <c r="I55" s="129">
        <f>J55/$R$1</f>
        <v>0</v>
      </c>
      <c r="J55" s="129">
        <f>MIN(MAX(J52-J53-J54),J51)</f>
        <v>0</v>
      </c>
    </row>
    <row r="58" spans="1:14" ht="18" x14ac:dyDescent="0.25">
      <c r="B58" s="1803"/>
      <c r="C58" s="1799"/>
      <c r="D58" s="1799"/>
      <c r="E58" s="1799"/>
      <c r="F58" s="1799"/>
      <c r="G58" s="1799"/>
      <c r="H58" s="1799"/>
      <c r="I58" s="1799"/>
      <c r="J58" s="1799"/>
    </row>
    <row r="59" spans="1:14" x14ac:dyDescent="0.25">
      <c r="B59" s="226"/>
      <c r="C59" s="227"/>
      <c r="D59" s="226"/>
      <c r="E59" s="226"/>
      <c r="F59" s="226"/>
      <c r="G59" s="226"/>
      <c r="H59" s="226"/>
      <c r="I59" s="226"/>
      <c r="J59" s="226"/>
    </row>
    <row r="60" spans="1:14" x14ac:dyDescent="0.25">
      <c r="B60" s="228"/>
      <c r="C60" s="228"/>
      <c r="D60" s="228"/>
      <c r="E60" s="215"/>
      <c r="F60" s="91"/>
      <c r="G60" s="92"/>
      <c r="H60" s="93"/>
      <c r="I60" s="73"/>
      <c r="J60" s="94"/>
    </row>
    <row r="61" spans="1:14" x14ac:dyDescent="0.25">
      <c r="B61" s="228"/>
      <c r="C61" s="228"/>
      <c r="D61" s="228"/>
      <c r="E61" s="215"/>
      <c r="F61" s="91"/>
      <c r="G61" s="92"/>
      <c r="H61" s="93"/>
      <c r="I61" s="73"/>
      <c r="J61" s="94"/>
    </row>
    <row r="62" spans="1:14" ht="18" x14ac:dyDescent="0.25">
      <c r="A62" s="867"/>
      <c r="B62" s="1804"/>
      <c r="C62" s="1817"/>
      <c r="D62" s="1817"/>
      <c r="E62" s="1817"/>
      <c r="F62" s="1817"/>
      <c r="G62" s="1817"/>
      <c r="H62" s="1817"/>
    </row>
    <row r="63" spans="1:14" ht="26.25" customHeight="1" x14ac:dyDescent="0.25">
      <c r="A63" s="867"/>
      <c r="B63" s="1804" t="s">
        <v>810</v>
      </c>
      <c r="C63" s="1890"/>
      <c r="D63" s="1890"/>
      <c r="E63" s="1890"/>
      <c r="F63" s="1890"/>
      <c r="G63" s="1890"/>
      <c r="H63" s="1890"/>
    </row>
    <row r="64" spans="1:14" ht="25.5" x14ac:dyDescent="0.2">
      <c r="A64" s="1350" t="s">
        <v>864</v>
      </c>
      <c r="B64" s="1104" t="s">
        <v>241</v>
      </c>
      <c r="C64" s="934" t="s">
        <v>242</v>
      </c>
      <c r="D64" s="1104" t="s">
        <v>231</v>
      </c>
      <c r="E64" s="936" t="s">
        <v>234</v>
      </c>
      <c r="F64" s="936" t="s">
        <v>243</v>
      </c>
      <c r="G64" s="1104" t="s">
        <v>244</v>
      </c>
      <c r="H64" s="936" t="s">
        <v>245</v>
      </c>
      <c r="M64" s="87"/>
      <c r="N64" s="87"/>
    </row>
    <row r="65" spans="1:12" x14ac:dyDescent="0.25">
      <c r="A65" s="61" t="s">
        <v>897</v>
      </c>
      <c r="B65" s="1252" t="str">
        <f t="shared" ref="B65:D67" si="13">B5</f>
        <v>Chicken Minced - دجاج مفروم</v>
      </c>
      <c r="C65" s="1252" t="str">
        <f t="shared" si="13"/>
        <v>gm</v>
      </c>
      <c r="D65" s="1639">
        <f t="shared" si="13"/>
        <v>120</v>
      </c>
      <c r="E65" s="1615">
        <f>$D$52</f>
        <v>149</v>
      </c>
      <c r="F65" s="1616">
        <f>F5</f>
        <v>1</v>
      </c>
      <c r="G65" s="944">
        <f>D65*E65</f>
        <v>17880</v>
      </c>
      <c r="H65" s="1617">
        <f>G65*F65</f>
        <v>17880</v>
      </c>
      <c r="I65" s="73"/>
      <c r="J65" s="92"/>
      <c r="K65" s="73"/>
      <c r="L65" s="92"/>
    </row>
    <row r="66" spans="1:12" x14ac:dyDescent="0.25">
      <c r="B66" s="1252" t="str">
        <f t="shared" si="13"/>
        <v>Whole Wheat Burger Buns 70gm - خبز برجر بني</v>
      </c>
      <c r="C66" s="1252" t="str">
        <f t="shared" si="13"/>
        <v>Piece</v>
      </c>
      <c r="D66" s="1639">
        <f t="shared" si="13"/>
        <v>1</v>
      </c>
      <c r="E66" s="1615">
        <f t="shared" ref="E66:E68" si="14">$D$52</f>
        <v>149</v>
      </c>
      <c r="F66" s="1616">
        <f t="shared" ref="F66:F68" si="15">F6</f>
        <v>1</v>
      </c>
      <c r="G66" s="944">
        <f t="shared" ref="G66:G67" si="16">D66*E66</f>
        <v>149</v>
      </c>
      <c r="H66" s="1617">
        <f t="shared" ref="H66:H67" si="17">G66*F66</f>
        <v>149</v>
      </c>
    </row>
    <row r="67" spans="1:12" x14ac:dyDescent="0.25">
      <c r="A67" s="61" t="s">
        <v>888</v>
      </c>
      <c r="B67" s="1252" t="str">
        <f t="shared" si="13"/>
        <v>Iceberg Lettuce - خس مدور أمريكى</v>
      </c>
      <c r="C67" s="1252" t="str">
        <f t="shared" si="13"/>
        <v>gm</v>
      </c>
      <c r="D67" s="1639">
        <f t="shared" si="13"/>
        <v>10</v>
      </c>
      <c r="E67" s="1615">
        <f t="shared" si="14"/>
        <v>149</v>
      </c>
      <c r="F67" s="1616">
        <f t="shared" si="15"/>
        <v>1</v>
      </c>
      <c r="G67" s="944">
        <f t="shared" si="16"/>
        <v>1490</v>
      </c>
      <c r="H67" s="1617">
        <f t="shared" si="17"/>
        <v>1490</v>
      </c>
    </row>
    <row r="68" spans="1:12" x14ac:dyDescent="0.25">
      <c r="A68" s="861"/>
      <c r="B68" s="1252" t="str">
        <f t="shared" ref="B68:D68" si="18">B8</f>
        <v>Sliced cheese - جبنة شرائح</v>
      </c>
      <c r="C68" s="1252" t="str">
        <f t="shared" si="18"/>
        <v>Piece</v>
      </c>
      <c r="D68" s="1639">
        <f t="shared" si="18"/>
        <v>1</v>
      </c>
      <c r="E68" s="1615">
        <f t="shared" si="14"/>
        <v>149</v>
      </c>
      <c r="F68" s="1616">
        <f t="shared" si="15"/>
        <v>1</v>
      </c>
      <c r="G68" s="944">
        <f t="shared" ref="G68" si="19">D68*E68</f>
        <v>149</v>
      </c>
      <c r="H68" s="1617">
        <f t="shared" ref="H68" si="20">G68*F68</f>
        <v>149</v>
      </c>
    </row>
    <row r="69" spans="1:12" ht="18" x14ac:dyDescent="0.25">
      <c r="B69" s="1622" t="s">
        <v>287</v>
      </c>
      <c r="C69" s="1042" t="s">
        <v>273</v>
      </c>
      <c r="D69" s="1041" t="s">
        <v>537</v>
      </c>
      <c r="E69" s="1253" t="s">
        <v>288</v>
      </c>
      <c r="F69" s="1640"/>
      <c r="G69" s="1255" t="s">
        <v>264</v>
      </c>
      <c r="H69" s="1255" t="s">
        <v>661</v>
      </c>
    </row>
    <row r="70" spans="1:12" ht="20.25" x14ac:dyDescent="0.3">
      <c r="B70" s="1048">
        <f>$J$52</f>
        <v>14900</v>
      </c>
      <c r="C70" s="1283">
        <f>E70+G70</f>
        <v>0</v>
      </c>
      <c r="D70" s="1047">
        <f>$AF$1</f>
        <v>149</v>
      </c>
      <c r="E70" s="1048">
        <f>$C$53*$S$44</f>
        <v>0</v>
      </c>
      <c r="F70" s="1050"/>
      <c r="G70" s="1048">
        <f>$D$53*$T$44</f>
        <v>0</v>
      </c>
      <c r="H70" s="1048">
        <f>B70+E70</f>
        <v>14900</v>
      </c>
    </row>
    <row r="71" spans="1:12" x14ac:dyDescent="0.25">
      <c r="E71" s="80"/>
      <c r="F71" s="80"/>
    </row>
    <row r="72" spans="1:12" ht="15.75" x14ac:dyDescent="0.25">
      <c r="B72" s="1191" t="s">
        <v>1015</v>
      </c>
      <c r="C72" s="1783" t="s">
        <v>810</v>
      </c>
      <c r="D72" s="1783"/>
      <c r="E72" s="1783"/>
      <c r="F72" s="1783"/>
      <c r="G72" s="930"/>
      <c r="H72" s="930"/>
    </row>
    <row r="73" spans="1:12" ht="25.5" x14ac:dyDescent="0.25">
      <c r="B73" s="926" t="s">
        <v>250</v>
      </c>
      <c r="C73" s="926">
        <v>10000</v>
      </c>
      <c r="D73" s="927" t="s">
        <v>474</v>
      </c>
      <c r="E73" s="928">
        <f>$S$32*$T$1</f>
        <v>14900</v>
      </c>
      <c r="F73" s="926" t="s">
        <v>239</v>
      </c>
      <c r="G73" s="929">
        <f>(($S$32*$T$1)/$R$1)/C73</f>
        <v>1.6741573033707864</v>
      </c>
      <c r="H73" s="1207"/>
    </row>
    <row r="74" spans="1:12" ht="25.5" x14ac:dyDescent="0.25">
      <c r="B74" s="926" t="s">
        <v>241</v>
      </c>
      <c r="C74" s="926" t="s">
        <v>242</v>
      </c>
      <c r="D74" s="926" t="s">
        <v>250</v>
      </c>
      <c r="E74" s="926" t="s">
        <v>234</v>
      </c>
      <c r="F74" s="926" t="s">
        <v>243</v>
      </c>
      <c r="G74" s="926" t="s">
        <v>244</v>
      </c>
      <c r="H74" s="926" t="s">
        <v>245</v>
      </c>
    </row>
    <row r="75" spans="1:12" x14ac:dyDescent="0.25">
      <c r="B75" s="1252" t="s">
        <v>93</v>
      </c>
      <c r="C75" s="947" t="s">
        <v>14</v>
      </c>
      <c r="D75" s="1636">
        <v>30</v>
      </c>
      <c r="E75" s="1637">
        <f>$G$73</f>
        <v>1.6741573033707864</v>
      </c>
      <c r="F75" s="1616">
        <v>1</v>
      </c>
      <c r="G75" s="944">
        <f t="shared" ref="G75:G84" si="21">D75*E75</f>
        <v>50.22471910112359</v>
      </c>
      <c r="H75" s="1617">
        <f t="shared" ref="H75:H84" si="22">G75*F75</f>
        <v>50.22471910112359</v>
      </c>
    </row>
    <row r="76" spans="1:12" x14ac:dyDescent="0.25">
      <c r="B76" s="1252" t="s">
        <v>99</v>
      </c>
      <c r="C76" s="947" t="s">
        <v>14</v>
      </c>
      <c r="D76" s="1636">
        <v>30</v>
      </c>
      <c r="E76" s="1637">
        <f t="shared" ref="E76:E84" si="23">$G$73</f>
        <v>1.6741573033707864</v>
      </c>
      <c r="F76" s="1616">
        <v>1</v>
      </c>
      <c r="G76" s="944">
        <f t="shared" si="21"/>
        <v>50.22471910112359</v>
      </c>
      <c r="H76" s="1617">
        <f t="shared" si="22"/>
        <v>50.22471910112359</v>
      </c>
    </row>
    <row r="77" spans="1:12" x14ac:dyDescent="0.25">
      <c r="B77" s="1252" t="s">
        <v>811</v>
      </c>
      <c r="C77" s="947" t="s">
        <v>14</v>
      </c>
      <c r="D77" s="1636">
        <v>150</v>
      </c>
      <c r="E77" s="1637">
        <f t="shared" si="23"/>
        <v>1.6741573033707864</v>
      </c>
      <c r="F77" s="1616">
        <v>1</v>
      </c>
      <c r="G77" s="944">
        <f t="shared" si="21"/>
        <v>251.12359550561797</v>
      </c>
      <c r="H77" s="1617">
        <f t="shared" si="22"/>
        <v>251.12359550561797</v>
      </c>
    </row>
    <row r="78" spans="1:12" x14ac:dyDescent="0.25">
      <c r="B78" s="1252" t="s">
        <v>149</v>
      </c>
      <c r="C78" s="947" t="s">
        <v>14</v>
      </c>
      <c r="D78" s="1636">
        <v>150</v>
      </c>
      <c r="E78" s="1637">
        <f t="shared" si="23"/>
        <v>1.6741573033707864</v>
      </c>
      <c r="F78" s="1616">
        <v>1</v>
      </c>
      <c r="G78" s="944">
        <f t="shared" si="21"/>
        <v>251.12359550561797</v>
      </c>
      <c r="H78" s="1617">
        <f t="shared" si="22"/>
        <v>251.12359550561797</v>
      </c>
    </row>
    <row r="79" spans="1:12" x14ac:dyDescent="0.25">
      <c r="B79" s="1252" t="s">
        <v>146</v>
      </c>
      <c r="C79" s="947" t="s">
        <v>14</v>
      </c>
      <c r="D79" s="1636">
        <v>150</v>
      </c>
      <c r="E79" s="1637">
        <f>$G$73</f>
        <v>1.6741573033707864</v>
      </c>
      <c r="F79" s="1616">
        <v>1</v>
      </c>
      <c r="G79" s="944">
        <f t="shared" si="21"/>
        <v>251.12359550561797</v>
      </c>
      <c r="H79" s="1617">
        <f t="shared" si="22"/>
        <v>251.12359550561797</v>
      </c>
    </row>
    <row r="80" spans="1:12" x14ac:dyDescent="0.25">
      <c r="B80" s="1252" t="s">
        <v>181</v>
      </c>
      <c r="C80" s="947" t="s">
        <v>14</v>
      </c>
      <c r="D80" s="1636">
        <v>200</v>
      </c>
      <c r="E80" s="1637">
        <f t="shared" si="23"/>
        <v>1.6741573033707864</v>
      </c>
      <c r="F80" s="1616">
        <v>1</v>
      </c>
      <c r="G80" s="944">
        <f t="shared" si="21"/>
        <v>334.83146067415726</v>
      </c>
      <c r="H80" s="1617">
        <f t="shared" si="22"/>
        <v>334.83146067415726</v>
      </c>
    </row>
    <row r="81" spans="2:8" x14ac:dyDescent="0.25">
      <c r="B81" s="1252" t="s">
        <v>477</v>
      </c>
      <c r="C81" s="947" t="s">
        <v>14</v>
      </c>
      <c r="D81" s="1636">
        <v>200</v>
      </c>
      <c r="E81" s="1637">
        <f t="shared" si="23"/>
        <v>1.6741573033707864</v>
      </c>
      <c r="F81" s="1616">
        <v>1</v>
      </c>
      <c r="G81" s="944">
        <f t="shared" si="21"/>
        <v>334.83146067415726</v>
      </c>
      <c r="H81" s="1617">
        <f t="shared" si="22"/>
        <v>334.83146067415726</v>
      </c>
    </row>
    <row r="82" spans="2:8" x14ac:dyDescent="0.25">
      <c r="B82" s="1252" t="s">
        <v>188</v>
      </c>
      <c r="C82" s="947" t="s">
        <v>14</v>
      </c>
      <c r="D82" s="1636">
        <v>1000</v>
      </c>
      <c r="E82" s="1637">
        <f t="shared" si="23"/>
        <v>1.6741573033707864</v>
      </c>
      <c r="F82" s="1616">
        <v>1</v>
      </c>
      <c r="G82" s="944">
        <f t="shared" si="21"/>
        <v>1674.1573033707864</v>
      </c>
      <c r="H82" s="1617">
        <f t="shared" si="22"/>
        <v>1674.1573033707864</v>
      </c>
    </row>
    <row r="83" spans="2:8" x14ac:dyDescent="0.25">
      <c r="B83" s="1252" t="s">
        <v>229</v>
      </c>
      <c r="C83" s="947" t="s">
        <v>230</v>
      </c>
      <c r="D83" s="1636">
        <v>20</v>
      </c>
      <c r="E83" s="1637">
        <f t="shared" si="23"/>
        <v>1.6741573033707864</v>
      </c>
      <c r="F83" s="1616">
        <v>1</v>
      </c>
      <c r="G83" s="944">
        <f t="shared" si="21"/>
        <v>33.483146067415731</v>
      </c>
      <c r="H83" s="1617">
        <f t="shared" si="22"/>
        <v>33.483146067415731</v>
      </c>
    </row>
    <row r="84" spans="2:8" x14ac:dyDescent="0.25">
      <c r="B84" s="1252" t="s">
        <v>222</v>
      </c>
      <c r="C84" s="947" t="s">
        <v>14</v>
      </c>
      <c r="D84" s="1636">
        <v>500</v>
      </c>
      <c r="E84" s="1637">
        <f t="shared" si="23"/>
        <v>1.6741573033707864</v>
      </c>
      <c r="F84" s="1616">
        <v>1</v>
      </c>
      <c r="G84" s="944">
        <f t="shared" si="21"/>
        <v>837.0786516853932</v>
      </c>
      <c r="H84" s="1617">
        <f t="shared" si="22"/>
        <v>837.0786516853932</v>
      </c>
    </row>
  </sheetData>
  <mergeCells count="10">
    <mergeCell ref="B2:H3"/>
    <mergeCell ref="R25:U25"/>
    <mergeCell ref="R26:U26"/>
    <mergeCell ref="B42:J42"/>
    <mergeCell ref="C72:F72"/>
    <mergeCell ref="C10:F10"/>
    <mergeCell ref="B43:J43"/>
    <mergeCell ref="B58:J58"/>
    <mergeCell ref="B62:H62"/>
    <mergeCell ref="B63:H63"/>
  </mergeCells>
  <printOptions horizontalCentered="1"/>
  <pageMargins left="0.4" right="0.4" top="1" bottom="0.5" header="0.3" footer="0.511811023622047"/>
  <pageSetup paperSize="9" scale="44" orientation="landscape"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56DF9-A64C-45ED-B968-582A2388F5C0}">
  <sheetPr codeName="Sheet99">
    <tabColor theme="5" tint="-0.249977111117893"/>
    <pageSetUpPr fitToPage="1"/>
  </sheetPr>
  <dimension ref="A1:AT104"/>
  <sheetViews>
    <sheetView topLeftCell="A47" zoomScale="85" zoomScaleNormal="85" workbookViewId="0">
      <selection activeCell="Q44" sqref="Q44"/>
    </sheetView>
  </sheetViews>
  <sheetFormatPr defaultColWidth="12.5" defaultRowHeight="15" x14ac:dyDescent="0.25"/>
  <cols>
    <col min="1" max="1" width="19.25" style="61" customWidth="1"/>
    <col min="2" max="2" width="20.25" style="26" bestFit="1" customWidth="1"/>
    <col min="3" max="3" width="16" style="14" bestFit="1" customWidth="1"/>
    <col min="4" max="4" width="15.625" style="14" bestFit="1" customWidth="1"/>
    <col min="5" max="5" width="16" style="14" bestFit="1" customWidth="1"/>
    <col min="6" max="6" width="22.625" style="14" bestFit="1" customWidth="1"/>
    <col min="7" max="7" width="20.25" style="14" bestFit="1" customWidth="1"/>
    <col min="8" max="8" width="33.75" style="14" bestFit="1" customWidth="1"/>
    <col min="9" max="9" width="16.5" style="14" bestFit="1" customWidth="1"/>
    <col min="10" max="10" width="13.625" style="14" bestFit="1" customWidth="1"/>
    <col min="11" max="11" width="11.125" style="14" bestFit="1" customWidth="1"/>
    <col min="12" max="12" width="6.75" style="14" bestFit="1" customWidth="1"/>
    <col min="13" max="14" width="3.75" style="14" customWidth="1"/>
    <col min="15" max="15" width="8.25" style="14" bestFit="1" customWidth="1"/>
    <col min="16" max="16" width="4.875" style="14" bestFit="1" customWidth="1"/>
    <col min="17" max="17" width="12.125" style="14" bestFit="1" customWidth="1"/>
    <col min="18" max="18" width="32.75" style="14" bestFit="1" customWidth="1"/>
    <col min="19" max="19" width="8.5" style="14" bestFit="1" customWidth="1"/>
    <col min="20" max="20" width="38" style="14" bestFit="1" customWidth="1"/>
    <col min="21" max="21" width="9.625" style="14" bestFit="1" customWidth="1"/>
    <col min="22" max="22" width="10.25" style="14" bestFit="1" customWidth="1"/>
    <col min="23" max="23" width="32.125" style="14" bestFit="1" customWidth="1"/>
    <col min="24" max="24" width="12.5" style="14" customWidth="1"/>
    <col min="25" max="25" width="6.625" style="14" bestFit="1" customWidth="1"/>
    <col min="26" max="26" width="9.5" style="14" bestFit="1" customWidth="1"/>
    <col min="27" max="27" width="10" style="14" bestFit="1" customWidth="1"/>
    <col min="28" max="28" width="11.125" style="14" bestFit="1" customWidth="1"/>
    <col min="29" max="29" width="11.75" style="14" bestFit="1" customWidth="1"/>
    <col min="30" max="30" width="13" style="14" bestFit="1" customWidth="1"/>
    <col min="31" max="31" width="9.875" style="14" bestFit="1" customWidth="1"/>
    <col min="32" max="32" width="6.75" style="14" bestFit="1" customWidth="1"/>
    <col min="33" max="35" width="4.25" style="14" customWidth="1"/>
    <col min="36" max="36" width="23.375" style="14" bestFit="1" customWidth="1"/>
    <col min="37" max="37" width="5.375" style="14" bestFit="1" customWidth="1"/>
    <col min="38" max="38" width="16.25" style="14" customWidth="1"/>
    <col min="39" max="39" width="10.875" style="14" bestFit="1" customWidth="1"/>
    <col min="40" max="40" width="10" style="14" bestFit="1" customWidth="1"/>
    <col min="41" max="41" width="12.5" style="14"/>
    <col min="42" max="42" width="18.625" style="14" bestFit="1" customWidth="1"/>
    <col min="43" max="43" width="11" style="14" bestFit="1" customWidth="1"/>
    <col min="44" max="44" width="11.625" style="14" bestFit="1" customWidth="1"/>
    <col min="45" max="45" width="11.125" style="14" bestFit="1" customWidth="1"/>
    <col min="46" max="46" width="6.125" style="14" bestFit="1" customWidth="1"/>
    <col min="47" max="16384" width="12.5" style="14"/>
  </cols>
  <sheetData>
    <row r="1" spans="1:46" s="168" customFormat="1" ht="38.25" x14ac:dyDescent="0.2">
      <c r="A1" s="865"/>
      <c r="B1" s="852" t="s">
        <v>231</v>
      </c>
      <c r="C1" s="63">
        <v>1000</v>
      </c>
      <c r="D1" s="64" t="s">
        <v>232</v>
      </c>
      <c r="E1" s="84">
        <f>U32</f>
        <v>12460</v>
      </c>
      <c r="F1" s="62" t="s">
        <v>233</v>
      </c>
      <c r="G1" s="84">
        <f>E1/C1</f>
        <v>12.46</v>
      </c>
      <c r="H1" s="62" t="s">
        <v>234</v>
      </c>
      <c r="I1" s="167">
        <f>(G1/K1)</f>
        <v>12.649746192893401</v>
      </c>
      <c r="J1" s="68" t="s">
        <v>235</v>
      </c>
      <c r="K1" s="63">
        <v>0.98499999999999999</v>
      </c>
      <c r="L1" s="73"/>
      <c r="M1" s="70"/>
      <c r="N1" s="71"/>
      <c r="O1" s="72" t="s">
        <v>236</v>
      </c>
      <c r="P1" s="699" t="s">
        <v>298</v>
      </c>
      <c r="Q1" s="475" t="s">
        <v>238</v>
      </c>
      <c r="R1" s="700">
        <v>0.59</v>
      </c>
      <c r="Y1" s="72" t="s">
        <v>444</v>
      </c>
      <c r="Z1" s="422">
        <v>11460</v>
      </c>
      <c r="AA1" s="72" t="s">
        <v>544</v>
      </c>
      <c r="AB1" s="422">
        <v>1000</v>
      </c>
      <c r="AC1" s="72" t="s">
        <v>537</v>
      </c>
      <c r="AD1" s="422">
        <v>79</v>
      </c>
      <c r="AF1" s="170"/>
      <c r="AG1" s="73"/>
      <c r="AJ1" s="75" t="s">
        <v>250</v>
      </c>
      <c r="AK1" s="75">
        <v>10000</v>
      </c>
      <c r="AL1" s="318" t="s">
        <v>474</v>
      </c>
      <c r="AM1" s="319">
        <f>$S$32</f>
        <v>12460</v>
      </c>
      <c r="AN1" s="75" t="s">
        <v>239</v>
      </c>
      <c r="AO1" s="212">
        <f>(($S$32)/$R$1)/$AK$1</f>
        <v>2.1118644067796613</v>
      </c>
      <c r="AP1" s="76"/>
    </row>
    <row r="2" spans="1:46" ht="15.75" x14ac:dyDescent="0.25">
      <c r="A2" s="863"/>
      <c r="B2" s="1828" t="s">
        <v>812</v>
      </c>
      <c r="C2" s="1865"/>
      <c r="D2" s="1865"/>
      <c r="E2" s="1865"/>
      <c r="F2" s="1865"/>
      <c r="G2" s="1865"/>
      <c r="H2" s="1865"/>
      <c r="I2" s="78"/>
      <c r="J2" s="78"/>
      <c r="K2" s="78"/>
      <c r="L2" s="78"/>
      <c r="P2" s="80"/>
      <c r="Q2" s="80"/>
      <c r="R2" s="80"/>
      <c r="AC2" s="79"/>
      <c r="AD2" s="79"/>
      <c r="AE2" s="1795"/>
      <c r="AF2" s="1799"/>
      <c r="AG2" s="1799"/>
      <c r="AJ2" s="81"/>
      <c r="AK2" s="81"/>
      <c r="AL2" s="1873" t="s">
        <v>812</v>
      </c>
      <c r="AM2" s="1873"/>
      <c r="AN2" s="82"/>
      <c r="AO2" s="81"/>
      <c r="AP2" s="81"/>
    </row>
    <row r="3" spans="1:46" ht="15.75" x14ac:dyDescent="0.25">
      <c r="A3" s="863"/>
      <c r="B3" s="1796"/>
      <c r="C3" s="1796"/>
      <c r="D3" s="1796"/>
      <c r="E3" s="1796"/>
      <c r="F3" s="1796"/>
      <c r="G3" s="1796"/>
      <c r="H3" s="1796"/>
      <c r="I3" s="78"/>
      <c r="J3" s="78"/>
      <c r="K3" s="78"/>
      <c r="L3" s="78"/>
      <c r="P3" s="80"/>
      <c r="Q3" s="80"/>
      <c r="R3" s="80"/>
      <c r="AC3" s="79"/>
      <c r="AD3" s="79"/>
      <c r="AE3" s="1799"/>
      <c r="AF3" s="1799"/>
      <c r="AG3" s="1799"/>
      <c r="AJ3" s="81"/>
      <c r="AK3" s="81"/>
      <c r="AL3" s="82"/>
      <c r="AM3" s="82"/>
      <c r="AN3" s="82"/>
      <c r="AO3" s="81"/>
      <c r="AP3" s="81"/>
    </row>
    <row r="4" spans="1:46" ht="38.25" x14ac:dyDescent="0.2">
      <c r="A4" s="1350" t="s">
        <v>864</v>
      </c>
      <c r="B4" s="923" t="s">
        <v>241</v>
      </c>
      <c r="C4" s="934" t="s">
        <v>242</v>
      </c>
      <c r="D4" s="923" t="s">
        <v>231</v>
      </c>
      <c r="E4" s="935" t="s">
        <v>234</v>
      </c>
      <c r="F4" s="935" t="s">
        <v>243</v>
      </c>
      <c r="G4" s="923" t="s">
        <v>244</v>
      </c>
      <c r="H4" s="936" t="s">
        <v>245</v>
      </c>
      <c r="I4" s="923" t="s">
        <v>246</v>
      </c>
      <c r="J4" s="923" t="s">
        <v>247</v>
      </c>
      <c r="K4" s="923" t="s">
        <v>248</v>
      </c>
      <c r="L4" s="923" t="s">
        <v>249</v>
      </c>
      <c r="P4" s="80"/>
      <c r="AA4" s="169"/>
      <c r="AB4" s="171"/>
      <c r="AC4" s="169"/>
      <c r="AD4" s="169"/>
      <c r="AE4" s="169"/>
      <c r="AJ4" s="926" t="s">
        <v>241</v>
      </c>
      <c r="AK4" s="1169" t="s">
        <v>242</v>
      </c>
      <c r="AL4" s="926" t="s">
        <v>250</v>
      </c>
      <c r="AM4" s="926" t="s">
        <v>234</v>
      </c>
      <c r="AN4" s="926" t="s">
        <v>243</v>
      </c>
      <c r="AO4" s="926" t="s">
        <v>244</v>
      </c>
      <c r="AP4" s="926" t="s">
        <v>245</v>
      </c>
      <c r="AQ4" s="923" t="s">
        <v>246</v>
      </c>
      <c r="AR4" s="923" t="s">
        <v>247</v>
      </c>
      <c r="AS4" s="923" t="s">
        <v>248</v>
      </c>
      <c r="AT4" s="923" t="s">
        <v>249</v>
      </c>
    </row>
    <row r="5" spans="1:46" ht="30" x14ac:dyDescent="0.2">
      <c r="A5" s="937" t="s">
        <v>874</v>
      </c>
      <c r="B5" s="938" t="s">
        <v>220</v>
      </c>
      <c r="C5" s="947" t="s">
        <v>14</v>
      </c>
      <c r="D5" s="1641">
        <f>1000/R1</f>
        <v>1694.9152542372883</v>
      </c>
      <c r="E5" s="918">
        <f>H52</f>
        <v>12.46</v>
      </c>
      <c r="F5" s="1616">
        <v>1</v>
      </c>
      <c r="G5" s="944">
        <f>D5*E5</f>
        <v>21118.644067796613</v>
      </c>
      <c r="H5" s="1617">
        <f>G5*F5</f>
        <v>21118.644067796613</v>
      </c>
      <c r="I5" s="914">
        <f>VLOOKUP(B5,All_Ingredients!$A$1:$F$161,6,FALSE())</f>
        <v>0.86</v>
      </c>
      <c r="J5" s="940">
        <f>VLOOKUP(B5,All_Ingredients!$A$1:$J$161,10,FALSE())</f>
        <v>17.100000000000001</v>
      </c>
      <c r="K5" s="945">
        <f t="shared" ref="K5" si="0">(H5/I5)/1000</f>
        <v>24.556562869530946</v>
      </c>
      <c r="L5" s="945">
        <f t="shared" ref="L5" si="1">K5*J5</f>
        <v>419.91722506897923</v>
      </c>
      <c r="P5" s="80"/>
      <c r="AA5" s="73"/>
      <c r="AB5" s="89"/>
      <c r="AC5" s="172"/>
      <c r="AD5" s="90"/>
      <c r="AE5" s="91"/>
      <c r="AJ5" s="938" t="s">
        <v>220</v>
      </c>
      <c r="AK5" s="947" t="s">
        <v>227</v>
      </c>
      <c r="AL5" s="1618">
        <v>10</v>
      </c>
      <c r="AM5" s="1621">
        <f>$AO$1</f>
        <v>2.1118644067796613</v>
      </c>
      <c r="AN5" s="1616">
        <v>1</v>
      </c>
      <c r="AO5" s="940">
        <f>AL5*AM5</f>
        <v>21.118644067796613</v>
      </c>
      <c r="AP5" s="1617">
        <f>AN5*AO5</f>
        <v>21.118644067796613</v>
      </c>
      <c r="AQ5" s="952"/>
      <c r="AR5" s="953"/>
      <c r="AS5" s="1020"/>
      <c r="AT5" s="955"/>
    </row>
    <row r="6" spans="1:46" x14ac:dyDescent="0.25">
      <c r="B6" s="192"/>
      <c r="E6" s="80"/>
      <c r="F6" s="80"/>
      <c r="I6" s="61"/>
      <c r="J6" s="192"/>
      <c r="M6" s="80"/>
      <c r="N6" s="80"/>
      <c r="AJ6" s="1685" t="s">
        <v>678</v>
      </c>
      <c r="AK6" s="1700" t="s">
        <v>14</v>
      </c>
      <c r="AL6" s="1701">
        <v>1000</v>
      </c>
      <c r="AM6" s="1621">
        <f t="shared" ref="AM6:AM12" si="2">$AO$1</f>
        <v>2.1118644067796613</v>
      </c>
      <c r="AN6" s="1668">
        <v>1</v>
      </c>
      <c r="AO6" s="940">
        <f t="shared" ref="AO6:AO12" si="3">AL6*AM6</f>
        <v>2111.8644067796613</v>
      </c>
      <c r="AP6" s="1617">
        <f t="shared" ref="AP6:AP12" si="4">AN6*AO6</f>
        <v>2111.8644067796613</v>
      </c>
      <c r="AQ6" s="955">
        <f>VLOOKUP(AJ6,Marination_Ordering!$A:$J,6,FALSE)</f>
        <v>1</v>
      </c>
      <c r="AR6" s="955">
        <f>VLOOKUP(AJ6,Marination_Ordering!$A:$J,10,FALSE)</f>
        <v>8.1520833333333336</v>
      </c>
      <c r="AS6" s="1020">
        <f>AP6/AQ6</f>
        <v>2111.8644067796613</v>
      </c>
      <c r="AT6" s="955">
        <f>AR6*(AS6/1000)</f>
        <v>17.216094632768364</v>
      </c>
    </row>
    <row r="7" spans="1:46" x14ac:dyDescent="0.25">
      <c r="B7" s="192"/>
      <c r="E7" s="80"/>
      <c r="F7" s="61"/>
      <c r="G7" s="192"/>
      <c r="I7" s="61"/>
      <c r="J7" s="192"/>
      <c r="M7" s="80"/>
      <c r="N7" s="80"/>
      <c r="AJ7" s="1685" t="s">
        <v>152</v>
      </c>
      <c r="AK7" s="1700" t="s">
        <v>14</v>
      </c>
      <c r="AL7" s="1701">
        <v>200</v>
      </c>
      <c r="AM7" s="1621">
        <f t="shared" si="2"/>
        <v>2.1118644067796613</v>
      </c>
      <c r="AN7" s="1668">
        <v>1</v>
      </c>
      <c r="AO7" s="940">
        <f t="shared" si="3"/>
        <v>422.37288135593224</v>
      </c>
      <c r="AP7" s="1617">
        <f t="shared" si="4"/>
        <v>422.37288135593224</v>
      </c>
      <c r="AQ7" s="955">
        <f>VLOOKUP(AJ7,Marination_Ordering!$A:$J,6,FALSE)</f>
        <v>1</v>
      </c>
      <c r="AR7" s="955">
        <f>VLOOKUP(AJ7,Marination_Ordering!$A:$J,10,FALSE)</f>
        <v>30</v>
      </c>
      <c r="AS7" s="1020">
        <f t="shared" ref="AS7:AS12" si="5">AP7/AQ7</f>
        <v>422.37288135593224</v>
      </c>
      <c r="AT7" s="955">
        <f t="shared" ref="AT7:AT12" si="6">AR7*(AS7/1000)</f>
        <v>12.671186440677968</v>
      </c>
    </row>
    <row r="8" spans="1:46" x14ac:dyDescent="0.25">
      <c r="B8" s="192"/>
      <c r="E8" s="80"/>
      <c r="F8" s="61"/>
      <c r="G8" s="192"/>
      <c r="I8" s="61"/>
      <c r="J8" s="192"/>
      <c r="M8" s="80"/>
      <c r="N8" s="80"/>
      <c r="AJ8" s="1685" t="s">
        <v>93</v>
      </c>
      <c r="AK8" s="1700" t="s">
        <v>14</v>
      </c>
      <c r="AL8" s="1701">
        <v>150</v>
      </c>
      <c r="AM8" s="1621">
        <f t="shared" si="2"/>
        <v>2.1118644067796613</v>
      </c>
      <c r="AN8" s="1668">
        <v>1</v>
      </c>
      <c r="AO8" s="940">
        <f t="shared" si="3"/>
        <v>316.77966101694921</v>
      </c>
      <c r="AP8" s="1617">
        <f t="shared" si="4"/>
        <v>316.77966101694921</v>
      </c>
      <c r="AQ8" s="955">
        <f>VLOOKUP(AJ8,Marination_Ordering!$A:$J,6,FALSE)</f>
        <v>1</v>
      </c>
      <c r="AR8" s="955">
        <f>VLOOKUP(AJ8,Marination_Ordering!$A:$J,10,FALSE)</f>
        <v>0.74</v>
      </c>
      <c r="AS8" s="1020">
        <f t="shared" si="5"/>
        <v>316.77966101694921</v>
      </c>
      <c r="AT8" s="955">
        <f t="shared" si="6"/>
        <v>0.23441694915254241</v>
      </c>
    </row>
    <row r="9" spans="1:46" x14ac:dyDescent="0.25">
      <c r="B9" s="192"/>
      <c r="E9" s="80"/>
      <c r="F9" s="61"/>
      <c r="G9" s="26"/>
      <c r="I9" s="61"/>
      <c r="J9" s="26"/>
      <c r="AJ9" s="1685" t="s">
        <v>105</v>
      </c>
      <c r="AK9" s="1700" t="s">
        <v>14</v>
      </c>
      <c r="AL9" s="1701">
        <v>200</v>
      </c>
      <c r="AM9" s="1621">
        <f t="shared" si="2"/>
        <v>2.1118644067796613</v>
      </c>
      <c r="AN9" s="1668">
        <v>1</v>
      </c>
      <c r="AO9" s="940">
        <f t="shared" si="3"/>
        <v>422.37288135593224</v>
      </c>
      <c r="AP9" s="1617">
        <f t="shared" si="4"/>
        <v>422.37288135593224</v>
      </c>
      <c r="AQ9" s="955">
        <f>VLOOKUP(AJ9,Marination_Ordering!$A:$J,6,FALSE)</f>
        <v>1</v>
      </c>
      <c r="AR9" s="955">
        <f>VLOOKUP(AJ9,Marination_Ordering!$A:$J,10,FALSE)</f>
        <v>15</v>
      </c>
      <c r="AS9" s="1020">
        <f t="shared" si="5"/>
        <v>422.37288135593224</v>
      </c>
      <c r="AT9" s="955">
        <f t="shared" si="6"/>
        <v>6.3355932203389838</v>
      </c>
    </row>
    <row r="10" spans="1:46" x14ac:dyDescent="0.25">
      <c r="I10" s="61"/>
      <c r="J10" s="26"/>
      <c r="AJ10" s="1685" t="s">
        <v>107</v>
      </c>
      <c r="AK10" s="1700" t="s">
        <v>14</v>
      </c>
      <c r="AL10" s="1701">
        <v>150</v>
      </c>
      <c r="AM10" s="1621">
        <f t="shared" si="2"/>
        <v>2.1118644067796613</v>
      </c>
      <c r="AN10" s="1668">
        <v>1</v>
      </c>
      <c r="AO10" s="940">
        <f t="shared" si="3"/>
        <v>316.77966101694921</v>
      </c>
      <c r="AP10" s="1617">
        <f t="shared" si="4"/>
        <v>316.77966101694921</v>
      </c>
      <c r="AQ10" s="955">
        <f>VLOOKUP(AJ10,Marination_Ordering!$A:$J,6,FALSE)</f>
        <v>1</v>
      </c>
      <c r="AR10" s="955">
        <f>VLOOKUP(AJ10,Marination_Ordering!$A:$J,10,FALSE)</f>
        <v>8</v>
      </c>
      <c r="AS10" s="1020">
        <f t="shared" si="5"/>
        <v>316.77966101694921</v>
      </c>
      <c r="AT10" s="955">
        <f t="shared" si="6"/>
        <v>2.5342372881355937</v>
      </c>
    </row>
    <row r="11" spans="1:46" x14ac:dyDescent="0.25">
      <c r="I11" s="61"/>
      <c r="J11" s="26"/>
      <c r="AJ11" s="1685" t="s">
        <v>163</v>
      </c>
      <c r="AK11" s="1700" t="s">
        <v>14</v>
      </c>
      <c r="AL11" s="1701">
        <v>500</v>
      </c>
      <c r="AM11" s="1621">
        <f t="shared" si="2"/>
        <v>2.1118644067796613</v>
      </c>
      <c r="AN11" s="1668">
        <v>1</v>
      </c>
      <c r="AO11" s="940">
        <f t="shared" si="3"/>
        <v>1055.9322033898306</v>
      </c>
      <c r="AP11" s="1617">
        <f t="shared" si="4"/>
        <v>1055.9322033898306</v>
      </c>
      <c r="AQ11" s="955">
        <f>VLOOKUP(AJ11,Marination_Ordering!$A:$J,6,FALSE)</f>
        <v>1</v>
      </c>
      <c r="AR11" s="955">
        <f>VLOOKUP(AJ11,Marination_Ordering!$A:$J,10,FALSE)</f>
        <v>6.6959999999999997</v>
      </c>
      <c r="AS11" s="1020">
        <f t="shared" si="5"/>
        <v>1055.9322033898306</v>
      </c>
      <c r="AT11" s="955">
        <f t="shared" si="6"/>
        <v>7.0705220338983059</v>
      </c>
    </row>
    <row r="12" spans="1:46" x14ac:dyDescent="0.25">
      <c r="I12" s="61"/>
      <c r="J12" s="26"/>
      <c r="AJ12" s="1685" t="s">
        <v>110</v>
      </c>
      <c r="AK12" s="1700" t="s">
        <v>14</v>
      </c>
      <c r="AL12" s="1701">
        <v>50</v>
      </c>
      <c r="AM12" s="1621">
        <f t="shared" si="2"/>
        <v>2.1118644067796613</v>
      </c>
      <c r="AN12" s="1668">
        <v>1</v>
      </c>
      <c r="AO12" s="940">
        <f t="shared" si="3"/>
        <v>105.59322033898306</v>
      </c>
      <c r="AP12" s="1617">
        <f t="shared" si="4"/>
        <v>105.59322033898306</v>
      </c>
      <c r="AQ12" s="955">
        <f>VLOOKUP(AJ12,Marination_Ordering!$A:$J,6,FALSE)</f>
        <v>1</v>
      </c>
      <c r="AR12" s="955">
        <f>VLOOKUP(AJ12,Marination_Ordering!$A:$J,10,FALSE)</f>
        <v>64.243759177679877</v>
      </c>
      <c r="AS12" s="1020">
        <f t="shared" si="5"/>
        <v>105.59322033898306</v>
      </c>
      <c r="AT12" s="955">
        <f t="shared" si="6"/>
        <v>6.7837054182533167</v>
      </c>
    </row>
    <row r="25" spans="18:32" ht="15.75" x14ac:dyDescent="0.25">
      <c r="R25" s="1885" t="s">
        <v>812</v>
      </c>
      <c r="S25" s="1850"/>
      <c r="T25" s="1850"/>
      <c r="U25" s="1850"/>
      <c r="V25" s="553"/>
      <c r="Z25" s="96" t="s">
        <v>252</v>
      </c>
      <c r="AA25" s="97">
        <v>1</v>
      </c>
      <c r="AB25" s="96" t="s">
        <v>249</v>
      </c>
      <c r="AC25" s="98">
        <f>(AA25*AF30)+(AA30*(AB28/R1))</f>
        <v>3.8189725606115915E-2</v>
      </c>
    </row>
    <row r="26" spans="18:32" ht="15.75" x14ac:dyDescent="0.25">
      <c r="R26" s="1891" t="s">
        <v>291</v>
      </c>
      <c r="S26" s="1867"/>
      <c r="T26" s="1867"/>
      <c r="U26" s="1867"/>
      <c r="V26" s="553"/>
    </row>
    <row r="27" spans="18:32" ht="15.75" thickBot="1" x14ac:dyDescent="0.3">
      <c r="R27" s="100" t="s">
        <v>254</v>
      </c>
      <c r="S27" s="101" t="s">
        <v>255</v>
      </c>
      <c r="T27" s="101" t="s">
        <v>311</v>
      </c>
      <c r="U27" s="101" t="s">
        <v>257</v>
      </c>
      <c r="V27" s="101" t="s">
        <v>746</v>
      </c>
      <c r="W27" s="101" t="s">
        <v>753</v>
      </c>
      <c r="Z27" s="96" t="s">
        <v>258</v>
      </c>
      <c r="AA27" s="580" t="s">
        <v>311</v>
      </c>
      <c r="AB27" s="102" t="s">
        <v>259</v>
      </c>
      <c r="AC27" s="102" t="s">
        <v>260</v>
      </c>
      <c r="AD27" s="102" t="s">
        <v>261</v>
      </c>
      <c r="AE27" s="581" t="s">
        <v>753</v>
      </c>
      <c r="AF27" s="102" t="s">
        <v>262</v>
      </c>
    </row>
    <row r="28" spans="18:32" ht="15.75" thickBot="1" x14ac:dyDescent="0.3">
      <c r="R28" s="103" t="s">
        <v>263</v>
      </c>
      <c r="S28" s="665">
        <f>$Z$1</f>
        <v>11460</v>
      </c>
      <c r="T28" s="682"/>
      <c r="U28" s="658">
        <f>S28</f>
        <v>11460</v>
      </c>
      <c r="V28" s="104">
        <f>SUM(AP5:AP13)</f>
        <v>4772.813559322035</v>
      </c>
      <c r="W28" s="104">
        <f>SUM(H37:H38)</f>
        <v>79</v>
      </c>
      <c r="Z28" s="105"/>
      <c r="AA28" s="582"/>
      <c r="AB28" s="586">
        <f>AA25*$S$40</f>
        <v>1</v>
      </c>
      <c r="AC28" s="106"/>
      <c r="AD28" s="107"/>
      <c r="AE28" s="582"/>
      <c r="AF28" s="108">
        <f>SUM(AB28:AD28)</f>
        <v>1</v>
      </c>
    </row>
    <row r="29" spans="18:32" ht="15.75" thickBot="1" x14ac:dyDescent="0.3">
      <c r="R29" s="103" t="s">
        <v>264</v>
      </c>
      <c r="S29" s="684"/>
      <c r="T29" s="104"/>
      <c r="U29" s="682">
        <f>T29</f>
        <v>0</v>
      </c>
      <c r="V29" s="104"/>
      <c r="W29" s="104"/>
      <c r="Z29" s="105"/>
      <c r="AA29" s="583"/>
      <c r="AB29" s="110">
        <f>AB28/$AF$28</f>
        <v>1</v>
      </c>
      <c r="AC29" s="110">
        <v>0</v>
      </c>
      <c r="AD29" s="110">
        <v>0</v>
      </c>
      <c r="AE29" s="583"/>
      <c r="AF29" s="110">
        <f>AF28/$AF$28</f>
        <v>1</v>
      </c>
    </row>
    <row r="30" spans="18:32" ht="15.75" thickBot="1" x14ac:dyDescent="0.3">
      <c r="R30" s="103" t="s">
        <v>265</v>
      </c>
      <c r="T30" s="684">
        <f>$AB$1</f>
        <v>1000</v>
      </c>
      <c r="U30" s="684">
        <f>T30</f>
        <v>1000</v>
      </c>
      <c r="V30" s="547"/>
      <c r="W30" s="547"/>
      <c r="Z30" s="96" t="s">
        <v>266</v>
      </c>
      <c r="AA30" s="584">
        <f>V35/(S32/R1)</f>
        <v>2.5023271292217326E-3</v>
      </c>
      <c r="AB30" s="111">
        <f>S35/(S32)</f>
        <v>3.3701221915648415E-2</v>
      </c>
      <c r="AC30" s="112"/>
      <c r="AD30" s="112"/>
      <c r="AE30" s="585">
        <f>W35/U32</f>
        <v>2.4727126805778492E-4</v>
      </c>
      <c r="AF30" s="587">
        <f>SUMPRODUCT(AB30:AD30,AB29:AD29)+AE30</f>
        <v>3.3948493183706199E-2</v>
      </c>
    </row>
    <row r="31" spans="18:32" ht="15.75" thickBot="1" x14ac:dyDescent="0.3">
      <c r="R31" s="103" t="s">
        <v>267</v>
      </c>
      <c r="S31" s="109"/>
      <c r="T31" s="104"/>
      <c r="U31" s="104">
        <f>T31</f>
        <v>0</v>
      </c>
      <c r="V31" s="104"/>
      <c r="W31" s="104"/>
    </row>
    <row r="32" spans="18:32" ht="15.75" thickBot="1" x14ac:dyDescent="0.3">
      <c r="R32" s="114" t="s">
        <v>257</v>
      </c>
      <c r="S32" s="104">
        <f>S28+T30</f>
        <v>12460</v>
      </c>
      <c r="T32" s="104"/>
      <c r="U32" s="104">
        <f>S32</f>
        <v>12460</v>
      </c>
      <c r="V32" s="104"/>
      <c r="W32" s="104">
        <f>SUM(W28:W30)</f>
        <v>79</v>
      </c>
    </row>
    <row r="33" spans="2:23" ht="15.75" thickBot="1" x14ac:dyDescent="0.3">
      <c r="R33" s="115" t="s">
        <v>268</v>
      </c>
      <c r="S33" s="109"/>
      <c r="T33" s="109"/>
      <c r="U33" s="109"/>
      <c r="V33" s="109"/>
      <c r="W33" s="109"/>
    </row>
    <row r="34" spans="2:23" ht="15.75" thickBot="1" x14ac:dyDescent="0.3">
      <c r="R34" s="116" t="s">
        <v>269</v>
      </c>
      <c r="S34" s="109"/>
      <c r="T34" s="104"/>
      <c r="U34" s="109"/>
      <c r="V34" s="109"/>
      <c r="W34" s="109"/>
    </row>
    <row r="35" spans="2:23" ht="16.5" thickBot="1" x14ac:dyDescent="0.3">
      <c r="B35" s="1892" t="s">
        <v>813</v>
      </c>
      <c r="C35" s="1892"/>
      <c r="D35" s="1892"/>
      <c r="E35" s="1892"/>
      <c r="F35" s="1892"/>
      <c r="G35" s="444"/>
      <c r="H35" s="444"/>
      <c r="I35" s="444"/>
      <c r="J35" s="444"/>
      <c r="K35" s="444"/>
      <c r="L35" s="444"/>
      <c r="R35" s="117" t="s">
        <v>249</v>
      </c>
      <c r="S35" s="548">
        <f>$L$5</f>
        <v>419.91722506897923</v>
      </c>
      <c r="T35" s="548"/>
      <c r="U35" s="548">
        <f>S35+T35+V35+W35</f>
        <v>475.8439810522043</v>
      </c>
      <c r="V35" s="548">
        <f>SUM(AT6:AT20)</f>
        <v>52.845755983225075</v>
      </c>
      <c r="W35" s="589">
        <f>SUM(L37:L38)</f>
        <v>3.081</v>
      </c>
    </row>
    <row r="36" spans="2:23" ht="47.25" x14ac:dyDescent="0.25">
      <c r="B36" s="1004" t="s">
        <v>241</v>
      </c>
      <c r="C36" s="1004" t="s">
        <v>316</v>
      </c>
      <c r="D36" s="1002" t="s">
        <v>610</v>
      </c>
      <c r="E36" s="1003" t="s">
        <v>611</v>
      </c>
      <c r="F36" s="1002" t="s">
        <v>612</v>
      </c>
      <c r="G36" s="1001"/>
      <c r="H36" s="427" t="s">
        <v>612</v>
      </c>
      <c r="I36" s="427" t="s">
        <v>246</v>
      </c>
      <c r="J36" s="427" t="s">
        <v>247</v>
      </c>
      <c r="K36" s="427" t="s">
        <v>248</v>
      </c>
      <c r="L36" s="427" t="s">
        <v>249</v>
      </c>
    </row>
    <row r="37" spans="2:23" x14ac:dyDescent="0.25">
      <c r="B37" s="1006" t="s">
        <v>176</v>
      </c>
      <c r="C37" s="1006" t="s">
        <v>14</v>
      </c>
      <c r="D37" s="1645">
        <v>1</v>
      </c>
      <c r="E37" s="1005">
        <f>$AD$1</f>
        <v>79</v>
      </c>
      <c r="F37" s="1005">
        <f>D37*E37</f>
        <v>79</v>
      </c>
      <c r="G37"/>
      <c r="H37" s="425">
        <f>F37</f>
        <v>79</v>
      </c>
      <c r="I37" s="425">
        <f>VLOOKUP(B37,All_Ingredients!$A$1:$F$161,6,FALSE())</f>
        <v>1</v>
      </c>
      <c r="J37" s="425">
        <f>VLOOKUP(B37,All_Ingredients!$A$1:$J$161,10,FALSE())</f>
        <v>39</v>
      </c>
      <c r="K37" s="425">
        <f t="shared" ref="K37" si="7">(H37/I37)/1000</f>
        <v>7.9000000000000001E-2</v>
      </c>
      <c r="L37" s="425">
        <f t="shared" ref="L37" si="8">K37*J37</f>
        <v>3.081</v>
      </c>
    </row>
    <row r="40" spans="2:23" ht="26.25" x14ac:dyDescent="0.25">
      <c r="R40" s="119" t="s">
        <v>270</v>
      </c>
      <c r="S40" s="163">
        <v>1</v>
      </c>
      <c r="T40" s="119" t="s">
        <v>271</v>
      </c>
      <c r="U40" s="163">
        <v>0</v>
      </c>
      <c r="V40" s="122">
        <f>S40+U40</f>
        <v>1</v>
      </c>
    </row>
    <row r="41" spans="2:23" x14ac:dyDescent="0.25">
      <c r="U41" s="123"/>
    </row>
    <row r="43" spans="2:23" x14ac:dyDescent="0.25">
      <c r="Q43" s="124" t="s">
        <v>272</v>
      </c>
      <c r="R43" s="124" t="s">
        <v>273</v>
      </c>
      <c r="S43" s="124" t="s">
        <v>274</v>
      </c>
      <c r="T43" s="124" t="s">
        <v>275</v>
      </c>
      <c r="U43" s="124" t="s">
        <v>276</v>
      </c>
      <c r="V43" s="124" t="s">
        <v>277</v>
      </c>
      <c r="W43" s="174" t="s">
        <v>278</v>
      </c>
    </row>
    <row r="44" spans="2:23" x14ac:dyDescent="0.25">
      <c r="Q44" s="126">
        <v>10000</v>
      </c>
      <c r="R44" s="127">
        <f>D51</f>
        <v>10000</v>
      </c>
      <c r="S44" s="128">
        <v>0</v>
      </c>
      <c r="T44" s="128">
        <v>0</v>
      </c>
      <c r="U44" s="165">
        <f>R44*S44</f>
        <v>0</v>
      </c>
      <c r="V44" s="129">
        <f>R44*T44</f>
        <v>0</v>
      </c>
      <c r="W44" s="175">
        <f>Q44-U44</f>
        <v>10000</v>
      </c>
    </row>
    <row r="50" spans="1:10" x14ac:dyDescent="0.25">
      <c r="B50" s="858"/>
      <c r="C50" s="100" t="s">
        <v>233</v>
      </c>
      <c r="D50" s="100" t="s">
        <v>279</v>
      </c>
      <c r="E50" s="135"/>
      <c r="F50" s="80"/>
      <c r="G50" s="100" t="s">
        <v>280</v>
      </c>
      <c r="H50" s="100" t="s">
        <v>233</v>
      </c>
      <c r="I50" s="100" t="s">
        <v>281</v>
      </c>
      <c r="J50" s="100" t="s">
        <v>282</v>
      </c>
    </row>
    <row r="51" spans="1:10" x14ac:dyDescent="0.25">
      <c r="B51" s="844" t="s">
        <v>283</v>
      </c>
      <c r="C51" s="133">
        <f>10/$K$1</f>
        <v>10.152284263959391</v>
      </c>
      <c r="D51" s="134">
        <f>$C$1*10</f>
        <v>10000</v>
      </c>
      <c r="E51" s="135"/>
      <c r="F51" s="80"/>
      <c r="G51" s="132" t="s">
        <v>283</v>
      </c>
      <c r="H51" s="182">
        <v>10</v>
      </c>
      <c r="I51" s="133">
        <f>J51/$R$1</f>
        <v>16949.152542372882</v>
      </c>
      <c r="J51" s="133">
        <f>$W$44</f>
        <v>10000</v>
      </c>
    </row>
    <row r="52" spans="1:10" x14ac:dyDescent="0.25">
      <c r="B52" s="846" t="s">
        <v>262</v>
      </c>
      <c r="C52" s="156">
        <f>$I$1</f>
        <v>12.649746192893401</v>
      </c>
      <c r="D52" s="157">
        <f>$E$1</f>
        <v>12460</v>
      </c>
      <c r="E52" s="80"/>
      <c r="F52" s="80"/>
      <c r="G52" s="103" t="s">
        <v>262</v>
      </c>
      <c r="H52" s="145">
        <f>I52/$D$5</f>
        <v>12.46</v>
      </c>
      <c r="I52" s="129">
        <f>J52/$R$1</f>
        <v>21118.644067796613</v>
      </c>
      <c r="J52" s="136">
        <f>$S$32</f>
        <v>12460</v>
      </c>
    </row>
    <row r="53" spans="1:10" x14ac:dyDescent="0.25">
      <c r="B53" s="846" t="s">
        <v>284</v>
      </c>
      <c r="C53" s="158">
        <f>MIN(C52, C51)</f>
        <v>10.152284263959391</v>
      </c>
      <c r="D53" s="157">
        <f>(C53*$K$1)*$C$1</f>
        <v>10000</v>
      </c>
      <c r="E53" s="80"/>
      <c r="F53" s="80"/>
      <c r="G53" s="103" t="s">
        <v>284</v>
      </c>
      <c r="H53" s="139">
        <f>MIN(H52,H51)</f>
        <v>10</v>
      </c>
      <c r="I53" s="129">
        <f>J53/$R$1</f>
        <v>16949.152542372882</v>
      </c>
      <c r="J53" s="129">
        <f>MIN(J52,J51)</f>
        <v>10000</v>
      </c>
    </row>
    <row r="54" spans="1:10" x14ac:dyDescent="0.25">
      <c r="B54" s="846" t="s">
        <v>285</v>
      </c>
      <c r="C54" s="158">
        <f>MIN(MAX(C52-C53,0),C51)</f>
        <v>2.4974619289340101</v>
      </c>
      <c r="D54" s="157">
        <f>(C54*$K$1)*$C$1</f>
        <v>2460</v>
      </c>
      <c r="E54" s="80"/>
      <c r="F54" s="80"/>
      <c r="G54" s="103" t="s">
        <v>285</v>
      </c>
      <c r="H54" s="139">
        <f>MIN(MAX(H52-H53),H51)</f>
        <v>2.4600000000000009</v>
      </c>
      <c r="I54" s="129">
        <f>J54/$R$1</f>
        <v>4169.4915254237294</v>
      </c>
      <c r="J54" s="129">
        <f>MIN(MAX(J52-J53),J51)</f>
        <v>2460</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62" spans="1:10" x14ac:dyDescent="0.25">
      <c r="A62" s="867"/>
      <c r="B62" s="1804" t="s">
        <v>812</v>
      </c>
      <c r="C62" s="1804"/>
      <c r="D62" s="1804"/>
      <c r="E62" s="1804"/>
      <c r="F62" s="1804"/>
      <c r="G62" s="1804"/>
      <c r="H62" s="1804"/>
    </row>
    <row r="63" spans="1:10" x14ac:dyDescent="0.25">
      <c r="A63" s="867"/>
      <c r="B63" s="1804"/>
      <c r="C63" s="1804"/>
      <c r="D63" s="1804"/>
      <c r="E63" s="1804"/>
      <c r="F63" s="1804"/>
      <c r="G63" s="1804"/>
      <c r="H63" s="1804"/>
    </row>
    <row r="64" spans="1:10" ht="25.5" x14ac:dyDescent="0.2">
      <c r="A64" s="1350" t="s">
        <v>864</v>
      </c>
      <c r="B64" s="923" t="s">
        <v>241</v>
      </c>
      <c r="C64" s="934" t="s">
        <v>242</v>
      </c>
      <c r="D64" s="923" t="s">
        <v>231</v>
      </c>
      <c r="E64" s="935" t="s">
        <v>234</v>
      </c>
      <c r="F64" s="935" t="s">
        <v>243</v>
      </c>
      <c r="G64" s="923" t="s">
        <v>244</v>
      </c>
      <c r="H64" s="936" t="s">
        <v>245</v>
      </c>
    </row>
    <row r="65" spans="1:10" x14ac:dyDescent="0.25">
      <c r="A65" s="61" t="s">
        <v>874</v>
      </c>
      <c r="B65" s="1118" t="str">
        <f>B5</f>
        <v>Chicken - دجاج</v>
      </c>
      <c r="C65" s="947" t="str">
        <f>C5</f>
        <v>gm</v>
      </c>
      <c r="D65" s="1615">
        <f>D5</f>
        <v>1694.9152542372883</v>
      </c>
      <c r="E65" s="1646">
        <f>H52</f>
        <v>12.46</v>
      </c>
      <c r="F65" s="1616">
        <f>F5</f>
        <v>1</v>
      </c>
      <c r="G65" s="940">
        <f>D65*E65</f>
        <v>21118.644067796613</v>
      </c>
      <c r="H65" s="1617">
        <f>G65*F65</f>
        <v>21118.644067796613</v>
      </c>
    </row>
    <row r="66" spans="1:10" ht="15.75" x14ac:dyDescent="0.25">
      <c r="B66" s="1622" t="s">
        <v>287</v>
      </c>
      <c r="C66" s="307"/>
      <c r="D66" s="308"/>
      <c r="E66" s="309"/>
      <c r="F66" s="310"/>
      <c r="G66" s="311"/>
      <c r="H66" s="1634"/>
    </row>
    <row r="67" spans="1:10" ht="20.25" x14ac:dyDescent="0.3">
      <c r="A67" s="886"/>
      <c r="B67" s="1048">
        <f>$J$52</f>
        <v>12460</v>
      </c>
      <c r="C67" s="262"/>
      <c r="D67" s="263"/>
      <c r="E67" s="262"/>
      <c r="F67" s="263"/>
      <c r="G67" s="262"/>
      <c r="H67" s="264"/>
    </row>
    <row r="68" spans="1:10" x14ac:dyDescent="0.25">
      <c r="B68" s="450"/>
      <c r="C68" s="89"/>
      <c r="D68" s="172"/>
      <c r="E68" s="90"/>
      <c r="F68" s="91"/>
      <c r="G68" s="92"/>
      <c r="H68" s="93"/>
    </row>
    <row r="69" spans="1:10" x14ac:dyDescent="0.25">
      <c r="B69" s="450"/>
      <c r="C69" s="89"/>
      <c r="D69" s="172"/>
      <c r="E69" s="90"/>
      <c r="F69" s="91"/>
      <c r="G69" s="92"/>
      <c r="H69" s="93"/>
    </row>
    <row r="70" spans="1:10" x14ac:dyDescent="0.25">
      <c r="B70" s="450"/>
      <c r="C70" s="89"/>
      <c r="D70" s="172"/>
      <c r="E70" s="90"/>
      <c r="F70" s="91"/>
      <c r="G70" s="92"/>
      <c r="H70" s="93"/>
    </row>
    <row r="71" spans="1:10" x14ac:dyDescent="0.25">
      <c r="B71" s="450"/>
      <c r="C71" s="89"/>
      <c r="D71" s="172"/>
      <c r="E71" s="90"/>
      <c r="F71" s="91"/>
      <c r="G71" s="92"/>
      <c r="H71" s="93"/>
    </row>
    <row r="72" spans="1:10" x14ac:dyDescent="0.25">
      <c r="B72" s="450"/>
      <c r="C72" s="89"/>
      <c r="D72" s="172"/>
      <c r="E72" s="90"/>
      <c r="F72" s="91"/>
      <c r="G72" s="92"/>
      <c r="H72" s="93"/>
    </row>
    <row r="73" spans="1:10" x14ac:dyDescent="0.25">
      <c r="B73" s="450"/>
      <c r="C73" s="89"/>
      <c r="D73" s="172"/>
      <c r="E73" s="90"/>
      <c r="F73" s="91"/>
      <c r="G73" s="92"/>
      <c r="H73" s="93"/>
    </row>
    <row r="74" spans="1:10" x14ac:dyDescent="0.25">
      <c r="B74" s="450"/>
      <c r="C74" s="89"/>
      <c r="D74" s="172"/>
      <c r="E74" s="90"/>
      <c r="F74" s="91"/>
      <c r="G74" s="92"/>
      <c r="H74" s="93"/>
    </row>
    <row r="75" spans="1:10" x14ac:dyDescent="0.25">
      <c r="B75" s="450"/>
      <c r="C75" s="89"/>
      <c r="D75" s="172"/>
      <c r="E75" s="90"/>
      <c r="F75" s="91"/>
      <c r="G75" s="92"/>
      <c r="H75" s="93"/>
    </row>
    <row r="76" spans="1:10" ht="20.25" x14ac:dyDescent="0.3">
      <c r="B76" s="450"/>
      <c r="C76" s="89"/>
      <c r="D76" s="172"/>
      <c r="E76" s="90"/>
      <c r="F76" s="91"/>
      <c r="G76" s="92"/>
      <c r="H76" s="93"/>
      <c r="I76" s="142"/>
      <c r="J76" s="141"/>
    </row>
    <row r="77" spans="1:10" x14ac:dyDescent="0.25">
      <c r="B77" s="450"/>
      <c r="C77" s="89"/>
      <c r="D77" s="172"/>
      <c r="E77" s="90"/>
      <c r="F77" s="91"/>
      <c r="G77" s="92"/>
      <c r="H77" s="93"/>
    </row>
    <row r="78" spans="1:10" x14ac:dyDescent="0.25">
      <c r="B78" s="450"/>
      <c r="C78" s="89"/>
      <c r="D78" s="172"/>
      <c r="E78" s="90"/>
      <c r="F78" s="91"/>
      <c r="G78" s="92"/>
      <c r="H78" s="93"/>
    </row>
    <row r="79" spans="1:10" x14ac:dyDescent="0.25">
      <c r="B79" s="450"/>
      <c r="C79" s="89"/>
      <c r="D79" s="172"/>
      <c r="E79" s="90"/>
      <c r="F79" s="91"/>
      <c r="G79" s="92"/>
      <c r="H79" s="93"/>
    </row>
    <row r="80" spans="1:10" x14ac:dyDescent="0.25">
      <c r="B80" s="450"/>
      <c r="C80" s="89"/>
      <c r="D80" s="172"/>
      <c r="E80" s="90"/>
      <c r="F80" s="91"/>
      <c r="G80" s="92"/>
      <c r="H80" s="93"/>
    </row>
    <row r="81" spans="1:8" ht="20.25" x14ac:dyDescent="0.3">
      <c r="H81" s="141"/>
    </row>
    <row r="82" spans="1:8" x14ac:dyDescent="0.25">
      <c r="B82" s="80"/>
      <c r="C82" s="143"/>
      <c r="D82" s="144"/>
      <c r="E82" s="80"/>
      <c r="F82" s="80"/>
    </row>
    <row r="83" spans="1:8" x14ac:dyDescent="0.25">
      <c r="B83" s="192"/>
      <c r="E83" s="80"/>
      <c r="F83" s="80"/>
    </row>
    <row r="84" spans="1:8" x14ac:dyDescent="0.25">
      <c r="B84" s="192"/>
      <c r="C84" s="80"/>
      <c r="D84" s="80"/>
      <c r="E84" s="80"/>
      <c r="F84" s="80"/>
      <c r="G84" s="80"/>
      <c r="H84" s="80"/>
    </row>
    <row r="85" spans="1:8" x14ac:dyDescent="0.25">
      <c r="B85" s="192"/>
      <c r="C85" s="80"/>
      <c r="D85" s="80"/>
      <c r="E85" s="80"/>
      <c r="F85" s="80"/>
      <c r="G85" s="80"/>
      <c r="H85" s="80"/>
    </row>
    <row r="86" spans="1:8" ht="18" x14ac:dyDescent="0.25">
      <c r="B86" s="1803"/>
      <c r="C86" s="1799"/>
      <c r="D86" s="1799"/>
      <c r="E86" s="1799"/>
      <c r="F86" s="1799"/>
      <c r="G86" s="1799"/>
      <c r="H86" s="1799"/>
    </row>
    <row r="87" spans="1:8" ht="18" x14ac:dyDescent="0.25">
      <c r="B87" s="1803"/>
      <c r="C87" s="1796"/>
      <c r="D87" s="1796"/>
      <c r="E87" s="1796"/>
      <c r="F87" s="1796"/>
      <c r="G87" s="1796"/>
      <c r="H87" s="1796"/>
    </row>
    <row r="88" spans="1:8" x14ac:dyDescent="0.2">
      <c r="A88" s="876"/>
      <c r="B88" s="235"/>
      <c r="C88" s="227"/>
      <c r="D88" s="235"/>
      <c r="E88" s="235"/>
      <c r="F88" s="235"/>
      <c r="G88" s="235"/>
      <c r="H88" s="226"/>
    </row>
    <row r="89" spans="1:8" x14ac:dyDescent="0.25">
      <c r="B89" s="450"/>
      <c r="C89" s="73"/>
      <c r="D89" s="92"/>
      <c r="E89" s="90"/>
      <c r="F89" s="91"/>
      <c r="G89" s="92"/>
      <c r="H89" s="93"/>
    </row>
    <row r="90" spans="1:8" x14ac:dyDescent="0.25">
      <c r="B90" s="450"/>
      <c r="C90" s="73"/>
      <c r="D90" s="73"/>
      <c r="E90" s="90"/>
      <c r="F90" s="91"/>
      <c r="G90" s="92"/>
      <c r="H90" s="93"/>
    </row>
    <row r="91" spans="1:8" x14ac:dyDescent="0.25">
      <c r="B91" s="450"/>
      <c r="C91" s="73"/>
      <c r="D91" s="73"/>
      <c r="E91" s="90"/>
      <c r="F91" s="91"/>
      <c r="G91" s="92"/>
      <c r="H91" s="93"/>
    </row>
    <row r="92" spans="1:8" x14ac:dyDescent="0.25">
      <c r="B92" s="450"/>
      <c r="C92" s="73"/>
      <c r="D92" s="73"/>
      <c r="E92" s="90"/>
      <c r="F92" s="91"/>
      <c r="G92" s="92"/>
      <c r="H92" s="93"/>
    </row>
    <row r="93" spans="1:8" x14ac:dyDescent="0.25">
      <c r="B93" s="450"/>
      <c r="C93" s="73"/>
      <c r="D93" s="73"/>
      <c r="E93" s="90"/>
      <c r="F93" s="91"/>
      <c r="G93" s="92"/>
      <c r="H93" s="93"/>
    </row>
    <row r="94" spans="1:8" x14ac:dyDescent="0.25">
      <c r="B94" s="450"/>
      <c r="C94" s="73"/>
      <c r="D94" s="73"/>
      <c r="E94" s="90"/>
      <c r="F94" s="91"/>
      <c r="G94" s="92"/>
      <c r="H94" s="93"/>
    </row>
    <row r="95" spans="1:8" x14ac:dyDescent="0.25">
      <c r="B95" s="450"/>
      <c r="C95" s="73"/>
      <c r="D95" s="73"/>
      <c r="E95" s="90"/>
      <c r="F95" s="91"/>
      <c r="G95" s="92"/>
      <c r="H95" s="93"/>
    </row>
    <row r="96" spans="1:8" x14ac:dyDescent="0.25">
      <c r="B96" s="450"/>
      <c r="C96" s="73"/>
      <c r="D96" s="73"/>
      <c r="E96" s="90"/>
      <c r="F96" s="91"/>
      <c r="G96" s="92"/>
      <c r="H96" s="93"/>
    </row>
    <row r="97" spans="2:8" x14ac:dyDescent="0.25">
      <c r="B97" s="450"/>
      <c r="C97" s="73"/>
      <c r="D97" s="73"/>
      <c r="E97" s="90"/>
      <c r="F97" s="91"/>
      <c r="G97" s="92"/>
      <c r="H97" s="93"/>
    </row>
    <row r="98" spans="2:8" x14ac:dyDescent="0.25">
      <c r="B98" s="450"/>
      <c r="C98" s="73"/>
      <c r="D98" s="73"/>
      <c r="E98" s="90"/>
      <c r="F98" s="91"/>
      <c r="G98" s="92"/>
      <c r="H98" s="93"/>
    </row>
    <row r="99" spans="2:8" x14ac:dyDescent="0.25">
      <c r="B99" s="450"/>
      <c r="C99" s="73"/>
      <c r="D99" s="73"/>
      <c r="E99" s="90"/>
      <c r="F99" s="91"/>
      <c r="G99" s="92"/>
      <c r="H99" s="93"/>
    </row>
    <row r="100" spans="2:8" x14ac:dyDescent="0.25">
      <c r="B100" s="450"/>
      <c r="C100" s="73"/>
      <c r="D100" s="73"/>
      <c r="E100" s="90"/>
      <c r="F100" s="91"/>
      <c r="G100" s="92"/>
      <c r="H100" s="93"/>
    </row>
    <row r="101" spans="2:8" x14ac:dyDescent="0.25">
      <c r="B101" s="450"/>
      <c r="C101" s="73"/>
      <c r="D101" s="73"/>
      <c r="E101" s="90"/>
      <c r="F101" s="91"/>
      <c r="G101" s="92"/>
      <c r="H101" s="93"/>
    </row>
    <row r="102" spans="2:8" x14ac:dyDescent="0.25">
      <c r="B102" s="450"/>
      <c r="C102" s="73"/>
      <c r="D102" s="73"/>
      <c r="E102" s="90"/>
      <c r="F102" s="91"/>
      <c r="G102" s="92"/>
      <c r="H102" s="93"/>
    </row>
    <row r="103" spans="2:8" x14ac:dyDescent="0.25">
      <c r="B103" s="450"/>
      <c r="C103" s="73"/>
      <c r="D103" s="73"/>
      <c r="E103" s="90"/>
      <c r="F103" s="91"/>
      <c r="G103" s="92"/>
      <c r="H103" s="93"/>
    </row>
    <row r="104" spans="2:8" x14ac:dyDescent="0.25">
      <c r="B104" s="450"/>
      <c r="C104" s="73"/>
      <c r="D104" s="73"/>
      <c r="E104" s="90"/>
      <c r="F104" s="91"/>
      <c r="G104" s="92"/>
      <c r="H104" s="93"/>
    </row>
  </sheetData>
  <mergeCells count="9">
    <mergeCell ref="B86:H86"/>
    <mergeCell ref="B87:H87"/>
    <mergeCell ref="B2:H3"/>
    <mergeCell ref="AE2:AG3"/>
    <mergeCell ref="AL2:AM2"/>
    <mergeCell ref="R25:U25"/>
    <mergeCell ref="R26:U26"/>
    <mergeCell ref="B35:F35"/>
    <mergeCell ref="B62:H63"/>
  </mergeCells>
  <printOptions horizontalCentered="1"/>
  <pageMargins left="0.4" right="0.4" top="1" bottom="0.5" header="0.3" footer="0.511811023622047"/>
  <pageSetup paperSize="9" scale="55" orientation="landscape" r:id="rId1"/>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6">
    <tabColor rgb="FFC55A11"/>
    <pageSetUpPr fitToPage="1"/>
  </sheetPr>
  <dimension ref="A1:AG155"/>
  <sheetViews>
    <sheetView topLeftCell="P102" zoomScale="55" zoomScaleNormal="55" workbookViewId="0">
      <selection activeCell="H163" sqref="H163"/>
    </sheetView>
  </sheetViews>
  <sheetFormatPr defaultColWidth="12.5" defaultRowHeight="15" x14ac:dyDescent="0.25"/>
  <cols>
    <col min="1" max="1" width="22.375" style="1" bestFit="1" customWidth="1"/>
    <col min="2" max="2" width="31.125" bestFit="1" customWidth="1"/>
    <col min="3" max="3" width="15" bestFit="1" customWidth="1"/>
    <col min="4" max="4" width="17.75" bestFit="1" customWidth="1"/>
    <col min="5" max="5" width="20.25" bestFit="1" customWidth="1"/>
    <col min="6" max="6" width="22.625" bestFit="1" customWidth="1"/>
    <col min="7" max="7" width="22.125" bestFit="1" customWidth="1"/>
    <col min="8" max="8" width="18.625" bestFit="1" customWidth="1"/>
    <col min="9" max="9" width="18.375" bestFit="1" customWidth="1"/>
    <col min="10" max="10" width="13.5" bestFit="1" customWidth="1"/>
    <col min="11" max="11" width="11.125" bestFit="1" customWidth="1"/>
    <col min="12" max="12" width="8.375" customWidth="1"/>
    <col min="13" max="16" width="7.25" customWidth="1"/>
    <col min="17" max="17" width="9.875" bestFit="1" customWidth="1"/>
    <col min="18" max="18" width="32" bestFit="1" customWidth="1"/>
    <col min="19" max="19" width="8.5" bestFit="1" customWidth="1"/>
    <col min="20" max="20" width="9.125" bestFit="1" customWidth="1"/>
    <col min="21" max="21" width="9.625" bestFit="1" customWidth="1"/>
    <col min="22" max="22" width="10.25" bestFit="1" customWidth="1"/>
    <col min="23" max="23" width="32" bestFit="1" customWidth="1"/>
    <col min="24" max="24" width="31.75" customWidth="1"/>
    <col min="25" max="25" width="6.5" bestFit="1" customWidth="1"/>
    <col min="26" max="26" width="8.875" bestFit="1" customWidth="1"/>
    <col min="27" max="27" width="10.875" bestFit="1" customWidth="1"/>
    <col min="28" max="28" width="9.5" bestFit="1" customWidth="1"/>
    <col min="29" max="29" width="6.625" bestFit="1" customWidth="1"/>
    <col min="30" max="30" width="3.5" bestFit="1" customWidth="1"/>
  </cols>
  <sheetData>
    <row r="1" spans="1:33" ht="30" x14ac:dyDescent="0.2">
      <c r="A1" s="872" t="s">
        <v>231</v>
      </c>
      <c r="B1" s="242">
        <v>1000</v>
      </c>
      <c r="C1" s="70" t="s">
        <v>312</v>
      </c>
      <c r="D1" s="71">
        <f>$S$30/J1</f>
        <v>26171.875</v>
      </c>
      <c r="E1" s="72" t="s">
        <v>236</v>
      </c>
      <c r="F1" s="73" t="s">
        <v>448</v>
      </c>
      <c r="G1" s="72" t="s">
        <v>314</v>
      </c>
      <c r="H1" s="195">
        <f>H52</f>
        <v>16.75</v>
      </c>
      <c r="I1" s="74" t="s">
        <v>238</v>
      </c>
      <c r="J1" s="196">
        <v>0.64</v>
      </c>
      <c r="K1" s="80"/>
      <c r="Y1" s="72" t="s">
        <v>444</v>
      </c>
      <c r="Z1" s="422">
        <v>16250</v>
      </c>
      <c r="AA1" s="72" t="s">
        <v>544</v>
      </c>
      <c r="AB1" s="422">
        <v>500</v>
      </c>
      <c r="AC1" s="72" t="s">
        <v>537</v>
      </c>
      <c r="AD1" s="422">
        <v>116</v>
      </c>
    </row>
    <row r="2" spans="1:33" x14ac:dyDescent="0.25">
      <c r="A2" s="860"/>
      <c r="B2" s="1851" t="s">
        <v>916</v>
      </c>
      <c r="C2" s="1796"/>
      <c r="D2" s="1796"/>
      <c r="E2" s="1796"/>
      <c r="F2" s="1796"/>
      <c r="G2" s="1796"/>
      <c r="H2" s="1796"/>
      <c r="I2" s="1796"/>
      <c r="J2" s="1796"/>
      <c r="K2" s="1796"/>
      <c r="L2" s="187"/>
      <c r="M2" s="80"/>
      <c r="N2" s="80"/>
      <c r="AE2" s="1772"/>
      <c r="AF2" s="1796"/>
      <c r="AG2" s="1796"/>
    </row>
    <row r="3" spans="1:33" x14ac:dyDescent="0.25">
      <c r="A3" s="860"/>
      <c r="B3" s="1796"/>
      <c r="C3" s="1796"/>
      <c r="D3" s="1796"/>
      <c r="E3" s="1796"/>
      <c r="F3" s="1796"/>
      <c r="G3" s="1796"/>
      <c r="H3" s="1796"/>
      <c r="I3" s="1796"/>
      <c r="J3" s="1796"/>
      <c r="K3" s="1796"/>
      <c r="L3" s="187"/>
      <c r="M3" s="80"/>
      <c r="N3" s="80"/>
      <c r="AE3" s="1796"/>
      <c r="AF3" s="1796"/>
      <c r="AG3" s="1796"/>
    </row>
    <row r="4" spans="1:33" ht="51" x14ac:dyDescent="0.2">
      <c r="A4" s="1350" t="s">
        <v>864</v>
      </c>
      <c r="B4" s="923" t="s">
        <v>241</v>
      </c>
      <c r="C4" s="1104" t="s">
        <v>316</v>
      </c>
      <c r="D4" s="923" t="s">
        <v>317</v>
      </c>
      <c r="E4" s="935" t="s">
        <v>318</v>
      </c>
      <c r="F4" s="935" t="s">
        <v>319</v>
      </c>
      <c r="G4" s="1266" t="s">
        <v>320</v>
      </c>
      <c r="H4" s="936" t="s">
        <v>321</v>
      </c>
      <c r="I4" s="923" t="s">
        <v>246</v>
      </c>
      <c r="J4" s="923" t="s">
        <v>247</v>
      </c>
      <c r="K4" s="923" t="s">
        <v>248</v>
      </c>
      <c r="L4" s="923" t="s">
        <v>249</v>
      </c>
    </row>
    <row r="5" spans="1:33" x14ac:dyDescent="0.2">
      <c r="A5" s="876" t="s">
        <v>873</v>
      </c>
      <c r="B5" s="1252" t="s">
        <v>223</v>
      </c>
      <c r="C5" s="947" t="s">
        <v>14</v>
      </c>
      <c r="D5" s="1116">
        <f>I51/H51</f>
        <v>1562.5</v>
      </c>
      <c r="E5" s="940">
        <f>I52/D5</f>
        <v>16.75</v>
      </c>
      <c r="F5" s="1616">
        <v>1</v>
      </c>
      <c r="G5" s="941">
        <f>D1</f>
        <v>26171.875</v>
      </c>
      <c r="H5" s="1702">
        <f>D1</f>
        <v>26171.875</v>
      </c>
      <c r="I5" s="914">
        <f>VLOOKUP(B5,All_Ingredients!$A$1:$F$161,6,FALSE())</f>
        <v>0.55000000000000004</v>
      </c>
      <c r="J5" s="940">
        <f>VLOOKUP(B5,All_Ingredients!$A$1:$J$161,10,FALSE())</f>
        <v>14.361111111111111</v>
      </c>
      <c r="K5" s="945">
        <f t="shared" ref="K5" si="0">(H5/I5)/1000</f>
        <v>47.585227272727273</v>
      </c>
      <c r="L5" s="945">
        <f t="shared" ref="L5" si="1">K5*J5</f>
        <v>683.37673611111109</v>
      </c>
    </row>
    <row r="6" spans="1:33" x14ac:dyDescent="0.25">
      <c r="A6" s="1117"/>
      <c r="B6" s="1252" t="s">
        <v>105</v>
      </c>
      <c r="C6" s="947" t="s">
        <v>14</v>
      </c>
      <c r="D6" s="1618">
        <f>15*1.2</f>
        <v>18</v>
      </c>
      <c r="E6" s="1621">
        <f t="shared" ref="E6:E13" si="2">$H$52</f>
        <v>16.75</v>
      </c>
      <c r="F6" s="1616">
        <v>0.7</v>
      </c>
      <c r="G6" s="940">
        <f t="shared" ref="G6:G13" si="3">D6*E6</f>
        <v>301.5</v>
      </c>
      <c r="H6" s="1617">
        <f t="shared" ref="H6:H13" si="4">G6*F6</f>
        <v>211.04999999999998</v>
      </c>
      <c r="I6" s="914">
        <f>VLOOKUP(B6,All_Ingredients!$A$1:$F$161,6,FALSE())</f>
        <v>1</v>
      </c>
      <c r="J6" s="940">
        <f>VLOOKUP(B6,All_Ingredients!$A$1:$J$161,10,FALSE())</f>
        <v>15</v>
      </c>
      <c r="K6" s="945">
        <f t="shared" ref="K6:K13" si="5">(H6/I6)/1000</f>
        <v>0.21104999999999999</v>
      </c>
      <c r="L6" s="945">
        <f t="shared" ref="L6:L13" si="6">K6*J6</f>
        <v>3.1657499999999996</v>
      </c>
    </row>
    <row r="7" spans="1:33" x14ac:dyDescent="0.25">
      <c r="A7" s="1117"/>
      <c r="B7" s="1252" t="s">
        <v>203</v>
      </c>
      <c r="C7" s="947" t="s">
        <v>160</v>
      </c>
      <c r="D7" s="1618">
        <f>600*1.2</f>
        <v>720</v>
      </c>
      <c r="E7" s="1621">
        <f t="shared" si="2"/>
        <v>16.75</v>
      </c>
      <c r="F7" s="1616">
        <v>1</v>
      </c>
      <c r="G7" s="940">
        <f t="shared" si="3"/>
        <v>12060</v>
      </c>
      <c r="H7" s="1617">
        <f t="shared" si="4"/>
        <v>12060</v>
      </c>
      <c r="I7" s="914">
        <f>VLOOKUP(B7,All_Ingredients!$A$1:$F$161,6,FALSE())</f>
        <v>1</v>
      </c>
      <c r="J7" s="940">
        <f>VLOOKUP(B7,All_Ingredients!$A$1:$J$161,10,FALSE())</f>
        <v>0</v>
      </c>
      <c r="K7" s="945">
        <f t="shared" si="5"/>
        <v>12.06</v>
      </c>
      <c r="L7" s="945">
        <f t="shared" si="6"/>
        <v>0</v>
      </c>
    </row>
    <row r="8" spans="1:33" x14ac:dyDescent="0.25">
      <c r="A8" s="1117"/>
      <c r="B8" s="959" t="s">
        <v>126</v>
      </c>
      <c r="C8" s="947" t="s">
        <v>14</v>
      </c>
      <c r="D8" s="1618">
        <f>10*1.2</f>
        <v>12</v>
      </c>
      <c r="E8" s="1621">
        <f t="shared" si="2"/>
        <v>16.75</v>
      </c>
      <c r="F8" s="1616">
        <v>0.25</v>
      </c>
      <c r="G8" s="940">
        <f t="shared" si="3"/>
        <v>201</v>
      </c>
      <c r="H8" s="1617">
        <f t="shared" si="4"/>
        <v>50.25</v>
      </c>
      <c r="I8" s="914">
        <f>VLOOKUP(B8,All_Ingredients!$A$1:$F$161,6,FALSE())</f>
        <v>1</v>
      </c>
      <c r="J8" s="940">
        <f>VLOOKUP(B8,All_Ingredients!$A$1:$J$161,10,FALSE())</f>
        <v>125</v>
      </c>
      <c r="K8" s="945">
        <f t="shared" si="5"/>
        <v>5.0250000000000003E-2</v>
      </c>
      <c r="L8" s="945">
        <f t="shared" si="6"/>
        <v>6.28125</v>
      </c>
    </row>
    <row r="9" spans="1:33" x14ac:dyDescent="0.25">
      <c r="A9" s="1117"/>
      <c r="B9" s="959" t="s">
        <v>678</v>
      </c>
      <c r="C9" s="947" t="s">
        <v>14</v>
      </c>
      <c r="D9" s="1618">
        <f>50*1.2</f>
        <v>60</v>
      </c>
      <c r="E9" s="1621">
        <f t="shared" si="2"/>
        <v>16.75</v>
      </c>
      <c r="F9" s="1616">
        <v>0.75</v>
      </c>
      <c r="G9" s="940">
        <f t="shared" si="3"/>
        <v>1005</v>
      </c>
      <c r="H9" s="1617">
        <f t="shared" si="4"/>
        <v>753.75</v>
      </c>
      <c r="I9" s="914">
        <f>VLOOKUP(B9,All_Ingredients!$A$1:$F$161,6,FALSE())</f>
        <v>1</v>
      </c>
      <c r="J9" s="940">
        <f>VLOOKUP(B9,All_Ingredients!$A$1:$J$161,10,FALSE())</f>
        <v>8.1520833333333336</v>
      </c>
      <c r="K9" s="945">
        <f t="shared" si="5"/>
        <v>0.75375000000000003</v>
      </c>
      <c r="L9" s="945">
        <f t="shared" si="6"/>
        <v>6.1446328125000003</v>
      </c>
    </row>
    <row r="10" spans="1:33" x14ac:dyDescent="0.25">
      <c r="A10" s="1117" t="s">
        <v>880</v>
      </c>
      <c r="B10" s="1252" t="s">
        <v>32</v>
      </c>
      <c r="C10" s="947" t="s">
        <v>14</v>
      </c>
      <c r="D10" s="1618">
        <f>17*1.2</f>
        <v>20.399999999999999</v>
      </c>
      <c r="E10" s="1621">
        <f t="shared" si="2"/>
        <v>16.75</v>
      </c>
      <c r="F10" s="1616">
        <v>0.75</v>
      </c>
      <c r="G10" s="940">
        <f t="shared" si="3"/>
        <v>341.7</v>
      </c>
      <c r="H10" s="1617">
        <f t="shared" si="4"/>
        <v>256.27499999999998</v>
      </c>
      <c r="I10" s="914">
        <f>VLOOKUP(B10,All_Ingredients!$A$1:$F$161,6,FALSE())</f>
        <v>0.69</v>
      </c>
      <c r="J10" s="940">
        <f>VLOOKUP(B10,All_Ingredients!$A$1:$J$161,10,FALSE())</f>
        <v>4</v>
      </c>
      <c r="K10" s="945">
        <f t="shared" si="5"/>
        <v>0.37141304347826087</v>
      </c>
      <c r="L10" s="945">
        <f t="shared" si="6"/>
        <v>1.4856521739130435</v>
      </c>
    </row>
    <row r="11" spans="1:33" x14ac:dyDescent="0.25">
      <c r="A11" s="1117"/>
      <c r="B11" s="1252" t="s">
        <v>136</v>
      </c>
      <c r="C11" s="947" t="s">
        <v>14</v>
      </c>
      <c r="D11" s="1618">
        <f>20*1.2</f>
        <v>24</v>
      </c>
      <c r="E11" s="1621">
        <f t="shared" si="2"/>
        <v>16.75</v>
      </c>
      <c r="F11" s="1616">
        <v>0.5</v>
      </c>
      <c r="G11" s="940">
        <f t="shared" si="3"/>
        <v>402</v>
      </c>
      <c r="H11" s="1617">
        <f t="shared" si="4"/>
        <v>201</v>
      </c>
      <c r="I11" s="914">
        <f>VLOOKUP(B11,All_Ingredients!$A$1:$F$161,6,FALSE())</f>
        <v>1</v>
      </c>
      <c r="J11" s="940">
        <f>VLOOKUP(B11,All_Ingredients!$A$1:$J$161,10,FALSE())</f>
        <v>43.75</v>
      </c>
      <c r="K11" s="945">
        <f t="shared" si="5"/>
        <v>0.20100000000000001</v>
      </c>
      <c r="L11" s="945">
        <f t="shared" si="6"/>
        <v>8.7937500000000011</v>
      </c>
    </row>
    <row r="12" spans="1:33" x14ac:dyDescent="0.25">
      <c r="A12" s="1117"/>
      <c r="B12" s="1252" t="s">
        <v>107</v>
      </c>
      <c r="C12" s="947" t="s">
        <v>14</v>
      </c>
      <c r="D12" s="1618">
        <f>15*1.2</f>
        <v>18</v>
      </c>
      <c r="E12" s="1621">
        <f t="shared" si="2"/>
        <v>16.75</v>
      </c>
      <c r="F12" s="1616">
        <v>0.7</v>
      </c>
      <c r="G12" s="940">
        <f t="shared" si="3"/>
        <v>301.5</v>
      </c>
      <c r="H12" s="1617">
        <f t="shared" si="4"/>
        <v>211.04999999999998</v>
      </c>
      <c r="I12" s="914">
        <f>VLOOKUP(B12,All_Ingredients!$A$1:$F$161,6,FALSE())</f>
        <v>1</v>
      </c>
      <c r="J12" s="940">
        <f>VLOOKUP(B12,All_Ingredients!$A$1:$J$161,10,FALSE())</f>
        <v>8</v>
      </c>
      <c r="K12" s="945">
        <f t="shared" si="5"/>
        <v>0.21104999999999999</v>
      </c>
      <c r="L12" s="945">
        <f t="shared" si="6"/>
        <v>1.6883999999999999</v>
      </c>
    </row>
    <row r="13" spans="1:33" x14ac:dyDescent="0.25">
      <c r="A13" s="1117"/>
      <c r="B13" s="1252" t="s">
        <v>93</v>
      </c>
      <c r="C13" s="947" t="s">
        <v>14</v>
      </c>
      <c r="D13" s="1618">
        <f>15*1.2</f>
        <v>18</v>
      </c>
      <c r="E13" s="1621">
        <f t="shared" si="2"/>
        <v>16.75</v>
      </c>
      <c r="F13" s="1616">
        <v>0.75</v>
      </c>
      <c r="G13" s="940">
        <f t="shared" si="3"/>
        <v>301.5</v>
      </c>
      <c r="H13" s="1617">
        <f t="shared" si="4"/>
        <v>226.125</v>
      </c>
      <c r="I13" s="914">
        <f>VLOOKUP(B13,All_Ingredients!$A$1:$F$161,6,FALSE())</f>
        <v>1</v>
      </c>
      <c r="J13" s="940">
        <f>VLOOKUP(B13,All_Ingredients!$A$1:$J$161,10,FALSE())</f>
        <v>0.74</v>
      </c>
      <c r="K13" s="945">
        <f t="shared" si="5"/>
        <v>0.22612499999999999</v>
      </c>
      <c r="L13" s="945">
        <f t="shared" si="6"/>
        <v>0.1673325</v>
      </c>
    </row>
    <row r="25" spans="18:29" ht="15.75" x14ac:dyDescent="0.25">
      <c r="R25" s="1878" t="str">
        <f>B2</f>
        <v>Beef Boukhary - لحم بخاري</v>
      </c>
      <c r="S25" s="1902"/>
      <c r="T25" s="1902"/>
      <c r="U25" s="637"/>
      <c r="Z25" s="96" t="s">
        <v>252</v>
      </c>
      <c r="AA25" s="97">
        <v>1</v>
      </c>
      <c r="AB25" s="96" t="s">
        <v>249</v>
      </c>
      <c r="AC25" s="98">
        <f>AC30*AA25</f>
        <v>4.3882985158240302E-2</v>
      </c>
    </row>
    <row r="26" spans="18:29" x14ac:dyDescent="0.25">
      <c r="R26" s="1881" t="s">
        <v>323</v>
      </c>
      <c r="S26" s="1901"/>
      <c r="T26" s="1901"/>
      <c r="U26" s="637"/>
      <c r="AB26" s="14"/>
      <c r="AC26" s="14"/>
    </row>
    <row r="27" spans="18:29" ht="15.75" thickBot="1" x14ac:dyDescent="0.3">
      <c r="R27" s="155" t="s">
        <v>254</v>
      </c>
      <c r="S27" s="254" t="s">
        <v>375</v>
      </c>
      <c r="T27" s="254" t="s">
        <v>257</v>
      </c>
      <c r="U27" s="254" t="s">
        <v>753</v>
      </c>
      <c r="Z27" s="96" t="s">
        <v>258</v>
      </c>
      <c r="AA27" s="102" t="s">
        <v>259</v>
      </c>
      <c r="AB27" s="581" t="s">
        <v>753</v>
      </c>
      <c r="AC27" s="102" t="s">
        <v>262</v>
      </c>
    </row>
    <row r="28" spans="18:29" ht="15.75" thickBot="1" x14ac:dyDescent="0.3">
      <c r="R28" s="99" t="s">
        <v>324</v>
      </c>
      <c r="S28" s="661">
        <f>$Z$1</f>
        <v>16250</v>
      </c>
      <c r="T28" s="659">
        <f>S28</f>
        <v>16250</v>
      </c>
      <c r="U28" s="152">
        <f>SUM(H37:H38)</f>
        <v>124.12</v>
      </c>
      <c r="Z28" s="105"/>
      <c r="AA28" s="106">
        <f>AA25</f>
        <v>1</v>
      </c>
      <c r="AB28" s="582"/>
      <c r="AC28" s="108">
        <f>SUM(AA28:AB28)</f>
        <v>1</v>
      </c>
    </row>
    <row r="29" spans="18:29" ht="15.75" thickBot="1" x14ac:dyDescent="0.3">
      <c r="R29" s="99" t="s">
        <v>325</v>
      </c>
      <c r="S29" s="660">
        <f>$AB$1</f>
        <v>500</v>
      </c>
      <c r="T29" s="660">
        <f>S29</f>
        <v>500</v>
      </c>
      <c r="U29" s="154"/>
      <c r="Z29" s="105"/>
      <c r="AA29" s="110">
        <v>1</v>
      </c>
      <c r="AB29" s="583"/>
      <c r="AC29" s="110">
        <f>AC28/$AC$28</f>
        <v>1</v>
      </c>
    </row>
    <row r="30" spans="18:29" ht="15.75" thickBot="1" x14ac:dyDescent="0.3">
      <c r="R30" s="160" t="s">
        <v>326</v>
      </c>
      <c r="S30" s="152">
        <f>S28+S29</f>
        <v>16750</v>
      </c>
      <c r="T30" s="152">
        <f>T28+T29</f>
        <v>16750</v>
      </c>
      <c r="U30" s="152">
        <f>U28+U29</f>
        <v>124.12</v>
      </c>
      <c r="Z30" s="96" t="s">
        <v>266</v>
      </c>
      <c r="AA30" s="111">
        <f>S33/(S28)</f>
        <v>4.3760215606001497E-2</v>
      </c>
      <c r="AB30" s="585">
        <f>U33/T30</f>
        <v>1.2276955223880598E-4</v>
      </c>
      <c r="AC30" s="587">
        <f>SUMPRODUCT(AA30,AA29)+AB30</f>
        <v>4.3882985158240302E-2</v>
      </c>
    </row>
    <row r="31" spans="18:29" ht="15.75" thickBot="1" x14ac:dyDescent="0.3">
      <c r="R31" s="161" t="s">
        <v>268</v>
      </c>
      <c r="S31" s="154"/>
      <c r="T31" s="154"/>
      <c r="U31" s="154"/>
    </row>
    <row r="32" spans="18:29" ht="15.75" thickBot="1" x14ac:dyDescent="0.3">
      <c r="R32" s="162" t="s">
        <v>269</v>
      </c>
      <c r="S32" s="154"/>
      <c r="T32" s="154"/>
      <c r="U32" s="154"/>
    </row>
    <row r="33" spans="2:23" ht="15.75" thickBot="1" x14ac:dyDescent="0.3">
      <c r="R33" s="638" t="s">
        <v>249</v>
      </c>
      <c r="S33" s="548">
        <f>SUM(L5:L13)</f>
        <v>711.10350359752431</v>
      </c>
      <c r="T33" s="629">
        <f>S33+U33</f>
        <v>713.15989359752427</v>
      </c>
      <c r="U33" s="629">
        <f>SUM(L37:L38)</f>
        <v>2.0563900000000004</v>
      </c>
    </row>
    <row r="35" spans="2:23" ht="15.75" x14ac:dyDescent="0.25">
      <c r="B35" s="1877" t="s">
        <v>656</v>
      </c>
      <c r="C35" s="1877"/>
      <c r="D35" s="1877"/>
      <c r="E35" s="1877"/>
      <c r="F35" s="1877"/>
      <c r="G35" s="438"/>
      <c r="H35" s="438"/>
      <c r="I35" s="444"/>
      <c r="J35" s="444"/>
      <c r="K35" s="444"/>
      <c r="L35" s="444"/>
    </row>
    <row r="36" spans="2:23" ht="47.25" x14ac:dyDescent="0.25">
      <c r="B36" s="1004" t="s">
        <v>241</v>
      </c>
      <c r="C36" s="1004" t="s">
        <v>316</v>
      </c>
      <c r="D36" s="1002" t="s">
        <v>610</v>
      </c>
      <c r="E36" s="1003" t="s">
        <v>611</v>
      </c>
      <c r="F36" s="1002" t="s">
        <v>612</v>
      </c>
      <c r="G36" s="1001"/>
      <c r="H36" s="427" t="s">
        <v>612</v>
      </c>
      <c r="I36" s="427" t="s">
        <v>246</v>
      </c>
      <c r="J36" s="427" t="s">
        <v>247</v>
      </c>
      <c r="K36" s="427" t="s">
        <v>248</v>
      </c>
      <c r="L36" s="427" t="s">
        <v>249</v>
      </c>
    </row>
    <row r="37" spans="2:23" x14ac:dyDescent="0.25">
      <c r="B37" s="1005" t="s">
        <v>184</v>
      </c>
      <c r="C37" s="1006" t="s">
        <v>14</v>
      </c>
      <c r="D37" s="1645">
        <v>1</v>
      </c>
      <c r="E37" s="1005">
        <f>$AD$1</f>
        <v>116</v>
      </c>
      <c r="F37" s="1005">
        <f>D37*E37</f>
        <v>116</v>
      </c>
      <c r="G37" s="437"/>
      <c r="H37" s="425">
        <f>F37</f>
        <v>116</v>
      </c>
      <c r="I37" s="425">
        <f>VLOOKUP(B37,All_Ingredients!$A$1:$F$161,6,FALSE())</f>
        <v>1</v>
      </c>
      <c r="J37" s="425">
        <f>VLOOKUP(B37,All_Ingredients!$A$1:$J$161,10,FALSE())</f>
        <v>17.5</v>
      </c>
      <c r="K37" s="425">
        <f>(H37/I37)/1000</f>
        <v>0.11600000000000001</v>
      </c>
      <c r="L37" s="425">
        <f>K37*J37</f>
        <v>2.0300000000000002</v>
      </c>
    </row>
    <row r="38" spans="2:23" x14ac:dyDescent="0.25">
      <c r="B38" s="1005" t="s">
        <v>19</v>
      </c>
      <c r="C38" s="1006" t="s">
        <v>14</v>
      </c>
      <c r="D38" s="1645">
        <v>7.0000000000000007E-2</v>
      </c>
      <c r="E38" s="1005">
        <f>$AD$1</f>
        <v>116</v>
      </c>
      <c r="F38" s="1005">
        <f>D38*E38</f>
        <v>8.120000000000001</v>
      </c>
      <c r="G38" s="437"/>
      <c r="H38" s="425">
        <f>F38</f>
        <v>8.120000000000001</v>
      </c>
      <c r="I38" s="425">
        <f>VLOOKUP(B38,All_Ingredients!$A$1:$F$161,6,FALSE())</f>
        <v>0.8</v>
      </c>
      <c r="J38" s="425">
        <f>VLOOKUP(B38,All_Ingredients!$A$1:$J$161,10,FALSE())</f>
        <v>2.6</v>
      </c>
      <c r="K38" s="425">
        <f>(H38/I38)/1000</f>
        <v>1.0150000000000001E-2</v>
      </c>
      <c r="L38" s="425">
        <f>K38*J38</f>
        <v>2.6390000000000004E-2</v>
      </c>
    </row>
    <row r="39" spans="2:23" x14ac:dyDescent="0.25">
      <c r="B39" s="4"/>
    </row>
    <row r="40" spans="2:23" x14ac:dyDescent="0.25">
      <c r="Q40" s="14"/>
      <c r="R40" s="119" t="s">
        <v>327</v>
      </c>
      <c r="S40" s="163">
        <f>S28/T28</f>
        <v>1</v>
      </c>
    </row>
    <row r="41" spans="2:23" x14ac:dyDescent="0.25">
      <c r="Q41" s="14"/>
      <c r="R41" s="14"/>
      <c r="S41" s="14"/>
      <c r="T41" s="14"/>
      <c r="U41" s="123"/>
      <c r="V41" s="14"/>
      <c r="W41" s="14"/>
    </row>
    <row r="42" spans="2:23" x14ac:dyDescent="0.25">
      <c r="Q42" s="14"/>
      <c r="R42" s="14"/>
      <c r="S42" s="14"/>
      <c r="T42" s="14"/>
      <c r="U42" s="14"/>
      <c r="V42" s="14"/>
      <c r="W42" s="14"/>
    </row>
    <row r="43" spans="2:23" x14ac:dyDescent="0.25">
      <c r="Q43" s="124" t="s">
        <v>272</v>
      </c>
      <c r="R43" s="124" t="s">
        <v>273</v>
      </c>
      <c r="S43" s="124" t="s">
        <v>274</v>
      </c>
      <c r="T43" s="124" t="s">
        <v>275</v>
      </c>
      <c r="U43" s="124" t="s">
        <v>276</v>
      </c>
      <c r="V43" s="124" t="s">
        <v>277</v>
      </c>
      <c r="W43" s="174" t="s">
        <v>328</v>
      </c>
    </row>
    <row r="44" spans="2:23" x14ac:dyDescent="0.25">
      <c r="Q44" s="126">
        <v>10000</v>
      </c>
      <c r="R44" s="127">
        <v>0</v>
      </c>
      <c r="S44" s="164">
        <v>0</v>
      </c>
      <c r="T44" s="164">
        <v>0</v>
      </c>
      <c r="U44" s="165">
        <f>R44*S44</f>
        <v>0</v>
      </c>
      <c r="V44" s="129">
        <f>R44*T44</f>
        <v>0</v>
      </c>
      <c r="W44" s="175">
        <f>Q44-U44</f>
        <v>10000</v>
      </c>
    </row>
    <row r="50" spans="1:12" ht="15.75" thickBot="1" x14ac:dyDescent="0.3">
      <c r="G50" s="101" t="s">
        <v>280</v>
      </c>
      <c r="H50" s="101" t="s">
        <v>233</v>
      </c>
      <c r="I50" s="101" t="s">
        <v>281</v>
      </c>
      <c r="J50" s="101" t="s">
        <v>282</v>
      </c>
    </row>
    <row r="51" spans="1:12" ht="15.75" thickBot="1" x14ac:dyDescent="0.3">
      <c r="G51" s="197" t="s">
        <v>449</v>
      </c>
      <c r="H51" s="198">
        <v>10</v>
      </c>
      <c r="I51" s="198">
        <f t="shared" ref="I51:I58" si="7">J51/$J$1</f>
        <v>15625</v>
      </c>
      <c r="J51" s="199">
        <f>$W$44</f>
        <v>10000</v>
      </c>
    </row>
    <row r="52" spans="1:12" x14ac:dyDescent="0.25">
      <c r="G52" s="116" t="s">
        <v>262</v>
      </c>
      <c r="H52" s="200">
        <f>$E$5</f>
        <v>16.75</v>
      </c>
      <c r="I52" s="201">
        <f t="shared" si="7"/>
        <v>26171.875</v>
      </c>
      <c r="J52" s="202">
        <f>$S$30</f>
        <v>16750</v>
      </c>
    </row>
    <row r="53" spans="1:12" x14ac:dyDescent="0.25">
      <c r="D53" s="266"/>
      <c r="G53" s="103" t="s">
        <v>284</v>
      </c>
      <c r="H53" s="203">
        <f>MIN($H$52, $H$51)</f>
        <v>10</v>
      </c>
      <c r="I53" s="129">
        <f t="shared" si="7"/>
        <v>15625</v>
      </c>
      <c r="J53" s="204">
        <f>MIN(MAX($J$52,0),$J$51)</f>
        <v>10000</v>
      </c>
    </row>
    <row r="54" spans="1:12" x14ac:dyDescent="0.25">
      <c r="D54" s="266"/>
      <c r="G54" s="103" t="s">
        <v>285</v>
      </c>
      <c r="H54" s="203">
        <f>MIN(MAX($H$52-H53,0),$H$51)</f>
        <v>6.75</v>
      </c>
      <c r="I54" s="129">
        <f t="shared" si="7"/>
        <v>10546.875</v>
      </c>
      <c r="J54" s="136">
        <f>MIN(MAX($J$52-J53,0),$J$51)</f>
        <v>6750</v>
      </c>
    </row>
    <row r="55" spans="1:12" x14ac:dyDescent="0.25">
      <c r="D55" s="266"/>
      <c r="G55" s="100" t="s">
        <v>286</v>
      </c>
      <c r="H55" s="203">
        <f>MIN(MAX($H$52-H53-H54,0),$H$51)</f>
        <v>0</v>
      </c>
      <c r="I55" s="129">
        <f t="shared" si="7"/>
        <v>0</v>
      </c>
      <c r="J55" s="204">
        <f>MIN(MAX($J$52-J53-J54,0),$J$51)</f>
        <v>0</v>
      </c>
    </row>
    <row r="56" spans="1:12" x14ac:dyDescent="0.25">
      <c r="G56" s="100" t="s">
        <v>293</v>
      </c>
      <c r="H56" s="203">
        <f>MIN(MAX($H$52-H53-H54-H55,0),$H$51)</f>
        <v>0</v>
      </c>
      <c r="I56" s="129">
        <f t="shared" si="7"/>
        <v>0</v>
      </c>
      <c r="J56" s="204">
        <f>MIN(MAX($J$52-J53-J54-J55,0),$J$51)</f>
        <v>0</v>
      </c>
    </row>
    <row r="57" spans="1:12" x14ac:dyDescent="0.25">
      <c r="A57" s="874"/>
      <c r="F57" s="80"/>
      <c r="G57" s="100" t="s">
        <v>343</v>
      </c>
      <c r="H57" s="203">
        <f>MIN(MAX($H$52-H53-H54-H55-H56,0),$H$51)</f>
        <v>0</v>
      </c>
      <c r="I57" s="129">
        <f t="shared" si="7"/>
        <v>0</v>
      </c>
      <c r="J57" s="204">
        <f>MIN(MAX($J$52-J53-J54-J55-J56,0),$J$51)</f>
        <v>0</v>
      </c>
      <c r="L57" s="144"/>
    </row>
    <row r="58" spans="1:12" x14ac:dyDescent="0.25">
      <c r="A58" s="874"/>
      <c r="F58" s="80"/>
      <c r="G58" s="100" t="s">
        <v>442</v>
      </c>
      <c r="H58" s="203">
        <f>MIN(MAX($H$52-H53-H54-H55-H56-H57,0),$H$51)</f>
        <v>0</v>
      </c>
      <c r="I58" s="129">
        <f t="shared" si="7"/>
        <v>0</v>
      </c>
      <c r="J58" s="204">
        <f>MIN(MAX($J$52-J53-J54-J55-J56-J57,0),$J$51)</f>
        <v>0</v>
      </c>
      <c r="L58" s="144"/>
    </row>
    <row r="59" spans="1:12" x14ac:dyDescent="0.25">
      <c r="A59" s="874"/>
      <c r="F59" s="80"/>
    </row>
    <row r="60" spans="1:12" x14ac:dyDescent="0.25">
      <c r="A60" s="874"/>
      <c r="F60" s="80"/>
    </row>
    <row r="61" spans="1:12" x14ac:dyDescent="0.25">
      <c r="A61" s="874"/>
      <c r="F61" s="80"/>
    </row>
    <row r="62" spans="1:12" x14ac:dyDescent="0.2">
      <c r="A62" s="875"/>
      <c r="B62" s="1871" t="str">
        <f>"لحم بخارى  1 / " &amp; COUNTIF($H$53:$H$58, "&gt;0")</f>
        <v>لحم بخارى  1 / 2</v>
      </c>
      <c r="C62" s="1880"/>
      <c r="D62" s="1880"/>
      <c r="E62" s="1880"/>
      <c r="F62" s="1880"/>
      <c r="G62" s="1880"/>
      <c r="H62" s="1880"/>
    </row>
    <row r="63" spans="1:12" x14ac:dyDescent="0.2">
      <c r="A63" s="875"/>
      <c r="B63" s="1872" t="str">
        <f>"Beef Boukhary 1 / " &amp; COUNTIF($H$53:$H$58, "&gt;0")</f>
        <v>Beef Boukhary 1 / 2</v>
      </c>
      <c r="C63" s="1883"/>
      <c r="D63" s="1883"/>
      <c r="E63" s="1883"/>
      <c r="F63" s="1883"/>
      <c r="G63" s="1883"/>
      <c r="H63" s="1883"/>
    </row>
    <row r="64" spans="1:12" ht="51" x14ac:dyDescent="0.2">
      <c r="A64" s="1350" t="s">
        <v>864</v>
      </c>
      <c r="B64" s="923" t="s">
        <v>241</v>
      </c>
      <c r="C64" s="1104" t="s">
        <v>316</v>
      </c>
      <c r="D64" s="923" t="s">
        <v>317</v>
      </c>
      <c r="E64" s="935" t="s">
        <v>318</v>
      </c>
      <c r="F64" s="935" t="s">
        <v>319</v>
      </c>
      <c r="G64" s="1266" t="s">
        <v>320</v>
      </c>
      <c r="H64" s="936" t="s">
        <v>321</v>
      </c>
    </row>
    <row r="65" spans="1:8" x14ac:dyDescent="0.2">
      <c r="A65" s="876" t="s">
        <v>873</v>
      </c>
      <c r="B65" s="1252" t="str">
        <f t="shared" ref="B65:D73" si="8">B5</f>
        <v>Indian Meat Alana  - لحم هندى ألانا</v>
      </c>
      <c r="C65" s="1252" t="str">
        <f t="shared" si="8"/>
        <v>gm</v>
      </c>
      <c r="D65" s="1620">
        <f t="shared" si="8"/>
        <v>1562.5</v>
      </c>
      <c r="E65" s="1621">
        <f t="shared" ref="E65:E73" si="9">$H$53</f>
        <v>10</v>
      </c>
      <c r="F65" s="1616">
        <f t="shared" ref="F65:F73" si="10">F5</f>
        <v>1</v>
      </c>
      <c r="G65" s="940">
        <f t="shared" ref="G65:G73" si="11">D65*E65</f>
        <v>15625</v>
      </c>
      <c r="H65" s="1617">
        <f t="shared" ref="H65:H73" si="12">G65*F65</f>
        <v>15625</v>
      </c>
    </row>
    <row r="66" spans="1:8" x14ac:dyDescent="0.25">
      <c r="B66" s="1252" t="str">
        <f t="shared" si="8"/>
        <v>Cumin Powder - كمون مطحون</v>
      </c>
      <c r="C66" s="1252" t="str">
        <f t="shared" si="8"/>
        <v>gm</v>
      </c>
      <c r="D66" s="1252">
        <f t="shared" si="8"/>
        <v>18</v>
      </c>
      <c r="E66" s="1621">
        <f t="shared" si="9"/>
        <v>10</v>
      </c>
      <c r="F66" s="1616">
        <f t="shared" si="10"/>
        <v>0.7</v>
      </c>
      <c r="G66" s="914">
        <f t="shared" si="11"/>
        <v>180</v>
      </c>
      <c r="H66" s="1617">
        <f t="shared" si="12"/>
        <v>125.99999999999999</v>
      </c>
    </row>
    <row r="67" spans="1:8" x14ac:dyDescent="0.25">
      <c r="B67" s="1252" t="str">
        <f t="shared" si="8"/>
        <v>Water - ماء</v>
      </c>
      <c r="C67" s="1252" t="str">
        <f t="shared" si="8"/>
        <v>ml</v>
      </c>
      <c r="D67" s="1252">
        <f t="shared" si="8"/>
        <v>720</v>
      </c>
      <c r="E67" s="1621">
        <f t="shared" si="9"/>
        <v>10</v>
      </c>
      <c r="F67" s="1616">
        <f t="shared" si="10"/>
        <v>1</v>
      </c>
      <c r="G67" s="914">
        <f t="shared" si="11"/>
        <v>7200</v>
      </c>
      <c r="H67" s="1617">
        <f t="shared" si="12"/>
        <v>7200</v>
      </c>
    </row>
    <row r="68" spans="1:8" x14ac:dyDescent="0.25">
      <c r="B68" s="1252" t="str">
        <f t="shared" si="8"/>
        <v>Cardamom Whole - هيل حب</v>
      </c>
      <c r="C68" s="1252" t="str">
        <f t="shared" si="8"/>
        <v>gm</v>
      </c>
      <c r="D68" s="1252">
        <f t="shared" si="8"/>
        <v>12</v>
      </c>
      <c r="E68" s="1621">
        <f t="shared" si="9"/>
        <v>10</v>
      </c>
      <c r="F68" s="1616">
        <f t="shared" si="10"/>
        <v>0.25</v>
      </c>
      <c r="G68" s="914">
        <f t="shared" si="11"/>
        <v>120</v>
      </c>
      <c r="H68" s="1617">
        <f t="shared" si="12"/>
        <v>30</v>
      </c>
    </row>
    <row r="69" spans="1:8" x14ac:dyDescent="0.25">
      <c r="B69" s="1252" t="str">
        <f t="shared" si="8"/>
        <v>Tomato Paste - صلصة طماطم</v>
      </c>
      <c r="C69" s="1252" t="str">
        <f t="shared" si="8"/>
        <v>gm</v>
      </c>
      <c r="D69" s="1252">
        <f t="shared" si="8"/>
        <v>60</v>
      </c>
      <c r="E69" s="1621">
        <f t="shared" si="9"/>
        <v>10</v>
      </c>
      <c r="F69" s="1616">
        <f t="shared" si="10"/>
        <v>0.75</v>
      </c>
      <c r="G69" s="914">
        <f t="shared" si="11"/>
        <v>600</v>
      </c>
      <c r="H69" s="1617">
        <f t="shared" si="12"/>
        <v>450</v>
      </c>
    </row>
    <row r="70" spans="1:8" x14ac:dyDescent="0.25">
      <c r="A70" s="1" t="s">
        <v>880</v>
      </c>
      <c r="B70" s="1252" t="str">
        <f t="shared" si="8"/>
        <v>Green Bell Pepper - فلفل أخضر رومى</v>
      </c>
      <c r="C70" s="1252" t="str">
        <f t="shared" si="8"/>
        <v>gm</v>
      </c>
      <c r="D70" s="1252">
        <f t="shared" si="8"/>
        <v>20.399999999999999</v>
      </c>
      <c r="E70" s="1621">
        <f t="shared" si="9"/>
        <v>10</v>
      </c>
      <c r="F70" s="1616">
        <f t="shared" si="10"/>
        <v>0.75</v>
      </c>
      <c r="G70" s="914">
        <f t="shared" si="11"/>
        <v>204</v>
      </c>
      <c r="H70" s="1617">
        <f t="shared" si="12"/>
        <v>153</v>
      </c>
    </row>
    <row r="71" spans="1:8" x14ac:dyDescent="0.25">
      <c r="B71" s="1252" t="str">
        <f t="shared" si="8"/>
        <v>Kabsa Spices Powder - توابل كبسة بودر</v>
      </c>
      <c r="C71" s="1252" t="str">
        <f t="shared" si="8"/>
        <v>gm</v>
      </c>
      <c r="D71" s="1252">
        <f t="shared" si="8"/>
        <v>24</v>
      </c>
      <c r="E71" s="1621">
        <f t="shared" si="9"/>
        <v>10</v>
      </c>
      <c r="F71" s="1616">
        <f t="shared" si="10"/>
        <v>0.5</v>
      </c>
      <c r="G71" s="914">
        <f t="shared" si="11"/>
        <v>240</v>
      </c>
      <c r="H71" s="1617">
        <f t="shared" si="12"/>
        <v>120</v>
      </c>
    </row>
    <row r="72" spans="1:8" x14ac:dyDescent="0.25">
      <c r="B72" s="1252" t="str">
        <f t="shared" si="8"/>
        <v>Coriander Powder - كزبرة مطحونة</v>
      </c>
      <c r="C72" s="1252" t="str">
        <f t="shared" si="8"/>
        <v>gm</v>
      </c>
      <c r="D72" s="1252">
        <f t="shared" si="8"/>
        <v>18</v>
      </c>
      <c r="E72" s="1621">
        <f t="shared" si="9"/>
        <v>10</v>
      </c>
      <c r="F72" s="1616">
        <f t="shared" si="10"/>
        <v>0.7</v>
      </c>
      <c r="G72" s="914">
        <f t="shared" si="11"/>
        <v>180</v>
      </c>
      <c r="H72" s="1617">
        <f t="shared" si="12"/>
        <v>125.99999999999999</v>
      </c>
    </row>
    <row r="73" spans="1:8" x14ac:dyDescent="0.25">
      <c r="B73" s="1252" t="str">
        <f t="shared" si="8"/>
        <v>Salt - ملح</v>
      </c>
      <c r="C73" s="1252" t="str">
        <f t="shared" si="8"/>
        <v>gm</v>
      </c>
      <c r="D73" s="1252">
        <f t="shared" si="8"/>
        <v>18</v>
      </c>
      <c r="E73" s="1621">
        <f t="shared" si="9"/>
        <v>10</v>
      </c>
      <c r="F73" s="1616">
        <f t="shared" si="10"/>
        <v>0.75</v>
      </c>
      <c r="G73" s="914">
        <f t="shared" si="11"/>
        <v>180</v>
      </c>
      <c r="H73" s="1617">
        <f t="shared" si="12"/>
        <v>135</v>
      </c>
    </row>
    <row r="74" spans="1:8" ht="18" x14ac:dyDescent="0.25">
      <c r="A74" s="861"/>
      <c r="B74" s="1622" t="s">
        <v>287</v>
      </c>
      <c r="C74" s="1042" t="s">
        <v>273</v>
      </c>
      <c r="D74" s="952"/>
      <c r="E74" s="1042" t="s">
        <v>288</v>
      </c>
      <c r="F74" s="952"/>
      <c r="G74" s="1045" t="s">
        <v>264</v>
      </c>
      <c r="H74" s="1045" t="s">
        <v>661</v>
      </c>
    </row>
    <row r="75" spans="1:8" ht="20.25" x14ac:dyDescent="0.3">
      <c r="A75" s="861"/>
      <c r="B75" s="1048">
        <f>$J$53</f>
        <v>10000</v>
      </c>
      <c r="C75" s="1048">
        <f>E75+G75</f>
        <v>0</v>
      </c>
      <c r="D75" s="1629"/>
      <c r="E75" s="1048">
        <f>$C$53*$S$44</f>
        <v>0</v>
      </c>
      <c r="F75" s="1050"/>
      <c r="G75" s="1048">
        <f>$C$53*$T$44</f>
        <v>0</v>
      </c>
      <c r="H75" s="1048">
        <f>B75+E75</f>
        <v>10000</v>
      </c>
    </row>
    <row r="76" spans="1:8" x14ac:dyDescent="0.25">
      <c r="B76" s="1208"/>
      <c r="C76" s="959"/>
      <c r="D76" s="959"/>
      <c r="E76" s="1208"/>
      <c r="F76" s="1208"/>
      <c r="G76" s="959"/>
      <c r="H76" s="959"/>
    </row>
    <row r="77" spans="1:8" x14ac:dyDescent="0.25">
      <c r="A77" s="868"/>
      <c r="B77" s="1776" t="str">
        <f>"لحم بخاري  2 / " &amp; COUNTIF($H$53:$H$58, "&gt;0")</f>
        <v>لحم بخاري  2 / 2</v>
      </c>
      <c r="C77" s="1777"/>
      <c r="D77" s="1777"/>
      <c r="E77" s="1777"/>
      <c r="F77" s="1777"/>
      <c r="G77" s="1777"/>
      <c r="H77" s="1777"/>
    </row>
    <row r="78" spans="1:8" x14ac:dyDescent="0.25">
      <c r="A78" s="868"/>
      <c r="B78" s="1842" t="str">
        <f>"Beef Boukhary 2 / " &amp; COUNTIF($H$53:$H$58, "&gt;0")</f>
        <v>Beef Boukhary 2 / 2</v>
      </c>
      <c r="C78" s="1843"/>
      <c r="D78" s="1843"/>
      <c r="E78" s="1843"/>
      <c r="F78" s="1843"/>
      <c r="G78" s="1843"/>
      <c r="H78" s="1843"/>
    </row>
    <row r="79" spans="1:8" ht="51" x14ac:dyDescent="0.2">
      <c r="A79" s="1350" t="s">
        <v>864</v>
      </c>
      <c r="B79" s="923" t="s">
        <v>241</v>
      </c>
      <c r="C79" s="1104" t="s">
        <v>316</v>
      </c>
      <c r="D79" s="923" t="s">
        <v>317</v>
      </c>
      <c r="E79" s="935" t="s">
        <v>318</v>
      </c>
      <c r="F79" s="935" t="s">
        <v>319</v>
      </c>
      <c r="G79" s="1266" t="s">
        <v>320</v>
      </c>
      <c r="H79" s="936" t="s">
        <v>321</v>
      </c>
    </row>
    <row r="80" spans="1:8" x14ac:dyDescent="0.2">
      <c r="A80" s="876" t="s">
        <v>873</v>
      </c>
      <c r="B80" s="1252" t="str">
        <f t="shared" ref="B80:D88" si="13">B5</f>
        <v>Indian Meat Alana  - لحم هندى ألانا</v>
      </c>
      <c r="C80" s="1252" t="str">
        <f t="shared" si="13"/>
        <v>gm</v>
      </c>
      <c r="D80" s="940">
        <f t="shared" si="13"/>
        <v>1562.5</v>
      </c>
      <c r="E80" s="1621">
        <f t="shared" ref="E80:E88" si="14">$H$54</f>
        <v>6.75</v>
      </c>
      <c r="F80" s="1616">
        <f t="shared" ref="F80:F88" si="15">F5</f>
        <v>1</v>
      </c>
      <c r="G80" s="940">
        <f t="shared" ref="G80:G88" si="16">D80*E80</f>
        <v>10546.875</v>
      </c>
      <c r="H80" s="1617">
        <f t="shared" ref="H80:H88" si="17">G80*F80</f>
        <v>10546.875</v>
      </c>
    </row>
    <row r="81" spans="1:8" x14ac:dyDescent="0.25">
      <c r="B81" s="1252" t="str">
        <f t="shared" si="13"/>
        <v>Cumin Powder - كمون مطحون</v>
      </c>
      <c r="C81" s="1252" t="str">
        <f t="shared" si="13"/>
        <v>gm</v>
      </c>
      <c r="D81" s="1252">
        <f t="shared" si="13"/>
        <v>18</v>
      </c>
      <c r="E81" s="1621">
        <f t="shared" si="14"/>
        <v>6.75</v>
      </c>
      <c r="F81" s="1616">
        <f t="shared" si="15"/>
        <v>0.7</v>
      </c>
      <c r="G81" s="940">
        <f t="shared" si="16"/>
        <v>121.5</v>
      </c>
      <c r="H81" s="1617">
        <f t="shared" si="17"/>
        <v>85.05</v>
      </c>
    </row>
    <row r="82" spans="1:8" x14ac:dyDescent="0.25">
      <c r="B82" s="1252" t="str">
        <f t="shared" si="13"/>
        <v>Water - ماء</v>
      </c>
      <c r="C82" s="1252" t="str">
        <f t="shared" si="13"/>
        <v>ml</v>
      </c>
      <c r="D82" s="1252">
        <f t="shared" si="13"/>
        <v>720</v>
      </c>
      <c r="E82" s="1621">
        <f t="shared" si="14"/>
        <v>6.75</v>
      </c>
      <c r="F82" s="1616">
        <f t="shared" si="15"/>
        <v>1</v>
      </c>
      <c r="G82" s="940">
        <f t="shared" si="16"/>
        <v>4860</v>
      </c>
      <c r="H82" s="1617">
        <f t="shared" si="17"/>
        <v>4860</v>
      </c>
    </row>
    <row r="83" spans="1:8" x14ac:dyDescent="0.25">
      <c r="B83" s="1252" t="str">
        <f t="shared" si="13"/>
        <v>Cardamom Whole - هيل حب</v>
      </c>
      <c r="C83" s="1252" t="str">
        <f t="shared" si="13"/>
        <v>gm</v>
      </c>
      <c r="D83" s="1252">
        <f t="shared" si="13"/>
        <v>12</v>
      </c>
      <c r="E83" s="1621">
        <f t="shared" si="14"/>
        <v>6.75</v>
      </c>
      <c r="F83" s="1616">
        <f t="shared" si="15"/>
        <v>0.25</v>
      </c>
      <c r="G83" s="940">
        <f t="shared" si="16"/>
        <v>81</v>
      </c>
      <c r="H83" s="1617">
        <f t="shared" si="17"/>
        <v>20.25</v>
      </c>
    </row>
    <row r="84" spans="1:8" x14ac:dyDescent="0.25">
      <c r="B84" s="1252" t="str">
        <f t="shared" si="13"/>
        <v>Tomato Paste - صلصة طماطم</v>
      </c>
      <c r="C84" s="1252" t="str">
        <f t="shared" si="13"/>
        <v>gm</v>
      </c>
      <c r="D84" s="1252">
        <f t="shared" si="13"/>
        <v>60</v>
      </c>
      <c r="E84" s="1621">
        <f t="shared" si="14"/>
        <v>6.75</v>
      </c>
      <c r="F84" s="1616">
        <f t="shared" si="15"/>
        <v>0.75</v>
      </c>
      <c r="G84" s="940">
        <f t="shared" si="16"/>
        <v>405</v>
      </c>
      <c r="H84" s="1617">
        <f t="shared" si="17"/>
        <v>303.75</v>
      </c>
    </row>
    <row r="85" spans="1:8" x14ac:dyDescent="0.25">
      <c r="A85" s="1" t="s">
        <v>880</v>
      </c>
      <c r="B85" s="1252" t="str">
        <f t="shared" si="13"/>
        <v>Green Bell Pepper - فلفل أخضر رومى</v>
      </c>
      <c r="C85" s="1252" t="str">
        <f t="shared" si="13"/>
        <v>gm</v>
      </c>
      <c r="D85" s="1252">
        <f t="shared" si="13"/>
        <v>20.399999999999999</v>
      </c>
      <c r="E85" s="1621">
        <f t="shared" si="14"/>
        <v>6.75</v>
      </c>
      <c r="F85" s="1616">
        <f t="shared" si="15"/>
        <v>0.75</v>
      </c>
      <c r="G85" s="940">
        <f t="shared" si="16"/>
        <v>137.69999999999999</v>
      </c>
      <c r="H85" s="1617">
        <f t="shared" si="17"/>
        <v>103.27499999999999</v>
      </c>
    </row>
    <row r="86" spans="1:8" x14ac:dyDescent="0.25">
      <c r="B86" s="1252" t="str">
        <f t="shared" si="13"/>
        <v>Kabsa Spices Powder - توابل كبسة بودر</v>
      </c>
      <c r="C86" s="1252" t="str">
        <f t="shared" si="13"/>
        <v>gm</v>
      </c>
      <c r="D86" s="1252">
        <f t="shared" si="13"/>
        <v>24</v>
      </c>
      <c r="E86" s="1621">
        <f t="shared" si="14"/>
        <v>6.75</v>
      </c>
      <c r="F86" s="1616">
        <f t="shared" si="15"/>
        <v>0.5</v>
      </c>
      <c r="G86" s="940">
        <f t="shared" si="16"/>
        <v>162</v>
      </c>
      <c r="H86" s="1617">
        <f t="shared" si="17"/>
        <v>81</v>
      </c>
    </row>
    <row r="87" spans="1:8" x14ac:dyDescent="0.25">
      <c r="B87" s="1252" t="str">
        <f t="shared" si="13"/>
        <v>Coriander Powder - كزبرة مطحونة</v>
      </c>
      <c r="C87" s="1252" t="str">
        <f t="shared" si="13"/>
        <v>gm</v>
      </c>
      <c r="D87" s="1252">
        <f t="shared" si="13"/>
        <v>18</v>
      </c>
      <c r="E87" s="1621">
        <f t="shared" si="14"/>
        <v>6.75</v>
      </c>
      <c r="F87" s="1616">
        <f t="shared" si="15"/>
        <v>0.7</v>
      </c>
      <c r="G87" s="940">
        <f t="shared" si="16"/>
        <v>121.5</v>
      </c>
      <c r="H87" s="1617">
        <f t="shared" si="17"/>
        <v>85.05</v>
      </c>
    </row>
    <row r="88" spans="1:8" x14ac:dyDescent="0.25">
      <c r="B88" s="1252" t="str">
        <f t="shared" si="13"/>
        <v>Salt - ملح</v>
      </c>
      <c r="C88" s="1252" t="str">
        <f t="shared" si="13"/>
        <v>gm</v>
      </c>
      <c r="D88" s="1252">
        <f t="shared" si="13"/>
        <v>18</v>
      </c>
      <c r="E88" s="1621">
        <f t="shared" si="14"/>
        <v>6.75</v>
      </c>
      <c r="F88" s="1616">
        <f t="shared" si="15"/>
        <v>0.75</v>
      </c>
      <c r="G88" s="940">
        <f t="shared" si="16"/>
        <v>121.5</v>
      </c>
      <c r="H88" s="1617">
        <f t="shared" si="17"/>
        <v>91.125</v>
      </c>
    </row>
    <row r="89" spans="1:8" ht="18" x14ac:dyDescent="0.25">
      <c r="A89" s="861"/>
      <c r="B89" s="1622" t="s">
        <v>287</v>
      </c>
      <c r="C89" s="1042" t="s">
        <v>273</v>
      </c>
      <c r="D89" s="952"/>
      <c r="E89" s="1042" t="s">
        <v>288</v>
      </c>
      <c r="F89" s="952"/>
      <c r="G89" s="1045" t="s">
        <v>264</v>
      </c>
      <c r="H89" s="1045" t="s">
        <v>661</v>
      </c>
    </row>
    <row r="90" spans="1:8" ht="20.25" x14ac:dyDescent="0.3">
      <c r="A90" s="861"/>
      <c r="B90" s="1048">
        <f>$J$54</f>
        <v>6750</v>
      </c>
      <c r="C90" s="1048">
        <f>E90+G90</f>
        <v>0</v>
      </c>
      <c r="D90" s="1629"/>
      <c r="E90" s="1048">
        <f>$D$54*$S$44</f>
        <v>0</v>
      </c>
      <c r="F90" s="1050"/>
      <c r="G90" s="1048">
        <f>$D$54*$T$44</f>
        <v>0</v>
      </c>
      <c r="H90" s="1048">
        <f>B90+E90</f>
        <v>6750</v>
      </c>
    </row>
    <row r="91" spans="1:8" x14ac:dyDescent="0.25">
      <c r="B91" s="80"/>
      <c r="E91" s="80"/>
      <c r="F91" s="80"/>
    </row>
    <row r="92" spans="1:8" x14ac:dyDescent="0.25">
      <c r="B92" s="80"/>
      <c r="E92" s="80"/>
      <c r="F92" s="80"/>
    </row>
    <row r="93" spans="1:8" x14ac:dyDescent="0.25">
      <c r="B93" s="80"/>
      <c r="E93" s="80"/>
      <c r="F93" s="80"/>
    </row>
    <row r="94" spans="1:8" x14ac:dyDescent="0.25">
      <c r="A94" s="868"/>
      <c r="B94" s="1871" t="str">
        <f>"لحم بخاري  3 / " &amp; COUNTIF($H$53:$H$58, "&gt;0")</f>
        <v>لحم بخاري  3 / 2</v>
      </c>
      <c r="C94" s="1880"/>
      <c r="D94" s="1880"/>
      <c r="E94" s="1880"/>
      <c r="F94" s="1880"/>
      <c r="G94" s="1880"/>
      <c r="H94" s="1880"/>
    </row>
    <row r="95" spans="1:8" x14ac:dyDescent="0.25">
      <c r="A95" s="868"/>
      <c r="B95" s="1872" t="str">
        <f>"Beef Boukhary  3 / " &amp; COUNTIF($H$53:$H$58, "&gt;0")</f>
        <v>Beef Boukhary  3 / 2</v>
      </c>
      <c r="C95" s="1883"/>
      <c r="D95" s="1883"/>
      <c r="E95" s="1883"/>
      <c r="F95" s="1883"/>
      <c r="G95" s="1883"/>
      <c r="H95" s="1883"/>
    </row>
    <row r="96" spans="1:8" ht="51" x14ac:dyDescent="0.2">
      <c r="A96" s="1350" t="s">
        <v>864</v>
      </c>
      <c r="B96" s="923" t="s">
        <v>241</v>
      </c>
      <c r="C96" s="934" t="s">
        <v>242</v>
      </c>
      <c r="D96" s="923" t="s">
        <v>231</v>
      </c>
      <c r="E96" s="936" t="s">
        <v>234</v>
      </c>
      <c r="F96" s="935" t="s">
        <v>329</v>
      </c>
      <c r="G96" s="923" t="s">
        <v>244</v>
      </c>
      <c r="H96" s="936" t="s">
        <v>245</v>
      </c>
    </row>
    <row r="97" spans="1:8" x14ac:dyDescent="0.2">
      <c r="A97" s="876" t="s">
        <v>873</v>
      </c>
      <c r="B97" s="1281" t="str">
        <f t="shared" ref="B97:D105" si="18">B5</f>
        <v>Indian Meat Alana  - لحم هندى ألانا</v>
      </c>
      <c r="C97" s="1281" t="str">
        <f t="shared" si="18"/>
        <v>gm</v>
      </c>
      <c r="D97" s="940">
        <f t="shared" si="18"/>
        <v>1562.5</v>
      </c>
      <c r="E97" s="1621">
        <f t="shared" ref="E97:E105" si="19">$H$55</f>
        <v>0</v>
      </c>
      <c r="F97" s="1282">
        <f t="shared" ref="F97:F105" si="20">F5</f>
        <v>1</v>
      </c>
      <c r="G97" s="940">
        <f t="shared" ref="G97:G105" si="21">D97*E97</f>
        <v>0</v>
      </c>
      <c r="H97" s="1617">
        <f t="shared" ref="H97:H105" si="22">G97*F97</f>
        <v>0</v>
      </c>
    </row>
    <row r="98" spans="1:8" x14ac:dyDescent="0.2">
      <c r="A98" s="876"/>
      <c r="B98" s="1281" t="str">
        <f t="shared" si="18"/>
        <v>Cumin Powder - كمون مطحون</v>
      </c>
      <c r="C98" s="1281" t="str">
        <f t="shared" si="18"/>
        <v>gm</v>
      </c>
      <c r="D98" s="1281">
        <f t="shared" si="18"/>
        <v>18</v>
      </c>
      <c r="E98" s="1621">
        <f t="shared" si="19"/>
        <v>0</v>
      </c>
      <c r="F98" s="1282">
        <f t="shared" si="20"/>
        <v>0.7</v>
      </c>
      <c r="G98" s="940">
        <f t="shared" si="21"/>
        <v>0</v>
      </c>
      <c r="H98" s="1617">
        <f t="shared" si="22"/>
        <v>0</v>
      </c>
    </row>
    <row r="99" spans="1:8" x14ac:dyDescent="0.2">
      <c r="A99" s="876"/>
      <c r="B99" s="1281" t="str">
        <f t="shared" si="18"/>
        <v>Water - ماء</v>
      </c>
      <c r="C99" s="1281" t="str">
        <f t="shared" si="18"/>
        <v>ml</v>
      </c>
      <c r="D99" s="1281">
        <f t="shared" si="18"/>
        <v>720</v>
      </c>
      <c r="E99" s="1621">
        <f t="shared" si="19"/>
        <v>0</v>
      </c>
      <c r="F99" s="1282">
        <f t="shared" si="20"/>
        <v>1</v>
      </c>
      <c r="G99" s="940">
        <f t="shared" si="21"/>
        <v>0</v>
      </c>
      <c r="H99" s="1617">
        <f t="shared" si="22"/>
        <v>0</v>
      </c>
    </row>
    <row r="100" spans="1:8" x14ac:dyDescent="0.2">
      <c r="A100" s="876"/>
      <c r="B100" s="1281" t="str">
        <f t="shared" si="18"/>
        <v>Cardamom Whole - هيل حب</v>
      </c>
      <c r="C100" s="1281" t="str">
        <f t="shared" si="18"/>
        <v>gm</v>
      </c>
      <c r="D100" s="1281">
        <f t="shared" si="18"/>
        <v>12</v>
      </c>
      <c r="E100" s="1621">
        <f t="shared" si="19"/>
        <v>0</v>
      </c>
      <c r="F100" s="1282">
        <f t="shared" si="20"/>
        <v>0.25</v>
      </c>
      <c r="G100" s="940">
        <f t="shared" si="21"/>
        <v>0</v>
      </c>
      <c r="H100" s="1617">
        <f t="shared" si="22"/>
        <v>0</v>
      </c>
    </row>
    <row r="101" spans="1:8" x14ac:dyDescent="0.2">
      <c r="A101" s="876"/>
      <c r="B101" s="1281" t="str">
        <f t="shared" si="18"/>
        <v>Tomato Paste - صلصة طماطم</v>
      </c>
      <c r="C101" s="1281" t="str">
        <f t="shared" si="18"/>
        <v>gm</v>
      </c>
      <c r="D101" s="1281">
        <f t="shared" si="18"/>
        <v>60</v>
      </c>
      <c r="E101" s="1621">
        <f t="shared" si="19"/>
        <v>0</v>
      </c>
      <c r="F101" s="1282">
        <f t="shared" si="20"/>
        <v>0.75</v>
      </c>
      <c r="G101" s="940">
        <f t="shared" si="21"/>
        <v>0</v>
      </c>
      <c r="H101" s="1617">
        <f t="shared" si="22"/>
        <v>0</v>
      </c>
    </row>
    <row r="102" spans="1:8" x14ac:dyDescent="0.2">
      <c r="A102" s="876" t="s">
        <v>880</v>
      </c>
      <c r="B102" s="1281" t="str">
        <f t="shared" si="18"/>
        <v>Green Bell Pepper - فلفل أخضر رومى</v>
      </c>
      <c r="C102" s="1281" t="str">
        <f t="shared" si="18"/>
        <v>gm</v>
      </c>
      <c r="D102" s="1281">
        <f t="shared" si="18"/>
        <v>20.399999999999999</v>
      </c>
      <c r="E102" s="1621">
        <f t="shared" si="19"/>
        <v>0</v>
      </c>
      <c r="F102" s="1282">
        <f t="shared" si="20"/>
        <v>0.75</v>
      </c>
      <c r="G102" s="940">
        <f t="shared" si="21"/>
        <v>0</v>
      </c>
      <c r="H102" s="1617">
        <f t="shared" si="22"/>
        <v>0</v>
      </c>
    </row>
    <row r="103" spans="1:8" x14ac:dyDescent="0.2">
      <c r="A103" s="876"/>
      <c r="B103" s="1281" t="str">
        <f t="shared" si="18"/>
        <v>Kabsa Spices Powder - توابل كبسة بودر</v>
      </c>
      <c r="C103" s="1281" t="str">
        <f t="shared" si="18"/>
        <v>gm</v>
      </c>
      <c r="D103" s="1281">
        <f t="shared" si="18"/>
        <v>24</v>
      </c>
      <c r="E103" s="1621">
        <f t="shared" si="19"/>
        <v>0</v>
      </c>
      <c r="F103" s="1282">
        <f t="shared" si="20"/>
        <v>0.5</v>
      </c>
      <c r="G103" s="940">
        <f t="shared" si="21"/>
        <v>0</v>
      </c>
      <c r="H103" s="1617">
        <f t="shared" si="22"/>
        <v>0</v>
      </c>
    </row>
    <row r="104" spans="1:8" x14ac:dyDescent="0.2">
      <c r="A104" s="876"/>
      <c r="B104" s="1281" t="str">
        <f t="shared" si="18"/>
        <v>Coriander Powder - كزبرة مطحونة</v>
      </c>
      <c r="C104" s="1281" t="str">
        <f t="shared" si="18"/>
        <v>gm</v>
      </c>
      <c r="D104" s="1281">
        <f t="shared" si="18"/>
        <v>18</v>
      </c>
      <c r="E104" s="1621">
        <f t="shared" si="19"/>
        <v>0</v>
      </c>
      <c r="F104" s="1282">
        <f t="shared" si="20"/>
        <v>0.7</v>
      </c>
      <c r="G104" s="940">
        <f t="shared" si="21"/>
        <v>0</v>
      </c>
      <c r="H104" s="1617">
        <f t="shared" si="22"/>
        <v>0</v>
      </c>
    </row>
    <row r="105" spans="1:8" x14ac:dyDescent="0.2">
      <c r="A105" s="876"/>
      <c r="B105" s="1281" t="str">
        <f t="shared" si="18"/>
        <v>Salt - ملح</v>
      </c>
      <c r="C105" s="1281" t="str">
        <f t="shared" si="18"/>
        <v>gm</v>
      </c>
      <c r="D105" s="1281">
        <f t="shared" si="18"/>
        <v>18</v>
      </c>
      <c r="E105" s="1621">
        <f t="shared" si="19"/>
        <v>0</v>
      </c>
      <c r="F105" s="1282">
        <f t="shared" si="20"/>
        <v>0.75</v>
      </c>
      <c r="G105" s="940">
        <f t="shared" si="21"/>
        <v>0</v>
      </c>
      <c r="H105" s="1617">
        <f t="shared" si="22"/>
        <v>0</v>
      </c>
    </row>
    <row r="106" spans="1:8" ht="18" x14ac:dyDescent="0.25">
      <c r="A106" s="861"/>
      <c r="B106" s="1622" t="s">
        <v>287</v>
      </c>
      <c r="C106" s="1042" t="s">
        <v>273</v>
      </c>
      <c r="D106" s="952"/>
      <c r="E106" s="1042" t="s">
        <v>288</v>
      </c>
      <c r="F106" s="952"/>
      <c r="G106" s="1045" t="s">
        <v>264</v>
      </c>
      <c r="H106" s="1045" t="s">
        <v>661</v>
      </c>
    </row>
    <row r="107" spans="1:8" ht="20.25" x14ac:dyDescent="0.3">
      <c r="A107" s="861"/>
      <c r="B107" s="1048">
        <f>$J$55</f>
        <v>0</v>
      </c>
      <c r="C107" s="1048">
        <f>E107+G107</f>
        <v>0</v>
      </c>
      <c r="D107" s="1629"/>
      <c r="E107" s="1048">
        <f>$D$55*$S$44</f>
        <v>0</v>
      </c>
      <c r="F107" s="1050"/>
      <c r="G107" s="1048">
        <f>$D$55*$T$44</f>
        <v>0</v>
      </c>
      <c r="H107" s="1048">
        <f>B107+E107</f>
        <v>0</v>
      </c>
    </row>
    <row r="110" spans="1:8" x14ac:dyDescent="0.25">
      <c r="A110" s="868"/>
      <c r="B110" s="1871" t="str">
        <f>"لحم بخاري  4 / " &amp; COUNTIF($H$53:$H$58, "&gt;0")</f>
        <v>لحم بخاري  4 / 2</v>
      </c>
      <c r="C110" s="1880"/>
      <c r="D110" s="1880"/>
      <c r="E110" s="1880"/>
      <c r="F110" s="1880"/>
      <c r="G110" s="1880"/>
      <c r="H110" s="1880"/>
    </row>
    <row r="111" spans="1:8" x14ac:dyDescent="0.25">
      <c r="A111" s="868"/>
      <c r="B111" s="1872" t="str">
        <f>"Beef Boukhary  4 / " &amp; COUNTIF($H$53:$H$58, "&gt;0")</f>
        <v>Beef Boukhary  4 / 2</v>
      </c>
      <c r="C111" s="1883"/>
      <c r="D111" s="1883"/>
      <c r="E111" s="1883"/>
      <c r="F111" s="1883"/>
      <c r="G111" s="1883"/>
      <c r="H111" s="1883"/>
    </row>
    <row r="112" spans="1:8" ht="51" x14ac:dyDescent="0.2">
      <c r="A112" s="1350" t="s">
        <v>864</v>
      </c>
      <c r="B112" s="923" t="s">
        <v>241</v>
      </c>
      <c r="C112" s="934" t="s">
        <v>242</v>
      </c>
      <c r="D112" s="923" t="s">
        <v>231</v>
      </c>
      <c r="E112" s="936" t="s">
        <v>234</v>
      </c>
      <c r="F112" s="935" t="s">
        <v>329</v>
      </c>
      <c r="G112" s="923" t="s">
        <v>244</v>
      </c>
      <c r="H112" s="936" t="s">
        <v>245</v>
      </c>
    </row>
    <row r="113" spans="1:8" x14ac:dyDescent="0.2">
      <c r="A113" s="876" t="s">
        <v>873</v>
      </c>
      <c r="B113" s="1281" t="str">
        <f t="shared" ref="B113:D121" si="23">B5</f>
        <v>Indian Meat Alana  - لحم هندى ألانا</v>
      </c>
      <c r="C113" s="1281" t="str">
        <f t="shared" si="23"/>
        <v>gm</v>
      </c>
      <c r="D113" s="1703">
        <f t="shared" si="23"/>
        <v>1562.5</v>
      </c>
      <c r="E113" s="1621">
        <f t="shared" ref="E113:E121" si="24">$H$56</f>
        <v>0</v>
      </c>
      <c r="F113" s="1282">
        <f t="shared" ref="F113:F121" si="25">F5</f>
        <v>1</v>
      </c>
      <c r="G113" s="940">
        <f t="shared" ref="G113:G121" si="26">D113*E113</f>
        <v>0</v>
      </c>
      <c r="H113" s="1617">
        <f t="shared" ref="H113:H121" si="27">G113*F113</f>
        <v>0</v>
      </c>
    </row>
    <row r="114" spans="1:8" x14ac:dyDescent="0.2">
      <c r="A114" s="876"/>
      <c r="B114" s="1281" t="str">
        <f t="shared" si="23"/>
        <v>Cumin Powder - كمون مطحون</v>
      </c>
      <c r="C114" s="1281" t="str">
        <f t="shared" si="23"/>
        <v>gm</v>
      </c>
      <c r="D114" s="1281">
        <f t="shared" si="23"/>
        <v>18</v>
      </c>
      <c r="E114" s="1621">
        <f t="shared" si="24"/>
        <v>0</v>
      </c>
      <c r="F114" s="1282">
        <f t="shared" si="25"/>
        <v>0.7</v>
      </c>
      <c r="G114" s="940">
        <f t="shared" si="26"/>
        <v>0</v>
      </c>
      <c r="H114" s="1617">
        <f t="shared" si="27"/>
        <v>0</v>
      </c>
    </row>
    <row r="115" spans="1:8" x14ac:dyDescent="0.2">
      <c r="A115" s="876"/>
      <c r="B115" s="1281" t="str">
        <f t="shared" si="23"/>
        <v>Water - ماء</v>
      </c>
      <c r="C115" s="1281" t="str">
        <f t="shared" si="23"/>
        <v>ml</v>
      </c>
      <c r="D115" s="1281">
        <f t="shared" si="23"/>
        <v>720</v>
      </c>
      <c r="E115" s="1621">
        <f t="shared" si="24"/>
        <v>0</v>
      </c>
      <c r="F115" s="1282">
        <f t="shared" si="25"/>
        <v>1</v>
      </c>
      <c r="G115" s="940">
        <f t="shared" si="26"/>
        <v>0</v>
      </c>
      <c r="H115" s="1617">
        <f t="shared" si="27"/>
        <v>0</v>
      </c>
    </row>
    <row r="116" spans="1:8" x14ac:dyDescent="0.2">
      <c r="A116" s="876"/>
      <c r="B116" s="1281" t="str">
        <f t="shared" si="23"/>
        <v>Cardamom Whole - هيل حب</v>
      </c>
      <c r="C116" s="1281" t="str">
        <f t="shared" si="23"/>
        <v>gm</v>
      </c>
      <c r="D116" s="1281">
        <f t="shared" si="23"/>
        <v>12</v>
      </c>
      <c r="E116" s="1621">
        <f t="shared" si="24"/>
        <v>0</v>
      </c>
      <c r="F116" s="1282">
        <f t="shared" si="25"/>
        <v>0.25</v>
      </c>
      <c r="G116" s="940">
        <f t="shared" si="26"/>
        <v>0</v>
      </c>
      <c r="H116" s="1617">
        <f t="shared" si="27"/>
        <v>0</v>
      </c>
    </row>
    <row r="117" spans="1:8" x14ac:dyDescent="0.2">
      <c r="A117" s="876"/>
      <c r="B117" s="1281" t="str">
        <f t="shared" si="23"/>
        <v>Tomato Paste - صلصة طماطم</v>
      </c>
      <c r="C117" s="1281" t="str">
        <f t="shared" si="23"/>
        <v>gm</v>
      </c>
      <c r="D117" s="1281">
        <f t="shared" si="23"/>
        <v>60</v>
      </c>
      <c r="E117" s="1621">
        <f t="shared" si="24"/>
        <v>0</v>
      </c>
      <c r="F117" s="1282">
        <f t="shared" si="25"/>
        <v>0.75</v>
      </c>
      <c r="G117" s="940">
        <f t="shared" si="26"/>
        <v>0</v>
      </c>
      <c r="H117" s="1617">
        <f t="shared" si="27"/>
        <v>0</v>
      </c>
    </row>
    <row r="118" spans="1:8" x14ac:dyDescent="0.2">
      <c r="A118" s="876" t="s">
        <v>880</v>
      </c>
      <c r="B118" s="1281" t="str">
        <f t="shared" si="23"/>
        <v>Green Bell Pepper - فلفل أخضر رومى</v>
      </c>
      <c r="C118" s="1281" t="str">
        <f t="shared" si="23"/>
        <v>gm</v>
      </c>
      <c r="D118" s="1281">
        <f t="shared" si="23"/>
        <v>20.399999999999999</v>
      </c>
      <c r="E118" s="1621">
        <f t="shared" si="24"/>
        <v>0</v>
      </c>
      <c r="F118" s="1282">
        <f t="shared" si="25"/>
        <v>0.75</v>
      </c>
      <c r="G118" s="940">
        <f t="shared" si="26"/>
        <v>0</v>
      </c>
      <c r="H118" s="1617">
        <f t="shared" si="27"/>
        <v>0</v>
      </c>
    </row>
    <row r="119" spans="1:8" x14ac:dyDescent="0.2">
      <c r="A119" s="876"/>
      <c r="B119" s="1281" t="str">
        <f t="shared" si="23"/>
        <v>Kabsa Spices Powder - توابل كبسة بودر</v>
      </c>
      <c r="C119" s="1281" t="str">
        <f t="shared" si="23"/>
        <v>gm</v>
      </c>
      <c r="D119" s="1281">
        <f t="shared" si="23"/>
        <v>24</v>
      </c>
      <c r="E119" s="1621">
        <f t="shared" si="24"/>
        <v>0</v>
      </c>
      <c r="F119" s="1282">
        <f t="shared" si="25"/>
        <v>0.5</v>
      </c>
      <c r="G119" s="940">
        <f t="shared" si="26"/>
        <v>0</v>
      </c>
      <c r="H119" s="1617">
        <f t="shared" si="27"/>
        <v>0</v>
      </c>
    </row>
    <row r="120" spans="1:8" x14ac:dyDescent="0.2">
      <c r="A120" s="876"/>
      <c r="B120" s="1281" t="str">
        <f t="shared" si="23"/>
        <v>Coriander Powder - كزبرة مطحونة</v>
      </c>
      <c r="C120" s="1281" t="str">
        <f t="shared" si="23"/>
        <v>gm</v>
      </c>
      <c r="D120" s="1281">
        <f t="shared" si="23"/>
        <v>18</v>
      </c>
      <c r="E120" s="1621">
        <f t="shared" si="24"/>
        <v>0</v>
      </c>
      <c r="F120" s="1282">
        <f t="shared" si="25"/>
        <v>0.7</v>
      </c>
      <c r="G120" s="940">
        <f t="shared" si="26"/>
        <v>0</v>
      </c>
      <c r="H120" s="1617">
        <f t="shared" si="27"/>
        <v>0</v>
      </c>
    </row>
    <row r="121" spans="1:8" x14ac:dyDescent="0.2">
      <c r="A121" s="876"/>
      <c r="B121" s="1281" t="str">
        <f t="shared" si="23"/>
        <v>Salt - ملح</v>
      </c>
      <c r="C121" s="1281" t="str">
        <f t="shared" si="23"/>
        <v>gm</v>
      </c>
      <c r="D121" s="1281">
        <f t="shared" si="23"/>
        <v>18</v>
      </c>
      <c r="E121" s="1621">
        <f t="shared" si="24"/>
        <v>0</v>
      </c>
      <c r="F121" s="1282">
        <f t="shared" si="25"/>
        <v>0.75</v>
      </c>
      <c r="G121" s="940">
        <f t="shared" si="26"/>
        <v>0</v>
      </c>
      <c r="H121" s="1617">
        <f t="shared" si="27"/>
        <v>0</v>
      </c>
    </row>
    <row r="122" spans="1:8" ht="18" x14ac:dyDescent="0.25">
      <c r="A122" s="861"/>
      <c r="B122" s="1622" t="s">
        <v>287</v>
      </c>
      <c r="C122" s="1042" t="s">
        <v>273</v>
      </c>
      <c r="D122" s="952"/>
      <c r="E122" s="1042" t="s">
        <v>288</v>
      </c>
      <c r="F122" s="952"/>
      <c r="G122" s="1045" t="s">
        <v>264</v>
      </c>
      <c r="H122" s="1045" t="s">
        <v>661</v>
      </c>
    </row>
    <row r="123" spans="1:8" ht="20.25" x14ac:dyDescent="0.3">
      <c r="A123" s="861"/>
      <c r="B123" s="1048">
        <f>$J$56</f>
        <v>0</v>
      </c>
      <c r="C123" s="1048">
        <f>E123+G123</f>
        <v>0</v>
      </c>
      <c r="D123" s="1629"/>
      <c r="E123" s="1048">
        <f>$D$56*$S$44</f>
        <v>0</v>
      </c>
      <c r="F123" s="1050"/>
      <c r="G123" s="1048">
        <f>$D$56*$T$44</f>
        <v>0</v>
      </c>
      <c r="H123" s="1048">
        <f>B123+E123</f>
        <v>0</v>
      </c>
    </row>
    <row r="126" spans="1:8" x14ac:dyDescent="0.25">
      <c r="A126" s="860"/>
      <c r="B126" s="1871" t="str">
        <f>"لحم بخاري  5 / " &amp; COUNTIF($H$53:$H$58, "&gt;0")</f>
        <v>لحم بخاري  5 / 2</v>
      </c>
      <c r="C126" s="1850"/>
      <c r="D126" s="1850"/>
      <c r="E126" s="1850"/>
      <c r="F126" s="1850"/>
      <c r="G126" s="1850"/>
      <c r="H126" s="1850"/>
    </row>
    <row r="127" spans="1:8" x14ac:dyDescent="0.25">
      <c r="A127" s="860"/>
      <c r="B127" s="1872" t="str">
        <f>"Beef Boukhary  5 / " &amp; COUNTIF($H$53:$H$58, "&gt;0")</f>
        <v>Beef Boukhary  5 / 2</v>
      </c>
      <c r="C127" s="1865"/>
      <c r="D127" s="1865"/>
      <c r="E127" s="1865"/>
      <c r="F127" s="1865"/>
      <c r="G127" s="1865"/>
      <c r="H127" s="1865"/>
    </row>
    <row r="128" spans="1:8" ht="51" x14ac:dyDescent="0.2">
      <c r="A128" s="1350" t="s">
        <v>864</v>
      </c>
      <c r="B128" s="923" t="s">
        <v>241</v>
      </c>
      <c r="C128" s="934" t="s">
        <v>242</v>
      </c>
      <c r="D128" s="923" t="s">
        <v>231</v>
      </c>
      <c r="E128" s="936" t="s">
        <v>234</v>
      </c>
      <c r="F128" s="935" t="s">
        <v>329</v>
      </c>
      <c r="G128" s="923" t="s">
        <v>244</v>
      </c>
      <c r="H128" s="936" t="s">
        <v>245</v>
      </c>
    </row>
    <row r="129" spans="1:8" x14ac:dyDescent="0.2">
      <c r="A129" s="876" t="s">
        <v>873</v>
      </c>
      <c r="B129" s="1281" t="str">
        <f t="shared" ref="B129:D137" si="28">B5</f>
        <v>Indian Meat Alana  - لحم هندى ألانا</v>
      </c>
      <c r="C129" s="1281" t="str">
        <f t="shared" si="28"/>
        <v>gm</v>
      </c>
      <c r="D129" s="1281">
        <f t="shared" si="28"/>
        <v>1562.5</v>
      </c>
      <c r="E129" s="1621">
        <f t="shared" ref="E129:E137" si="29">$H$57</f>
        <v>0</v>
      </c>
      <c r="F129" s="1282">
        <f t="shared" ref="F129:F137" si="30">F5</f>
        <v>1</v>
      </c>
      <c r="G129" s="940">
        <f t="shared" ref="G129:G137" si="31">D129*E129</f>
        <v>0</v>
      </c>
      <c r="H129" s="1617">
        <f t="shared" ref="H129:H137" si="32">G129*F129</f>
        <v>0</v>
      </c>
    </row>
    <row r="130" spans="1:8" x14ac:dyDescent="0.2">
      <c r="A130" s="876"/>
      <c r="B130" s="1281" t="str">
        <f t="shared" si="28"/>
        <v>Cumin Powder - كمون مطحون</v>
      </c>
      <c r="C130" s="1281" t="str">
        <f t="shared" si="28"/>
        <v>gm</v>
      </c>
      <c r="D130" s="1281">
        <f t="shared" si="28"/>
        <v>18</v>
      </c>
      <c r="E130" s="1621">
        <f t="shared" si="29"/>
        <v>0</v>
      </c>
      <c r="F130" s="1282">
        <f t="shared" si="30"/>
        <v>0.7</v>
      </c>
      <c r="G130" s="940">
        <f t="shared" si="31"/>
        <v>0</v>
      </c>
      <c r="H130" s="1617">
        <f t="shared" si="32"/>
        <v>0</v>
      </c>
    </row>
    <row r="131" spans="1:8" x14ac:dyDescent="0.2">
      <c r="A131" s="876"/>
      <c r="B131" s="1281" t="str">
        <f t="shared" si="28"/>
        <v>Water - ماء</v>
      </c>
      <c r="C131" s="1281" t="str">
        <f t="shared" si="28"/>
        <v>ml</v>
      </c>
      <c r="D131" s="1281">
        <f t="shared" si="28"/>
        <v>720</v>
      </c>
      <c r="E131" s="1621">
        <f t="shared" si="29"/>
        <v>0</v>
      </c>
      <c r="F131" s="1282">
        <f t="shared" si="30"/>
        <v>1</v>
      </c>
      <c r="G131" s="940">
        <f t="shared" si="31"/>
        <v>0</v>
      </c>
      <c r="H131" s="1617">
        <f t="shared" si="32"/>
        <v>0</v>
      </c>
    </row>
    <row r="132" spans="1:8" x14ac:dyDescent="0.2">
      <c r="A132" s="876"/>
      <c r="B132" s="1281" t="str">
        <f t="shared" si="28"/>
        <v>Cardamom Whole - هيل حب</v>
      </c>
      <c r="C132" s="1281" t="str">
        <f t="shared" si="28"/>
        <v>gm</v>
      </c>
      <c r="D132" s="1281">
        <f t="shared" si="28"/>
        <v>12</v>
      </c>
      <c r="E132" s="1621">
        <f t="shared" si="29"/>
        <v>0</v>
      </c>
      <c r="F132" s="1282">
        <f t="shared" si="30"/>
        <v>0.25</v>
      </c>
      <c r="G132" s="940">
        <f t="shared" si="31"/>
        <v>0</v>
      </c>
      <c r="H132" s="1617">
        <f t="shared" si="32"/>
        <v>0</v>
      </c>
    </row>
    <row r="133" spans="1:8" x14ac:dyDescent="0.2">
      <c r="A133" s="876"/>
      <c r="B133" s="1281" t="str">
        <f t="shared" si="28"/>
        <v>Tomato Paste - صلصة طماطم</v>
      </c>
      <c r="C133" s="1281" t="str">
        <f t="shared" si="28"/>
        <v>gm</v>
      </c>
      <c r="D133" s="1281">
        <f t="shared" si="28"/>
        <v>60</v>
      </c>
      <c r="E133" s="1621">
        <f t="shared" si="29"/>
        <v>0</v>
      </c>
      <c r="F133" s="1282">
        <f t="shared" si="30"/>
        <v>0.75</v>
      </c>
      <c r="G133" s="940">
        <f t="shared" si="31"/>
        <v>0</v>
      </c>
      <c r="H133" s="1617">
        <f t="shared" si="32"/>
        <v>0</v>
      </c>
    </row>
    <row r="134" spans="1:8" x14ac:dyDescent="0.2">
      <c r="A134" s="876" t="s">
        <v>880</v>
      </c>
      <c r="B134" s="1281" t="str">
        <f t="shared" si="28"/>
        <v>Green Bell Pepper - فلفل أخضر رومى</v>
      </c>
      <c r="C134" s="1281" t="str">
        <f t="shared" si="28"/>
        <v>gm</v>
      </c>
      <c r="D134" s="1281">
        <f t="shared" si="28"/>
        <v>20.399999999999999</v>
      </c>
      <c r="E134" s="1621">
        <f t="shared" si="29"/>
        <v>0</v>
      </c>
      <c r="F134" s="1282">
        <f t="shared" si="30"/>
        <v>0.75</v>
      </c>
      <c r="G134" s="940">
        <f t="shared" si="31"/>
        <v>0</v>
      </c>
      <c r="H134" s="1617">
        <f t="shared" si="32"/>
        <v>0</v>
      </c>
    </row>
    <row r="135" spans="1:8" x14ac:dyDescent="0.2">
      <c r="A135" s="876"/>
      <c r="B135" s="1281" t="str">
        <f t="shared" si="28"/>
        <v>Kabsa Spices Powder - توابل كبسة بودر</v>
      </c>
      <c r="C135" s="1281" t="str">
        <f t="shared" si="28"/>
        <v>gm</v>
      </c>
      <c r="D135" s="1281">
        <f t="shared" si="28"/>
        <v>24</v>
      </c>
      <c r="E135" s="1621">
        <f t="shared" si="29"/>
        <v>0</v>
      </c>
      <c r="F135" s="1282">
        <f t="shared" si="30"/>
        <v>0.5</v>
      </c>
      <c r="G135" s="940">
        <f t="shared" si="31"/>
        <v>0</v>
      </c>
      <c r="H135" s="1617">
        <f t="shared" si="32"/>
        <v>0</v>
      </c>
    </row>
    <row r="136" spans="1:8" x14ac:dyDescent="0.2">
      <c r="A136" s="876"/>
      <c r="B136" s="1281" t="str">
        <f t="shared" si="28"/>
        <v>Coriander Powder - كزبرة مطحونة</v>
      </c>
      <c r="C136" s="1281" t="str">
        <f t="shared" si="28"/>
        <v>gm</v>
      </c>
      <c r="D136" s="1281">
        <f t="shared" si="28"/>
        <v>18</v>
      </c>
      <c r="E136" s="1621">
        <f t="shared" si="29"/>
        <v>0</v>
      </c>
      <c r="F136" s="1282">
        <f t="shared" si="30"/>
        <v>0.7</v>
      </c>
      <c r="G136" s="940">
        <f t="shared" si="31"/>
        <v>0</v>
      </c>
      <c r="H136" s="1617">
        <f t="shared" si="32"/>
        <v>0</v>
      </c>
    </row>
    <row r="137" spans="1:8" x14ac:dyDescent="0.2">
      <c r="A137" s="876"/>
      <c r="B137" s="1281" t="str">
        <f t="shared" si="28"/>
        <v>Salt - ملح</v>
      </c>
      <c r="C137" s="1281" t="str">
        <f t="shared" si="28"/>
        <v>gm</v>
      </c>
      <c r="D137" s="1281">
        <f t="shared" si="28"/>
        <v>18</v>
      </c>
      <c r="E137" s="1621">
        <f t="shared" si="29"/>
        <v>0</v>
      </c>
      <c r="F137" s="1282">
        <f t="shared" si="30"/>
        <v>0.75</v>
      </c>
      <c r="G137" s="940">
        <f t="shared" si="31"/>
        <v>0</v>
      </c>
      <c r="H137" s="1617">
        <f t="shared" si="32"/>
        <v>0</v>
      </c>
    </row>
    <row r="138" spans="1:8" ht="18" x14ac:dyDescent="0.25">
      <c r="A138" s="861"/>
      <c r="B138" s="1622" t="s">
        <v>287</v>
      </c>
      <c r="C138" s="1042" t="s">
        <v>273</v>
      </c>
      <c r="D138" s="952"/>
      <c r="E138" s="1042" t="s">
        <v>288</v>
      </c>
      <c r="F138" s="952"/>
      <c r="G138" s="1045" t="s">
        <v>264</v>
      </c>
      <c r="H138" s="1045" t="s">
        <v>661</v>
      </c>
    </row>
    <row r="139" spans="1:8" ht="20.25" x14ac:dyDescent="0.3">
      <c r="A139" s="861"/>
      <c r="B139" s="1048">
        <f>$J$57</f>
        <v>0</v>
      </c>
      <c r="C139" s="1048">
        <f>E139+G139</f>
        <v>0</v>
      </c>
      <c r="D139" s="1629"/>
      <c r="E139" s="1048">
        <f>$D$57*$S$44</f>
        <v>0</v>
      </c>
      <c r="F139" s="1050"/>
      <c r="G139" s="1048">
        <f>$D$57*$T$44</f>
        <v>0</v>
      </c>
      <c r="H139" s="1048">
        <f>B139+E139</f>
        <v>0</v>
      </c>
    </row>
    <row r="140" spans="1:8" x14ac:dyDescent="0.25">
      <c r="B140" s="460"/>
      <c r="C140" s="460"/>
      <c r="D140" s="460"/>
      <c r="E140" s="460"/>
      <c r="F140" s="460"/>
      <c r="G140" s="460"/>
      <c r="H140" s="460"/>
    </row>
    <row r="142" spans="1:8" x14ac:dyDescent="0.25">
      <c r="A142" s="860"/>
      <c r="B142" s="1871" t="str">
        <f>"لحم بخاري  3 / " &amp; COUNTIF($H$53:$H$58, "&gt;0")</f>
        <v>لحم بخاري  3 / 2</v>
      </c>
      <c r="C142" s="1850"/>
      <c r="D142" s="1850"/>
      <c r="E142" s="1850"/>
      <c r="F142" s="1850"/>
      <c r="G142" s="1850"/>
      <c r="H142" s="1850"/>
    </row>
    <row r="143" spans="1:8" x14ac:dyDescent="0.25">
      <c r="A143" s="860"/>
      <c r="B143" s="1872" t="str">
        <f>"Beef Boukhary  3 / " &amp; COUNTIF($H$53:$H$58, "&gt;0")</f>
        <v>Beef Boukhary  3 / 2</v>
      </c>
      <c r="C143" s="1865"/>
      <c r="D143" s="1865"/>
      <c r="E143" s="1865"/>
      <c r="F143" s="1865"/>
      <c r="G143" s="1865"/>
      <c r="H143" s="1865"/>
    </row>
    <row r="144" spans="1:8" ht="51" x14ac:dyDescent="0.2">
      <c r="A144" s="1350" t="s">
        <v>864</v>
      </c>
      <c r="B144" s="923" t="s">
        <v>241</v>
      </c>
      <c r="C144" s="934" t="s">
        <v>242</v>
      </c>
      <c r="D144" s="923" t="s">
        <v>231</v>
      </c>
      <c r="E144" s="936" t="s">
        <v>234</v>
      </c>
      <c r="F144" s="935" t="s">
        <v>329</v>
      </c>
      <c r="G144" s="923" t="s">
        <v>244</v>
      </c>
      <c r="H144" s="936" t="s">
        <v>245</v>
      </c>
    </row>
    <row r="145" spans="1:8" x14ac:dyDescent="0.2">
      <c r="A145" s="876" t="s">
        <v>873</v>
      </c>
      <c r="B145" s="1281" t="str">
        <f t="shared" ref="B145:D153" si="33">B5</f>
        <v>Indian Meat Alana  - لحم هندى ألانا</v>
      </c>
      <c r="C145" s="1281" t="str">
        <f t="shared" si="33"/>
        <v>gm</v>
      </c>
      <c r="D145" s="1286">
        <f t="shared" si="33"/>
        <v>1562.5</v>
      </c>
      <c r="E145" s="1704">
        <f t="shared" ref="E145:E153" si="34">$H$58</f>
        <v>0</v>
      </c>
      <c r="F145" s="1282">
        <f t="shared" ref="F145:F153" si="35">F5</f>
        <v>1</v>
      </c>
      <c r="G145" s="940">
        <f t="shared" ref="G145:G153" si="36">D145*E145</f>
        <v>0</v>
      </c>
      <c r="H145" s="1617">
        <f t="shared" ref="H145:H153" si="37">G145*F145</f>
        <v>0</v>
      </c>
    </row>
    <row r="146" spans="1:8" x14ac:dyDescent="0.2">
      <c r="A146" s="876"/>
      <c r="B146" s="1281" t="str">
        <f t="shared" si="33"/>
        <v>Cumin Powder - كمون مطحون</v>
      </c>
      <c r="C146" s="1281" t="str">
        <f t="shared" si="33"/>
        <v>gm</v>
      </c>
      <c r="D146" s="1281">
        <f t="shared" si="33"/>
        <v>18</v>
      </c>
      <c r="E146" s="1704">
        <f t="shared" si="34"/>
        <v>0</v>
      </c>
      <c r="F146" s="1282">
        <f t="shared" si="35"/>
        <v>0.7</v>
      </c>
      <c r="G146" s="940">
        <f t="shared" si="36"/>
        <v>0</v>
      </c>
      <c r="H146" s="1617">
        <f t="shared" si="37"/>
        <v>0</v>
      </c>
    </row>
    <row r="147" spans="1:8" x14ac:dyDescent="0.2">
      <c r="A147" s="876"/>
      <c r="B147" s="1281" t="str">
        <f t="shared" si="33"/>
        <v>Water - ماء</v>
      </c>
      <c r="C147" s="1281" t="str">
        <f t="shared" si="33"/>
        <v>ml</v>
      </c>
      <c r="D147" s="1281">
        <f t="shared" si="33"/>
        <v>720</v>
      </c>
      <c r="E147" s="1704">
        <f t="shared" si="34"/>
        <v>0</v>
      </c>
      <c r="F147" s="1282">
        <f t="shared" si="35"/>
        <v>1</v>
      </c>
      <c r="G147" s="940">
        <f t="shared" si="36"/>
        <v>0</v>
      </c>
      <c r="H147" s="1617">
        <f t="shared" si="37"/>
        <v>0</v>
      </c>
    </row>
    <row r="148" spans="1:8" x14ac:dyDescent="0.2">
      <c r="A148" s="876"/>
      <c r="B148" s="1281" t="str">
        <f t="shared" si="33"/>
        <v>Cardamom Whole - هيل حب</v>
      </c>
      <c r="C148" s="1281" t="str">
        <f t="shared" si="33"/>
        <v>gm</v>
      </c>
      <c r="D148" s="1281">
        <f t="shared" si="33"/>
        <v>12</v>
      </c>
      <c r="E148" s="1704">
        <f t="shared" si="34"/>
        <v>0</v>
      </c>
      <c r="F148" s="1282">
        <f t="shared" si="35"/>
        <v>0.25</v>
      </c>
      <c r="G148" s="940">
        <f t="shared" si="36"/>
        <v>0</v>
      </c>
      <c r="H148" s="1617">
        <f t="shared" si="37"/>
        <v>0</v>
      </c>
    </row>
    <row r="149" spans="1:8" x14ac:dyDescent="0.2">
      <c r="A149" s="876"/>
      <c r="B149" s="1281" t="str">
        <f t="shared" si="33"/>
        <v>Tomato Paste - صلصة طماطم</v>
      </c>
      <c r="C149" s="1281" t="str">
        <f t="shared" si="33"/>
        <v>gm</v>
      </c>
      <c r="D149" s="1281">
        <f t="shared" si="33"/>
        <v>60</v>
      </c>
      <c r="E149" s="1704">
        <f t="shared" si="34"/>
        <v>0</v>
      </c>
      <c r="F149" s="1282">
        <f t="shared" si="35"/>
        <v>0.75</v>
      </c>
      <c r="G149" s="940">
        <f t="shared" si="36"/>
        <v>0</v>
      </c>
      <c r="H149" s="1617">
        <f t="shared" si="37"/>
        <v>0</v>
      </c>
    </row>
    <row r="150" spans="1:8" x14ac:dyDescent="0.2">
      <c r="A150" s="876" t="s">
        <v>880</v>
      </c>
      <c r="B150" s="1281" t="str">
        <f t="shared" si="33"/>
        <v>Green Bell Pepper - فلفل أخضر رومى</v>
      </c>
      <c r="C150" s="1281" t="str">
        <f t="shared" si="33"/>
        <v>gm</v>
      </c>
      <c r="D150" s="1281">
        <f t="shared" si="33"/>
        <v>20.399999999999999</v>
      </c>
      <c r="E150" s="1704">
        <f t="shared" si="34"/>
        <v>0</v>
      </c>
      <c r="F150" s="1282">
        <f t="shared" si="35"/>
        <v>0.75</v>
      </c>
      <c r="G150" s="940">
        <f t="shared" si="36"/>
        <v>0</v>
      </c>
      <c r="H150" s="1617">
        <f t="shared" si="37"/>
        <v>0</v>
      </c>
    </row>
    <row r="151" spans="1:8" x14ac:dyDescent="0.2">
      <c r="A151" s="876"/>
      <c r="B151" s="1281" t="str">
        <f t="shared" si="33"/>
        <v>Kabsa Spices Powder - توابل كبسة بودر</v>
      </c>
      <c r="C151" s="1281" t="str">
        <f t="shared" si="33"/>
        <v>gm</v>
      </c>
      <c r="D151" s="1281">
        <f t="shared" si="33"/>
        <v>24</v>
      </c>
      <c r="E151" s="1704">
        <f t="shared" si="34"/>
        <v>0</v>
      </c>
      <c r="F151" s="1282">
        <f t="shared" si="35"/>
        <v>0.5</v>
      </c>
      <c r="G151" s="940">
        <f t="shared" si="36"/>
        <v>0</v>
      </c>
      <c r="H151" s="1617">
        <f t="shared" si="37"/>
        <v>0</v>
      </c>
    </row>
    <row r="152" spans="1:8" x14ac:dyDescent="0.2">
      <c r="A152" s="876"/>
      <c r="B152" s="1281" t="str">
        <f t="shared" si="33"/>
        <v>Coriander Powder - كزبرة مطحونة</v>
      </c>
      <c r="C152" s="1281" t="str">
        <f t="shared" si="33"/>
        <v>gm</v>
      </c>
      <c r="D152" s="1281">
        <f t="shared" si="33"/>
        <v>18</v>
      </c>
      <c r="E152" s="1704">
        <f t="shared" si="34"/>
        <v>0</v>
      </c>
      <c r="F152" s="1282">
        <f t="shared" si="35"/>
        <v>0.7</v>
      </c>
      <c r="G152" s="940">
        <f t="shared" si="36"/>
        <v>0</v>
      </c>
      <c r="H152" s="1617">
        <f t="shared" si="37"/>
        <v>0</v>
      </c>
    </row>
    <row r="153" spans="1:8" x14ac:dyDescent="0.2">
      <c r="A153" s="876"/>
      <c r="B153" s="1281" t="str">
        <f t="shared" si="33"/>
        <v>Salt - ملح</v>
      </c>
      <c r="C153" s="1281" t="str">
        <f t="shared" si="33"/>
        <v>gm</v>
      </c>
      <c r="D153" s="1281">
        <f t="shared" si="33"/>
        <v>18</v>
      </c>
      <c r="E153" s="1704">
        <f t="shared" si="34"/>
        <v>0</v>
      </c>
      <c r="F153" s="1282">
        <f t="shared" si="35"/>
        <v>0.75</v>
      </c>
      <c r="G153" s="940">
        <f t="shared" si="36"/>
        <v>0</v>
      </c>
      <c r="H153" s="1617">
        <f t="shared" si="37"/>
        <v>0</v>
      </c>
    </row>
    <row r="154" spans="1:8" ht="18" x14ac:dyDescent="0.25">
      <c r="A154" s="861"/>
      <c r="B154" s="1622" t="s">
        <v>287</v>
      </c>
      <c r="C154" s="1042" t="s">
        <v>273</v>
      </c>
      <c r="D154" s="952"/>
      <c r="E154" s="1042" t="s">
        <v>288</v>
      </c>
      <c r="F154" s="952"/>
      <c r="G154" s="1045" t="s">
        <v>264</v>
      </c>
      <c r="H154" s="1045" t="s">
        <v>661</v>
      </c>
    </row>
    <row r="155" spans="1:8" ht="20.25" x14ac:dyDescent="0.3">
      <c r="A155" s="861"/>
      <c r="B155" s="1048">
        <f>$J$58</f>
        <v>0</v>
      </c>
      <c r="C155" s="1048">
        <f>E155+G155</f>
        <v>0</v>
      </c>
      <c r="D155" s="1629"/>
      <c r="E155" s="1048">
        <f>$D$58*$S$44</f>
        <v>0</v>
      </c>
      <c r="F155" s="1050"/>
      <c r="G155" s="1048">
        <f>$D$58*$T$44</f>
        <v>0</v>
      </c>
      <c r="H155" s="1048">
        <f>B155+E155</f>
        <v>0</v>
      </c>
    </row>
  </sheetData>
  <mergeCells count="17">
    <mergeCell ref="B143:H143"/>
    <mergeCell ref="B63:H63"/>
    <mergeCell ref="B77:H77"/>
    <mergeCell ref="B78:H78"/>
    <mergeCell ref="B95:H95"/>
    <mergeCell ref="B111:H111"/>
    <mergeCell ref="B142:H142"/>
    <mergeCell ref="B94:H94"/>
    <mergeCell ref="B110:H110"/>
    <mergeCell ref="AE2:AG3"/>
    <mergeCell ref="B126:H126"/>
    <mergeCell ref="B127:H127"/>
    <mergeCell ref="R26:T26"/>
    <mergeCell ref="B2:K3"/>
    <mergeCell ref="B62:H62"/>
    <mergeCell ref="R25:T25"/>
    <mergeCell ref="B35:F35"/>
  </mergeCells>
  <printOptions horizontalCentered="1"/>
  <pageMargins left="0.5" right="0.5" top="1" bottom="0.5" header="0.3" footer="0.511811023622047"/>
  <pageSetup paperSize="9" scale="33" orientation="portrait" r:id="rId1"/>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7">
    <tabColor theme="5" tint="-0.249977111117893"/>
    <pageSetUpPr fitToPage="1"/>
  </sheetPr>
  <dimension ref="A1:AF93"/>
  <sheetViews>
    <sheetView topLeftCell="A32" zoomScale="55" zoomScaleNormal="55" workbookViewId="0">
      <selection activeCell="I85" sqref="I85"/>
    </sheetView>
  </sheetViews>
  <sheetFormatPr defaultColWidth="12.5" defaultRowHeight="15" x14ac:dyDescent="0.25"/>
  <cols>
    <col min="1" max="1" width="16.75" style="61" bestFit="1" customWidth="1"/>
    <col min="2" max="2" width="42.75" style="14" bestFit="1" customWidth="1"/>
    <col min="3" max="3" width="16.375" style="14" bestFit="1" customWidth="1"/>
    <col min="4" max="4" width="17.75" style="14" bestFit="1" customWidth="1"/>
    <col min="5" max="5" width="15.375" style="14" bestFit="1" customWidth="1"/>
    <col min="6" max="6" width="15.5" style="14" bestFit="1" customWidth="1"/>
    <col min="7" max="7" width="21.75" style="14" bestFit="1" customWidth="1"/>
    <col min="8" max="8" width="39" style="14" bestFit="1" customWidth="1"/>
    <col min="9" max="9" width="16.75" style="14" bestFit="1" customWidth="1"/>
    <col min="10" max="10" width="13.875" style="14" bestFit="1" customWidth="1"/>
    <col min="11" max="11" width="11.125" style="14" bestFit="1" customWidth="1"/>
    <col min="12" max="12" width="6.75" style="14" bestFit="1" customWidth="1"/>
    <col min="13" max="14" width="6.25" style="14" customWidth="1"/>
    <col min="15" max="15" width="16.875" style="14" bestFit="1" customWidth="1"/>
    <col min="16" max="16" width="4.25" style="14" bestFit="1" customWidth="1"/>
    <col min="17" max="17" width="14.375" style="14" bestFit="1" customWidth="1"/>
    <col min="18" max="18" width="38.375" style="14" bestFit="1" customWidth="1"/>
    <col min="19" max="19" width="10.5" style="14" bestFit="1" customWidth="1"/>
    <col min="20" max="20" width="43.75" style="14" bestFit="1" customWidth="1"/>
    <col min="21" max="21" width="11.25" style="14" bestFit="1" customWidth="1"/>
    <col min="22" max="22" width="12.125" style="14" bestFit="1" customWidth="1"/>
    <col min="23" max="23" width="37.75" style="14" bestFit="1" customWidth="1"/>
    <col min="24" max="24" width="12.5" style="14" customWidth="1"/>
    <col min="25" max="25" width="7.75" style="14" bestFit="1" customWidth="1"/>
    <col min="26" max="26" width="11.25" style="14" bestFit="1" customWidth="1"/>
    <col min="27" max="27" width="13.125" style="14" bestFit="1" customWidth="1"/>
    <col min="28" max="28" width="13.5" style="14" bestFit="1" customWidth="1"/>
    <col min="29" max="29" width="14.375" style="14" bestFit="1" customWidth="1"/>
    <col min="30" max="30" width="6.875" style="437" bestFit="1" customWidth="1"/>
    <col min="31" max="31" width="12.5" style="437" customWidth="1"/>
    <col min="32" max="32" width="4.75" style="14" bestFit="1" customWidth="1"/>
    <col min="33" max="35" width="12.5" style="14" customWidth="1"/>
    <col min="36" max="36" width="34.75" style="14" customWidth="1"/>
    <col min="37" max="37" width="12.5" style="14" customWidth="1"/>
    <col min="38" max="16384" width="12.5" style="14"/>
  </cols>
  <sheetData>
    <row r="1" spans="1:32" ht="25.5" x14ac:dyDescent="0.25">
      <c r="B1" s="843" t="s">
        <v>231</v>
      </c>
      <c r="C1" s="63">
        <v>1000</v>
      </c>
      <c r="D1" s="64" t="s">
        <v>232</v>
      </c>
      <c r="E1" s="84">
        <f>U32</f>
        <v>8500</v>
      </c>
      <c r="F1" s="62" t="s">
        <v>233</v>
      </c>
      <c r="G1" s="84">
        <f>E1/C1</f>
        <v>8.5</v>
      </c>
      <c r="H1" s="62" t="s">
        <v>234</v>
      </c>
      <c r="I1" s="84">
        <f>G1/K1</f>
        <v>9.35</v>
      </c>
      <c r="J1" s="209" t="s">
        <v>235</v>
      </c>
      <c r="K1" s="210">
        <f>1000/1100</f>
        <v>0.90909090909090906</v>
      </c>
      <c r="L1" s="80"/>
      <c r="M1" s="80"/>
      <c r="N1" s="80"/>
      <c r="O1" s="72" t="s">
        <v>236</v>
      </c>
      <c r="P1" s="73" t="s">
        <v>289</v>
      </c>
      <c r="Q1" s="74" t="s">
        <v>238</v>
      </c>
      <c r="R1" s="73">
        <v>0.7</v>
      </c>
      <c r="S1" s="74" t="s">
        <v>332</v>
      </c>
      <c r="T1" s="211">
        <v>100</v>
      </c>
      <c r="U1" s="80"/>
      <c r="V1" s="80"/>
      <c r="Y1" s="72" t="s">
        <v>444</v>
      </c>
      <c r="Z1" s="422">
        <v>80</v>
      </c>
      <c r="AA1" s="72" t="s">
        <v>544</v>
      </c>
      <c r="AB1" s="422">
        <v>5</v>
      </c>
      <c r="AC1" s="72" t="s">
        <v>537</v>
      </c>
      <c r="AD1" s="422">
        <v>80</v>
      </c>
      <c r="AE1" s="72" t="s">
        <v>529</v>
      </c>
      <c r="AF1" s="422">
        <f>Z1+AB1</f>
        <v>85</v>
      </c>
    </row>
    <row r="2" spans="1:32" x14ac:dyDescent="0.25">
      <c r="A2" s="863"/>
      <c r="B2" s="1805" t="s">
        <v>145</v>
      </c>
      <c r="C2" s="1805"/>
      <c r="D2" s="1805"/>
      <c r="E2" s="1805"/>
      <c r="F2" s="1805"/>
      <c r="G2" s="1805"/>
      <c r="H2" s="1805"/>
      <c r="I2" s="327"/>
      <c r="J2" s="327"/>
      <c r="K2" s="327"/>
      <c r="L2" s="187"/>
      <c r="M2" s="80"/>
      <c r="N2" s="80"/>
      <c r="O2" s="80"/>
      <c r="P2" s="80"/>
      <c r="Q2" s="80"/>
      <c r="R2" s="80"/>
      <c r="S2" s="80"/>
      <c r="T2" s="80"/>
      <c r="U2" s="80"/>
    </row>
    <row r="3" spans="1:32" x14ac:dyDescent="0.25">
      <c r="A3" s="863"/>
      <c r="B3" s="1791"/>
      <c r="C3" s="1791"/>
      <c r="D3" s="1791"/>
      <c r="E3" s="1791"/>
      <c r="F3" s="1791"/>
      <c r="G3" s="1791"/>
      <c r="H3" s="1791"/>
      <c r="I3" s="1187"/>
      <c r="J3" s="1187"/>
      <c r="K3" s="1187"/>
      <c r="L3" s="187"/>
      <c r="M3" s="80"/>
      <c r="N3" s="80"/>
      <c r="O3" s="80"/>
      <c r="P3" s="80"/>
      <c r="Q3" s="80"/>
      <c r="R3" s="80"/>
      <c r="S3" s="80"/>
      <c r="T3" s="80"/>
      <c r="U3" s="80"/>
    </row>
    <row r="4" spans="1:32" ht="38.25" x14ac:dyDescent="0.2">
      <c r="A4" s="1350" t="s">
        <v>864</v>
      </c>
      <c r="B4" s="923" t="s">
        <v>241</v>
      </c>
      <c r="C4" s="934" t="s">
        <v>242</v>
      </c>
      <c r="D4" s="923" t="s">
        <v>231</v>
      </c>
      <c r="E4" s="935" t="s">
        <v>234</v>
      </c>
      <c r="F4" s="935" t="s">
        <v>243</v>
      </c>
      <c r="G4" s="923" t="s">
        <v>244</v>
      </c>
      <c r="H4" s="1635" t="s">
        <v>334</v>
      </c>
      <c r="I4" s="923" t="s">
        <v>246</v>
      </c>
      <c r="J4" s="923" t="s">
        <v>247</v>
      </c>
      <c r="K4" s="923" t="s">
        <v>248</v>
      </c>
      <c r="L4" s="923" t="s">
        <v>249</v>
      </c>
      <c r="M4" s="235"/>
      <c r="N4" s="80"/>
      <c r="O4" s="80"/>
      <c r="P4" s="80"/>
      <c r="Q4" s="80"/>
      <c r="R4" s="80"/>
      <c r="S4" s="80"/>
    </row>
    <row r="5" spans="1:32" x14ac:dyDescent="0.25">
      <c r="A5" s="949" t="s">
        <v>892</v>
      </c>
      <c r="B5" s="1252" t="s">
        <v>226</v>
      </c>
      <c r="C5" s="947" t="s">
        <v>14</v>
      </c>
      <c r="D5" s="944">
        <f>I51/10</f>
        <v>4762</v>
      </c>
      <c r="E5" s="1621">
        <f>H52</f>
        <v>1.9614992315538304</v>
      </c>
      <c r="F5" s="1616">
        <v>1</v>
      </c>
      <c r="G5" s="944">
        <f t="shared" ref="G5:G15" si="0">D5*E5</f>
        <v>9340.6593406593402</v>
      </c>
      <c r="H5" s="1705">
        <f t="shared" ref="H5:H15" si="1">G5*F5</f>
        <v>9340.6593406593402</v>
      </c>
      <c r="I5" s="914">
        <f>VLOOKUP(B5,All_Ingredients!$A$1:$F$161,6,FALSE())</f>
        <v>0.99</v>
      </c>
      <c r="J5" s="940">
        <f>VLOOKUP(B5,All_Ingredients!$A$1:$J$161,10,FALSE())</f>
        <v>11.75</v>
      </c>
      <c r="K5" s="945">
        <f t="shared" ref="K5" si="2">(H5/I5)/1000</f>
        <v>9.4350094350094356</v>
      </c>
      <c r="L5" s="945">
        <f t="shared" ref="L5" si="3">K5*J5</f>
        <v>110.86136086136086</v>
      </c>
      <c r="M5" s="87"/>
    </row>
    <row r="6" spans="1:32" x14ac:dyDescent="0.25">
      <c r="A6" s="949"/>
      <c r="B6" s="1252" t="s">
        <v>706</v>
      </c>
      <c r="C6" s="947" t="s">
        <v>14</v>
      </c>
      <c r="D6" s="1615">
        <v>53</v>
      </c>
      <c r="E6" s="1615">
        <f t="shared" ref="E6:E15" si="4">$I$1</f>
        <v>9.35</v>
      </c>
      <c r="F6" s="1616">
        <v>1</v>
      </c>
      <c r="G6" s="940">
        <f t="shared" si="0"/>
        <v>495.54999999999995</v>
      </c>
      <c r="H6" s="1617">
        <f t="shared" si="1"/>
        <v>495.54999999999995</v>
      </c>
      <c r="I6" s="914">
        <f>VLOOKUP(B6,All_Ingredients!$A$1:$F$161,6,FALSE())</f>
        <v>1</v>
      </c>
      <c r="J6" s="940">
        <f>VLOOKUP(B6,All_Ingredients!$A$1:$J$161,10,FALSE())</f>
        <v>10.5</v>
      </c>
      <c r="K6" s="945">
        <f t="shared" ref="K6:K15" si="5">(H6/I6)/1000</f>
        <v>0.49554999999999993</v>
      </c>
      <c r="L6" s="945">
        <f t="shared" ref="L6:L15" si="6">K6*J6</f>
        <v>5.2032749999999997</v>
      </c>
      <c r="M6" s="87"/>
    </row>
    <row r="7" spans="1:32" x14ac:dyDescent="0.25">
      <c r="A7" s="949"/>
      <c r="B7" s="1252" t="s">
        <v>28</v>
      </c>
      <c r="C7" s="947" t="s">
        <v>14</v>
      </c>
      <c r="D7" s="1615">
        <v>40</v>
      </c>
      <c r="E7" s="1615">
        <f t="shared" si="4"/>
        <v>9.35</v>
      </c>
      <c r="F7" s="1616">
        <v>1</v>
      </c>
      <c r="G7" s="940">
        <f t="shared" si="0"/>
        <v>374</v>
      </c>
      <c r="H7" s="1617">
        <f t="shared" si="1"/>
        <v>374</v>
      </c>
      <c r="I7" s="914">
        <f>VLOOKUP(B7,All_Ingredients!$A$1:$F$161,6,FALSE())</f>
        <v>0.73</v>
      </c>
      <c r="J7" s="940">
        <f>VLOOKUP(B7,All_Ingredients!$A$1:$J$161,10,FALSE())</f>
        <v>8.5</v>
      </c>
      <c r="K7" s="945">
        <f t="shared" si="5"/>
        <v>0.51232876712328768</v>
      </c>
      <c r="L7" s="945">
        <f t="shared" si="6"/>
        <v>4.3547945205479452</v>
      </c>
      <c r="M7" s="87"/>
    </row>
    <row r="8" spans="1:32" x14ac:dyDescent="0.25">
      <c r="A8" s="949"/>
      <c r="B8" s="1252" t="s">
        <v>30</v>
      </c>
      <c r="C8" s="947" t="s">
        <v>14</v>
      </c>
      <c r="D8" s="1615">
        <v>40</v>
      </c>
      <c r="E8" s="1615">
        <f t="shared" si="4"/>
        <v>9.35</v>
      </c>
      <c r="F8" s="1616">
        <v>1</v>
      </c>
      <c r="G8" s="940">
        <f t="shared" si="0"/>
        <v>374</v>
      </c>
      <c r="H8" s="1617">
        <f t="shared" si="1"/>
        <v>374</v>
      </c>
      <c r="I8" s="914">
        <f>VLOOKUP(B8,All_Ingredients!$A$1:$F$161,6,FALSE())</f>
        <v>0.71</v>
      </c>
      <c r="J8" s="940">
        <f>VLOOKUP(B8,All_Ingredients!$A$1:$J$161,10,FALSE())</f>
        <v>8.5</v>
      </c>
      <c r="K8" s="945">
        <f t="shared" si="5"/>
        <v>0.52676056338028177</v>
      </c>
      <c r="L8" s="945">
        <f t="shared" si="6"/>
        <v>4.4774647887323953</v>
      </c>
      <c r="M8" s="87"/>
    </row>
    <row r="9" spans="1:32" x14ac:dyDescent="0.25">
      <c r="A9" s="949"/>
      <c r="B9" s="1252" t="s">
        <v>32</v>
      </c>
      <c r="C9" s="947" t="s">
        <v>14</v>
      </c>
      <c r="D9" s="1615">
        <v>40</v>
      </c>
      <c r="E9" s="1615">
        <f t="shared" si="4"/>
        <v>9.35</v>
      </c>
      <c r="F9" s="1616">
        <v>1</v>
      </c>
      <c r="G9" s="940">
        <f t="shared" si="0"/>
        <v>374</v>
      </c>
      <c r="H9" s="1617">
        <f t="shared" si="1"/>
        <v>374</v>
      </c>
      <c r="I9" s="914">
        <f>VLOOKUP(B9,All_Ingredients!$A$1:$F$161,6,FALSE())</f>
        <v>0.69</v>
      </c>
      <c r="J9" s="940">
        <f>VLOOKUP(B9,All_Ingredients!$A$1:$J$161,10,FALSE())</f>
        <v>4</v>
      </c>
      <c r="K9" s="945">
        <f t="shared" si="5"/>
        <v>0.54202898550724643</v>
      </c>
      <c r="L9" s="945">
        <f t="shared" si="6"/>
        <v>2.1681159420289857</v>
      </c>
      <c r="M9" s="87"/>
    </row>
    <row r="10" spans="1:32" x14ac:dyDescent="0.25">
      <c r="A10" s="949"/>
      <c r="B10" s="1252" t="s">
        <v>12</v>
      </c>
      <c r="C10" s="947" t="s">
        <v>14</v>
      </c>
      <c r="D10" s="1615">
        <v>80</v>
      </c>
      <c r="E10" s="1615">
        <f t="shared" si="4"/>
        <v>9.35</v>
      </c>
      <c r="F10" s="1616">
        <v>1</v>
      </c>
      <c r="G10" s="940">
        <f t="shared" si="0"/>
        <v>748</v>
      </c>
      <c r="H10" s="1617">
        <f t="shared" si="1"/>
        <v>748</v>
      </c>
      <c r="I10" s="914">
        <f>VLOOKUP(B10,All_Ingredients!$A$1:$F$161,6,FALSE())</f>
        <v>0.9</v>
      </c>
      <c r="J10" s="940">
        <f>VLOOKUP(B10,All_Ingredients!$A$1:$J$161,10,FALSE())</f>
        <v>3</v>
      </c>
      <c r="K10" s="945">
        <f t="shared" si="5"/>
        <v>0.83111111111111113</v>
      </c>
      <c r="L10" s="945">
        <f t="shared" si="6"/>
        <v>2.4933333333333332</v>
      </c>
      <c r="M10" s="87"/>
    </row>
    <row r="11" spans="1:32" x14ac:dyDescent="0.25">
      <c r="A11" s="949"/>
      <c r="B11" s="1252" t="s">
        <v>172</v>
      </c>
      <c r="C11" s="947" t="s">
        <v>14</v>
      </c>
      <c r="D11" s="1615">
        <v>200</v>
      </c>
      <c r="E11" s="1615">
        <f t="shared" si="4"/>
        <v>9.35</v>
      </c>
      <c r="F11" s="1616">
        <v>0.75</v>
      </c>
      <c r="G11" s="940">
        <f t="shared" si="0"/>
        <v>1870</v>
      </c>
      <c r="H11" s="1617">
        <f t="shared" si="1"/>
        <v>1402.5</v>
      </c>
      <c r="I11" s="914">
        <f>VLOOKUP(B11,All_Ingredients!$A$1:$F$161,6,FALSE())</f>
        <v>1</v>
      </c>
      <c r="J11" s="940">
        <f>VLOOKUP(B11,All_Ingredients!$A$1:$J$161,10,FALSE())</f>
        <v>17.934782608695652</v>
      </c>
      <c r="K11" s="945">
        <f t="shared" si="5"/>
        <v>1.4025000000000001</v>
      </c>
      <c r="L11" s="945">
        <f t="shared" si="6"/>
        <v>25.153532608695652</v>
      </c>
      <c r="M11" s="87"/>
    </row>
    <row r="12" spans="1:32" x14ac:dyDescent="0.25">
      <c r="A12" s="949"/>
      <c r="B12" s="1252" t="s">
        <v>93</v>
      </c>
      <c r="C12" s="947" t="s">
        <v>14</v>
      </c>
      <c r="D12" s="1615">
        <v>2</v>
      </c>
      <c r="E12" s="1615">
        <f t="shared" si="4"/>
        <v>9.35</v>
      </c>
      <c r="F12" s="1616">
        <v>1</v>
      </c>
      <c r="G12" s="940">
        <f t="shared" si="0"/>
        <v>18.7</v>
      </c>
      <c r="H12" s="1617">
        <f t="shared" si="1"/>
        <v>18.7</v>
      </c>
      <c r="I12" s="914">
        <f>VLOOKUP(B12,All_Ingredients!$A$1:$F$161,6,FALSE())</f>
        <v>1</v>
      </c>
      <c r="J12" s="940">
        <f>VLOOKUP(B12,All_Ingredients!$A$1:$J$161,10,FALSE())</f>
        <v>0.74</v>
      </c>
      <c r="K12" s="945">
        <f t="shared" si="5"/>
        <v>1.8699999999999998E-2</v>
      </c>
      <c r="L12" s="945">
        <f t="shared" si="6"/>
        <v>1.3837999999999998E-2</v>
      </c>
      <c r="M12" s="87"/>
    </row>
    <row r="13" spans="1:32" x14ac:dyDescent="0.25">
      <c r="A13" s="949"/>
      <c r="B13" s="1252" t="s">
        <v>99</v>
      </c>
      <c r="C13" s="947" t="s">
        <v>14</v>
      </c>
      <c r="D13" s="1615">
        <v>4</v>
      </c>
      <c r="E13" s="1615">
        <f t="shared" si="4"/>
        <v>9.35</v>
      </c>
      <c r="F13" s="1616">
        <v>1</v>
      </c>
      <c r="G13" s="940">
        <f t="shared" si="0"/>
        <v>37.4</v>
      </c>
      <c r="H13" s="1617">
        <f t="shared" si="1"/>
        <v>37.4</v>
      </c>
      <c r="I13" s="914">
        <f>VLOOKUP(B13,All_Ingredients!$A$1:$F$161,6,FALSE())</f>
        <v>1</v>
      </c>
      <c r="J13" s="940">
        <f>VLOOKUP(B13,All_Ingredients!$A$1:$J$161,10,FALSE())</f>
        <v>31</v>
      </c>
      <c r="K13" s="945">
        <f t="shared" si="5"/>
        <v>3.7399999999999996E-2</v>
      </c>
      <c r="L13" s="945">
        <f t="shared" si="6"/>
        <v>1.1593999999999998</v>
      </c>
      <c r="M13" s="87"/>
    </row>
    <row r="14" spans="1:32" x14ac:dyDescent="0.25">
      <c r="A14" s="949"/>
      <c r="B14" s="1252" t="s">
        <v>105</v>
      </c>
      <c r="C14" s="947" t="s">
        <v>14</v>
      </c>
      <c r="D14" s="1615">
        <v>6</v>
      </c>
      <c r="E14" s="1615">
        <f t="shared" si="4"/>
        <v>9.35</v>
      </c>
      <c r="F14" s="1616">
        <v>1</v>
      </c>
      <c r="G14" s="940">
        <f t="shared" si="0"/>
        <v>56.099999999999994</v>
      </c>
      <c r="H14" s="1617">
        <f t="shared" si="1"/>
        <v>56.099999999999994</v>
      </c>
      <c r="I14" s="914">
        <f>VLOOKUP(B14,All_Ingredients!$A$1:$F$161,6,FALSE())</f>
        <v>1</v>
      </c>
      <c r="J14" s="940">
        <f>VLOOKUP(B14,All_Ingredients!$A$1:$J$161,10,FALSE())</f>
        <v>15</v>
      </c>
      <c r="K14" s="945">
        <f t="shared" si="5"/>
        <v>5.6099999999999997E-2</v>
      </c>
      <c r="L14" s="945">
        <f t="shared" si="6"/>
        <v>0.84149999999999991</v>
      </c>
      <c r="M14" s="87"/>
    </row>
    <row r="15" spans="1:32" x14ac:dyDescent="0.25">
      <c r="A15" s="949"/>
      <c r="B15" s="1252" t="s">
        <v>152</v>
      </c>
      <c r="C15" s="947" t="s">
        <v>14</v>
      </c>
      <c r="D15" s="1615">
        <v>84</v>
      </c>
      <c r="E15" s="1615">
        <f t="shared" si="4"/>
        <v>9.35</v>
      </c>
      <c r="F15" s="1616">
        <v>1</v>
      </c>
      <c r="G15" s="940">
        <f t="shared" si="0"/>
        <v>785.4</v>
      </c>
      <c r="H15" s="1617">
        <f t="shared" si="1"/>
        <v>785.4</v>
      </c>
      <c r="I15" s="914">
        <f>VLOOKUP(B15,All_Ingredients!$A$1:$F$161,6,FALSE())</f>
        <v>1</v>
      </c>
      <c r="J15" s="940">
        <f>VLOOKUP(B15,All_Ingredients!$A$1:$J$161,10,FALSE())</f>
        <v>30</v>
      </c>
      <c r="K15" s="945">
        <f t="shared" si="5"/>
        <v>0.78539999999999999</v>
      </c>
      <c r="L15" s="945">
        <f t="shared" si="6"/>
        <v>23.562000000000001</v>
      </c>
      <c r="M15" s="87"/>
    </row>
    <row r="16" spans="1:32" x14ac:dyDescent="0.25">
      <c r="A16" s="949"/>
      <c r="B16" s="1252" t="s">
        <v>800</v>
      </c>
      <c r="C16" s="947" t="s">
        <v>230</v>
      </c>
      <c r="D16" s="1615">
        <v>1</v>
      </c>
      <c r="E16" s="1615">
        <f>$Z$1+$AB$1</f>
        <v>85</v>
      </c>
      <c r="F16" s="1616">
        <v>1</v>
      </c>
      <c r="G16" s="944">
        <f>D16*($Z$1+$AB$1)</f>
        <v>85</v>
      </c>
      <c r="H16" s="1617">
        <f>G16*F16</f>
        <v>85</v>
      </c>
      <c r="I16" s="914">
        <f>VLOOKUP(B16,All_Ingredients!$A$1:$F$161,6,FALSE())</f>
        <v>1</v>
      </c>
      <c r="J16" s="940">
        <f>VLOOKUP(B16,All_Ingredients!$A$1:$J$161,10,FALSE())</f>
        <v>0.5</v>
      </c>
      <c r="K16" s="1020">
        <f>H16*I16</f>
        <v>85</v>
      </c>
      <c r="L16" s="945">
        <f>K16*J16</f>
        <v>42.5</v>
      </c>
      <c r="M16" s="92"/>
      <c r="N16" s="87"/>
      <c r="O16" s="87"/>
    </row>
    <row r="25" spans="18:31" x14ac:dyDescent="0.25">
      <c r="R25" s="1886" t="s">
        <v>450</v>
      </c>
      <c r="S25" s="1886"/>
      <c r="T25" s="1886"/>
      <c r="U25" s="1886"/>
      <c r="V25" s="592"/>
      <c r="W25" s="592"/>
      <c r="Z25" s="96" t="s">
        <v>252</v>
      </c>
      <c r="AA25" s="97">
        <v>1</v>
      </c>
      <c r="AB25" s="96" t="s">
        <v>249</v>
      </c>
      <c r="AC25" s="596">
        <f>AE30*AA25</f>
        <v>2.6210425300552842</v>
      </c>
      <c r="AD25" s="14"/>
    </row>
    <row r="26" spans="18:31" x14ac:dyDescent="0.25">
      <c r="R26" s="1888" t="s">
        <v>296</v>
      </c>
      <c r="S26" s="1888"/>
      <c r="T26" s="1888"/>
      <c r="U26" s="1888"/>
      <c r="V26" s="592"/>
      <c r="W26" s="592"/>
      <c r="AD26" s="14"/>
    </row>
    <row r="27" spans="18:31" ht="15.75" thickBot="1" x14ac:dyDescent="0.3">
      <c r="R27" s="100" t="s">
        <v>254</v>
      </c>
      <c r="S27" s="100" t="s">
        <v>297</v>
      </c>
      <c r="T27" s="100" t="s">
        <v>335</v>
      </c>
      <c r="U27" s="100" t="s">
        <v>257</v>
      </c>
      <c r="V27" s="101" t="s">
        <v>759</v>
      </c>
      <c r="W27" s="101" t="s">
        <v>754</v>
      </c>
      <c r="Z27" s="96" t="s">
        <v>258</v>
      </c>
      <c r="AA27" s="102" t="s">
        <v>259</v>
      </c>
      <c r="AB27" s="102" t="s">
        <v>260</v>
      </c>
      <c r="AC27" s="102" t="s">
        <v>757</v>
      </c>
      <c r="AD27" s="102" t="s">
        <v>754</v>
      </c>
      <c r="AE27" s="102" t="s">
        <v>262</v>
      </c>
    </row>
    <row r="28" spans="18:31" ht="15.75" thickBot="1" x14ac:dyDescent="0.3">
      <c r="R28" s="100" t="s">
        <v>263</v>
      </c>
      <c r="S28" s="400">
        <f>U28*S40</f>
        <v>6153.8461538461524</v>
      </c>
      <c r="T28" s="399">
        <f>U28*U40</f>
        <v>1846.153846153848</v>
      </c>
      <c r="U28" s="398">
        <f>$Z$1*$T$1</f>
        <v>8000</v>
      </c>
      <c r="V28" s="104"/>
      <c r="W28" s="104">
        <f>H16</f>
        <v>85</v>
      </c>
      <c r="Z28" s="105"/>
      <c r="AA28" s="106">
        <f>AA25*$S$40</f>
        <v>0.76923076923076905</v>
      </c>
      <c r="AB28" s="106">
        <f>AA25-AA28</f>
        <v>0.23076923076923095</v>
      </c>
      <c r="AC28" s="591"/>
      <c r="AD28" s="591"/>
      <c r="AE28" s="108">
        <f>SUM(AA28:AB28)</f>
        <v>1</v>
      </c>
    </row>
    <row r="29" spans="18:31" ht="15.75" thickBot="1" x14ac:dyDescent="0.3">
      <c r="R29" s="100" t="s">
        <v>264</v>
      </c>
      <c r="S29" s="401"/>
      <c r="T29" s="400"/>
      <c r="U29" s="218">
        <f>T29</f>
        <v>0</v>
      </c>
      <c r="V29" s="104"/>
      <c r="W29" s="104"/>
      <c r="Z29" s="105"/>
      <c r="AA29" s="110">
        <f>AA28/$AE$28</f>
        <v>0.76923076923076905</v>
      </c>
      <c r="AB29" s="110">
        <f>AB28/$AE$28</f>
        <v>0.23076923076923095</v>
      </c>
      <c r="AC29" s="591"/>
      <c r="AD29" s="591"/>
      <c r="AE29" s="110">
        <f>AE28/$AE$28</f>
        <v>1</v>
      </c>
    </row>
    <row r="30" spans="18:31" ht="15.75" thickBot="1" x14ac:dyDescent="0.3">
      <c r="R30" s="100" t="s">
        <v>265</v>
      </c>
      <c r="S30" s="662">
        <f>U30*S40</f>
        <v>384.61538461538453</v>
      </c>
      <c r="T30" s="662">
        <f>U30*(1/3)</f>
        <v>166.66666666666666</v>
      </c>
      <c r="U30" s="398">
        <f>$AB$1*$T$1</f>
        <v>500</v>
      </c>
      <c r="V30" s="547"/>
      <c r="W30" s="547"/>
      <c r="Z30" s="96" t="s">
        <v>266</v>
      </c>
      <c r="AA30" s="111">
        <f>S35/(AF1)</f>
        <v>1.3042513042513042</v>
      </c>
      <c r="AB30" s="590">
        <f>T35/AF1</f>
        <v>0.81679122580398</v>
      </c>
      <c r="AC30" s="191">
        <f>V35/AF1</f>
        <v>0</v>
      </c>
      <c r="AD30" s="549">
        <f>W35/$AF$1</f>
        <v>0.5</v>
      </c>
      <c r="AE30" s="552">
        <f>AA30+AB30+AC30+AD30</f>
        <v>2.6210425300552842</v>
      </c>
    </row>
    <row r="31" spans="18:31" ht="15.75" thickBot="1" x14ac:dyDescent="0.3">
      <c r="R31" s="100" t="s">
        <v>267</v>
      </c>
      <c r="S31" s="188"/>
      <c r="T31" s="188"/>
      <c r="U31" s="218">
        <f>T31</f>
        <v>0</v>
      </c>
      <c r="V31" s="104"/>
      <c r="W31" s="104"/>
    </row>
    <row r="32" spans="18:31" ht="15.75" thickBot="1" x14ac:dyDescent="0.3">
      <c r="R32" s="101" t="s">
        <v>257</v>
      </c>
      <c r="S32" s="219">
        <f>SUM(S28:S30)</f>
        <v>6538.4615384615372</v>
      </c>
      <c r="T32" s="219">
        <f>SUM(T28:T30)</f>
        <v>2012.8205128205148</v>
      </c>
      <c r="U32" s="219">
        <f>SUM(U28:U30)</f>
        <v>8500</v>
      </c>
      <c r="V32" s="104"/>
      <c r="W32" s="104"/>
    </row>
    <row r="33" spans="2:23" ht="15.75" thickBot="1" x14ac:dyDescent="0.3">
      <c r="B33" s="80"/>
      <c r="C33" s="80"/>
      <c r="D33" s="225"/>
      <c r="E33" s="80"/>
      <c r="F33" s="80"/>
      <c r="G33" s="80"/>
      <c r="H33" s="80"/>
      <c r="I33" s="80"/>
      <c r="J33" s="80"/>
      <c r="R33" s="220" t="s">
        <v>254</v>
      </c>
      <c r="S33" s="221"/>
      <c r="T33" s="221"/>
      <c r="U33" s="222"/>
      <c r="V33" s="109"/>
      <c r="W33" s="109"/>
    </row>
    <row r="34" spans="2:23" ht="15.75" thickBot="1" x14ac:dyDescent="0.3">
      <c r="B34" s="80"/>
      <c r="C34" s="80"/>
      <c r="D34" s="80"/>
      <c r="E34" s="80"/>
      <c r="F34" s="80"/>
      <c r="G34" s="80"/>
      <c r="H34" s="80"/>
      <c r="I34" s="80"/>
      <c r="J34" s="80"/>
      <c r="R34" s="130" t="s">
        <v>269</v>
      </c>
      <c r="S34" s="223"/>
      <c r="T34" s="224"/>
      <c r="U34" s="223"/>
      <c r="V34" s="109"/>
      <c r="W34" s="109"/>
    </row>
    <row r="35" spans="2:23" ht="18.75" thickBot="1" x14ac:dyDescent="0.3">
      <c r="B35" s="1815"/>
      <c r="C35" s="1799"/>
      <c r="D35" s="1799"/>
      <c r="E35" s="1799"/>
      <c r="F35" s="1799"/>
      <c r="G35" s="1799"/>
      <c r="H35" s="1799"/>
      <c r="I35" s="1799"/>
      <c r="J35" s="1799"/>
      <c r="R35" s="117" t="s">
        <v>249</v>
      </c>
      <c r="S35" s="548">
        <f>$L$5</f>
        <v>110.86136086136086</v>
      </c>
      <c r="T35" s="548">
        <f>SUM(L6:L15)</f>
        <v>69.4272541933383</v>
      </c>
      <c r="U35" s="548">
        <f>S35+T35+V35+W35</f>
        <v>222.78861505469916</v>
      </c>
      <c r="V35" s="548"/>
      <c r="W35" s="548">
        <f>L16</f>
        <v>42.5</v>
      </c>
    </row>
    <row r="36" spans="2:23" ht="18" x14ac:dyDescent="0.25">
      <c r="B36" s="1803"/>
      <c r="C36" s="1799"/>
      <c r="D36" s="1799"/>
      <c r="E36" s="1799"/>
      <c r="F36" s="1799"/>
      <c r="G36" s="1799"/>
      <c r="H36" s="1799"/>
      <c r="I36" s="1799"/>
      <c r="J36" s="1799"/>
    </row>
    <row r="38" spans="2:23" x14ac:dyDescent="0.25">
      <c r="B38" s="80"/>
      <c r="E38" s="80"/>
      <c r="F38" s="80"/>
    </row>
    <row r="39" spans="2:23" x14ac:dyDescent="0.25">
      <c r="B39" s="80"/>
      <c r="C39" s="80"/>
      <c r="D39" s="225"/>
      <c r="E39" s="80"/>
      <c r="F39" s="80"/>
      <c r="G39" s="80"/>
      <c r="H39" s="80"/>
      <c r="I39" s="80"/>
      <c r="J39" s="80"/>
    </row>
    <row r="40" spans="2:23" x14ac:dyDescent="0.25">
      <c r="B40" s="80"/>
      <c r="C40" s="80"/>
      <c r="D40" s="80"/>
      <c r="E40" s="80"/>
      <c r="F40" s="80"/>
      <c r="G40" s="80"/>
      <c r="H40" s="80"/>
      <c r="I40" s="80"/>
      <c r="J40" s="80"/>
      <c r="R40" s="119" t="s">
        <v>270</v>
      </c>
      <c r="S40" s="120">
        <v>0.76923076923076905</v>
      </c>
      <c r="T40" s="119" t="s">
        <v>271</v>
      </c>
      <c r="U40" s="121">
        <v>0.230769230769231</v>
      </c>
      <c r="V40" s="122">
        <f>S40+U40</f>
        <v>1</v>
      </c>
    </row>
    <row r="41" spans="2:23" ht="18" x14ac:dyDescent="0.25">
      <c r="B41" s="1815"/>
      <c r="C41" s="1799"/>
      <c r="D41" s="1799"/>
      <c r="E41" s="1799"/>
      <c r="F41" s="1799"/>
      <c r="G41" s="1799"/>
      <c r="H41" s="1799"/>
      <c r="I41" s="1799"/>
      <c r="J41" s="1799"/>
      <c r="U41" s="123"/>
    </row>
    <row r="42" spans="2:23" ht="18" x14ac:dyDescent="0.25">
      <c r="B42" s="1803"/>
      <c r="C42" s="1799"/>
      <c r="D42" s="1799"/>
      <c r="E42" s="1799"/>
      <c r="F42" s="1799"/>
      <c r="G42" s="1799"/>
      <c r="H42" s="1799"/>
      <c r="I42" s="1799"/>
      <c r="J42" s="1799"/>
    </row>
    <row r="43" spans="2:23" x14ac:dyDescent="0.25">
      <c r="B43" s="226"/>
      <c r="C43" s="227"/>
      <c r="D43" s="226"/>
      <c r="E43" s="226"/>
      <c r="F43" s="226"/>
      <c r="G43" s="226"/>
      <c r="H43" s="226"/>
      <c r="I43" s="226"/>
      <c r="J43" s="226"/>
      <c r="Q43" s="124" t="s">
        <v>272</v>
      </c>
      <c r="R43" s="124" t="s">
        <v>273</v>
      </c>
      <c r="S43" s="124" t="s">
        <v>274</v>
      </c>
      <c r="T43" s="124" t="s">
        <v>275</v>
      </c>
      <c r="U43" s="124" t="s">
        <v>276</v>
      </c>
      <c r="V43" s="124" t="s">
        <v>277</v>
      </c>
      <c r="W43" s="174" t="s">
        <v>278</v>
      </c>
    </row>
    <row r="44" spans="2:23" x14ac:dyDescent="0.25">
      <c r="B44" s="228"/>
      <c r="C44" s="228"/>
      <c r="D44" s="215"/>
      <c r="E44" s="215"/>
      <c r="F44" s="91"/>
      <c r="G44" s="92"/>
      <c r="H44" s="93"/>
      <c r="I44" s="73"/>
      <c r="J44" s="94"/>
      <c r="Q44" s="126">
        <v>43334</v>
      </c>
      <c r="R44" s="127">
        <f>D51</f>
        <v>10000</v>
      </c>
      <c r="S44" s="128">
        <v>1</v>
      </c>
      <c r="T44" s="128">
        <v>0</v>
      </c>
      <c r="U44" s="165">
        <f>R44*S44</f>
        <v>10000</v>
      </c>
      <c r="V44" s="129">
        <f>R44*T44</f>
        <v>0</v>
      </c>
      <c r="W44" s="175">
        <f>Q44-U44</f>
        <v>33334</v>
      </c>
    </row>
    <row r="50" spans="1:10" x14ac:dyDescent="0.25">
      <c r="B50" s="229"/>
      <c r="C50" s="130" t="s">
        <v>233</v>
      </c>
      <c r="D50" s="130" t="s">
        <v>279</v>
      </c>
      <c r="E50" s="80"/>
      <c r="F50" s="80"/>
      <c r="G50" s="100" t="s">
        <v>280</v>
      </c>
      <c r="H50" s="100" t="s">
        <v>233</v>
      </c>
      <c r="I50" s="130" t="s">
        <v>281</v>
      </c>
      <c r="J50" s="130" t="s">
        <v>282</v>
      </c>
    </row>
    <row r="51" spans="1:10" x14ac:dyDescent="0.25">
      <c r="B51" s="844" t="s">
        <v>283</v>
      </c>
      <c r="C51" s="133">
        <f>10/$K$1</f>
        <v>11</v>
      </c>
      <c r="D51" s="134">
        <f>$C$1*10</f>
        <v>10000</v>
      </c>
      <c r="E51" s="135"/>
      <c r="F51" s="80"/>
      <c r="G51" s="132" t="s">
        <v>283</v>
      </c>
      <c r="H51" s="182">
        <f>I51/$D$5</f>
        <v>10</v>
      </c>
      <c r="I51" s="133">
        <f>J51/$R$1</f>
        <v>47620</v>
      </c>
      <c r="J51" s="133">
        <f>$W$44</f>
        <v>33334</v>
      </c>
    </row>
    <row r="52" spans="1:10" x14ac:dyDescent="0.25">
      <c r="B52" s="846" t="s">
        <v>262</v>
      </c>
      <c r="C52" s="156">
        <f>$I$1</f>
        <v>9.35</v>
      </c>
      <c r="D52" s="157">
        <f>$E$1</f>
        <v>8500</v>
      </c>
      <c r="E52" s="80"/>
      <c r="F52" s="80"/>
      <c r="G52" s="103" t="s">
        <v>262</v>
      </c>
      <c r="H52" s="305">
        <f>I52/$D$5</f>
        <v>1.9614992315538304</v>
      </c>
      <c r="I52" s="129">
        <f>J52/$R$1</f>
        <v>9340.6593406593402</v>
      </c>
      <c r="J52" s="136">
        <f>S32</f>
        <v>6538.4615384615372</v>
      </c>
    </row>
    <row r="53" spans="1:10" x14ac:dyDescent="0.25">
      <c r="B53" s="846" t="s">
        <v>284</v>
      </c>
      <c r="C53" s="158">
        <f>MIN(C52, C51)</f>
        <v>9.35</v>
      </c>
      <c r="D53" s="157">
        <f>(C53*$K$1)*$C$1</f>
        <v>8500</v>
      </c>
      <c r="E53" s="80"/>
      <c r="F53" s="80"/>
      <c r="G53" s="103" t="s">
        <v>284</v>
      </c>
      <c r="H53" s="139">
        <f>MIN(H52,H51)</f>
        <v>1.9614992315538304</v>
      </c>
      <c r="I53" s="129">
        <f>J53/$R$1</f>
        <v>9340.6593406593402</v>
      </c>
      <c r="J53" s="129">
        <f>MIN(J52,J51)</f>
        <v>6538.4615384615372</v>
      </c>
    </row>
    <row r="54" spans="1:10" x14ac:dyDescent="0.25">
      <c r="B54" s="846" t="s">
        <v>285</v>
      </c>
      <c r="C54" s="158">
        <f>MIN(MAX(C52-C53,0),C51)</f>
        <v>0</v>
      </c>
      <c r="D54" s="157">
        <f>(C54*$K$1)*$C$1</f>
        <v>0</v>
      </c>
      <c r="E54" s="80"/>
      <c r="F54" s="80"/>
      <c r="G54" s="103" t="s">
        <v>285</v>
      </c>
      <c r="H54" s="139">
        <f>MIN(MAX(H52-H53),H51)</f>
        <v>0</v>
      </c>
      <c r="I54" s="129">
        <f>J54/$R$1</f>
        <v>0</v>
      </c>
      <c r="J54" s="129">
        <f>MIN(MAX(J52-J53),J51)</f>
        <v>0</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56" spans="1:10" ht="18" x14ac:dyDescent="0.25">
      <c r="B56" s="1803"/>
      <c r="C56" s="1799"/>
      <c r="D56" s="1799"/>
      <c r="E56" s="1799"/>
      <c r="F56" s="1799"/>
      <c r="G56" s="1799"/>
      <c r="H56" s="1799"/>
      <c r="I56" s="1799"/>
      <c r="J56" s="1799"/>
    </row>
    <row r="57" spans="1:10" x14ac:dyDescent="0.25">
      <c r="B57" s="226"/>
      <c r="C57" s="227"/>
      <c r="D57" s="226"/>
      <c r="E57" s="226"/>
      <c r="F57" s="226"/>
      <c r="G57" s="226"/>
      <c r="H57" s="226"/>
      <c r="I57" s="226"/>
      <c r="J57" s="226"/>
    </row>
    <row r="58" spans="1:10" x14ac:dyDescent="0.25">
      <c r="B58" s="11"/>
      <c r="C58" s="228"/>
      <c r="D58" s="228"/>
      <c r="E58" s="215"/>
      <c r="F58" s="91"/>
      <c r="G58" s="92"/>
      <c r="H58" s="93"/>
      <c r="I58" s="73"/>
      <c r="J58" s="94"/>
    </row>
    <row r="59" spans="1:10" x14ac:dyDescent="0.25">
      <c r="B59" s="11"/>
      <c r="C59" s="228"/>
      <c r="D59" s="228"/>
      <c r="E59" s="215"/>
      <c r="F59" s="91"/>
      <c r="G59" s="92"/>
      <c r="H59" s="93"/>
      <c r="I59" s="73"/>
      <c r="J59" s="94"/>
    </row>
    <row r="60" spans="1:10" x14ac:dyDescent="0.25">
      <c r="B60" s="228"/>
      <c r="C60" s="228"/>
      <c r="D60" s="228"/>
      <c r="E60" s="215"/>
      <c r="F60" s="91"/>
      <c r="G60" s="92"/>
      <c r="H60" s="93"/>
      <c r="I60" s="73"/>
      <c r="J60" s="94"/>
    </row>
    <row r="61" spans="1:10" ht="18" x14ac:dyDescent="0.25">
      <c r="B61" s="1803"/>
      <c r="C61" s="1796"/>
      <c r="D61" s="1796"/>
      <c r="E61" s="1796"/>
      <c r="F61" s="1796"/>
      <c r="G61" s="1796"/>
      <c r="H61" s="1796"/>
    </row>
    <row r="62" spans="1:10" x14ac:dyDescent="0.25">
      <c r="A62" s="863"/>
      <c r="B62" s="1805" t="s">
        <v>145</v>
      </c>
      <c r="C62" s="1805"/>
      <c r="D62" s="1805"/>
      <c r="E62" s="1805"/>
      <c r="F62" s="1805"/>
      <c r="G62" s="1805"/>
      <c r="H62" s="1805"/>
    </row>
    <row r="63" spans="1:10" x14ac:dyDescent="0.25">
      <c r="A63" s="863"/>
      <c r="B63" s="1791"/>
      <c r="C63" s="1791"/>
      <c r="D63" s="1791"/>
      <c r="E63" s="1791"/>
      <c r="F63" s="1791"/>
      <c r="G63" s="1791"/>
      <c r="H63" s="1791"/>
    </row>
    <row r="64" spans="1:10" ht="38.25" x14ac:dyDescent="0.2">
      <c r="A64" s="1350" t="s">
        <v>864</v>
      </c>
      <c r="B64" s="923" t="s">
        <v>241</v>
      </c>
      <c r="C64" s="934" t="s">
        <v>242</v>
      </c>
      <c r="D64" s="923" t="s">
        <v>231</v>
      </c>
      <c r="E64" s="935" t="s">
        <v>234</v>
      </c>
      <c r="F64" s="935" t="s">
        <v>243</v>
      </c>
      <c r="G64" s="923" t="s">
        <v>244</v>
      </c>
      <c r="H64" s="1635" t="s">
        <v>334</v>
      </c>
    </row>
    <row r="65" spans="1:14" x14ac:dyDescent="0.25">
      <c r="A65" s="949" t="s">
        <v>892</v>
      </c>
      <c r="B65" s="1252" t="str">
        <f>B5</f>
        <v>Indian Meat Tammam Mafroom - مفروم هندى</v>
      </c>
      <c r="C65" s="1252" t="str">
        <f t="shared" ref="C65:F65" si="7">C5</f>
        <v>gm</v>
      </c>
      <c r="D65" s="1252">
        <f t="shared" si="7"/>
        <v>4762</v>
      </c>
      <c r="E65" s="1620">
        <f t="shared" si="7"/>
        <v>1.9614992315538304</v>
      </c>
      <c r="F65" s="1743">
        <f t="shared" si="7"/>
        <v>1</v>
      </c>
      <c r="G65" s="944">
        <f t="shared" ref="G65:G75" si="8">D65*E65</f>
        <v>9340.6593406593402</v>
      </c>
      <c r="H65" s="1705">
        <f t="shared" ref="H65:H75" si="9">G65*F65</f>
        <v>9340.6593406593402</v>
      </c>
      <c r="I65" s="73"/>
      <c r="J65" s="92"/>
      <c r="L65" s="92"/>
      <c r="M65" s="87"/>
      <c r="N65" s="87"/>
    </row>
    <row r="66" spans="1:14" x14ac:dyDescent="0.25">
      <c r="A66" s="949"/>
      <c r="B66" s="1252" t="str">
        <f t="shared" ref="B66:F66" si="10">B6</f>
        <v>Garlic - ثوم مقشر</v>
      </c>
      <c r="C66" s="1252" t="str">
        <f t="shared" si="10"/>
        <v>gm</v>
      </c>
      <c r="D66" s="1252">
        <f t="shared" si="10"/>
        <v>53</v>
      </c>
      <c r="E66" s="1620">
        <f t="shared" si="10"/>
        <v>9.35</v>
      </c>
      <c r="F66" s="1743">
        <f t="shared" si="10"/>
        <v>1</v>
      </c>
      <c r="G66" s="940">
        <f t="shared" si="8"/>
        <v>495.54999999999995</v>
      </c>
      <c r="H66" s="1617">
        <f t="shared" si="9"/>
        <v>495.54999999999995</v>
      </c>
      <c r="K66" s="87"/>
    </row>
    <row r="67" spans="1:14" x14ac:dyDescent="0.25">
      <c r="A67" s="949"/>
      <c r="B67" s="1252" t="str">
        <f t="shared" ref="B67:F67" si="11">B7</f>
        <v xml:space="preserve">Red Bell Pepper - فلفل أحمر </v>
      </c>
      <c r="C67" s="1252" t="str">
        <f t="shared" si="11"/>
        <v>gm</v>
      </c>
      <c r="D67" s="1252">
        <f t="shared" si="11"/>
        <v>40</v>
      </c>
      <c r="E67" s="1620">
        <f t="shared" si="11"/>
        <v>9.35</v>
      </c>
      <c r="F67" s="1743">
        <f t="shared" si="11"/>
        <v>1</v>
      </c>
      <c r="G67" s="940">
        <f t="shared" si="8"/>
        <v>374</v>
      </c>
      <c r="H67" s="1617">
        <f t="shared" si="9"/>
        <v>374</v>
      </c>
    </row>
    <row r="68" spans="1:14" x14ac:dyDescent="0.25">
      <c r="A68" s="949"/>
      <c r="B68" s="1252" t="str">
        <f t="shared" ref="B68:F68" si="12">B8</f>
        <v xml:space="preserve">Yellow Bell Pepper - فلفل أصفر </v>
      </c>
      <c r="C68" s="1252" t="str">
        <f t="shared" si="12"/>
        <v>gm</v>
      </c>
      <c r="D68" s="1252">
        <f t="shared" si="12"/>
        <v>40</v>
      </c>
      <c r="E68" s="1620">
        <f t="shared" si="12"/>
        <v>9.35</v>
      </c>
      <c r="F68" s="1743">
        <f t="shared" si="12"/>
        <v>1</v>
      </c>
      <c r="G68" s="940">
        <f t="shared" si="8"/>
        <v>374</v>
      </c>
      <c r="H68" s="1617">
        <f t="shared" si="9"/>
        <v>374</v>
      </c>
    </row>
    <row r="69" spans="1:14" x14ac:dyDescent="0.25">
      <c r="A69" s="949"/>
      <c r="B69" s="1252" t="str">
        <f t="shared" ref="B69:F69" si="13">B9</f>
        <v>Green Bell Pepper - فلفل أخضر رومى</v>
      </c>
      <c r="C69" s="1252" t="str">
        <f t="shared" si="13"/>
        <v>gm</v>
      </c>
      <c r="D69" s="1252">
        <f t="shared" si="13"/>
        <v>40</v>
      </c>
      <c r="E69" s="1620">
        <f t="shared" si="13"/>
        <v>9.35</v>
      </c>
      <c r="F69" s="1743">
        <f t="shared" si="13"/>
        <v>1</v>
      </c>
      <c r="G69" s="940">
        <f t="shared" si="8"/>
        <v>374</v>
      </c>
      <c r="H69" s="1617">
        <f t="shared" si="9"/>
        <v>374</v>
      </c>
    </row>
    <row r="70" spans="1:14" x14ac:dyDescent="0.25">
      <c r="A70" s="949"/>
      <c r="B70" s="1252" t="str">
        <f t="shared" ref="B70:F70" si="14">B10</f>
        <v>Onion - بصل</v>
      </c>
      <c r="C70" s="1252" t="str">
        <f t="shared" si="14"/>
        <v>gm</v>
      </c>
      <c r="D70" s="1252">
        <f t="shared" si="14"/>
        <v>80</v>
      </c>
      <c r="E70" s="1620">
        <f t="shared" si="14"/>
        <v>9.35</v>
      </c>
      <c r="F70" s="1743">
        <f t="shared" si="14"/>
        <v>1</v>
      </c>
      <c r="G70" s="940">
        <f t="shared" si="8"/>
        <v>748</v>
      </c>
      <c r="H70" s="1617">
        <f t="shared" si="9"/>
        <v>748</v>
      </c>
    </row>
    <row r="71" spans="1:14" x14ac:dyDescent="0.25">
      <c r="A71" s="949"/>
      <c r="B71" s="1252" t="str">
        <f t="shared" ref="B71:F71" si="15">B11</f>
        <v>Mozzarella Cheese - جبنة موتزاريلا</v>
      </c>
      <c r="C71" s="1252" t="str">
        <f t="shared" si="15"/>
        <v>gm</v>
      </c>
      <c r="D71" s="1252">
        <f t="shared" si="15"/>
        <v>200</v>
      </c>
      <c r="E71" s="1620">
        <f t="shared" si="15"/>
        <v>9.35</v>
      </c>
      <c r="F71" s="1743">
        <f t="shared" si="15"/>
        <v>0.75</v>
      </c>
      <c r="G71" s="940">
        <f t="shared" si="8"/>
        <v>1870</v>
      </c>
      <c r="H71" s="1617">
        <f t="shared" si="9"/>
        <v>1402.5</v>
      </c>
    </row>
    <row r="72" spans="1:14" x14ac:dyDescent="0.25">
      <c r="A72" s="949"/>
      <c r="B72" s="1252" t="str">
        <f t="shared" ref="B72:F72" si="16">B12</f>
        <v>Salt - ملح</v>
      </c>
      <c r="C72" s="1252" t="str">
        <f t="shared" si="16"/>
        <v>gm</v>
      </c>
      <c r="D72" s="1252">
        <f t="shared" si="16"/>
        <v>2</v>
      </c>
      <c r="E72" s="1620">
        <f t="shared" si="16"/>
        <v>9.35</v>
      </c>
      <c r="F72" s="1743">
        <f t="shared" si="16"/>
        <v>1</v>
      </c>
      <c r="G72" s="940">
        <f t="shared" si="8"/>
        <v>18.7</v>
      </c>
      <c r="H72" s="1617">
        <f t="shared" si="9"/>
        <v>18.7</v>
      </c>
    </row>
    <row r="73" spans="1:14" x14ac:dyDescent="0.25">
      <c r="A73" s="949"/>
      <c r="B73" s="1252" t="str">
        <f t="shared" ref="B73:F73" si="17">B13</f>
        <v>Black Pepper Powder - فلفل أسود مطحون</v>
      </c>
      <c r="C73" s="1252" t="str">
        <f t="shared" si="17"/>
        <v>gm</v>
      </c>
      <c r="D73" s="1252">
        <f t="shared" si="17"/>
        <v>4</v>
      </c>
      <c r="E73" s="1620">
        <f t="shared" si="17"/>
        <v>9.35</v>
      </c>
      <c r="F73" s="1743">
        <f t="shared" si="17"/>
        <v>1</v>
      </c>
      <c r="G73" s="940">
        <f t="shared" si="8"/>
        <v>37.4</v>
      </c>
      <c r="H73" s="1617">
        <f t="shared" si="9"/>
        <v>37.4</v>
      </c>
    </row>
    <row r="74" spans="1:14" x14ac:dyDescent="0.25">
      <c r="A74" s="949"/>
      <c r="B74" s="1252" t="str">
        <f t="shared" ref="B74:F74" si="18">B14</f>
        <v>Cumin Powder - كمون مطحون</v>
      </c>
      <c r="C74" s="1252" t="str">
        <f t="shared" si="18"/>
        <v>gm</v>
      </c>
      <c r="D74" s="1252">
        <f t="shared" si="18"/>
        <v>6</v>
      </c>
      <c r="E74" s="1620">
        <f t="shared" si="18"/>
        <v>9.35</v>
      </c>
      <c r="F74" s="1743">
        <f t="shared" si="18"/>
        <v>1</v>
      </c>
      <c r="G74" s="940">
        <f t="shared" si="8"/>
        <v>56.099999999999994</v>
      </c>
      <c r="H74" s="1617">
        <f t="shared" si="9"/>
        <v>56.099999999999994</v>
      </c>
    </row>
    <row r="75" spans="1:14" x14ac:dyDescent="0.25">
      <c r="A75" s="949"/>
      <c r="B75" s="1252" t="str">
        <f t="shared" ref="B75:F76" si="19">B15</f>
        <v>Butter - زبدة</v>
      </c>
      <c r="C75" s="1252" t="str">
        <f t="shared" si="19"/>
        <v>gm</v>
      </c>
      <c r="D75" s="1252">
        <f t="shared" si="19"/>
        <v>84</v>
      </c>
      <c r="E75" s="1620">
        <f t="shared" si="19"/>
        <v>9.35</v>
      </c>
      <c r="F75" s="1743">
        <f t="shared" si="19"/>
        <v>1</v>
      </c>
      <c r="G75" s="940">
        <f t="shared" si="8"/>
        <v>785.4</v>
      </c>
      <c r="H75" s="1617">
        <f t="shared" si="9"/>
        <v>785.4</v>
      </c>
    </row>
    <row r="76" spans="1:14" x14ac:dyDescent="0.25">
      <c r="A76" s="949"/>
      <c r="B76" s="1252" t="str">
        <f>B16</f>
        <v>Whole Wheat Oat Sub Roll - صامولي اسمر شوفان 16 سم</v>
      </c>
      <c r="C76" s="1252" t="str">
        <f t="shared" si="19"/>
        <v>Piece</v>
      </c>
      <c r="D76" s="1252">
        <f t="shared" si="19"/>
        <v>1</v>
      </c>
      <c r="E76" s="1620">
        <f t="shared" si="19"/>
        <v>85</v>
      </c>
      <c r="F76" s="1743">
        <f t="shared" si="19"/>
        <v>1</v>
      </c>
      <c r="G76" s="944">
        <f>D76*($Z$1+$AB$1)</f>
        <v>85</v>
      </c>
      <c r="H76" s="1617">
        <f>G76*F76</f>
        <v>85</v>
      </c>
    </row>
    <row r="77" spans="1:14" ht="18" x14ac:dyDescent="0.25">
      <c r="B77" s="1622" t="s">
        <v>287</v>
      </c>
      <c r="C77" s="1042" t="s">
        <v>273</v>
      </c>
      <c r="D77" s="1041" t="s">
        <v>537</v>
      </c>
      <c r="E77" s="1042" t="s">
        <v>288</v>
      </c>
      <c r="F77" s="952"/>
      <c r="G77" s="1045" t="s">
        <v>264</v>
      </c>
      <c r="H77" s="1045" t="s">
        <v>661</v>
      </c>
    </row>
    <row r="78" spans="1:14" ht="20.25" x14ac:dyDescent="0.3">
      <c r="B78" s="1048">
        <f>$J$52</f>
        <v>6538.4615384615372</v>
      </c>
      <c r="C78" s="1048">
        <f>E78+G78</f>
        <v>2012.8205128205148</v>
      </c>
      <c r="D78" s="1047">
        <f>$AF$1</f>
        <v>85</v>
      </c>
      <c r="E78" s="1048">
        <f>$T$32</f>
        <v>2012.8205128205148</v>
      </c>
      <c r="F78" s="1050"/>
      <c r="G78" s="1048">
        <f>$D$52*$T$44</f>
        <v>0</v>
      </c>
      <c r="H78" s="1048">
        <f>B78+E78</f>
        <v>8551.2820512820526</v>
      </c>
    </row>
    <row r="79" spans="1:14" ht="18" x14ac:dyDescent="0.25">
      <c r="B79" s="1803"/>
      <c r="C79" s="1796"/>
      <c r="D79" s="1796"/>
      <c r="E79" s="1796"/>
      <c r="F79" s="1796"/>
      <c r="G79" s="1796"/>
      <c r="H79" s="1796"/>
    </row>
    <row r="80" spans="1:14" ht="18" x14ac:dyDescent="0.25">
      <c r="B80" s="1803"/>
      <c r="C80" s="1796"/>
      <c r="D80" s="1796"/>
      <c r="E80" s="1796"/>
      <c r="F80" s="1796"/>
      <c r="G80" s="1796"/>
      <c r="H80" s="1796"/>
    </row>
    <row r="81" spans="1:8" x14ac:dyDescent="0.2">
      <c r="A81" s="876"/>
      <c r="B81" s="226"/>
      <c r="C81" s="227"/>
      <c r="D81" s="226"/>
      <c r="E81" s="226"/>
      <c r="F81" s="226"/>
      <c r="G81" s="226"/>
      <c r="H81" s="226"/>
    </row>
    <row r="82" spans="1:8" x14ac:dyDescent="0.25">
      <c r="B82" s="228"/>
      <c r="C82" s="228"/>
      <c r="D82" s="457"/>
      <c r="E82" s="189"/>
      <c r="F82" s="91"/>
      <c r="G82" s="95"/>
      <c r="H82" s="93"/>
    </row>
    <row r="83" spans="1:8" x14ac:dyDescent="0.25">
      <c r="B83" s="228"/>
      <c r="C83" s="228"/>
      <c r="D83" s="228"/>
      <c r="E83" s="260"/>
      <c r="F83" s="91"/>
      <c r="G83" s="92"/>
      <c r="H83" s="93"/>
    </row>
    <row r="84" spans="1:8" x14ac:dyDescent="0.25">
      <c r="B84" s="228"/>
      <c r="C84" s="228"/>
      <c r="D84" s="228"/>
      <c r="E84" s="260"/>
      <c r="F84" s="91"/>
      <c r="G84" s="92"/>
      <c r="H84" s="93"/>
    </row>
    <row r="85" spans="1:8" x14ac:dyDescent="0.25">
      <c r="B85" s="228"/>
      <c r="C85" s="228"/>
      <c r="D85" s="228"/>
      <c r="E85" s="260"/>
      <c r="F85" s="91"/>
      <c r="G85" s="92"/>
      <c r="H85" s="93"/>
    </row>
    <row r="86" spans="1:8" x14ac:dyDescent="0.25">
      <c r="B86" s="228"/>
      <c r="C86" s="228"/>
      <c r="D86" s="228"/>
      <c r="E86" s="260"/>
      <c r="F86" s="91"/>
      <c r="G86" s="92"/>
      <c r="H86" s="93"/>
    </row>
    <row r="87" spans="1:8" x14ac:dyDescent="0.25">
      <c r="B87" s="228"/>
      <c r="C87" s="228"/>
      <c r="D87" s="228"/>
      <c r="E87" s="260"/>
      <c r="F87" s="91"/>
      <c r="G87" s="92"/>
      <c r="H87" s="93"/>
    </row>
    <row r="88" spans="1:8" x14ac:dyDescent="0.25">
      <c r="B88" s="228"/>
      <c r="C88" s="228"/>
      <c r="D88" s="228"/>
      <c r="E88" s="260"/>
      <c r="F88" s="91"/>
      <c r="G88" s="92"/>
      <c r="H88" s="93"/>
    </row>
    <row r="89" spans="1:8" x14ac:dyDescent="0.25">
      <c r="B89" s="228"/>
      <c r="C89" s="228"/>
      <c r="D89" s="228"/>
      <c r="E89" s="260"/>
      <c r="F89" s="91"/>
      <c r="G89" s="92"/>
      <c r="H89" s="93"/>
    </row>
    <row r="90" spans="1:8" x14ac:dyDescent="0.25">
      <c r="B90" s="228"/>
      <c r="C90" s="228"/>
      <c r="D90" s="228"/>
      <c r="E90" s="260"/>
      <c r="F90" s="91"/>
      <c r="G90" s="92"/>
      <c r="H90" s="93"/>
    </row>
    <row r="91" spans="1:8" x14ac:dyDescent="0.25">
      <c r="B91" s="228"/>
      <c r="C91" s="228"/>
      <c r="D91" s="228"/>
      <c r="E91" s="260"/>
      <c r="F91" s="91"/>
      <c r="G91" s="92"/>
      <c r="H91" s="93"/>
    </row>
    <row r="92" spans="1:8" x14ac:dyDescent="0.25">
      <c r="B92" s="228"/>
      <c r="C92" s="228"/>
      <c r="D92" s="228"/>
      <c r="E92" s="260"/>
      <c r="F92" s="91"/>
      <c r="G92" s="92"/>
      <c r="H92" s="93"/>
    </row>
    <row r="93" spans="1:8" x14ac:dyDescent="0.25">
      <c r="B93" s="80"/>
      <c r="E93" s="80"/>
      <c r="F93" s="80"/>
    </row>
  </sheetData>
  <mergeCells count="12">
    <mergeCell ref="B61:H61"/>
    <mergeCell ref="B80:H80"/>
    <mergeCell ref="B79:H79"/>
    <mergeCell ref="B42:J42"/>
    <mergeCell ref="B56:J56"/>
    <mergeCell ref="B62:H63"/>
    <mergeCell ref="B35:J35"/>
    <mergeCell ref="B36:J36"/>
    <mergeCell ref="B2:H3"/>
    <mergeCell ref="B41:J41"/>
    <mergeCell ref="R25:U25"/>
    <mergeCell ref="R26:U26"/>
  </mergeCells>
  <printOptions horizontalCentered="1"/>
  <pageMargins left="0.5" right="0.5" top="1" bottom="0.5" header="0.3" footer="0.511811023622047"/>
  <pageSetup paperSize="9" scale="30" orientation="portrait" r:id="rId1"/>
  <legacy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B36CA-2F54-4F3A-9110-69D13A526155}">
  <sheetPr codeName="Sheet85">
    <tabColor rgb="FFFFFF00"/>
    <outlinePr summaryBelow="0" summaryRight="0"/>
    <pageSetUpPr fitToPage="1"/>
  </sheetPr>
  <dimension ref="A1:AD94"/>
  <sheetViews>
    <sheetView topLeftCell="A22" zoomScale="55" zoomScaleNormal="55" workbookViewId="0">
      <selection activeCell="J73" sqref="J73"/>
    </sheetView>
  </sheetViews>
  <sheetFormatPr defaultColWidth="12.5" defaultRowHeight="15" x14ac:dyDescent="0.25"/>
  <cols>
    <col min="1" max="1" width="18.5" style="880" bestFit="1" customWidth="1"/>
    <col min="2" max="2" width="28.25" style="337" bestFit="1" customWidth="1"/>
    <col min="3" max="3" width="17" style="337" bestFit="1" customWidth="1"/>
    <col min="4" max="4" width="18.75" style="337" bestFit="1" customWidth="1"/>
    <col min="5" max="5" width="16.25" style="337" bestFit="1" customWidth="1"/>
    <col min="6" max="6" width="16.75" style="337" bestFit="1" customWidth="1"/>
    <col min="7" max="7" width="23.25" style="337" bestFit="1" customWidth="1"/>
    <col min="8" max="8" width="33.25" style="337" bestFit="1" customWidth="1"/>
    <col min="9" max="9" width="12" style="337" bestFit="1" customWidth="1"/>
    <col min="10" max="10" width="11.625" style="337" bestFit="1" customWidth="1"/>
    <col min="11" max="11" width="10.75" style="337" bestFit="1" customWidth="1"/>
    <col min="12" max="12" width="6.25" style="337" bestFit="1" customWidth="1"/>
    <col min="13" max="17" width="3.75" style="337" customWidth="1"/>
    <col min="18" max="18" width="8.75" style="337" bestFit="1" customWidth="1"/>
    <col min="19" max="19" width="9" style="337" bestFit="1" customWidth="1"/>
    <col min="20" max="24" width="4.375" style="337" customWidth="1"/>
    <col min="25" max="25" width="8.75" style="337" bestFit="1" customWidth="1"/>
    <col min="26" max="26" width="7.625" style="337" bestFit="1" customWidth="1"/>
    <col min="27" max="27" width="8.5" style="337" bestFit="1" customWidth="1"/>
    <col min="28" max="28" width="6.25" style="337" bestFit="1" customWidth="1"/>
    <col min="29" max="29" width="7.625" style="337" bestFit="1" customWidth="1"/>
    <col min="30" max="30" width="4.25" style="337" bestFit="1" customWidth="1"/>
    <col min="31" max="16384" width="12.5" style="337"/>
  </cols>
  <sheetData>
    <row r="1" spans="1:30" ht="25.5" x14ac:dyDescent="0.25">
      <c r="A1" s="61"/>
      <c r="B1" s="847" t="s">
        <v>231</v>
      </c>
      <c r="C1" s="333">
        <v>1000</v>
      </c>
      <c r="D1" s="334" t="s">
        <v>232</v>
      </c>
      <c r="E1" s="335">
        <f>S29</f>
        <v>10440</v>
      </c>
      <c r="F1" s="328" t="s">
        <v>233</v>
      </c>
      <c r="G1" s="335">
        <f>E1/C1</f>
        <v>10.44</v>
      </c>
      <c r="H1" s="328" t="s">
        <v>234</v>
      </c>
      <c r="I1" s="387">
        <f>G1/K1</f>
        <v>10.336633663366337</v>
      </c>
      <c r="J1" s="388" t="s">
        <v>235</v>
      </c>
      <c r="K1" s="389">
        <v>1.01</v>
      </c>
      <c r="L1" s="336"/>
      <c r="M1" s="336"/>
      <c r="N1" s="336"/>
      <c r="O1" s="336"/>
      <c r="P1" s="336"/>
      <c r="Q1" s="336"/>
      <c r="R1" s="336"/>
      <c r="S1" s="336"/>
      <c r="T1" s="336"/>
      <c r="U1" s="336"/>
      <c r="V1" s="336"/>
      <c r="Y1" s="72" t="s">
        <v>444</v>
      </c>
      <c r="Z1" s="422">
        <v>10440</v>
      </c>
      <c r="AA1" s="72" t="s">
        <v>544</v>
      </c>
      <c r="AB1" s="422">
        <v>0</v>
      </c>
      <c r="AC1" s="72" t="s">
        <v>537</v>
      </c>
      <c r="AD1" s="422">
        <v>73</v>
      </c>
    </row>
    <row r="2" spans="1:30" ht="15.75" x14ac:dyDescent="0.25">
      <c r="A2" s="863"/>
      <c r="B2" s="1893" t="s">
        <v>507</v>
      </c>
      <c r="C2" s="1893"/>
      <c r="D2" s="1893"/>
      <c r="E2" s="1893"/>
      <c r="F2" s="1893"/>
      <c r="G2" s="1893"/>
      <c r="H2" s="1893"/>
      <c r="I2" s="390"/>
      <c r="J2" s="390"/>
      <c r="K2" s="390"/>
      <c r="L2" s="336"/>
      <c r="M2" s="336"/>
      <c r="N2" s="336"/>
      <c r="O2" s="336"/>
      <c r="P2" s="336"/>
      <c r="Q2" s="336"/>
      <c r="R2" s="336"/>
      <c r="S2" s="336"/>
      <c r="T2" s="336"/>
      <c r="U2" s="336"/>
    </row>
    <row r="3" spans="1:30" ht="15.75" x14ac:dyDescent="0.25">
      <c r="A3" s="863"/>
      <c r="B3" s="1823"/>
      <c r="C3" s="1823"/>
      <c r="D3" s="1823"/>
      <c r="E3" s="1823"/>
      <c r="F3" s="1823"/>
      <c r="G3" s="1823"/>
      <c r="H3" s="1823"/>
      <c r="I3" s="390"/>
      <c r="J3" s="390"/>
      <c r="K3" s="390"/>
      <c r="L3" s="336"/>
      <c r="M3" s="336"/>
      <c r="N3" s="336"/>
      <c r="O3" s="336"/>
      <c r="P3" s="336"/>
      <c r="Q3" s="336"/>
      <c r="R3" s="336"/>
      <c r="S3" s="336"/>
      <c r="T3" s="336"/>
      <c r="U3" s="336"/>
    </row>
    <row r="4" spans="1:30" ht="38.25" x14ac:dyDescent="0.2">
      <c r="A4" s="1350" t="s">
        <v>864</v>
      </c>
      <c r="B4" s="1304" t="s">
        <v>241</v>
      </c>
      <c r="C4" s="1305" t="s">
        <v>242</v>
      </c>
      <c r="D4" s="1304" t="s">
        <v>231</v>
      </c>
      <c r="E4" s="1306" t="s">
        <v>234</v>
      </c>
      <c r="F4" s="1307" t="s">
        <v>243</v>
      </c>
      <c r="G4" s="1304" t="s">
        <v>244</v>
      </c>
      <c r="H4" s="1306" t="s">
        <v>503</v>
      </c>
      <c r="I4" s="923" t="s">
        <v>246</v>
      </c>
      <c r="J4" s="923" t="s">
        <v>247</v>
      </c>
      <c r="K4" s="923" t="s">
        <v>248</v>
      </c>
      <c r="L4" s="923" t="s">
        <v>249</v>
      </c>
      <c r="M4" s="336"/>
      <c r="N4" s="336"/>
      <c r="O4" s="336"/>
      <c r="P4" s="336"/>
      <c r="Q4" s="336"/>
      <c r="R4" s="336"/>
      <c r="S4" s="336"/>
      <c r="T4" s="336"/>
      <c r="U4" s="336"/>
    </row>
    <row r="5" spans="1:30" x14ac:dyDescent="0.2">
      <c r="A5" s="1067"/>
      <c r="B5" s="1652"/>
      <c r="C5" s="1706"/>
      <c r="D5" s="1652"/>
      <c r="E5" s="1707"/>
      <c r="F5" s="1652"/>
      <c r="G5" s="1652"/>
      <c r="H5" s="1707"/>
      <c r="I5" s="914"/>
      <c r="J5" s="940"/>
      <c r="K5" s="945"/>
      <c r="L5" s="945"/>
    </row>
    <row r="6" spans="1:30" x14ac:dyDescent="0.25">
      <c r="A6" s="1653"/>
      <c r="B6" s="1708" t="s">
        <v>508</v>
      </c>
      <c r="C6" s="1313" t="s">
        <v>14</v>
      </c>
      <c r="D6" s="1709">
        <v>330</v>
      </c>
      <c r="E6" s="1710">
        <f>$I$1</f>
        <v>10.336633663366337</v>
      </c>
      <c r="F6" s="1711">
        <v>1</v>
      </c>
      <c r="G6" s="1317">
        <f>D6*E6</f>
        <v>3411.0891089108914</v>
      </c>
      <c r="H6" s="1712">
        <f>G6*F6</f>
        <v>3411.0891089108914</v>
      </c>
      <c r="I6" s="914">
        <f>VLOOKUP(B6,All_Ingredients!$A$1:$F$161,6,FALSE())</f>
        <v>1</v>
      </c>
      <c r="J6" s="940">
        <f>VLOOKUP(B6,All_Ingredients!$A$1:$J$161,10,FALSE())</f>
        <v>9.0740740740740726</v>
      </c>
      <c r="K6" s="945">
        <f t="shared" ref="K6" si="0">(H6/I6)/1000</f>
        <v>3.4110891089108915</v>
      </c>
      <c r="L6" s="945">
        <f t="shared" ref="L6" si="1">K6*J6</f>
        <v>30.952475247524752</v>
      </c>
    </row>
    <row r="7" spans="1:30" x14ac:dyDescent="0.25">
      <c r="A7" s="1653"/>
      <c r="B7" s="1708" t="s">
        <v>203</v>
      </c>
      <c r="C7" s="1681" t="s">
        <v>160</v>
      </c>
      <c r="D7" s="1682">
        <v>8000</v>
      </c>
      <c r="E7" s="1682">
        <f>$I$1</f>
        <v>10.336633663366337</v>
      </c>
      <c r="F7" s="1711">
        <v>1</v>
      </c>
      <c r="G7" s="1317">
        <f>D7*E7</f>
        <v>82693.069306930702</v>
      </c>
      <c r="H7" s="1712">
        <f>G7*F7</f>
        <v>82693.069306930702</v>
      </c>
      <c r="I7" s="914">
        <f>VLOOKUP(B7,All_Ingredients!$A$1:$F$161,6,FALSE())</f>
        <v>1</v>
      </c>
      <c r="J7" s="940">
        <f>VLOOKUP(B7,All_Ingredients!$A$1:$J$161,10,FALSE())</f>
        <v>0</v>
      </c>
      <c r="K7" s="945">
        <f t="shared" ref="K7:K9" si="2">(H7/I7)/1000</f>
        <v>82.693069306930695</v>
      </c>
      <c r="L7" s="945">
        <f t="shared" ref="L7:L9" si="3">K7*J7</f>
        <v>0</v>
      </c>
    </row>
    <row r="8" spans="1:30" x14ac:dyDescent="0.25">
      <c r="A8" s="1653"/>
      <c r="B8" s="1708" t="s">
        <v>93</v>
      </c>
      <c r="C8" s="1313" t="s">
        <v>14</v>
      </c>
      <c r="D8" s="1682">
        <v>10</v>
      </c>
      <c r="E8" s="1682">
        <f>$I$1</f>
        <v>10.336633663366337</v>
      </c>
      <c r="F8" s="1711">
        <v>1</v>
      </c>
      <c r="G8" s="1317">
        <f>D8*E8</f>
        <v>103.36633663366337</v>
      </c>
      <c r="H8" s="1712">
        <f>G8*F8</f>
        <v>103.36633663366337</v>
      </c>
      <c r="I8" s="914">
        <f>VLOOKUP(B8,All_Ingredients!$A$1:$F$161,6,FALSE())</f>
        <v>1</v>
      </c>
      <c r="J8" s="940">
        <f>VLOOKUP(B8,All_Ingredients!$A$1:$J$161,10,FALSE())</f>
        <v>0.74</v>
      </c>
      <c r="K8" s="945">
        <f t="shared" si="2"/>
        <v>0.10336633663366336</v>
      </c>
      <c r="L8" s="945">
        <f t="shared" si="3"/>
        <v>7.6491089108910892E-2</v>
      </c>
    </row>
    <row r="9" spans="1:30" x14ac:dyDescent="0.25">
      <c r="A9" s="1653"/>
      <c r="B9" s="1708" t="s">
        <v>211</v>
      </c>
      <c r="C9" s="1313" t="s">
        <v>14</v>
      </c>
      <c r="D9" s="1682">
        <v>5</v>
      </c>
      <c r="E9" s="1682">
        <f>$I$1</f>
        <v>10.336633663366337</v>
      </c>
      <c r="F9" s="1711">
        <v>1</v>
      </c>
      <c r="G9" s="1317">
        <f>D9*E9</f>
        <v>51.683168316831683</v>
      </c>
      <c r="H9" s="1712">
        <f>G9*F9</f>
        <v>51.683168316831683</v>
      </c>
      <c r="I9" s="914">
        <f>VLOOKUP(B9,All_Ingredients!$A$1:$F$161,6,FALSE())</f>
        <v>1</v>
      </c>
      <c r="J9" s="940">
        <f>VLOOKUP(B9,All_Ingredients!$A$1:$J$161,10,FALSE())</f>
        <v>15.5</v>
      </c>
      <c r="K9" s="945">
        <f t="shared" si="2"/>
        <v>5.168316831683168E-2</v>
      </c>
      <c r="L9" s="945">
        <f t="shared" si="3"/>
        <v>0.80108910891089102</v>
      </c>
    </row>
    <row r="25" spans="18:29" x14ac:dyDescent="0.25">
      <c r="R25" s="1903" t="s">
        <v>509</v>
      </c>
      <c r="S25" s="1903"/>
      <c r="Z25" s="96" t="s">
        <v>14</v>
      </c>
      <c r="AA25" s="97">
        <v>1</v>
      </c>
      <c r="AB25" s="96" t="s">
        <v>249</v>
      </c>
      <c r="AC25" s="98">
        <f>(S32/S29)*AA25</f>
        <v>3.0488558855885587E-3</v>
      </c>
    </row>
    <row r="26" spans="18:29" x14ac:dyDescent="0.25">
      <c r="R26" s="341" t="s">
        <v>254</v>
      </c>
      <c r="S26" s="341" t="s">
        <v>771</v>
      </c>
    </row>
    <row r="27" spans="18:29" x14ac:dyDescent="0.25">
      <c r="R27" s="341" t="s">
        <v>502</v>
      </c>
      <c r="S27" s="402">
        <f>Z1</f>
        <v>10440</v>
      </c>
    </row>
    <row r="28" spans="18:29" x14ac:dyDescent="0.25">
      <c r="R28" s="341" t="s">
        <v>265</v>
      </c>
      <c r="S28" s="696">
        <f>AB1</f>
        <v>0</v>
      </c>
    </row>
    <row r="29" spans="18:29" x14ac:dyDescent="0.25">
      <c r="R29" s="341" t="s">
        <v>257</v>
      </c>
      <c r="S29" s="697">
        <f>S27+S28</f>
        <v>10440</v>
      </c>
    </row>
    <row r="31" spans="18:29" ht="15.75" thickBot="1" x14ac:dyDescent="0.3"/>
    <row r="32" spans="18:29" ht="15.75" thickBot="1" x14ac:dyDescent="0.3">
      <c r="R32" s="117" t="s">
        <v>249</v>
      </c>
      <c r="S32" s="548">
        <f>SUM(L5:L9)</f>
        <v>31.830055445544552</v>
      </c>
    </row>
    <row r="50" spans="2:8" x14ac:dyDescent="0.25">
      <c r="B50" s="856"/>
      <c r="C50" s="340" t="s">
        <v>233</v>
      </c>
      <c r="D50" s="340" t="s">
        <v>279</v>
      </c>
    </row>
    <row r="51" spans="2:8" x14ac:dyDescent="0.25">
      <c r="B51" s="844" t="s">
        <v>283</v>
      </c>
      <c r="C51" s="133">
        <f>10/$K$1</f>
        <v>9.9009900990099009</v>
      </c>
      <c r="D51" s="134">
        <f>$C$1*10</f>
        <v>10000</v>
      </c>
    </row>
    <row r="52" spans="2:8" x14ac:dyDescent="0.25">
      <c r="B52" s="857" t="s">
        <v>257</v>
      </c>
      <c r="C52" s="329">
        <f>G1</f>
        <v>10.44</v>
      </c>
      <c r="D52" s="329">
        <f>E1</f>
        <v>10440</v>
      </c>
    </row>
    <row r="53" spans="2:8" x14ac:dyDescent="0.25">
      <c r="B53" s="857" t="s">
        <v>284</v>
      </c>
      <c r="C53" s="330">
        <f>MIN($C$52, C51)</f>
        <v>9.9009900990099009</v>
      </c>
      <c r="D53" s="459">
        <f>(C53*$K$1)*$C$1</f>
        <v>10000</v>
      </c>
    </row>
    <row r="54" spans="2:8" x14ac:dyDescent="0.25">
      <c r="B54" s="857" t="s">
        <v>285</v>
      </c>
      <c r="C54" s="330">
        <f>MIN(MAX($C$52-C53,0),$C$51)</f>
        <v>0.5390099009900986</v>
      </c>
      <c r="D54" s="459">
        <f>(C54*$K$1)*$C$1</f>
        <v>544.39999999999952</v>
      </c>
    </row>
    <row r="55" spans="2:8" x14ac:dyDescent="0.25">
      <c r="B55" s="857" t="s">
        <v>286</v>
      </c>
      <c r="C55" s="330">
        <f>MIN(MAX($C$52-C53-C54,0),$C$51)</f>
        <v>0</v>
      </c>
      <c r="D55" s="459">
        <f>(C55*$K$1)*$C$1</f>
        <v>0</v>
      </c>
    </row>
    <row r="56" spans="2:8" x14ac:dyDescent="0.25">
      <c r="B56" s="857" t="s">
        <v>293</v>
      </c>
      <c r="C56" s="330">
        <f>MIN(MAX($C$52-C53-C54-C55,0),$C$51)</f>
        <v>0</v>
      </c>
      <c r="D56" s="331">
        <f>C56*$K$1</f>
        <v>0</v>
      </c>
    </row>
    <row r="62" spans="2:8" x14ac:dyDescent="0.25">
      <c r="B62" s="1871" t="s">
        <v>749</v>
      </c>
      <c r="C62" s="1880"/>
      <c r="D62" s="1880"/>
      <c r="E62" s="1880"/>
      <c r="F62" s="1880"/>
      <c r="G62" s="1880"/>
      <c r="H62" s="1880"/>
    </row>
    <row r="63" spans="2:8" x14ac:dyDescent="0.25">
      <c r="B63" s="1804" t="s">
        <v>750</v>
      </c>
      <c r="C63" s="1890"/>
      <c r="D63" s="1890"/>
      <c r="E63" s="1890"/>
      <c r="F63" s="1890"/>
      <c r="G63" s="1890"/>
      <c r="H63" s="1890"/>
    </row>
    <row r="64" spans="2:8" ht="38.25" x14ac:dyDescent="0.25">
      <c r="B64" s="1104" t="s">
        <v>241</v>
      </c>
      <c r="C64" s="934" t="s">
        <v>242</v>
      </c>
      <c r="D64" s="1104" t="s">
        <v>231</v>
      </c>
      <c r="E64" s="936" t="s">
        <v>234</v>
      </c>
      <c r="F64" s="936" t="s">
        <v>243</v>
      </c>
      <c r="G64" s="1104" t="s">
        <v>244</v>
      </c>
      <c r="H64" s="936" t="s">
        <v>245</v>
      </c>
    </row>
    <row r="65" spans="2:8" x14ac:dyDescent="0.25">
      <c r="B65" s="1708" t="str">
        <f t="shared" ref="B65:D68" si="4">B6</f>
        <v>Pasta Spaghettini  - مكرونة اسباجيتي</v>
      </c>
      <c r="C65" s="1313" t="str">
        <f t="shared" si="4"/>
        <v>gm</v>
      </c>
      <c r="D65" s="1713">
        <f t="shared" si="4"/>
        <v>330</v>
      </c>
      <c r="E65" s="1682">
        <f>$C$52</f>
        <v>10.44</v>
      </c>
      <c r="F65" s="1711">
        <f>F6</f>
        <v>1</v>
      </c>
      <c r="G65" s="1317">
        <f>D65*E65</f>
        <v>3445.2</v>
      </c>
      <c r="H65" s="1712">
        <f>G65*F65</f>
        <v>3445.2</v>
      </c>
    </row>
    <row r="66" spans="2:8" x14ac:dyDescent="0.25">
      <c r="B66" s="1708" t="str">
        <f t="shared" si="4"/>
        <v>Water - ماء</v>
      </c>
      <c r="C66" s="1313" t="str">
        <f t="shared" si="4"/>
        <v>ml</v>
      </c>
      <c r="D66" s="1713">
        <f t="shared" si="4"/>
        <v>8000</v>
      </c>
      <c r="E66" s="1682">
        <f t="shared" ref="E66:E68" si="5">$C$52</f>
        <v>10.44</v>
      </c>
      <c r="F66" s="1711">
        <f>F7</f>
        <v>1</v>
      </c>
      <c r="G66" s="1317">
        <f>D66*E66</f>
        <v>83520</v>
      </c>
      <c r="H66" s="1712">
        <f>G66*F66</f>
        <v>83520</v>
      </c>
    </row>
    <row r="67" spans="2:8" x14ac:dyDescent="0.25">
      <c r="B67" s="1708" t="str">
        <f t="shared" si="4"/>
        <v>Salt - ملح</v>
      </c>
      <c r="C67" s="1313" t="str">
        <f t="shared" si="4"/>
        <v>gm</v>
      </c>
      <c r="D67" s="1713">
        <f t="shared" si="4"/>
        <v>10</v>
      </c>
      <c r="E67" s="1682">
        <f t="shared" si="5"/>
        <v>10.44</v>
      </c>
      <c r="F67" s="1711">
        <f>F8</f>
        <v>1</v>
      </c>
      <c r="G67" s="1317">
        <f>D67*E67</f>
        <v>104.39999999999999</v>
      </c>
      <c r="H67" s="1712">
        <f>G67*F67</f>
        <v>104.39999999999999</v>
      </c>
    </row>
    <row r="68" spans="2:8" x14ac:dyDescent="0.25">
      <c r="B68" s="1708" t="str">
        <f t="shared" si="4"/>
        <v>Olive Oil - زيت زيتون</v>
      </c>
      <c r="C68" s="1313" t="str">
        <f t="shared" si="4"/>
        <v>gm</v>
      </c>
      <c r="D68" s="1713">
        <f t="shared" si="4"/>
        <v>5</v>
      </c>
      <c r="E68" s="1682">
        <f t="shared" si="5"/>
        <v>10.44</v>
      </c>
      <c r="F68" s="1711">
        <f>F9</f>
        <v>1</v>
      </c>
      <c r="G68" s="1317">
        <f>D68*E68</f>
        <v>52.199999999999996</v>
      </c>
      <c r="H68" s="1712">
        <f>G68*F68</f>
        <v>52.199999999999996</v>
      </c>
    </row>
    <row r="69" spans="2:8" ht="15.75" x14ac:dyDescent="0.25">
      <c r="B69" s="1622" t="s">
        <v>682</v>
      </c>
      <c r="C69" s="1302"/>
      <c r="D69" s="1302"/>
      <c r="E69" s="1302"/>
      <c r="F69" s="1302"/>
      <c r="G69" s="1664"/>
      <c r="H69" s="1664"/>
    </row>
    <row r="70" spans="2:8" ht="20.25" x14ac:dyDescent="0.3">
      <c r="B70" s="1048">
        <f>$D$52</f>
        <v>10440</v>
      </c>
      <c r="C70" s="1664"/>
      <c r="D70" s="1664"/>
      <c r="E70" s="1664"/>
      <c r="F70" s="1714"/>
      <c r="G70" s="1664"/>
      <c r="H70" s="1664"/>
    </row>
    <row r="71" spans="2:8" x14ac:dyDescent="0.25">
      <c r="B71" s="336"/>
      <c r="E71" s="336"/>
      <c r="F71" s="336"/>
    </row>
    <row r="72" spans="2:8" x14ac:dyDescent="0.25">
      <c r="B72" s="336"/>
      <c r="C72" s="336"/>
      <c r="D72" s="336"/>
      <c r="E72" s="336"/>
      <c r="F72" s="336"/>
      <c r="G72" s="336"/>
      <c r="H72" s="336"/>
    </row>
    <row r="73" spans="2:8" ht="18" x14ac:dyDescent="0.25">
      <c r="B73" s="1803"/>
      <c r="C73" s="1796"/>
      <c r="D73" s="1796"/>
      <c r="E73" s="1796"/>
      <c r="F73" s="1796"/>
      <c r="G73" s="1796"/>
      <c r="H73" s="1796"/>
    </row>
    <row r="74" spans="2:8" ht="18" x14ac:dyDescent="0.25">
      <c r="B74" s="1803"/>
      <c r="C74" s="1796"/>
      <c r="D74" s="1796"/>
      <c r="E74" s="1796"/>
      <c r="F74" s="1796"/>
      <c r="G74" s="1796"/>
      <c r="H74" s="1796"/>
    </row>
    <row r="84" spans="2:8" ht="18" x14ac:dyDescent="0.25">
      <c r="B84" s="1803"/>
      <c r="C84" s="1796"/>
      <c r="D84" s="1796"/>
      <c r="E84" s="1796"/>
      <c r="F84" s="1796"/>
      <c r="G84" s="1796"/>
      <c r="H84" s="1796"/>
    </row>
    <row r="85" spans="2:8" ht="18" x14ac:dyDescent="0.25">
      <c r="B85" s="1803"/>
      <c r="C85" s="1796"/>
      <c r="D85" s="1796"/>
      <c r="E85" s="1796"/>
      <c r="F85" s="1796"/>
      <c r="G85" s="1796"/>
      <c r="H85" s="1796"/>
    </row>
    <row r="86" spans="2:8" x14ac:dyDescent="0.25">
      <c r="B86" s="574"/>
      <c r="C86" s="575"/>
      <c r="D86" s="574"/>
      <c r="E86" s="574"/>
      <c r="F86" s="574"/>
      <c r="G86" s="574"/>
      <c r="H86" s="574"/>
    </row>
    <row r="87" spans="2:8" x14ac:dyDescent="0.25">
      <c r="B87" s="338"/>
      <c r="C87" s="338"/>
      <c r="D87" s="338"/>
      <c r="E87" s="577"/>
      <c r="F87" s="578"/>
      <c r="G87" s="576"/>
      <c r="H87" s="339"/>
    </row>
    <row r="88" spans="2:8" x14ac:dyDescent="0.25">
      <c r="B88" s="338"/>
      <c r="C88" s="338"/>
      <c r="D88" s="338"/>
      <c r="E88" s="577"/>
      <c r="F88" s="578"/>
      <c r="G88" s="576"/>
      <c r="H88" s="339"/>
    </row>
    <row r="89" spans="2:8" x14ac:dyDescent="0.25">
      <c r="B89" s="338"/>
      <c r="C89" s="338"/>
      <c r="D89" s="338"/>
      <c r="E89" s="577"/>
      <c r="F89" s="578"/>
      <c r="G89" s="576"/>
      <c r="H89" s="339"/>
    </row>
    <row r="90" spans="2:8" x14ac:dyDescent="0.25">
      <c r="B90" s="338"/>
      <c r="C90" s="338"/>
      <c r="D90" s="338"/>
      <c r="E90" s="577"/>
      <c r="F90" s="578"/>
      <c r="G90" s="576"/>
      <c r="H90" s="339"/>
    </row>
    <row r="91" spans="2:8" ht="15.75" x14ac:dyDescent="0.25">
      <c r="B91" s="142"/>
      <c r="E91" s="336"/>
      <c r="F91" s="336"/>
    </row>
    <row r="92" spans="2:8" ht="20.25" x14ac:dyDescent="0.3">
      <c r="B92" s="261"/>
    </row>
    <row r="93" spans="2:8" ht="18" x14ac:dyDescent="0.25">
      <c r="B93" s="1803"/>
      <c r="C93" s="1796"/>
      <c r="D93" s="1796"/>
      <c r="E93" s="1796"/>
      <c r="F93" s="1796"/>
      <c r="G93" s="1796"/>
      <c r="H93" s="1796"/>
    </row>
    <row r="94" spans="2:8" ht="18" x14ac:dyDescent="0.25">
      <c r="B94" s="1803"/>
      <c r="C94" s="1796"/>
      <c r="D94" s="1796"/>
      <c r="E94" s="1796"/>
      <c r="F94" s="1796"/>
      <c r="G94" s="1796"/>
      <c r="H94" s="1796"/>
    </row>
  </sheetData>
  <mergeCells count="10">
    <mergeCell ref="B93:H93"/>
    <mergeCell ref="B94:H94"/>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22"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8">
    <tabColor rgb="FFFFFF00"/>
    <pageSetUpPr fitToPage="1"/>
  </sheetPr>
  <dimension ref="A1:AG104"/>
  <sheetViews>
    <sheetView topLeftCell="A55" zoomScale="115" zoomScaleNormal="115" workbookViewId="0">
      <selection activeCell="F57" sqref="F57"/>
    </sheetView>
  </sheetViews>
  <sheetFormatPr defaultColWidth="12.5" defaultRowHeight="15" x14ac:dyDescent="0.25"/>
  <cols>
    <col min="1" max="1" width="14.75" style="61" bestFit="1" customWidth="1"/>
    <col min="2" max="2" width="31.5" style="14" bestFit="1" customWidth="1"/>
    <col min="3" max="3" width="16" style="14" bestFit="1" customWidth="1"/>
    <col min="4" max="4" width="15.125" style="14" bestFit="1" customWidth="1"/>
    <col min="5" max="5" width="15.375" style="14" bestFit="1" customWidth="1"/>
    <col min="6" max="6" width="14" style="14" bestFit="1" customWidth="1"/>
    <col min="7" max="7" width="18.875" style="14" bestFit="1" customWidth="1"/>
    <col min="8" max="8" width="32.875" style="14" bestFit="1" customWidth="1"/>
    <col min="9" max="9" width="10.625" style="14" bestFit="1" customWidth="1"/>
    <col min="10" max="10" width="11.625" style="14" bestFit="1" customWidth="1"/>
    <col min="11" max="11" width="11.125" style="14" bestFit="1" customWidth="1"/>
    <col min="12" max="12" width="5.875" style="14" bestFit="1" customWidth="1"/>
    <col min="13" max="13" width="5.25" style="14" bestFit="1" customWidth="1"/>
    <col min="14" max="17" width="6.75" style="14" customWidth="1"/>
    <col min="18" max="18" width="9.875" style="14" bestFit="1" customWidth="1"/>
    <col min="19" max="19" width="6.5" style="14" bestFit="1" customWidth="1"/>
    <col min="20" max="24" width="4" style="14" customWidth="1"/>
    <col min="25" max="25" width="6.5" style="14" bestFit="1" customWidth="1"/>
    <col min="26" max="26" width="4.375" style="14" bestFit="1" customWidth="1"/>
    <col min="27" max="27" width="5.875" style="14" bestFit="1" customWidth="1"/>
    <col min="28" max="28" width="4.375" style="14" bestFit="1" customWidth="1"/>
    <col min="29" max="29" width="5.5" style="14" bestFit="1" customWidth="1"/>
    <col min="30" max="30" width="2.625" style="14" bestFit="1" customWidth="1"/>
    <col min="31" max="16384" width="12.5" style="14"/>
  </cols>
  <sheetData>
    <row r="1" spans="1:33" ht="26.25" x14ac:dyDescent="0.25">
      <c r="B1" s="843" t="s">
        <v>231</v>
      </c>
      <c r="C1" s="63">
        <v>1000</v>
      </c>
      <c r="D1" s="64" t="s">
        <v>232</v>
      </c>
      <c r="E1" s="84">
        <f>$S$30</f>
        <v>10500</v>
      </c>
      <c r="F1" s="62" t="s">
        <v>233</v>
      </c>
      <c r="G1" s="84">
        <f>E1/C1</f>
        <v>10.5</v>
      </c>
      <c r="H1" s="62" t="s">
        <v>234</v>
      </c>
      <c r="I1" s="84">
        <f>G1/K1</f>
        <v>10.5</v>
      </c>
      <c r="J1" s="209" t="s">
        <v>235</v>
      </c>
      <c r="K1" s="210">
        <v>1</v>
      </c>
      <c r="L1" s="80"/>
      <c r="M1" s="80" t="s">
        <v>361</v>
      </c>
      <c r="N1" s="80"/>
      <c r="O1" s="80"/>
      <c r="P1" s="80"/>
      <c r="Q1" s="80"/>
      <c r="R1" s="80"/>
      <c r="S1" s="80"/>
      <c r="T1" s="80"/>
      <c r="U1" s="80"/>
      <c r="V1" s="80"/>
      <c r="Y1" s="72" t="s">
        <v>444</v>
      </c>
      <c r="Z1" s="422">
        <v>10500</v>
      </c>
      <c r="AA1" s="72" t="s">
        <v>544</v>
      </c>
      <c r="AB1" s="422">
        <v>0</v>
      </c>
      <c r="AC1" s="72" t="s">
        <v>537</v>
      </c>
      <c r="AD1" s="422">
        <v>70</v>
      </c>
    </row>
    <row r="2" spans="1:33" x14ac:dyDescent="0.25">
      <c r="A2" s="863"/>
      <c r="B2" s="1828" t="s">
        <v>362</v>
      </c>
      <c r="C2" s="1865"/>
      <c r="D2" s="1865"/>
      <c r="E2" s="1865"/>
      <c r="F2" s="1865"/>
      <c r="G2" s="1865"/>
      <c r="H2" s="1865"/>
      <c r="I2" s="80"/>
      <c r="J2" s="80"/>
      <c r="K2" s="80"/>
      <c r="L2" s="80"/>
      <c r="M2" s="80"/>
      <c r="N2" s="80"/>
      <c r="O2" s="80"/>
      <c r="P2" s="80"/>
      <c r="Q2" s="80"/>
      <c r="R2" s="80"/>
      <c r="S2" s="80"/>
      <c r="T2" s="80"/>
      <c r="U2" s="80"/>
      <c r="AE2" s="1821"/>
      <c r="AF2" s="1799"/>
      <c r="AG2" s="1799"/>
    </row>
    <row r="3" spans="1:33" x14ac:dyDescent="0.25">
      <c r="A3" s="863"/>
      <c r="B3" s="1796"/>
      <c r="C3" s="1796"/>
      <c r="D3" s="1796"/>
      <c r="E3" s="1796"/>
      <c r="F3" s="1796"/>
      <c r="G3" s="1796"/>
      <c r="H3" s="1796"/>
      <c r="I3" s="80"/>
      <c r="J3" s="80"/>
      <c r="K3" s="80"/>
      <c r="L3" s="80"/>
      <c r="M3" s="80"/>
      <c r="N3" s="80"/>
      <c r="O3" s="80"/>
      <c r="P3" s="80"/>
      <c r="Q3" s="80"/>
      <c r="R3" s="80"/>
      <c r="S3" s="80"/>
      <c r="T3" s="80"/>
      <c r="U3" s="80"/>
      <c r="AE3" s="1799"/>
      <c r="AF3" s="1799"/>
      <c r="AG3" s="1799"/>
    </row>
    <row r="4" spans="1:33" ht="38.25" x14ac:dyDescent="0.2">
      <c r="A4" s="1350" t="s">
        <v>864</v>
      </c>
      <c r="B4" s="923" t="s">
        <v>241</v>
      </c>
      <c r="C4" s="934" t="s">
        <v>242</v>
      </c>
      <c r="D4" s="923" t="s">
        <v>231</v>
      </c>
      <c r="E4" s="936" t="s">
        <v>234</v>
      </c>
      <c r="F4" s="935" t="s">
        <v>243</v>
      </c>
      <c r="G4" s="923" t="s">
        <v>244</v>
      </c>
      <c r="H4" s="934" t="s">
        <v>334</v>
      </c>
      <c r="I4" s="923" t="s">
        <v>246</v>
      </c>
      <c r="J4" s="923" t="s">
        <v>247</v>
      </c>
      <c r="K4" s="923" t="s">
        <v>248</v>
      </c>
      <c r="L4" s="923" t="s">
        <v>249</v>
      </c>
      <c r="M4" s="80"/>
      <c r="N4" s="80"/>
      <c r="O4" s="80"/>
      <c r="P4" s="80"/>
      <c r="Q4" s="80"/>
      <c r="R4" s="80"/>
      <c r="S4" s="80"/>
      <c r="T4" s="80"/>
      <c r="U4" s="80"/>
    </row>
    <row r="5" spans="1:33" x14ac:dyDescent="0.2">
      <c r="A5" s="1067"/>
      <c r="B5" s="1281"/>
      <c r="C5" s="1673"/>
      <c r="D5" s="1281"/>
      <c r="E5" s="1623"/>
      <c r="F5" s="1281"/>
      <c r="G5" s="1281"/>
      <c r="H5" s="1673"/>
      <c r="I5" s="914"/>
      <c r="J5" s="940"/>
      <c r="K5" s="945"/>
      <c r="L5" s="945"/>
    </row>
    <row r="6" spans="1:33" x14ac:dyDescent="0.25">
      <c r="A6" s="949"/>
      <c r="B6" s="1252" t="s">
        <v>19</v>
      </c>
      <c r="C6" s="947" t="s">
        <v>14</v>
      </c>
      <c r="D6" s="1674">
        <v>450</v>
      </c>
      <c r="E6" s="1615">
        <f t="shared" ref="E6:E13" si="0">$I$1</f>
        <v>10.5</v>
      </c>
      <c r="F6" s="1616">
        <v>1</v>
      </c>
      <c r="G6" s="940">
        <f t="shared" ref="G6:G13" si="1">D6*E6</f>
        <v>4725</v>
      </c>
      <c r="H6" s="1617">
        <f t="shared" ref="H6:H13" si="2">G6*F6</f>
        <v>4725</v>
      </c>
      <c r="I6" s="914">
        <f>VLOOKUP(B6,All_Ingredients!$A$1:$F$161,6,FALSE())</f>
        <v>0.8</v>
      </c>
      <c r="J6" s="940">
        <f>VLOOKUP(B6,All_Ingredients!$A$1:$J$161,10,FALSE())</f>
        <v>2.6</v>
      </c>
      <c r="K6" s="945">
        <f t="shared" ref="K6" si="3">(H6/I6)/1000</f>
        <v>5.90625</v>
      </c>
      <c r="L6" s="945">
        <f t="shared" ref="L6" si="4">K6*J6</f>
        <v>15.356250000000001</v>
      </c>
    </row>
    <row r="7" spans="1:33" x14ac:dyDescent="0.25">
      <c r="A7" s="949"/>
      <c r="B7" s="1252" t="s">
        <v>47</v>
      </c>
      <c r="C7" s="947" t="s">
        <v>14</v>
      </c>
      <c r="D7" s="1674">
        <v>450</v>
      </c>
      <c r="E7" s="1615">
        <f t="shared" si="0"/>
        <v>10.5</v>
      </c>
      <c r="F7" s="1616">
        <v>1</v>
      </c>
      <c r="G7" s="940">
        <f t="shared" si="1"/>
        <v>4725</v>
      </c>
      <c r="H7" s="1617">
        <f t="shared" si="2"/>
        <v>4725</v>
      </c>
      <c r="I7" s="914">
        <f>VLOOKUP(B7,All_Ingredients!$A$1:$F$161,6,FALSE())</f>
        <v>0.78</v>
      </c>
      <c r="J7" s="940">
        <f>VLOOKUP(B7,All_Ingredients!$A$1:$J$161,10,FALSE())</f>
        <v>3.7</v>
      </c>
      <c r="K7" s="945">
        <f t="shared" ref="K7:K13" si="5">(H7/I7)/1000</f>
        <v>6.0576923076923075</v>
      </c>
      <c r="L7" s="945">
        <f t="shared" ref="L7:L13" si="6">K7*J7</f>
        <v>22.41346153846154</v>
      </c>
    </row>
    <row r="8" spans="1:33" x14ac:dyDescent="0.25">
      <c r="A8" s="949"/>
      <c r="B8" s="1252" t="s">
        <v>28</v>
      </c>
      <c r="C8" s="947" t="s">
        <v>14</v>
      </c>
      <c r="D8" s="1674">
        <v>80</v>
      </c>
      <c r="E8" s="1615">
        <f t="shared" si="0"/>
        <v>10.5</v>
      </c>
      <c r="F8" s="1616">
        <v>1</v>
      </c>
      <c r="G8" s="940">
        <f t="shared" si="1"/>
        <v>840</v>
      </c>
      <c r="H8" s="1617">
        <f t="shared" si="2"/>
        <v>840</v>
      </c>
      <c r="I8" s="914">
        <f>VLOOKUP(B8,All_Ingredients!$A$1:$F$161,6,FALSE())</f>
        <v>0.73</v>
      </c>
      <c r="J8" s="940">
        <f>VLOOKUP(B8,All_Ingredients!$A$1:$J$161,10,FALSE())</f>
        <v>8.5</v>
      </c>
      <c r="K8" s="945">
        <f t="shared" si="5"/>
        <v>1.1506849315068493</v>
      </c>
      <c r="L8" s="945">
        <f t="shared" si="6"/>
        <v>9.7808219178082183</v>
      </c>
    </row>
    <row r="9" spans="1:33" x14ac:dyDescent="0.25">
      <c r="A9" s="949"/>
      <c r="B9" s="1252" t="s">
        <v>30</v>
      </c>
      <c r="C9" s="947" t="s">
        <v>14</v>
      </c>
      <c r="D9" s="1674">
        <v>80</v>
      </c>
      <c r="E9" s="1615">
        <f t="shared" si="0"/>
        <v>10.5</v>
      </c>
      <c r="F9" s="1616">
        <v>1</v>
      </c>
      <c r="G9" s="940">
        <f t="shared" si="1"/>
        <v>840</v>
      </c>
      <c r="H9" s="1617">
        <f t="shared" si="2"/>
        <v>840</v>
      </c>
      <c r="I9" s="914">
        <f>VLOOKUP(B9,All_Ingredients!$A$1:$F$161,6,FALSE())</f>
        <v>0.71</v>
      </c>
      <c r="J9" s="940">
        <f>VLOOKUP(B9,All_Ingredients!$A$1:$J$161,10,FALSE())</f>
        <v>8.5</v>
      </c>
      <c r="K9" s="945">
        <f t="shared" si="5"/>
        <v>1.1830985915492958</v>
      </c>
      <c r="L9" s="945">
        <f t="shared" si="6"/>
        <v>10.056338028169014</v>
      </c>
    </row>
    <row r="10" spans="1:33" x14ac:dyDescent="0.25">
      <c r="A10" s="949"/>
      <c r="B10" s="1252" t="s">
        <v>32</v>
      </c>
      <c r="C10" s="947" t="s">
        <v>14</v>
      </c>
      <c r="D10" s="1674">
        <v>80</v>
      </c>
      <c r="E10" s="1615">
        <f t="shared" si="0"/>
        <v>10.5</v>
      </c>
      <c r="F10" s="1616">
        <v>1</v>
      </c>
      <c r="G10" s="940">
        <f t="shared" si="1"/>
        <v>840</v>
      </c>
      <c r="H10" s="1617">
        <f t="shared" si="2"/>
        <v>840</v>
      </c>
      <c r="I10" s="914">
        <f>VLOOKUP(B10,All_Ingredients!$A$1:$F$161,6,FALSE())</f>
        <v>0.69</v>
      </c>
      <c r="J10" s="940">
        <f>VLOOKUP(B10,All_Ingredients!$A$1:$J$161,10,FALSE())</f>
        <v>4</v>
      </c>
      <c r="K10" s="945">
        <f t="shared" si="5"/>
        <v>1.2173913043478262</v>
      </c>
      <c r="L10" s="945">
        <f t="shared" si="6"/>
        <v>4.8695652173913047</v>
      </c>
    </row>
    <row r="11" spans="1:33" x14ac:dyDescent="0.25">
      <c r="A11" s="949"/>
      <c r="B11" s="1252" t="s">
        <v>50</v>
      </c>
      <c r="C11" s="947" t="s">
        <v>14</v>
      </c>
      <c r="D11" s="1674">
        <v>80</v>
      </c>
      <c r="E11" s="1615">
        <f t="shared" si="0"/>
        <v>10.5</v>
      </c>
      <c r="F11" s="1616">
        <v>1</v>
      </c>
      <c r="G11" s="940">
        <f t="shared" si="1"/>
        <v>840</v>
      </c>
      <c r="H11" s="1617">
        <f t="shared" si="2"/>
        <v>840</v>
      </c>
      <c r="I11" s="914">
        <f>VLOOKUP(B11,All_Ingredients!$A$1:$F$161,6,FALSE())</f>
        <v>0.75</v>
      </c>
      <c r="J11" s="940">
        <f>VLOOKUP(B11,All_Ingredients!$A$1:$J$161,10,FALSE())</f>
        <v>20</v>
      </c>
      <c r="K11" s="945">
        <f t="shared" si="5"/>
        <v>1.1200000000000001</v>
      </c>
      <c r="L11" s="945">
        <f t="shared" si="6"/>
        <v>22.400000000000002</v>
      </c>
    </row>
    <row r="12" spans="1:33" x14ac:dyDescent="0.25">
      <c r="A12" s="949"/>
      <c r="B12" s="1252" t="s">
        <v>93</v>
      </c>
      <c r="C12" s="947" t="s">
        <v>14</v>
      </c>
      <c r="D12" s="1615">
        <v>4</v>
      </c>
      <c r="E12" s="1615">
        <f t="shared" si="0"/>
        <v>10.5</v>
      </c>
      <c r="F12" s="1616">
        <v>0.75</v>
      </c>
      <c r="G12" s="940">
        <f t="shared" si="1"/>
        <v>42</v>
      </c>
      <c r="H12" s="1617">
        <f t="shared" si="2"/>
        <v>31.5</v>
      </c>
      <c r="I12" s="914">
        <f>VLOOKUP(B12,All_Ingredients!$A$1:$F$161,6,FALSE())</f>
        <v>1</v>
      </c>
      <c r="J12" s="940">
        <f>VLOOKUP(B12,All_Ingredients!$A$1:$J$161,10,FALSE())</f>
        <v>0.74</v>
      </c>
      <c r="K12" s="945">
        <f t="shared" si="5"/>
        <v>3.15E-2</v>
      </c>
      <c r="L12" s="945">
        <f t="shared" si="6"/>
        <v>2.3310000000000001E-2</v>
      </c>
    </row>
    <row r="13" spans="1:33" x14ac:dyDescent="0.25">
      <c r="A13" s="949"/>
      <c r="B13" s="1252" t="s">
        <v>99</v>
      </c>
      <c r="C13" s="947" t="s">
        <v>14</v>
      </c>
      <c r="D13" s="1621">
        <v>0.5</v>
      </c>
      <c r="E13" s="1615">
        <f t="shared" si="0"/>
        <v>10.5</v>
      </c>
      <c r="F13" s="1616">
        <v>1</v>
      </c>
      <c r="G13" s="940">
        <f t="shared" si="1"/>
        <v>5.25</v>
      </c>
      <c r="H13" s="1617">
        <f t="shared" si="2"/>
        <v>5.25</v>
      </c>
      <c r="I13" s="914">
        <f>VLOOKUP(B13,All_Ingredients!$A$1:$F$161,6,FALSE())</f>
        <v>1</v>
      </c>
      <c r="J13" s="940">
        <f>VLOOKUP(B13,All_Ingredients!$A$1:$J$161,10,FALSE())</f>
        <v>31</v>
      </c>
      <c r="K13" s="945">
        <f t="shared" si="5"/>
        <v>5.2500000000000003E-3</v>
      </c>
      <c r="L13" s="945">
        <f t="shared" si="6"/>
        <v>0.16275000000000001</v>
      </c>
    </row>
    <row r="25" spans="18:29" x14ac:dyDescent="0.25">
      <c r="R25" s="1886" t="s">
        <v>363</v>
      </c>
      <c r="S25" s="1850"/>
      <c r="T25" s="258"/>
      <c r="Z25" s="96" t="s">
        <v>14</v>
      </c>
      <c r="AA25" s="97">
        <v>1</v>
      </c>
      <c r="AB25" s="96" t="s">
        <v>249</v>
      </c>
      <c r="AC25" s="98">
        <f>(S33/S30)*AA25</f>
        <v>8.1011901620790562E-3</v>
      </c>
    </row>
    <row r="26" spans="18:29" x14ac:dyDescent="0.25">
      <c r="R26" s="1888" t="s">
        <v>337</v>
      </c>
      <c r="S26" s="1867"/>
      <c r="T26" s="258"/>
    </row>
    <row r="27" spans="18:29" x14ac:dyDescent="0.25">
      <c r="R27" s="100" t="s">
        <v>254</v>
      </c>
      <c r="S27" s="103" t="s">
        <v>257</v>
      </c>
    </row>
    <row r="28" spans="18:29" x14ac:dyDescent="0.25">
      <c r="R28" s="100" t="s">
        <v>451</v>
      </c>
      <c r="S28" s="398">
        <f>Z1</f>
        <v>10500</v>
      </c>
    </row>
    <row r="29" spans="18:29" x14ac:dyDescent="0.25">
      <c r="R29" s="100" t="s">
        <v>265</v>
      </c>
      <c r="S29" s="404">
        <f>AB1</f>
        <v>0</v>
      </c>
    </row>
    <row r="30" spans="18:29" x14ac:dyDescent="0.25">
      <c r="R30" s="100" t="s">
        <v>257</v>
      </c>
      <c r="S30" s="218">
        <f>S28+S29</f>
        <v>10500</v>
      </c>
    </row>
    <row r="33" spans="18:19" ht="15.75" thickBot="1" x14ac:dyDescent="0.3">
      <c r="R33" s="117" t="s">
        <v>249</v>
      </c>
      <c r="S33" s="548">
        <f>SUM(L6:L13)</f>
        <v>85.062496701830085</v>
      </c>
    </row>
    <row r="50" spans="1:8" x14ac:dyDescent="0.25">
      <c r="B50" s="845"/>
      <c r="C50" s="150" t="s">
        <v>233</v>
      </c>
      <c r="D50" s="150" t="s">
        <v>279</v>
      </c>
    </row>
    <row r="51" spans="1:8" x14ac:dyDescent="0.25">
      <c r="B51" s="844" t="s">
        <v>283</v>
      </c>
      <c r="C51" s="133">
        <f>10/$K$1</f>
        <v>10</v>
      </c>
      <c r="D51" s="134">
        <f>$C$1*10</f>
        <v>10000</v>
      </c>
    </row>
    <row r="52" spans="1:8" x14ac:dyDescent="0.25">
      <c r="B52" s="846" t="s">
        <v>257</v>
      </c>
      <c r="C52" s="157">
        <f>G1</f>
        <v>10.5</v>
      </c>
      <c r="D52" s="157">
        <f>E1</f>
        <v>10500</v>
      </c>
    </row>
    <row r="53" spans="1:8" x14ac:dyDescent="0.25">
      <c r="B53" s="846" t="s">
        <v>284</v>
      </c>
      <c r="C53" s="158">
        <f>MIN($C$52, $C$51)</f>
        <v>10</v>
      </c>
      <c r="D53" s="157">
        <f>(C53*$K$1)*$C$1</f>
        <v>10000</v>
      </c>
    </row>
    <row r="54" spans="1:8" x14ac:dyDescent="0.25">
      <c r="B54" s="846" t="s">
        <v>285</v>
      </c>
      <c r="C54" s="158">
        <f>MIN(MAX($C$52-C53,0),$C$51)</f>
        <v>0.5</v>
      </c>
      <c r="D54" s="157">
        <f>(C54*$K$1)*$C$1</f>
        <v>500</v>
      </c>
    </row>
    <row r="55" spans="1:8" x14ac:dyDescent="0.25">
      <c r="B55" s="846" t="s">
        <v>286</v>
      </c>
      <c r="C55" s="158">
        <f>MIN(MAX($C$52-C53-C54,0),$C$51)</f>
        <v>0</v>
      </c>
      <c r="D55" s="157">
        <f>(C55*$K$1)*$C$1</f>
        <v>0</v>
      </c>
    </row>
    <row r="62" spans="1:8" x14ac:dyDescent="0.25">
      <c r="A62" s="867"/>
      <c r="B62" s="1871" t="s">
        <v>747</v>
      </c>
      <c r="C62" s="1880"/>
      <c r="D62" s="1880"/>
      <c r="E62" s="1880"/>
      <c r="F62" s="1880"/>
      <c r="G62" s="1880"/>
      <c r="H62" s="1880"/>
    </row>
    <row r="63" spans="1:8" x14ac:dyDescent="0.25">
      <c r="A63" s="867"/>
      <c r="B63" s="1804" t="s">
        <v>748</v>
      </c>
      <c r="C63" s="1890"/>
      <c r="D63" s="1890"/>
      <c r="E63" s="1890"/>
      <c r="F63" s="1890"/>
      <c r="G63" s="1890"/>
      <c r="H63" s="1890"/>
    </row>
    <row r="64" spans="1:8" ht="25.5" x14ac:dyDescent="0.2">
      <c r="A64" s="872"/>
      <c r="B64" s="1104" t="s">
        <v>241</v>
      </c>
      <c r="C64" s="934" t="s">
        <v>242</v>
      </c>
      <c r="D64" s="1104" t="s">
        <v>231</v>
      </c>
      <c r="E64" s="936" t="s">
        <v>234</v>
      </c>
      <c r="F64" s="936" t="s">
        <v>243</v>
      </c>
      <c r="G64" s="1104" t="s">
        <v>244</v>
      </c>
      <c r="H64" s="936" t="s">
        <v>245</v>
      </c>
    </row>
    <row r="65" spans="1:8" x14ac:dyDescent="0.25">
      <c r="B65" s="1252" t="str">
        <f t="shared" ref="B65:D72" si="7">B6</f>
        <v>Carrot - جزر</v>
      </c>
      <c r="C65" s="947" t="str">
        <f t="shared" si="7"/>
        <v>gm</v>
      </c>
      <c r="D65" s="1615">
        <f t="shared" si="7"/>
        <v>450</v>
      </c>
      <c r="E65" s="1615">
        <f>$C$52</f>
        <v>10.5</v>
      </c>
      <c r="F65" s="1616">
        <f t="shared" ref="F65:F72" si="8">F6</f>
        <v>1</v>
      </c>
      <c r="G65" s="940">
        <f t="shared" ref="G65:G72" si="9">D65*E65</f>
        <v>4725</v>
      </c>
      <c r="H65" s="1617">
        <f t="shared" ref="H65:H72" si="10">G65*F65</f>
        <v>4725</v>
      </c>
    </row>
    <row r="66" spans="1:8" x14ac:dyDescent="0.25">
      <c r="B66" s="1252" t="str">
        <f t="shared" si="7"/>
        <v>Zucchini - كوسة</v>
      </c>
      <c r="C66" s="947" t="str">
        <f t="shared" si="7"/>
        <v>gm</v>
      </c>
      <c r="D66" s="1615">
        <f t="shared" si="7"/>
        <v>450</v>
      </c>
      <c r="E66" s="1615">
        <f t="shared" ref="E66:E72" si="11">$C$52</f>
        <v>10.5</v>
      </c>
      <c r="F66" s="1616">
        <f t="shared" si="8"/>
        <v>1</v>
      </c>
      <c r="G66" s="940">
        <f t="shared" si="9"/>
        <v>4725</v>
      </c>
      <c r="H66" s="1617">
        <f t="shared" si="10"/>
        <v>4725</v>
      </c>
    </row>
    <row r="67" spans="1:8" x14ac:dyDescent="0.25">
      <c r="B67" s="1252" t="str">
        <f t="shared" si="7"/>
        <v xml:space="preserve">Red Bell Pepper - فلفل أحمر </v>
      </c>
      <c r="C67" s="947" t="str">
        <f t="shared" si="7"/>
        <v>gm</v>
      </c>
      <c r="D67" s="1615">
        <f t="shared" si="7"/>
        <v>80</v>
      </c>
      <c r="E67" s="1615">
        <f t="shared" si="11"/>
        <v>10.5</v>
      </c>
      <c r="F67" s="1616">
        <f t="shared" si="8"/>
        <v>1</v>
      </c>
      <c r="G67" s="940">
        <f t="shared" si="9"/>
        <v>840</v>
      </c>
      <c r="H67" s="1617">
        <f t="shared" si="10"/>
        <v>840</v>
      </c>
    </row>
    <row r="68" spans="1:8" x14ac:dyDescent="0.25">
      <c r="B68" s="1252" t="str">
        <f t="shared" si="7"/>
        <v xml:space="preserve">Yellow Bell Pepper - فلفل أصفر </v>
      </c>
      <c r="C68" s="947" t="str">
        <f t="shared" si="7"/>
        <v>gm</v>
      </c>
      <c r="D68" s="1615">
        <f t="shared" si="7"/>
        <v>80</v>
      </c>
      <c r="E68" s="1615">
        <f t="shared" si="11"/>
        <v>10.5</v>
      </c>
      <c r="F68" s="1616">
        <f t="shared" si="8"/>
        <v>1</v>
      </c>
      <c r="G68" s="940">
        <f t="shared" si="9"/>
        <v>840</v>
      </c>
      <c r="H68" s="1617">
        <f t="shared" si="10"/>
        <v>840</v>
      </c>
    </row>
    <row r="69" spans="1:8" x14ac:dyDescent="0.25">
      <c r="B69" s="1252" t="str">
        <f t="shared" si="7"/>
        <v>Green Bell Pepper - فلفل أخضر رومى</v>
      </c>
      <c r="C69" s="947" t="str">
        <f t="shared" si="7"/>
        <v>gm</v>
      </c>
      <c r="D69" s="1615">
        <f t="shared" si="7"/>
        <v>80</v>
      </c>
      <c r="E69" s="1615">
        <f t="shared" si="11"/>
        <v>10.5</v>
      </c>
      <c r="F69" s="1616">
        <f t="shared" si="8"/>
        <v>1</v>
      </c>
      <c r="G69" s="940">
        <f t="shared" si="9"/>
        <v>840</v>
      </c>
      <c r="H69" s="1617">
        <f t="shared" si="10"/>
        <v>840</v>
      </c>
    </row>
    <row r="70" spans="1:8" x14ac:dyDescent="0.25">
      <c r="B70" s="1252" t="str">
        <f t="shared" si="7"/>
        <v>Chinese Cabbage - ملفوف صيني</v>
      </c>
      <c r="C70" s="947" t="str">
        <f t="shared" si="7"/>
        <v>gm</v>
      </c>
      <c r="D70" s="1615">
        <f t="shared" si="7"/>
        <v>80</v>
      </c>
      <c r="E70" s="1615">
        <f t="shared" si="11"/>
        <v>10.5</v>
      </c>
      <c r="F70" s="1616">
        <f t="shared" si="8"/>
        <v>1</v>
      </c>
      <c r="G70" s="940">
        <f t="shared" si="9"/>
        <v>840</v>
      </c>
      <c r="H70" s="1617">
        <f t="shared" si="10"/>
        <v>840</v>
      </c>
    </row>
    <row r="71" spans="1:8" x14ac:dyDescent="0.25">
      <c r="B71" s="1252" t="str">
        <f t="shared" si="7"/>
        <v>Salt - ملح</v>
      </c>
      <c r="C71" s="947" t="str">
        <f t="shared" si="7"/>
        <v>gm</v>
      </c>
      <c r="D71" s="1615">
        <f t="shared" si="7"/>
        <v>4</v>
      </c>
      <c r="E71" s="1615">
        <f t="shared" si="11"/>
        <v>10.5</v>
      </c>
      <c r="F71" s="1616">
        <f t="shared" si="8"/>
        <v>0.75</v>
      </c>
      <c r="G71" s="940">
        <f t="shared" si="9"/>
        <v>42</v>
      </c>
      <c r="H71" s="1617">
        <f t="shared" si="10"/>
        <v>31.5</v>
      </c>
    </row>
    <row r="72" spans="1:8" x14ac:dyDescent="0.25">
      <c r="B72" s="1252" t="str">
        <f t="shared" si="7"/>
        <v>Black Pepper Powder - فلفل أسود مطحون</v>
      </c>
      <c r="C72" s="947" t="str">
        <f t="shared" si="7"/>
        <v>gm</v>
      </c>
      <c r="D72" s="1627">
        <f t="shared" si="7"/>
        <v>0.5</v>
      </c>
      <c r="E72" s="1615">
        <f t="shared" si="11"/>
        <v>10.5</v>
      </c>
      <c r="F72" s="1616">
        <f t="shared" si="8"/>
        <v>1</v>
      </c>
      <c r="G72" s="940">
        <f t="shared" si="9"/>
        <v>5.25</v>
      </c>
      <c r="H72" s="1617">
        <f t="shared" si="10"/>
        <v>5.25</v>
      </c>
    </row>
    <row r="73" spans="1:8" ht="15.75" x14ac:dyDescent="0.25">
      <c r="B73" s="1622" t="s">
        <v>686</v>
      </c>
      <c r="C73" s="952"/>
      <c r="D73" s="952"/>
      <c r="E73" s="1208"/>
      <c r="F73" s="1208"/>
      <c r="G73" s="952"/>
      <c r="H73" s="952"/>
    </row>
    <row r="74" spans="1:8" ht="20.25" x14ac:dyDescent="0.3">
      <c r="B74" s="1048">
        <f>D52</f>
        <v>10500</v>
      </c>
      <c r="C74" s="1346"/>
      <c r="D74" s="1672"/>
      <c r="E74" s="1208"/>
      <c r="F74" s="1348"/>
      <c r="G74" s="952"/>
      <c r="H74" s="952"/>
    </row>
    <row r="75" spans="1:8" x14ac:dyDescent="0.25">
      <c r="B75" s="80"/>
      <c r="E75" s="80"/>
      <c r="F75" s="80"/>
    </row>
    <row r="76" spans="1:8" x14ac:dyDescent="0.25">
      <c r="B76" s="80"/>
      <c r="C76" s="80"/>
      <c r="D76" s="225"/>
      <c r="E76" s="80"/>
      <c r="F76" s="80"/>
      <c r="G76" s="80"/>
      <c r="H76" s="80"/>
    </row>
    <row r="77" spans="1:8" x14ac:dyDescent="0.25">
      <c r="B77" s="80"/>
      <c r="C77" s="80"/>
      <c r="D77" s="80"/>
      <c r="E77" s="80"/>
      <c r="F77" s="80"/>
      <c r="G77" s="80"/>
      <c r="H77" s="80"/>
    </row>
    <row r="78" spans="1:8" ht="18" x14ac:dyDescent="0.25">
      <c r="B78" s="1803"/>
      <c r="C78" s="1796"/>
      <c r="D78" s="1796"/>
      <c r="E78" s="1796"/>
      <c r="F78" s="1796"/>
      <c r="G78" s="1796"/>
      <c r="H78" s="1796"/>
    </row>
    <row r="79" spans="1:8" ht="18" x14ac:dyDescent="0.25">
      <c r="B79" s="1803"/>
      <c r="C79" s="1796"/>
      <c r="D79" s="1796"/>
      <c r="E79" s="1796"/>
      <c r="F79" s="1796"/>
      <c r="G79" s="1796"/>
      <c r="H79" s="1796"/>
    </row>
    <row r="80" spans="1:8" x14ac:dyDescent="0.2">
      <c r="A80" s="876"/>
      <c r="B80" s="226"/>
      <c r="C80" s="227"/>
      <c r="D80" s="226"/>
      <c r="E80" s="226"/>
      <c r="F80" s="226"/>
      <c r="G80" s="226"/>
      <c r="H80" s="226"/>
    </row>
    <row r="81" spans="1:8" x14ac:dyDescent="0.25">
      <c r="B81" s="228"/>
      <c r="C81" s="228"/>
      <c r="D81" s="215"/>
      <c r="E81" s="215"/>
      <c r="F81" s="91"/>
      <c r="G81" s="92"/>
      <c r="H81" s="93"/>
    </row>
    <row r="82" spans="1:8" x14ac:dyDescent="0.25">
      <c r="B82" s="228"/>
      <c r="C82" s="228"/>
      <c r="D82" s="215"/>
      <c r="E82" s="215"/>
      <c r="F82" s="91"/>
      <c r="G82" s="92"/>
      <c r="H82" s="93"/>
    </row>
    <row r="83" spans="1:8" x14ac:dyDescent="0.25">
      <c r="B83" s="228"/>
      <c r="C83" s="228"/>
      <c r="D83" s="215"/>
      <c r="E83" s="215"/>
      <c r="F83" s="91"/>
      <c r="G83" s="92"/>
      <c r="H83" s="93"/>
    </row>
    <row r="84" spans="1:8" x14ac:dyDescent="0.25">
      <c r="B84" s="228"/>
      <c r="C84" s="228"/>
      <c r="D84" s="215"/>
      <c r="E84" s="215"/>
      <c r="F84" s="91"/>
      <c r="G84" s="92"/>
      <c r="H84" s="93"/>
    </row>
    <row r="85" spans="1:8" x14ac:dyDescent="0.25">
      <c r="B85" s="228"/>
      <c r="C85" s="228"/>
      <c r="D85" s="215"/>
      <c r="E85" s="215"/>
      <c r="F85" s="91"/>
      <c r="G85" s="92"/>
      <c r="H85" s="93"/>
    </row>
    <row r="86" spans="1:8" x14ac:dyDescent="0.25">
      <c r="B86" s="228"/>
      <c r="C86" s="228"/>
      <c r="D86" s="215"/>
      <c r="E86" s="215"/>
      <c r="F86" s="91"/>
      <c r="G86" s="92"/>
      <c r="H86" s="93"/>
    </row>
    <row r="87" spans="1:8" x14ac:dyDescent="0.25">
      <c r="B87" s="228"/>
      <c r="C87" s="228"/>
      <c r="D87" s="215"/>
      <c r="E87" s="215"/>
      <c r="F87" s="91"/>
      <c r="G87" s="92"/>
      <c r="H87" s="93"/>
    </row>
    <row r="88" spans="1:8" x14ac:dyDescent="0.25">
      <c r="B88" s="228"/>
      <c r="C88" s="228"/>
      <c r="D88" s="189"/>
      <c r="E88" s="215"/>
      <c r="F88" s="91"/>
      <c r="G88" s="92"/>
      <c r="H88" s="93"/>
    </row>
    <row r="89" spans="1:8" ht="15.75" x14ac:dyDescent="0.25">
      <c r="B89" s="142"/>
      <c r="E89" s="80"/>
      <c r="F89" s="80"/>
    </row>
    <row r="90" spans="1:8" ht="20.25" x14ac:dyDescent="0.3">
      <c r="B90" s="261"/>
      <c r="C90" s="143"/>
      <c r="D90" s="4"/>
      <c r="E90" s="80"/>
      <c r="F90" s="135"/>
    </row>
    <row r="91" spans="1:8" x14ac:dyDescent="0.25">
      <c r="B91" s="80"/>
      <c r="C91" s="80"/>
      <c r="D91" s="80"/>
      <c r="E91" s="80"/>
      <c r="F91" s="80"/>
      <c r="G91" s="80"/>
      <c r="H91" s="80"/>
    </row>
    <row r="92" spans="1:8" x14ac:dyDescent="0.25">
      <c r="B92" s="80"/>
      <c r="C92" s="80"/>
      <c r="D92" s="80"/>
      <c r="E92" s="80"/>
      <c r="F92" s="80"/>
      <c r="G92" s="80"/>
      <c r="H92" s="80"/>
    </row>
    <row r="93" spans="1:8" ht="18" x14ac:dyDescent="0.25">
      <c r="B93" s="1803"/>
      <c r="C93" s="1796"/>
      <c r="D93" s="1796"/>
      <c r="E93" s="1796"/>
      <c r="F93" s="1796"/>
      <c r="G93" s="1796"/>
      <c r="H93" s="1796"/>
    </row>
    <row r="94" spans="1:8" ht="18" x14ac:dyDescent="0.25">
      <c r="B94" s="1803"/>
      <c r="C94" s="1796"/>
      <c r="D94" s="1796"/>
      <c r="E94" s="1796"/>
      <c r="F94" s="1796"/>
      <c r="G94" s="1796"/>
      <c r="H94" s="1796"/>
    </row>
    <row r="95" spans="1:8" x14ac:dyDescent="0.2">
      <c r="A95" s="876"/>
      <c r="B95" s="226"/>
      <c r="C95" s="227"/>
      <c r="D95" s="226"/>
      <c r="E95" s="226"/>
      <c r="F95" s="226"/>
      <c r="G95" s="226"/>
      <c r="H95" s="226"/>
    </row>
    <row r="96" spans="1:8" x14ac:dyDescent="0.25">
      <c r="B96" s="228"/>
      <c r="C96" s="228"/>
      <c r="D96" s="228"/>
      <c r="E96" s="260"/>
      <c r="F96" s="91"/>
      <c r="G96" s="92"/>
      <c r="H96" s="93"/>
    </row>
    <row r="97" spans="2:8" x14ac:dyDescent="0.25">
      <c r="B97" s="228"/>
      <c r="C97" s="228"/>
      <c r="D97" s="228"/>
      <c r="E97" s="260"/>
      <c r="F97" s="91"/>
      <c r="G97" s="92"/>
      <c r="H97" s="93"/>
    </row>
    <row r="98" spans="2:8" x14ac:dyDescent="0.25">
      <c r="B98" s="228"/>
      <c r="C98" s="228"/>
      <c r="D98" s="228"/>
      <c r="E98" s="260"/>
      <c r="F98" s="91"/>
      <c r="G98" s="92"/>
      <c r="H98" s="93"/>
    </row>
    <row r="99" spans="2:8" x14ac:dyDescent="0.25">
      <c r="B99" s="228"/>
      <c r="C99" s="228"/>
      <c r="D99" s="228"/>
      <c r="E99" s="260"/>
      <c r="F99" s="91"/>
      <c r="G99" s="92"/>
      <c r="H99" s="93"/>
    </row>
    <row r="100" spans="2:8" x14ac:dyDescent="0.25">
      <c r="B100" s="228"/>
      <c r="C100" s="228"/>
      <c r="D100" s="228"/>
      <c r="E100" s="260"/>
      <c r="F100" s="91"/>
      <c r="G100" s="92"/>
      <c r="H100" s="93"/>
    </row>
    <row r="101" spans="2:8" x14ac:dyDescent="0.25">
      <c r="B101" s="228"/>
      <c r="C101" s="228"/>
      <c r="D101" s="228"/>
      <c r="E101" s="260"/>
      <c r="F101" s="91"/>
      <c r="G101" s="92"/>
      <c r="H101" s="93"/>
    </row>
    <row r="102" spans="2:8" x14ac:dyDescent="0.25">
      <c r="B102" s="228"/>
      <c r="C102" s="228"/>
      <c r="D102" s="228"/>
      <c r="E102" s="260"/>
      <c r="F102" s="91"/>
      <c r="G102" s="92"/>
      <c r="H102" s="93"/>
    </row>
    <row r="103" spans="2:8" x14ac:dyDescent="0.25">
      <c r="B103" s="228"/>
      <c r="C103" s="228"/>
      <c r="D103" s="228"/>
      <c r="E103" s="260"/>
      <c r="F103" s="91"/>
      <c r="G103" s="313"/>
      <c r="H103" s="573"/>
    </row>
    <row r="104" spans="2:8" ht="15.75" x14ac:dyDescent="0.25">
      <c r="B104" s="142"/>
    </row>
  </sheetData>
  <mergeCells count="10">
    <mergeCell ref="AE2:AG3"/>
    <mergeCell ref="R26:S26"/>
    <mergeCell ref="B93:H93"/>
    <mergeCell ref="B94:H94"/>
    <mergeCell ref="B79:H79"/>
    <mergeCell ref="R25:S25"/>
    <mergeCell ref="B62:H62"/>
    <mergeCell ref="B78:H78"/>
    <mergeCell ref="B2:H3"/>
    <mergeCell ref="B63:H63"/>
  </mergeCells>
  <printOptions horizontalCentered="1"/>
  <pageMargins left="0.5" right="0.5" top="1" bottom="0.5" header="0.3" footer="0.511811023622047"/>
  <pageSetup paperSize="9" scale="32"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183A8-D3C1-4CDE-AC95-C8022719B214}">
  <sheetPr codeName="Sheet81">
    <tabColor theme="5" tint="-0.249977111117893"/>
    <pageSetUpPr fitToPage="1"/>
  </sheetPr>
  <dimension ref="A1:AD82"/>
  <sheetViews>
    <sheetView topLeftCell="A35" zoomScale="55" zoomScaleNormal="55" workbookViewId="0">
      <selection activeCell="A64" sqref="A64:A79"/>
    </sheetView>
  </sheetViews>
  <sheetFormatPr defaultColWidth="12.5" defaultRowHeight="15" x14ac:dyDescent="0.2"/>
  <cols>
    <col min="1" max="1" width="14.75" style="885" bestFit="1" customWidth="1"/>
    <col min="2" max="2" width="35.5" style="346" bestFit="1" customWidth="1"/>
    <col min="3" max="3" width="16" style="346" bestFit="1" customWidth="1"/>
    <col min="4" max="4" width="14.5" style="346" bestFit="1" customWidth="1"/>
    <col min="5" max="5" width="9.25" style="346" bestFit="1" customWidth="1"/>
    <col min="6" max="6" width="14.25" style="346" bestFit="1" customWidth="1"/>
    <col min="7" max="7" width="10.125" style="346" bestFit="1" customWidth="1"/>
    <col min="8" max="8" width="17.375" style="346" customWidth="1"/>
    <col min="9" max="9" width="10.75" style="346" bestFit="1" customWidth="1"/>
    <col min="10" max="10" width="11.625" style="346" bestFit="1" customWidth="1"/>
    <col min="11" max="11" width="11.125" style="346" bestFit="1" customWidth="1"/>
    <col min="12" max="12" width="5" style="346" bestFit="1" customWidth="1"/>
    <col min="13" max="17" width="3.875" style="346" customWidth="1"/>
    <col min="18" max="18" width="9.625" style="346" bestFit="1" customWidth="1"/>
    <col min="19" max="19" width="7.875" style="346" bestFit="1" customWidth="1"/>
    <col min="20" max="20" width="9.625" style="346" bestFit="1" customWidth="1"/>
    <col min="21" max="24" width="12.5" style="346"/>
    <col min="25" max="26" width="6.5" style="346" bestFit="1" customWidth="1"/>
    <col min="27" max="27" width="5.875" style="346" bestFit="1" customWidth="1"/>
    <col min="28" max="28" width="4.5" style="346" bestFit="1" customWidth="1"/>
    <col min="29" max="29" width="5.625" style="346" bestFit="1" customWidth="1"/>
    <col min="30" max="30" width="2.75" style="346" bestFit="1" customWidth="1"/>
    <col min="31" max="16384" width="12.5" style="346"/>
  </cols>
  <sheetData>
    <row r="1" spans="1:30" ht="25.5" x14ac:dyDescent="0.2">
      <c r="B1" s="855" t="s">
        <v>521</v>
      </c>
      <c r="C1" s="379">
        <v>5000</v>
      </c>
      <c r="D1" s="378" t="s">
        <v>232</v>
      </c>
      <c r="E1" s="377">
        <f>T29</f>
        <v>1951.5</v>
      </c>
      <c r="F1" s="375" t="s">
        <v>233</v>
      </c>
      <c r="G1" s="376">
        <f>E1/C1</f>
        <v>0.39029999999999998</v>
      </c>
      <c r="H1" s="375" t="s">
        <v>234</v>
      </c>
      <c r="I1" s="374">
        <f>(G1/K1)</f>
        <v>0.39029999999999998</v>
      </c>
      <c r="J1" s="373" t="s">
        <v>235</v>
      </c>
      <c r="K1" s="372">
        <v>1</v>
      </c>
      <c r="L1" s="347"/>
      <c r="M1" s="347"/>
      <c r="N1" s="347"/>
      <c r="Y1" s="72" t="s">
        <v>444</v>
      </c>
      <c r="Z1" s="422">
        <v>12510</v>
      </c>
      <c r="AA1" s="72" t="s">
        <v>544</v>
      </c>
      <c r="AB1" s="422">
        <v>500</v>
      </c>
      <c r="AC1" s="72" t="s">
        <v>537</v>
      </c>
      <c r="AD1" s="422">
        <v>89</v>
      </c>
    </row>
    <row r="2" spans="1:30" ht="15.75" x14ac:dyDescent="0.2">
      <c r="A2" s="1806"/>
      <c r="B2" s="1808" t="s">
        <v>525</v>
      </c>
      <c r="C2" s="1808"/>
      <c r="D2" s="1808"/>
      <c r="E2" s="1808"/>
      <c r="F2" s="1808"/>
      <c r="G2" s="1808"/>
      <c r="H2" s="1808"/>
      <c r="I2" s="353"/>
      <c r="J2" s="353"/>
      <c r="K2" s="1896"/>
      <c r="L2" s="347"/>
      <c r="M2" s="347"/>
      <c r="N2" s="347"/>
    </row>
    <row r="3" spans="1:30" ht="15.75" x14ac:dyDescent="0.2">
      <c r="A3" s="1806"/>
      <c r="B3" s="1808"/>
      <c r="C3" s="1808"/>
      <c r="D3" s="1808"/>
      <c r="E3" s="1808"/>
      <c r="F3" s="1808"/>
      <c r="G3" s="1808"/>
      <c r="H3" s="1808"/>
      <c r="I3" s="352"/>
      <c r="J3" s="352"/>
      <c r="K3" s="1810"/>
      <c r="L3" s="347"/>
      <c r="M3" s="347"/>
      <c r="N3" s="347"/>
    </row>
    <row r="4" spans="1:30" ht="51" x14ac:dyDescent="0.2">
      <c r="A4" s="1542" t="s">
        <v>864</v>
      </c>
      <c r="B4" s="1219" t="s">
        <v>241</v>
      </c>
      <c r="C4" s="1220" t="s">
        <v>316</v>
      </c>
      <c r="D4" s="1220" t="s">
        <v>519</v>
      </c>
      <c r="E4" s="1221" t="s">
        <v>518</v>
      </c>
      <c r="F4" s="1222" t="s">
        <v>243</v>
      </c>
      <c r="G4" s="1223" t="s">
        <v>244</v>
      </c>
      <c r="H4" s="1224" t="s">
        <v>321</v>
      </c>
      <c r="I4" s="923" t="s">
        <v>246</v>
      </c>
      <c r="J4" s="923" t="s">
        <v>247</v>
      </c>
      <c r="K4" s="923" t="s">
        <v>248</v>
      </c>
      <c r="L4" s="923" t="s">
        <v>249</v>
      </c>
      <c r="M4" s="347"/>
      <c r="N4" s="347"/>
    </row>
    <row r="5" spans="1:30" x14ac:dyDescent="0.2">
      <c r="A5" s="1225"/>
      <c r="B5" s="1232" t="s">
        <v>54</v>
      </c>
      <c r="C5" s="1227" t="s">
        <v>14</v>
      </c>
      <c r="D5" s="1676">
        <v>125</v>
      </c>
      <c r="E5" s="1677">
        <f t="shared" ref="E5:E19" si="0">$G$1</f>
        <v>0.39029999999999998</v>
      </c>
      <c r="F5" s="1678">
        <v>1</v>
      </c>
      <c r="G5" s="1546">
        <f t="shared" ref="G5:G20" si="1">D5*E5</f>
        <v>48.787499999999994</v>
      </c>
      <c r="H5" s="1679">
        <f t="shared" ref="H5:H20" si="2">G5*F5</f>
        <v>48.787499999999994</v>
      </c>
      <c r="I5" s="914">
        <f>VLOOKUP(B5,All_Ingredients!$A$1:$F$161,6,FALSE())</f>
        <v>0.87</v>
      </c>
      <c r="J5" s="940">
        <f>VLOOKUP(B5,All_Ingredients!$A$1:$J$161,10,FALSE())</f>
        <v>7</v>
      </c>
      <c r="K5" s="945">
        <f t="shared" ref="K5" si="3">(H5/I5)/1000</f>
        <v>5.6077586206896547E-2</v>
      </c>
      <c r="L5" s="945">
        <f t="shared" ref="L5" si="4">K5*J5</f>
        <v>0.39254310344827581</v>
      </c>
    </row>
    <row r="6" spans="1:30" x14ac:dyDescent="0.2">
      <c r="A6" s="1225"/>
      <c r="B6" s="1232" t="s">
        <v>706</v>
      </c>
      <c r="C6" s="1227" t="s">
        <v>14</v>
      </c>
      <c r="D6" s="1676">
        <v>250</v>
      </c>
      <c r="E6" s="1677">
        <f t="shared" si="0"/>
        <v>0.39029999999999998</v>
      </c>
      <c r="F6" s="1678">
        <v>1</v>
      </c>
      <c r="G6" s="1546">
        <f t="shared" si="1"/>
        <v>97.574999999999989</v>
      </c>
      <c r="H6" s="1680">
        <f t="shared" si="2"/>
        <v>97.574999999999989</v>
      </c>
      <c r="I6" s="914">
        <f>VLOOKUP(B6,All_Ingredients!$A$1:$F$161,6,FALSE())</f>
        <v>1</v>
      </c>
      <c r="J6" s="940">
        <f>VLOOKUP(B6,All_Ingredients!$A$1:$J$161,10,FALSE())</f>
        <v>10.5</v>
      </c>
      <c r="K6" s="945">
        <f t="shared" ref="K6:K20" si="5">(H6/I6)/1000</f>
        <v>9.7574999999999995E-2</v>
      </c>
      <c r="L6" s="945">
        <f t="shared" ref="L6:L20" si="6">K6*J6</f>
        <v>1.0245374999999999</v>
      </c>
    </row>
    <row r="7" spans="1:30" x14ac:dyDescent="0.2">
      <c r="A7" s="1225"/>
      <c r="B7" s="1232" t="s">
        <v>193</v>
      </c>
      <c r="C7" s="1227" t="s">
        <v>14</v>
      </c>
      <c r="D7" s="1676">
        <v>250</v>
      </c>
      <c r="E7" s="1677">
        <f t="shared" si="0"/>
        <v>0.39029999999999998</v>
      </c>
      <c r="F7" s="1678">
        <v>1</v>
      </c>
      <c r="G7" s="1546">
        <f t="shared" si="1"/>
        <v>97.574999999999989</v>
      </c>
      <c r="H7" s="1680">
        <f t="shared" si="2"/>
        <v>97.574999999999989</v>
      </c>
      <c r="I7" s="914">
        <f>VLOOKUP(B7,All_Ingredients!$A$1:$F$161,6,FALSE())</f>
        <v>1</v>
      </c>
      <c r="J7" s="940">
        <f>VLOOKUP(B7,All_Ingredients!$A$1:$J$161,10,FALSE())</f>
        <v>37.001287001286997</v>
      </c>
      <c r="K7" s="945">
        <f t="shared" si="5"/>
        <v>9.7574999999999995E-2</v>
      </c>
      <c r="L7" s="945">
        <f t="shared" si="6"/>
        <v>3.6104005791505784</v>
      </c>
    </row>
    <row r="8" spans="1:30" x14ac:dyDescent="0.2">
      <c r="A8" s="1225" t="s">
        <v>882</v>
      </c>
      <c r="B8" s="1232" t="s">
        <v>19</v>
      </c>
      <c r="C8" s="1227" t="s">
        <v>14</v>
      </c>
      <c r="D8" s="1676">
        <v>500</v>
      </c>
      <c r="E8" s="1677">
        <f t="shared" si="0"/>
        <v>0.39029999999999998</v>
      </c>
      <c r="F8" s="1678">
        <v>1</v>
      </c>
      <c r="G8" s="1546">
        <f t="shared" si="1"/>
        <v>195.14999999999998</v>
      </c>
      <c r="H8" s="1680">
        <f t="shared" si="2"/>
        <v>195.14999999999998</v>
      </c>
      <c r="I8" s="914">
        <f>VLOOKUP(B8,All_Ingredients!$A$1:$F$161,6,FALSE())</f>
        <v>0.8</v>
      </c>
      <c r="J8" s="940">
        <f>VLOOKUP(B8,All_Ingredients!$A$1:$J$161,10,FALSE())</f>
        <v>2.6</v>
      </c>
      <c r="K8" s="945">
        <f t="shared" si="5"/>
        <v>0.24393749999999997</v>
      </c>
      <c r="L8" s="945">
        <f t="shared" si="6"/>
        <v>0.6342374999999999</v>
      </c>
    </row>
    <row r="9" spans="1:30" x14ac:dyDescent="0.2">
      <c r="A9" s="1225"/>
      <c r="B9" s="1232" t="s">
        <v>524</v>
      </c>
      <c r="C9" s="1227" t="s">
        <v>14</v>
      </c>
      <c r="D9" s="1676">
        <v>250</v>
      </c>
      <c r="E9" s="1677">
        <f t="shared" si="0"/>
        <v>0.39029999999999998</v>
      </c>
      <c r="F9" s="1678">
        <v>1</v>
      </c>
      <c r="G9" s="1546">
        <f t="shared" si="1"/>
        <v>97.574999999999989</v>
      </c>
      <c r="H9" s="1680">
        <f t="shared" si="2"/>
        <v>97.574999999999989</v>
      </c>
      <c r="I9" s="914">
        <f>VLOOKUP(B9,All_Ingredients!$A$1:$F$161,6,FALSE())</f>
        <v>0.56999999999999995</v>
      </c>
      <c r="J9" s="940">
        <f>VLOOKUP(B9,All_Ingredients!$A$1:$J$161,10,FALSE())</f>
        <v>5</v>
      </c>
      <c r="K9" s="945">
        <f t="shared" si="5"/>
        <v>0.17118421052631577</v>
      </c>
      <c r="L9" s="945">
        <f t="shared" si="6"/>
        <v>0.8559210526315788</v>
      </c>
    </row>
    <row r="10" spans="1:30" x14ac:dyDescent="0.2">
      <c r="A10" s="1225"/>
      <c r="B10" s="1232" t="s">
        <v>99</v>
      </c>
      <c r="C10" s="1227" t="s">
        <v>14</v>
      </c>
      <c r="D10" s="1676">
        <v>10</v>
      </c>
      <c r="E10" s="1677">
        <f t="shared" si="0"/>
        <v>0.39029999999999998</v>
      </c>
      <c r="F10" s="1678">
        <v>1</v>
      </c>
      <c r="G10" s="1546">
        <f t="shared" si="1"/>
        <v>3.9029999999999996</v>
      </c>
      <c r="H10" s="1680">
        <f t="shared" si="2"/>
        <v>3.9029999999999996</v>
      </c>
      <c r="I10" s="914">
        <f>VLOOKUP(B10,All_Ingredients!$A$1:$F$161,6,FALSE())</f>
        <v>1</v>
      </c>
      <c r="J10" s="940">
        <f>VLOOKUP(B10,All_Ingredients!$A$1:$J$161,10,FALSE())</f>
        <v>31</v>
      </c>
      <c r="K10" s="945">
        <f t="shared" si="5"/>
        <v>3.9029999999999998E-3</v>
      </c>
      <c r="L10" s="945">
        <f t="shared" si="6"/>
        <v>0.12099299999999999</v>
      </c>
    </row>
    <row r="11" spans="1:30" x14ac:dyDescent="0.2">
      <c r="A11" s="1225" t="s">
        <v>880</v>
      </c>
      <c r="B11" s="1232" t="s">
        <v>28</v>
      </c>
      <c r="C11" s="1227" t="s">
        <v>14</v>
      </c>
      <c r="D11" s="1676">
        <v>250</v>
      </c>
      <c r="E11" s="1677">
        <f t="shared" si="0"/>
        <v>0.39029999999999998</v>
      </c>
      <c r="F11" s="1678">
        <v>1</v>
      </c>
      <c r="G11" s="1546">
        <f t="shared" si="1"/>
        <v>97.574999999999989</v>
      </c>
      <c r="H11" s="1680">
        <f t="shared" si="2"/>
        <v>97.574999999999989</v>
      </c>
      <c r="I11" s="914">
        <f>VLOOKUP(B11,All_Ingredients!$A$1:$F$161,6,FALSE())</f>
        <v>0.73</v>
      </c>
      <c r="J11" s="940">
        <f>VLOOKUP(B11,All_Ingredients!$A$1:$J$161,10,FALSE())</f>
        <v>8.5</v>
      </c>
      <c r="K11" s="945">
        <f t="shared" si="5"/>
        <v>0.13366438356164384</v>
      </c>
      <c r="L11" s="945">
        <f t="shared" si="6"/>
        <v>1.1361472602739726</v>
      </c>
    </row>
    <row r="12" spans="1:30" x14ac:dyDescent="0.2">
      <c r="A12" s="1225" t="s">
        <v>880</v>
      </c>
      <c r="B12" s="1232" t="s">
        <v>30</v>
      </c>
      <c r="C12" s="1227" t="s">
        <v>14</v>
      </c>
      <c r="D12" s="1676">
        <v>250</v>
      </c>
      <c r="E12" s="1677">
        <f t="shared" si="0"/>
        <v>0.39029999999999998</v>
      </c>
      <c r="F12" s="1678">
        <v>1</v>
      </c>
      <c r="G12" s="1546">
        <f t="shared" si="1"/>
        <v>97.574999999999989</v>
      </c>
      <c r="H12" s="1680">
        <f t="shared" si="2"/>
        <v>97.574999999999989</v>
      </c>
      <c r="I12" s="914">
        <f>VLOOKUP(B12,All_Ingredients!$A$1:$F$161,6,FALSE())</f>
        <v>0.71</v>
      </c>
      <c r="J12" s="940">
        <f>VLOOKUP(B12,All_Ingredients!$A$1:$J$161,10,FALSE())</f>
        <v>8.5</v>
      </c>
      <c r="K12" s="945">
        <f t="shared" si="5"/>
        <v>0.13742957746478873</v>
      </c>
      <c r="L12" s="945">
        <f t="shared" si="6"/>
        <v>1.1681514084507043</v>
      </c>
    </row>
    <row r="13" spans="1:30" x14ac:dyDescent="0.2">
      <c r="A13" s="1225" t="s">
        <v>880</v>
      </c>
      <c r="B13" s="1232" t="s">
        <v>32</v>
      </c>
      <c r="C13" s="1227" t="s">
        <v>14</v>
      </c>
      <c r="D13" s="1676">
        <v>250</v>
      </c>
      <c r="E13" s="1677">
        <f t="shared" si="0"/>
        <v>0.39029999999999998</v>
      </c>
      <c r="F13" s="1678">
        <v>1</v>
      </c>
      <c r="G13" s="1546">
        <f t="shared" si="1"/>
        <v>97.574999999999989</v>
      </c>
      <c r="H13" s="1680">
        <f t="shared" si="2"/>
        <v>97.574999999999989</v>
      </c>
      <c r="I13" s="914">
        <f>VLOOKUP(B13,All_Ingredients!$A$1:$F$161,6,FALSE())</f>
        <v>0.69</v>
      </c>
      <c r="J13" s="940">
        <f>VLOOKUP(B13,All_Ingredients!$A$1:$J$161,10,FALSE())</f>
        <v>4</v>
      </c>
      <c r="K13" s="945">
        <f t="shared" si="5"/>
        <v>0.14141304347826086</v>
      </c>
      <c r="L13" s="945">
        <f t="shared" si="6"/>
        <v>0.56565217391304345</v>
      </c>
    </row>
    <row r="14" spans="1:30" x14ac:dyDescent="0.2">
      <c r="A14" s="1225"/>
      <c r="B14" s="1232" t="s">
        <v>178</v>
      </c>
      <c r="C14" s="1227" t="s">
        <v>14</v>
      </c>
      <c r="D14" s="1676">
        <v>250</v>
      </c>
      <c r="E14" s="1677">
        <f t="shared" si="0"/>
        <v>0.39029999999999998</v>
      </c>
      <c r="F14" s="1678">
        <v>1</v>
      </c>
      <c r="G14" s="1546">
        <f t="shared" si="1"/>
        <v>97.574999999999989</v>
      </c>
      <c r="H14" s="1680">
        <f t="shared" si="2"/>
        <v>97.574999999999989</v>
      </c>
      <c r="I14" s="914">
        <f>VLOOKUP(B14,All_Ingredients!$A$1:$F$161,6,FALSE())</f>
        <v>1</v>
      </c>
      <c r="J14" s="940">
        <f>VLOOKUP(B14,All_Ingredients!$A$1:$J$161,10,FALSE())</f>
        <v>40</v>
      </c>
      <c r="K14" s="945">
        <f t="shared" si="5"/>
        <v>9.7574999999999995E-2</v>
      </c>
      <c r="L14" s="945">
        <f t="shared" si="6"/>
        <v>3.9029999999999996</v>
      </c>
      <c r="N14" s="1813"/>
      <c r="O14" s="1813"/>
    </row>
    <row r="15" spans="1:30" x14ac:dyDescent="0.2">
      <c r="A15" s="1225"/>
      <c r="B15" s="1232" t="s">
        <v>192</v>
      </c>
      <c r="C15" s="1227" t="s">
        <v>160</v>
      </c>
      <c r="D15" s="1676">
        <v>100</v>
      </c>
      <c r="E15" s="1677">
        <f t="shared" si="0"/>
        <v>0.39029999999999998</v>
      </c>
      <c r="F15" s="1678">
        <v>1</v>
      </c>
      <c r="G15" s="1546">
        <f t="shared" si="1"/>
        <v>39.03</v>
      </c>
      <c r="H15" s="1680">
        <f t="shared" si="2"/>
        <v>39.03</v>
      </c>
      <c r="I15" s="914">
        <f>VLOOKUP(B15,All_Ingredients!$A$1:$F$161,6,FALSE())</f>
        <v>1</v>
      </c>
      <c r="J15" s="940">
        <f>VLOOKUP(B15,All_Ingredients!$A$1:$J$161,10,FALSE())</f>
        <v>58.685446009389672</v>
      </c>
      <c r="K15" s="945">
        <f t="shared" si="5"/>
        <v>3.9030000000000002E-2</v>
      </c>
      <c r="L15" s="945">
        <f t="shared" si="6"/>
        <v>2.290492957746479</v>
      </c>
    </row>
    <row r="16" spans="1:30" x14ac:dyDescent="0.2">
      <c r="A16" s="1225"/>
      <c r="B16" s="1232" t="s">
        <v>523</v>
      </c>
      <c r="C16" s="1227" t="s">
        <v>14</v>
      </c>
      <c r="D16" s="1676">
        <v>100</v>
      </c>
      <c r="E16" s="1677">
        <f t="shared" si="0"/>
        <v>0.39029999999999998</v>
      </c>
      <c r="F16" s="1678">
        <v>1</v>
      </c>
      <c r="G16" s="1546">
        <f t="shared" si="1"/>
        <v>39.03</v>
      </c>
      <c r="H16" s="1680">
        <f t="shared" si="2"/>
        <v>39.03</v>
      </c>
      <c r="I16" s="914">
        <f>VLOOKUP(B16,All_Ingredients!$A$1:$F$161,6,FALSE())</f>
        <v>1</v>
      </c>
      <c r="J16" s="940">
        <f>VLOOKUP(B16,All_Ingredients!$A$1:$J$161,10,FALSE())</f>
        <v>0</v>
      </c>
      <c r="K16" s="945">
        <f t="shared" si="5"/>
        <v>3.9030000000000002E-2</v>
      </c>
      <c r="L16" s="945">
        <f t="shared" si="6"/>
        <v>0</v>
      </c>
    </row>
    <row r="17" spans="1:29" x14ac:dyDescent="0.25">
      <c r="A17" s="1225"/>
      <c r="B17" s="1232" t="s">
        <v>198</v>
      </c>
      <c r="C17" s="1157" t="s">
        <v>160</v>
      </c>
      <c r="D17" s="1676">
        <v>100</v>
      </c>
      <c r="E17" s="1677">
        <f t="shared" si="0"/>
        <v>0.39029999999999998</v>
      </c>
      <c r="F17" s="1678">
        <v>1</v>
      </c>
      <c r="G17" s="1546">
        <f t="shared" si="1"/>
        <v>39.03</v>
      </c>
      <c r="H17" s="1680">
        <f t="shared" si="2"/>
        <v>39.03</v>
      </c>
      <c r="I17" s="914">
        <f>VLOOKUP(B17,All_Ingredients!$A$1:$F$161,6,FALSE())</f>
        <v>1</v>
      </c>
      <c r="J17" s="940">
        <f>VLOOKUP(B17,All_Ingredients!$A$1:$J$161,10,FALSE())</f>
        <v>3.25</v>
      </c>
      <c r="K17" s="945">
        <f t="shared" si="5"/>
        <v>3.9030000000000002E-2</v>
      </c>
      <c r="L17" s="945">
        <f t="shared" si="6"/>
        <v>0.1268475</v>
      </c>
    </row>
    <row r="18" spans="1:29" ht="25.5" x14ac:dyDescent="0.2">
      <c r="A18" s="1225"/>
      <c r="B18" s="1232" t="s">
        <v>799</v>
      </c>
      <c r="C18" s="1227" t="s">
        <v>14</v>
      </c>
      <c r="D18" s="1676">
        <v>15</v>
      </c>
      <c r="E18" s="1677">
        <f t="shared" si="0"/>
        <v>0.39029999999999998</v>
      </c>
      <c r="F18" s="1678">
        <v>1</v>
      </c>
      <c r="G18" s="1546">
        <f t="shared" si="1"/>
        <v>5.8544999999999998</v>
      </c>
      <c r="H18" s="1680">
        <f t="shared" si="2"/>
        <v>5.8544999999999998</v>
      </c>
      <c r="I18" s="914">
        <f>VLOOKUP(B18,All_Ingredients!$A$1:$F$161,6,FALSE())</f>
        <v>1</v>
      </c>
      <c r="J18" s="940">
        <f>VLOOKUP(B18,All_Ingredients!$A$1:$J$161,10,FALSE())</f>
        <v>22.5</v>
      </c>
      <c r="K18" s="945">
        <f t="shared" si="5"/>
        <v>5.8544999999999995E-3</v>
      </c>
      <c r="L18" s="945">
        <f t="shared" si="6"/>
        <v>0.13172624999999999</v>
      </c>
    </row>
    <row r="19" spans="1:29" x14ac:dyDescent="0.2">
      <c r="A19" s="1225"/>
      <c r="B19" s="1232" t="s">
        <v>469</v>
      </c>
      <c r="C19" s="1227" t="s">
        <v>14</v>
      </c>
      <c r="D19" s="1676">
        <v>125</v>
      </c>
      <c r="E19" s="1677">
        <f t="shared" si="0"/>
        <v>0.39029999999999998</v>
      </c>
      <c r="F19" s="1678">
        <v>1</v>
      </c>
      <c r="G19" s="1546">
        <f t="shared" si="1"/>
        <v>48.787499999999994</v>
      </c>
      <c r="H19" s="1680">
        <f t="shared" si="2"/>
        <v>48.787499999999994</v>
      </c>
      <c r="I19" s="914">
        <f>VLOOKUP(B19,All_Ingredients!$A$1:$F$161,6,FALSE())</f>
        <v>1</v>
      </c>
      <c r="J19" s="940">
        <f>VLOOKUP(B19,All_Ingredients!$A$1:$J$161,10,FALSE())</f>
        <v>16.666666666666668</v>
      </c>
      <c r="K19" s="945">
        <f t="shared" si="5"/>
        <v>4.8787499999999998E-2</v>
      </c>
      <c r="L19" s="945">
        <f t="shared" si="6"/>
        <v>0.81312499999999999</v>
      </c>
      <c r="R19" s="346" t="s">
        <v>522</v>
      </c>
    </row>
    <row r="20" spans="1:29" x14ac:dyDescent="0.2">
      <c r="A20" s="1225"/>
      <c r="B20" s="1313" t="s">
        <v>203</v>
      </c>
      <c r="C20" s="1681" t="s">
        <v>160</v>
      </c>
      <c r="D20" s="1682">
        <v>2000</v>
      </c>
      <c r="E20" s="1228">
        <f t="shared" ref="E20" si="7">$I$1</f>
        <v>0.39029999999999998</v>
      </c>
      <c r="F20" s="1678">
        <v>1</v>
      </c>
      <c r="G20" s="1230">
        <f t="shared" si="1"/>
        <v>780.59999999999991</v>
      </c>
      <c r="H20" s="1683">
        <f t="shared" si="2"/>
        <v>780.59999999999991</v>
      </c>
      <c r="I20" s="914">
        <f>VLOOKUP(B20,All_Ingredients!$A$1:$F$161,6,FALSE())</f>
        <v>1</v>
      </c>
      <c r="J20" s="940">
        <f>VLOOKUP(B20,All_Ingredients!$A$1:$J$161,10,FALSE())</f>
        <v>0</v>
      </c>
      <c r="K20" s="945">
        <f t="shared" si="5"/>
        <v>0.78059999999999996</v>
      </c>
      <c r="L20" s="945">
        <f t="shared" si="6"/>
        <v>0</v>
      </c>
    </row>
    <row r="21" spans="1:29" x14ac:dyDescent="0.2">
      <c r="N21" s="1813"/>
      <c r="O21" s="1813"/>
    </row>
    <row r="24" spans="1:29" x14ac:dyDescent="0.2">
      <c r="Z24" s="631"/>
    </row>
    <row r="25" spans="1:29" x14ac:dyDescent="0.2">
      <c r="R25" s="1895" t="s">
        <v>525</v>
      </c>
      <c r="S25" s="1895"/>
      <c r="T25" s="1895"/>
      <c r="Z25" s="96" t="s">
        <v>14</v>
      </c>
      <c r="AA25" s="639">
        <v>3.2</v>
      </c>
      <c r="AB25" s="96" t="s">
        <v>249</v>
      </c>
      <c r="AC25" s="98">
        <f>(T33/T29)*AA25</f>
        <v>2.7505037619250234E-2</v>
      </c>
    </row>
    <row r="26" spans="1:29" x14ac:dyDescent="0.2">
      <c r="R26" s="351" t="s">
        <v>254</v>
      </c>
      <c r="S26" s="351" t="s">
        <v>501</v>
      </c>
      <c r="T26" s="351" t="s">
        <v>526</v>
      </c>
    </row>
    <row r="27" spans="1:29" x14ac:dyDescent="0.2">
      <c r="R27" s="351" t="s">
        <v>502</v>
      </c>
      <c r="S27" s="672">
        <f>Z1</f>
        <v>12510</v>
      </c>
      <c r="T27" s="674">
        <f>S27*0.15</f>
        <v>1876.5</v>
      </c>
    </row>
    <row r="28" spans="1:29" x14ac:dyDescent="0.2">
      <c r="O28" s="362"/>
      <c r="P28" s="362"/>
      <c r="Q28" s="362"/>
      <c r="R28" s="351"/>
      <c r="S28" s="673">
        <f>AB1</f>
        <v>500</v>
      </c>
      <c r="T28" s="680"/>
      <c r="U28" s="362"/>
    </row>
    <row r="29" spans="1:29" x14ac:dyDescent="0.2">
      <c r="O29" s="362"/>
      <c r="P29" s="362"/>
      <c r="Q29" s="362"/>
      <c r="R29" s="351"/>
      <c r="S29" s="681">
        <f>S27+S28</f>
        <v>13010</v>
      </c>
      <c r="T29" s="679">
        <f>S29*0.15</f>
        <v>1951.5</v>
      </c>
      <c r="U29" s="362"/>
    </row>
    <row r="30" spans="1:29" x14ac:dyDescent="0.2">
      <c r="O30" s="362"/>
      <c r="P30" s="362"/>
      <c r="Q30" s="362"/>
      <c r="U30" s="362"/>
    </row>
    <row r="31" spans="1:29" x14ac:dyDescent="0.25">
      <c r="O31" s="403"/>
      <c r="P31" s="371"/>
      <c r="Q31" s="371"/>
      <c r="R31" s="371"/>
      <c r="S31" s="362"/>
      <c r="T31" s="371"/>
      <c r="U31" s="362"/>
      <c r="Y31" s="346">
        <v>30000</v>
      </c>
      <c r="Z31" s="346">
        <v>5000</v>
      </c>
      <c r="AA31" s="346">
        <f>Y31+Z31</f>
        <v>35000</v>
      </c>
    </row>
    <row r="32" spans="1:29" ht="15.75" thickBot="1" x14ac:dyDescent="0.25">
      <c r="O32" s="371"/>
      <c r="P32" s="371"/>
      <c r="Q32" s="371"/>
      <c r="R32" s="371"/>
      <c r="S32" s="371"/>
      <c r="T32" s="362"/>
      <c r="U32" s="362"/>
      <c r="Y32" s="675">
        <f>Y31/AA31</f>
        <v>0.8571428571428571</v>
      </c>
      <c r="Z32" s="675">
        <f>Z31/AA31</f>
        <v>0.14285714285714285</v>
      </c>
    </row>
    <row r="33" spans="18:26" ht="15.75" thickBot="1" x14ac:dyDescent="0.25">
      <c r="R33" s="117" t="s">
        <v>249</v>
      </c>
      <c r="S33" s="548">
        <f>SUM(L5:L19)</f>
        <v>16.773775285614633</v>
      </c>
      <c r="T33" s="601">
        <f>SUM(L5:L19)</f>
        <v>16.773775285614633</v>
      </c>
      <c r="U33" s="362"/>
      <c r="Y33" s="364">
        <v>0.85</v>
      </c>
      <c r="Z33" s="364">
        <v>0.15</v>
      </c>
    </row>
    <row r="50" spans="1:8" x14ac:dyDescent="0.2">
      <c r="B50" s="845" t="s">
        <v>309</v>
      </c>
      <c r="C50" s="150" t="s">
        <v>233</v>
      </c>
      <c r="D50" s="150" t="s">
        <v>279</v>
      </c>
    </row>
    <row r="51" spans="1:8" x14ac:dyDescent="0.2">
      <c r="B51" s="844" t="s">
        <v>283</v>
      </c>
      <c r="C51" s="133">
        <f>5/$K$1</f>
        <v>5</v>
      </c>
      <c r="D51" s="134">
        <f>$C$1</f>
        <v>5000</v>
      </c>
    </row>
    <row r="52" spans="1:8" x14ac:dyDescent="0.2">
      <c r="B52" s="846" t="s">
        <v>257</v>
      </c>
      <c r="C52" s="157">
        <f>G1</f>
        <v>0.39029999999999998</v>
      </c>
      <c r="D52" s="157">
        <f>E1</f>
        <v>1951.5</v>
      </c>
    </row>
    <row r="53" spans="1:8" ht="18" x14ac:dyDescent="0.2">
      <c r="B53" s="846" t="s">
        <v>284</v>
      </c>
      <c r="C53" s="158">
        <f>MIN($C$52, $C$51)</f>
        <v>0.39029999999999998</v>
      </c>
      <c r="D53" s="157">
        <f>(C53*$K$1)*1000</f>
        <v>390.29999999999995</v>
      </c>
      <c r="E53" s="368"/>
      <c r="F53" s="368"/>
      <c r="G53" s="368"/>
      <c r="H53" s="368"/>
    </row>
    <row r="54" spans="1:8" ht="18" x14ac:dyDescent="0.2">
      <c r="B54" s="846" t="s">
        <v>285</v>
      </c>
      <c r="C54" s="158">
        <f>MIN(MAX($C$52-C53,0),$C$51)</f>
        <v>0</v>
      </c>
      <c r="D54" s="157">
        <f>(C54*$K$1)*1000</f>
        <v>0</v>
      </c>
      <c r="E54" s="368"/>
      <c r="F54" s="368"/>
      <c r="G54" s="368"/>
      <c r="H54" s="368"/>
    </row>
    <row r="55" spans="1:8" x14ac:dyDescent="0.2">
      <c r="B55" s="846" t="s">
        <v>286</v>
      </c>
      <c r="C55" s="158">
        <f>MIN(MAX($C$52-C53-C54,0),$C$51)</f>
        <v>0</v>
      </c>
      <c r="D55" s="157">
        <f>(C55*$K$1)*1000</f>
        <v>0</v>
      </c>
      <c r="E55" s="370"/>
      <c r="F55" s="367"/>
      <c r="G55" s="370"/>
      <c r="H55" s="369"/>
    </row>
    <row r="56" spans="1:8" x14ac:dyDescent="0.2">
      <c r="B56" s="347"/>
      <c r="C56" s="347"/>
      <c r="D56" s="347"/>
      <c r="E56" s="366"/>
      <c r="F56" s="365"/>
      <c r="G56" s="364"/>
      <c r="H56" s="363"/>
    </row>
    <row r="57" spans="1:8" x14ac:dyDescent="0.2">
      <c r="B57" s="347"/>
      <c r="C57" s="347"/>
      <c r="D57" s="347"/>
      <c r="E57" s="366"/>
      <c r="F57" s="365"/>
      <c r="G57" s="364"/>
      <c r="H57" s="363"/>
    </row>
    <row r="58" spans="1:8" x14ac:dyDescent="0.2">
      <c r="B58" s="347"/>
      <c r="C58" s="347"/>
      <c r="D58" s="347"/>
      <c r="E58" s="366"/>
      <c r="F58" s="365"/>
      <c r="G58" s="364"/>
      <c r="H58" s="363"/>
    </row>
    <row r="59" spans="1:8" x14ac:dyDescent="0.2">
      <c r="B59" s="347"/>
      <c r="C59" s="347"/>
      <c r="D59" s="347"/>
      <c r="E59" s="366"/>
      <c r="F59" s="365"/>
      <c r="G59" s="364"/>
      <c r="H59" s="363"/>
    </row>
    <row r="60" spans="1:8" x14ac:dyDescent="0.2">
      <c r="B60" s="347"/>
      <c r="C60" s="347"/>
      <c r="D60" s="347"/>
      <c r="E60" s="366"/>
      <c r="F60" s="365"/>
      <c r="G60" s="364"/>
      <c r="H60" s="363"/>
    </row>
    <row r="61" spans="1:8" x14ac:dyDescent="0.2">
      <c r="B61" s="347"/>
      <c r="C61" s="347"/>
      <c r="D61" s="347"/>
      <c r="E61" s="366"/>
      <c r="F61" s="365"/>
      <c r="G61" s="364"/>
      <c r="H61" s="363"/>
    </row>
    <row r="62" spans="1:8" ht="12.75" x14ac:dyDescent="0.2">
      <c r="A62" s="1806"/>
      <c r="B62" s="1808" t="s">
        <v>525</v>
      </c>
      <c r="C62" s="1808"/>
      <c r="D62" s="1808"/>
      <c r="E62" s="1808"/>
      <c r="F62" s="1808"/>
      <c r="G62" s="1808"/>
      <c r="H62" s="1808"/>
    </row>
    <row r="63" spans="1:8" ht="12.75" x14ac:dyDescent="0.2">
      <c r="A63" s="1806"/>
      <c r="B63" s="1808"/>
      <c r="C63" s="1808"/>
      <c r="D63" s="1808"/>
      <c r="E63" s="1808"/>
      <c r="F63" s="1808"/>
      <c r="G63" s="1808"/>
      <c r="H63" s="1808"/>
    </row>
    <row r="64" spans="1:8" ht="51" x14ac:dyDescent="0.2">
      <c r="A64" s="1542" t="s">
        <v>864</v>
      </c>
      <c r="B64" s="1219" t="s">
        <v>241</v>
      </c>
      <c r="C64" s="1220" t="s">
        <v>316</v>
      </c>
      <c r="D64" s="1220" t="s">
        <v>519</v>
      </c>
      <c r="E64" s="1221" t="s">
        <v>518</v>
      </c>
      <c r="F64" s="1222" t="s">
        <v>243</v>
      </c>
      <c r="G64" s="1223" t="s">
        <v>244</v>
      </c>
      <c r="H64" s="1224" t="s">
        <v>321</v>
      </c>
    </row>
    <row r="65" spans="1:8" x14ac:dyDescent="0.2">
      <c r="A65" s="1225"/>
      <c r="B65" s="1232" t="s">
        <v>54</v>
      </c>
      <c r="C65" s="1227" t="s">
        <v>14</v>
      </c>
      <c r="D65" s="1676">
        <v>125</v>
      </c>
      <c r="E65" s="1677">
        <f t="shared" ref="E65:E79" si="8">$G$1</f>
        <v>0.39029999999999998</v>
      </c>
      <c r="F65" s="1678">
        <v>1</v>
      </c>
      <c r="G65" s="1546">
        <f t="shared" ref="G65:G80" si="9">D65*E65</f>
        <v>48.787499999999994</v>
      </c>
      <c r="H65" s="1679">
        <f t="shared" ref="H65:H80" si="10">G65*F65</f>
        <v>48.787499999999994</v>
      </c>
    </row>
    <row r="66" spans="1:8" x14ac:dyDescent="0.2">
      <c r="A66" s="1225"/>
      <c r="B66" s="1232" t="s">
        <v>706</v>
      </c>
      <c r="C66" s="1227" t="s">
        <v>14</v>
      </c>
      <c r="D66" s="1676">
        <v>250</v>
      </c>
      <c r="E66" s="1677">
        <f t="shared" si="8"/>
        <v>0.39029999999999998</v>
      </c>
      <c r="F66" s="1678">
        <v>1</v>
      </c>
      <c r="G66" s="1546">
        <f t="shared" si="9"/>
        <v>97.574999999999989</v>
      </c>
      <c r="H66" s="1680">
        <f t="shared" si="10"/>
        <v>97.574999999999989</v>
      </c>
    </row>
    <row r="67" spans="1:8" x14ac:dyDescent="0.2">
      <c r="A67" s="1225"/>
      <c r="B67" s="1232" t="s">
        <v>193</v>
      </c>
      <c r="C67" s="1227" t="s">
        <v>14</v>
      </c>
      <c r="D67" s="1676">
        <v>250</v>
      </c>
      <c r="E67" s="1677">
        <f t="shared" si="8"/>
        <v>0.39029999999999998</v>
      </c>
      <c r="F67" s="1678">
        <v>1</v>
      </c>
      <c r="G67" s="1546">
        <f t="shared" si="9"/>
        <v>97.574999999999989</v>
      </c>
      <c r="H67" s="1680">
        <f t="shared" si="10"/>
        <v>97.574999999999989</v>
      </c>
    </row>
    <row r="68" spans="1:8" x14ac:dyDescent="0.2">
      <c r="A68" s="1225" t="s">
        <v>882</v>
      </c>
      <c r="B68" s="1232" t="s">
        <v>19</v>
      </c>
      <c r="C68" s="1227" t="s">
        <v>14</v>
      </c>
      <c r="D68" s="1676">
        <v>500</v>
      </c>
      <c r="E68" s="1677">
        <f t="shared" si="8"/>
        <v>0.39029999999999998</v>
      </c>
      <c r="F68" s="1678">
        <v>1</v>
      </c>
      <c r="G68" s="1546">
        <f t="shared" si="9"/>
        <v>195.14999999999998</v>
      </c>
      <c r="H68" s="1680">
        <f t="shared" si="10"/>
        <v>195.14999999999998</v>
      </c>
    </row>
    <row r="69" spans="1:8" x14ac:dyDescent="0.2">
      <c r="A69" s="1225"/>
      <c r="B69" s="1232" t="s">
        <v>524</v>
      </c>
      <c r="C69" s="1227" t="s">
        <v>14</v>
      </c>
      <c r="D69" s="1676">
        <v>250</v>
      </c>
      <c r="E69" s="1677">
        <f t="shared" si="8"/>
        <v>0.39029999999999998</v>
      </c>
      <c r="F69" s="1678">
        <v>1</v>
      </c>
      <c r="G69" s="1546">
        <f t="shared" si="9"/>
        <v>97.574999999999989</v>
      </c>
      <c r="H69" s="1680">
        <f t="shared" si="10"/>
        <v>97.574999999999989</v>
      </c>
    </row>
    <row r="70" spans="1:8" x14ac:dyDescent="0.2">
      <c r="A70" s="1225"/>
      <c r="B70" s="1232" t="s">
        <v>99</v>
      </c>
      <c r="C70" s="1227" t="s">
        <v>14</v>
      </c>
      <c r="D70" s="1676">
        <v>10</v>
      </c>
      <c r="E70" s="1677">
        <f t="shared" si="8"/>
        <v>0.39029999999999998</v>
      </c>
      <c r="F70" s="1678">
        <v>1</v>
      </c>
      <c r="G70" s="1546">
        <f t="shared" si="9"/>
        <v>3.9029999999999996</v>
      </c>
      <c r="H70" s="1680">
        <f t="shared" si="10"/>
        <v>3.9029999999999996</v>
      </c>
    </row>
    <row r="71" spans="1:8" x14ac:dyDescent="0.2">
      <c r="A71" s="1225" t="s">
        <v>880</v>
      </c>
      <c r="B71" s="1232" t="s">
        <v>28</v>
      </c>
      <c r="C71" s="1227" t="s">
        <v>14</v>
      </c>
      <c r="D71" s="1676">
        <v>250</v>
      </c>
      <c r="E71" s="1677">
        <f t="shared" si="8"/>
        <v>0.39029999999999998</v>
      </c>
      <c r="F71" s="1678">
        <v>1</v>
      </c>
      <c r="G71" s="1546">
        <f t="shared" si="9"/>
        <v>97.574999999999989</v>
      </c>
      <c r="H71" s="1680">
        <f t="shared" si="10"/>
        <v>97.574999999999989</v>
      </c>
    </row>
    <row r="72" spans="1:8" x14ac:dyDescent="0.2">
      <c r="A72" s="1225" t="s">
        <v>880</v>
      </c>
      <c r="B72" s="1232" t="s">
        <v>30</v>
      </c>
      <c r="C72" s="1227" t="s">
        <v>14</v>
      </c>
      <c r="D72" s="1676">
        <v>250</v>
      </c>
      <c r="E72" s="1677">
        <f t="shared" si="8"/>
        <v>0.39029999999999998</v>
      </c>
      <c r="F72" s="1678">
        <v>1</v>
      </c>
      <c r="G72" s="1546">
        <f t="shared" si="9"/>
        <v>97.574999999999989</v>
      </c>
      <c r="H72" s="1680">
        <f t="shared" si="10"/>
        <v>97.574999999999989</v>
      </c>
    </row>
    <row r="73" spans="1:8" x14ac:dyDescent="0.2">
      <c r="A73" s="1225" t="s">
        <v>880</v>
      </c>
      <c r="B73" s="1232" t="s">
        <v>32</v>
      </c>
      <c r="C73" s="1227" t="s">
        <v>14</v>
      </c>
      <c r="D73" s="1676">
        <v>250</v>
      </c>
      <c r="E73" s="1677">
        <f t="shared" si="8"/>
        <v>0.39029999999999998</v>
      </c>
      <c r="F73" s="1678">
        <v>1</v>
      </c>
      <c r="G73" s="1546">
        <f t="shared" si="9"/>
        <v>97.574999999999989</v>
      </c>
      <c r="H73" s="1680">
        <f t="shared" si="10"/>
        <v>97.574999999999989</v>
      </c>
    </row>
    <row r="74" spans="1:8" x14ac:dyDescent="0.2">
      <c r="A74" s="1225"/>
      <c r="B74" s="1232" t="s">
        <v>178</v>
      </c>
      <c r="C74" s="1227" t="s">
        <v>14</v>
      </c>
      <c r="D74" s="1676">
        <v>250</v>
      </c>
      <c r="E74" s="1677">
        <f t="shared" si="8"/>
        <v>0.39029999999999998</v>
      </c>
      <c r="F74" s="1678">
        <v>1</v>
      </c>
      <c r="G74" s="1546">
        <f t="shared" si="9"/>
        <v>97.574999999999989</v>
      </c>
      <c r="H74" s="1680">
        <f t="shared" si="10"/>
        <v>97.574999999999989</v>
      </c>
    </row>
    <row r="75" spans="1:8" x14ac:dyDescent="0.2">
      <c r="A75" s="1225"/>
      <c r="B75" s="1232" t="s">
        <v>192</v>
      </c>
      <c r="C75" s="1227" t="s">
        <v>160</v>
      </c>
      <c r="D75" s="1676">
        <v>100</v>
      </c>
      <c r="E75" s="1677">
        <f t="shared" si="8"/>
        <v>0.39029999999999998</v>
      </c>
      <c r="F75" s="1678">
        <v>1</v>
      </c>
      <c r="G75" s="1546">
        <f t="shared" si="9"/>
        <v>39.03</v>
      </c>
      <c r="H75" s="1680">
        <f t="shared" si="10"/>
        <v>39.03</v>
      </c>
    </row>
    <row r="76" spans="1:8" x14ac:dyDescent="0.2">
      <c r="A76" s="1225"/>
      <c r="B76" s="1232" t="s">
        <v>523</v>
      </c>
      <c r="C76" s="1227" t="s">
        <v>14</v>
      </c>
      <c r="D76" s="1676">
        <v>100</v>
      </c>
      <c r="E76" s="1677">
        <f t="shared" si="8"/>
        <v>0.39029999999999998</v>
      </c>
      <c r="F76" s="1678">
        <v>1</v>
      </c>
      <c r="G76" s="1546">
        <f t="shared" si="9"/>
        <v>39.03</v>
      </c>
      <c r="H76" s="1680">
        <f t="shared" si="10"/>
        <v>39.03</v>
      </c>
    </row>
    <row r="77" spans="1:8" x14ac:dyDescent="0.25">
      <c r="A77" s="1225"/>
      <c r="B77" s="1232" t="s">
        <v>198</v>
      </c>
      <c r="C77" s="1157" t="s">
        <v>160</v>
      </c>
      <c r="D77" s="1676">
        <v>100</v>
      </c>
      <c r="E77" s="1677">
        <f t="shared" si="8"/>
        <v>0.39029999999999998</v>
      </c>
      <c r="F77" s="1678">
        <v>1</v>
      </c>
      <c r="G77" s="1546">
        <f t="shared" si="9"/>
        <v>39.03</v>
      </c>
      <c r="H77" s="1680">
        <f t="shared" si="10"/>
        <v>39.03</v>
      </c>
    </row>
    <row r="78" spans="1:8" ht="25.5" x14ac:dyDescent="0.2">
      <c r="A78" s="1225"/>
      <c r="B78" s="1232" t="s">
        <v>799</v>
      </c>
      <c r="C78" s="1227" t="s">
        <v>14</v>
      </c>
      <c r="D78" s="1676">
        <v>15</v>
      </c>
      <c r="E78" s="1677">
        <f t="shared" si="8"/>
        <v>0.39029999999999998</v>
      </c>
      <c r="F78" s="1678">
        <v>1</v>
      </c>
      <c r="G78" s="1546">
        <f t="shared" si="9"/>
        <v>5.8544999999999998</v>
      </c>
      <c r="H78" s="1680">
        <f t="shared" si="10"/>
        <v>5.8544999999999998</v>
      </c>
    </row>
    <row r="79" spans="1:8" x14ac:dyDescent="0.2">
      <c r="A79" s="1225"/>
      <c r="B79" s="1232" t="s">
        <v>469</v>
      </c>
      <c r="C79" s="1227" t="s">
        <v>14</v>
      </c>
      <c r="D79" s="1676">
        <v>125</v>
      </c>
      <c r="E79" s="1677">
        <f t="shared" si="8"/>
        <v>0.39029999999999998</v>
      </c>
      <c r="F79" s="1678">
        <v>1</v>
      </c>
      <c r="G79" s="1546">
        <f t="shared" si="9"/>
        <v>48.787499999999994</v>
      </c>
      <c r="H79" s="1680">
        <f t="shared" si="10"/>
        <v>48.787499999999994</v>
      </c>
    </row>
    <row r="80" spans="1:8" x14ac:dyDescent="0.2">
      <c r="A80" s="1225"/>
      <c r="B80" s="1313" t="s">
        <v>203</v>
      </c>
      <c r="C80" s="1681" t="s">
        <v>160</v>
      </c>
      <c r="D80" s="1682">
        <v>2000</v>
      </c>
      <c r="E80" s="1228">
        <f t="shared" ref="E80" si="11">$I$1</f>
        <v>0.39029999999999998</v>
      </c>
      <c r="F80" s="1678">
        <v>1</v>
      </c>
      <c r="G80" s="1230">
        <f t="shared" si="9"/>
        <v>780.59999999999991</v>
      </c>
      <c r="H80" s="1683">
        <f t="shared" si="10"/>
        <v>780.59999999999991</v>
      </c>
    </row>
    <row r="81" spans="2:2" ht="15.75" x14ac:dyDescent="0.2">
      <c r="B81" s="1622" t="s">
        <v>686</v>
      </c>
    </row>
    <row r="82" spans="2:2" ht="20.25" x14ac:dyDescent="0.3">
      <c r="B82" s="1048">
        <f>$D$52</f>
        <v>1951.5</v>
      </c>
    </row>
  </sheetData>
  <mergeCells count="8">
    <mergeCell ref="A62:A63"/>
    <mergeCell ref="B62:H63"/>
    <mergeCell ref="A2:A3"/>
    <mergeCell ref="B2:H3"/>
    <mergeCell ref="K2:K3"/>
    <mergeCell ref="N21:O21"/>
    <mergeCell ref="R25:T25"/>
    <mergeCell ref="N14:O14"/>
  </mergeCells>
  <printOptions horizontalCentered="1"/>
  <pageMargins left="0.5" right="0.5" top="1" bottom="0.5" header="0.3" footer="0.511811023622047"/>
  <pageSetup paperSize="9" scale="22"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DC69F-86D8-4817-8C2C-0DE5CE48B8CC}">
  <sheetPr codeName="Sheet63">
    <tabColor theme="5" tint="-0.249977111117893"/>
    <pageSetUpPr fitToPage="1"/>
  </sheetPr>
  <dimension ref="A1:AD83"/>
  <sheetViews>
    <sheetView topLeftCell="A24" zoomScale="55" zoomScaleNormal="55" workbookViewId="0">
      <selection activeCell="C55" sqref="C55"/>
    </sheetView>
  </sheetViews>
  <sheetFormatPr defaultColWidth="12.5" defaultRowHeight="15" x14ac:dyDescent="0.2"/>
  <cols>
    <col min="1" max="1" width="18.5" style="885" bestFit="1" customWidth="1"/>
    <col min="2" max="2" width="28.25" style="346" bestFit="1" customWidth="1"/>
    <col min="3" max="3" width="17" style="346" bestFit="1" customWidth="1"/>
    <col min="4" max="4" width="15.125" style="346" bestFit="1" customWidth="1"/>
    <col min="5" max="5" width="14.25" style="346" bestFit="1" customWidth="1"/>
    <col min="6" max="6" width="13.5" style="346" bestFit="1" customWidth="1"/>
    <col min="7" max="7" width="10.125" style="346" bestFit="1" customWidth="1"/>
    <col min="8" max="8" width="23.125" style="346" bestFit="1" customWidth="1"/>
    <col min="9" max="9" width="14.75" style="346" customWidth="1"/>
    <col min="10" max="10" width="11.625" style="346" bestFit="1" customWidth="1"/>
    <col min="11" max="11" width="11.125" style="346" bestFit="1" customWidth="1"/>
    <col min="12" max="12" width="6.25" style="346" bestFit="1" customWidth="1"/>
    <col min="13" max="17" width="2.875" style="346" customWidth="1"/>
    <col min="18" max="18" width="8.75" style="346" bestFit="1" customWidth="1"/>
    <col min="19" max="19" width="9" style="346" bestFit="1" customWidth="1"/>
    <col min="20" max="20" width="11" style="346" bestFit="1" customWidth="1"/>
    <col min="21" max="24" width="4.75" style="346" customWidth="1"/>
    <col min="25" max="25" width="8.75" style="346" bestFit="1" customWidth="1"/>
    <col min="26" max="26" width="7.625" style="346" bestFit="1" customWidth="1"/>
    <col min="27" max="27" width="8.5" style="346" bestFit="1" customWidth="1"/>
    <col min="28" max="28" width="6.25" style="346" bestFit="1" customWidth="1"/>
    <col min="29" max="29" width="7.625" style="346" bestFit="1" customWidth="1"/>
    <col min="30" max="30" width="5.375" style="346" bestFit="1" customWidth="1"/>
    <col min="31" max="16384" width="12.5" style="346"/>
  </cols>
  <sheetData>
    <row r="1" spans="1:30" ht="25.5" x14ac:dyDescent="0.25">
      <c r="A1" s="883"/>
      <c r="B1" s="854" t="s">
        <v>521</v>
      </c>
      <c r="C1" s="361">
        <v>5000</v>
      </c>
      <c r="D1" s="360" t="s">
        <v>232</v>
      </c>
      <c r="E1" s="359">
        <f>T29</f>
        <v>3022.5</v>
      </c>
      <c r="F1" s="357" t="s">
        <v>233</v>
      </c>
      <c r="G1" s="358">
        <f>E1/C1</f>
        <v>0.60450000000000004</v>
      </c>
      <c r="H1" s="357" t="s">
        <v>234</v>
      </c>
      <c r="I1" s="356">
        <f>G1/K1</f>
        <v>0.60450000000000004</v>
      </c>
      <c r="J1" s="355" t="s">
        <v>235</v>
      </c>
      <c r="K1" s="354">
        <v>1</v>
      </c>
      <c r="L1" s="347"/>
      <c r="M1" s="347"/>
      <c r="N1" s="347"/>
      <c r="Y1" s="72" t="s">
        <v>444</v>
      </c>
      <c r="Z1" s="422">
        <v>19650</v>
      </c>
      <c r="AA1" s="72" t="s">
        <v>544</v>
      </c>
      <c r="AB1" s="422">
        <v>500</v>
      </c>
      <c r="AC1" s="72" t="s">
        <v>537</v>
      </c>
      <c r="AD1" s="422">
        <v>140</v>
      </c>
    </row>
    <row r="2" spans="1:30" ht="15.75" x14ac:dyDescent="0.2">
      <c r="A2" s="1806"/>
      <c r="B2" s="1814" t="s">
        <v>520</v>
      </c>
      <c r="C2" s="1814"/>
      <c r="D2" s="1814"/>
      <c r="E2" s="1814"/>
      <c r="F2" s="1814"/>
      <c r="G2" s="1814"/>
      <c r="H2" s="1814"/>
      <c r="I2" s="353"/>
      <c r="J2" s="353"/>
      <c r="K2" s="1896"/>
      <c r="L2" s="347"/>
      <c r="M2" s="347"/>
      <c r="N2" s="347"/>
    </row>
    <row r="3" spans="1:30" ht="15.75" x14ac:dyDescent="0.2">
      <c r="A3" s="1806"/>
      <c r="B3" s="1808"/>
      <c r="C3" s="1808"/>
      <c r="D3" s="1808"/>
      <c r="E3" s="1808"/>
      <c r="F3" s="1808"/>
      <c r="G3" s="1808"/>
      <c r="H3" s="1808"/>
      <c r="I3" s="352"/>
      <c r="J3" s="352"/>
      <c r="K3" s="1810"/>
      <c r="L3" s="347"/>
      <c r="M3" s="347"/>
      <c r="N3" s="347"/>
    </row>
    <row r="4" spans="1:30" ht="38.25" x14ac:dyDescent="0.2">
      <c r="A4" s="1542" t="s">
        <v>864</v>
      </c>
      <c r="B4" s="1219" t="s">
        <v>241</v>
      </c>
      <c r="C4" s="1220" t="s">
        <v>316</v>
      </c>
      <c r="D4" s="1220" t="s">
        <v>519</v>
      </c>
      <c r="E4" s="1221" t="s">
        <v>518</v>
      </c>
      <c r="F4" s="1222" t="s">
        <v>243</v>
      </c>
      <c r="G4" s="1223" t="s">
        <v>244</v>
      </c>
      <c r="H4" s="1224" t="s">
        <v>321</v>
      </c>
      <c r="I4" s="923" t="s">
        <v>246</v>
      </c>
      <c r="J4" s="923" t="s">
        <v>247</v>
      </c>
      <c r="K4" s="923" t="s">
        <v>248</v>
      </c>
      <c r="L4" s="923" t="s">
        <v>249</v>
      </c>
      <c r="M4" s="347"/>
      <c r="N4" s="347"/>
    </row>
    <row r="5" spans="1:30" x14ac:dyDescent="0.2">
      <c r="A5" s="1715" t="s">
        <v>880</v>
      </c>
      <c r="B5" s="1716" t="s">
        <v>32</v>
      </c>
      <c r="C5" s="1717" t="s">
        <v>14</v>
      </c>
      <c r="D5" s="1717">
        <v>600</v>
      </c>
      <c r="E5" s="1228">
        <f t="shared" ref="E5:E21" si="0">$I$1</f>
        <v>0.60450000000000004</v>
      </c>
      <c r="F5" s="1678">
        <v>1</v>
      </c>
      <c r="G5" s="1230">
        <f t="shared" ref="G5:G20" si="1">D5*E5</f>
        <v>362.70000000000005</v>
      </c>
      <c r="H5" s="1683">
        <f t="shared" ref="H5:H20" si="2">G5*F5</f>
        <v>362.70000000000005</v>
      </c>
      <c r="I5" s="914">
        <f>VLOOKUP(B5,All_Ingredients!$A$1:$F$161,6,FALSE())</f>
        <v>0.69</v>
      </c>
      <c r="J5" s="940">
        <f>VLOOKUP(B5,All_Ingredients!$A$1:$J$161,10,FALSE())</f>
        <v>4</v>
      </c>
      <c r="K5" s="945">
        <f t="shared" ref="K5" si="3">(H5/I5)/1000</f>
        <v>0.52565217391304364</v>
      </c>
      <c r="L5" s="945">
        <f t="shared" ref="L5" si="4">K5*J5</f>
        <v>2.1026086956521746</v>
      </c>
      <c r="M5" s="348"/>
    </row>
    <row r="6" spans="1:30" x14ac:dyDescent="0.2">
      <c r="A6" s="1715" t="s">
        <v>880</v>
      </c>
      <c r="B6" s="1716" t="s">
        <v>30</v>
      </c>
      <c r="C6" s="1717" t="s">
        <v>14</v>
      </c>
      <c r="D6" s="1717">
        <v>600</v>
      </c>
      <c r="E6" s="1228">
        <f t="shared" si="0"/>
        <v>0.60450000000000004</v>
      </c>
      <c r="F6" s="1678">
        <v>1</v>
      </c>
      <c r="G6" s="1230">
        <f t="shared" si="1"/>
        <v>362.70000000000005</v>
      </c>
      <c r="H6" s="1683">
        <f t="shared" si="2"/>
        <v>362.70000000000005</v>
      </c>
      <c r="I6" s="914">
        <f>VLOOKUP(B6,All_Ingredients!$A$1:$F$161,6,FALSE())</f>
        <v>0.71</v>
      </c>
      <c r="J6" s="940">
        <f>VLOOKUP(B6,All_Ingredients!$A$1:$J$161,10,FALSE())</f>
        <v>8.5</v>
      </c>
      <c r="K6" s="945">
        <f t="shared" ref="K6:K20" si="5">(H6/I6)/1000</f>
        <v>0.51084507042253524</v>
      </c>
      <c r="L6" s="945">
        <f t="shared" ref="L6:L20" si="6">K6*J6</f>
        <v>4.3421830985915495</v>
      </c>
    </row>
    <row r="7" spans="1:30" x14ac:dyDescent="0.2">
      <c r="A7" s="1715" t="s">
        <v>880</v>
      </c>
      <c r="B7" s="1716" t="s">
        <v>28</v>
      </c>
      <c r="C7" s="1717" t="s">
        <v>14</v>
      </c>
      <c r="D7" s="1717">
        <v>600</v>
      </c>
      <c r="E7" s="1228">
        <f t="shared" si="0"/>
        <v>0.60450000000000004</v>
      </c>
      <c r="F7" s="1678">
        <v>1</v>
      </c>
      <c r="G7" s="1230">
        <f t="shared" si="1"/>
        <v>362.70000000000005</v>
      </c>
      <c r="H7" s="1683">
        <f t="shared" si="2"/>
        <v>362.70000000000005</v>
      </c>
      <c r="I7" s="914">
        <f>VLOOKUP(B7,All_Ingredients!$A$1:$F$161,6,FALSE())</f>
        <v>0.73</v>
      </c>
      <c r="J7" s="940">
        <f>VLOOKUP(B7,All_Ingredients!$A$1:$J$161,10,FALSE())</f>
        <v>8.5</v>
      </c>
      <c r="K7" s="945">
        <f t="shared" si="5"/>
        <v>0.49684931506849322</v>
      </c>
      <c r="L7" s="945">
        <f t="shared" si="6"/>
        <v>4.2232191780821928</v>
      </c>
    </row>
    <row r="8" spans="1:30" x14ac:dyDescent="0.2">
      <c r="A8" s="1715"/>
      <c r="B8" s="1716" t="s">
        <v>517</v>
      </c>
      <c r="C8" s="1717" t="s">
        <v>14</v>
      </c>
      <c r="D8" s="1717">
        <v>1368</v>
      </c>
      <c r="E8" s="1228">
        <f t="shared" si="0"/>
        <v>0.60450000000000004</v>
      </c>
      <c r="F8" s="1678">
        <v>1</v>
      </c>
      <c r="G8" s="1230">
        <f t="shared" si="1"/>
        <v>826.95600000000002</v>
      </c>
      <c r="H8" s="1683">
        <f t="shared" si="2"/>
        <v>826.95600000000002</v>
      </c>
      <c r="I8" s="914">
        <f>VLOOKUP(B8,All_Ingredients!$A$1:$F$161,6,FALSE())</f>
        <v>1</v>
      </c>
      <c r="J8" s="940">
        <f>VLOOKUP(B8,All_Ingredients!$A$1:$J$161,10,FALSE())</f>
        <v>8.3333333333333339</v>
      </c>
      <c r="K8" s="945">
        <f t="shared" si="5"/>
        <v>0.82695600000000002</v>
      </c>
      <c r="L8" s="945">
        <f t="shared" si="6"/>
        <v>6.8913000000000011</v>
      </c>
    </row>
    <row r="9" spans="1:30" x14ac:dyDescent="0.2">
      <c r="A9" s="1715"/>
      <c r="B9" s="1716" t="s">
        <v>516</v>
      </c>
      <c r="C9" s="1717" t="s">
        <v>14</v>
      </c>
      <c r="D9" s="1717">
        <v>2125</v>
      </c>
      <c r="E9" s="1228">
        <f t="shared" si="0"/>
        <v>0.60450000000000004</v>
      </c>
      <c r="F9" s="1678">
        <v>1</v>
      </c>
      <c r="G9" s="1230">
        <f t="shared" si="1"/>
        <v>1284.5625</v>
      </c>
      <c r="H9" s="1683">
        <f t="shared" si="2"/>
        <v>1284.5625</v>
      </c>
      <c r="I9" s="914">
        <f>VLOOKUP(B9,All_Ingredients!$A$1:$F$161,6,FALSE())</f>
        <v>1</v>
      </c>
      <c r="J9" s="940">
        <f>VLOOKUP(B9,All_Ingredients!$A$1:$J$161,10,FALSE())</f>
        <v>10.196078431372548</v>
      </c>
      <c r="K9" s="945">
        <f t="shared" si="5"/>
        <v>1.2845625000000001</v>
      </c>
      <c r="L9" s="945">
        <f t="shared" si="6"/>
        <v>13.0975</v>
      </c>
    </row>
    <row r="10" spans="1:30" x14ac:dyDescent="0.2">
      <c r="A10" s="1715"/>
      <c r="B10" s="1716" t="s">
        <v>152</v>
      </c>
      <c r="C10" s="1717" t="s">
        <v>14</v>
      </c>
      <c r="D10" s="1717">
        <v>300</v>
      </c>
      <c r="E10" s="1228">
        <f t="shared" si="0"/>
        <v>0.60450000000000004</v>
      </c>
      <c r="F10" s="1678">
        <v>1</v>
      </c>
      <c r="G10" s="1230">
        <f t="shared" si="1"/>
        <v>181.35000000000002</v>
      </c>
      <c r="H10" s="1683">
        <f t="shared" si="2"/>
        <v>181.35000000000002</v>
      </c>
      <c r="I10" s="914">
        <f>VLOOKUP(B10,All_Ingredients!$A$1:$F$161,6,FALSE())</f>
        <v>1</v>
      </c>
      <c r="J10" s="940">
        <f>VLOOKUP(B10,All_Ingredients!$A$1:$J$161,10,FALSE())</f>
        <v>30</v>
      </c>
      <c r="K10" s="945">
        <f t="shared" si="5"/>
        <v>0.18135000000000001</v>
      </c>
      <c r="L10" s="945">
        <f t="shared" si="6"/>
        <v>5.4405000000000001</v>
      </c>
    </row>
    <row r="11" spans="1:30" x14ac:dyDescent="0.2">
      <c r="A11" s="1225"/>
      <c r="B11" s="1232" t="s">
        <v>105</v>
      </c>
      <c r="C11" s="1227" t="s">
        <v>14</v>
      </c>
      <c r="D11" s="1227">
        <v>25</v>
      </c>
      <c r="E11" s="1228">
        <f t="shared" si="0"/>
        <v>0.60450000000000004</v>
      </c>
      <c r="F11" s="1678">
        <v>1</v>
      </c>
      <c r="G11" s="1230">
        <f t="shared" si="1"/>
        <v>15.112500000000001</v>
      </c>
      <c r="H11" s="1683">
        <f t="shared" si="2"/>
        <v>15.112500000000001</v>
      </c>
      <c r="I11" s="914">
        <f>VLOOKUP(B11,All_Ingredients!$A$1:$F$161,6,FALSE())</f>
        <v>1</v>
      </c>
      <c r="J11" s="940">
        <f>VLOOKUP(B11,All_Ingredients!$A$1:$J$161,10,FALSE())</f>
        <v>15</v>
      </c>
      <c r="K11" s="945">
        <f t="shared" si="5"/>
        <v>1.5112500000000001E-2</v>
      </c>
      <c r="L11" s="945">
        <f t="shared" si="6"/>
        <v>0.22668750000000001</v>
      </c>
    </row>
    <row r="12" spans="1:30" x14ac:dyDescent="0.2">
      <c r="A12" s="1225"/>
      <c r="B12" s="1232" t="s">
        <v>110</v>
      </c>
      <c r="C12" s="1227" t="s">
        <v>14</v>
      </c>
      <c r="D12" s="1227">
        <v>25</v>
      </c>
      <c r="E12" s="1228">
        <f t="shared" si="0"/>
        <v>0.60450000000000004</v>
      </c>
      <c r="F12" s="1678">
        <v>1</v>
      </c>
      <c r="G12" s="1230">
        <f t="shared" si="1"/>
        <v>15.112500000000001</v>
      </c>
      <c r="H12" s="1683">
        <f t="shared" si="2"/>
        <v>15.112500000000001</v>
      </c>
      <c r="I12" s="914">
        <f>VLOOKUP(B12,All_Ingredients!$A$1:$F$161,6,FALSE())</f>
        <v>1</v>
      </c>
      <c r="J12" s="940">
        <f>VLOOKUP(B12,All_Ingredients!$A$1:$J$161,10,FALSE())</f>
        <v>64.243759177679877</v>
      </c>
      <c r="K12" s="945">
        <f t="shared" si="5"/>
        <v>1.5112500000000001E-2</v>
      </c>
      <c r="L12" s="945">
        <f t="shared" si="6"/>
        <v>0.97088381057268724</v>
      </c>
    </row>
    <row r="13" spans="1:30" x14ac:dyDescent="0.2">
      <c r="A13" s="1225"/>
      <c r="B13" s="1232" t="s">
        <v>113</v>
      </c>
      <c r="C13" s="1227" t="s">
        <v>14</v>
      </c>
      <c r="D13" s="1227">
        <v>10</v>
      </c>
      <c r="E13" s="1228">
        <f t="shared" si="0"/>
        <v>0.60450000000000004</v>
      </c>
      <c r="F13" s="1678">
        <v>1</v>
      </c>
      <c r="G13" s="1230">
        <f t="shared" si="1"/>
        <v>6.0449999999999999</v>
      </c>
      <c r="H13" s="1683">
        <f t="shared" si="2"/>
        <v>6.0449999999999999</v>
      </c>
      <c r="I13" s="914">
        <f>VLOOKUP(B13,All_Ingredients!$A$1:$F$161,6,FALSE())</f>
        <v>1</v>
      </c>
      <c r="J13" s="940">
        <f>VLOOKUP(B13,All_Ingredients!$A$1:$J$161,10,FALSE())</f>
        <v>20</v>
      </c>
      <c r="K13" s="945">
        <f t="shared" si="5"/>
        <v>6.045E-3</v>
      </c>
      <c r="L13" s="945">
        <f t="shared" si="6"/>
        <v>0.12090000000000001</v>
      </c>
    </row>
    <row r="14" spans="1:30" ht="25.5" x14ac:dyDescent="0.2">
      <c r="A14" s="1225"/>
      <c r="B14" s="1232" t="s">
        <v>99</v>
      </c>
      <c r="C14" s="1227" t="s">
        <v>14</v>
      </c>
      <c r="D14" s="1227">
        <v>10</v>
      </c>
      <c r="E14" s="1228">
        <f t="shared" si="0"/>
        <v>0.60450000000000004</v>
      </c>
      <c r="F14" s="1678">
        <v>1</v>
      </c>
      <c r="G14" s="1230">
        <f t="shared" si="1"/>
        <v>6.0449999999999999</v>
      </c>
      <c r="H14" s="1683">
        <f t="shared" si="2"/>
        <v>6.0449999999999999</v>
      </c>
      <c r="I14" s="914">
        <f>VLOOKUP(B14,All_Ingredients!$A$1:$F$161,6,FALSE())</f>
        <v>1</v>
      </c>
      <c r="J14" s="940">
        <f>VLOOKUP(B14,All_Ingredients!$A$1:$J$161,10,FALSE())</f>
        <v>31</v>
      </c>
      <c r="K14" s="945">
        <f t="shared" si="5"/>
        <v>6.045E-3</v>
      </c>
      <c r="L14" s="945">
        <f t="shared" si="6"/>
        <v>0.18739500000000001</v>
      </c>
    </row>
    <row r="15" spans="1:30" x14ac:dyDescent="0.2">
      <c r="A15" s="1225"/>
      <c r="B15" s="1232" t="s">
        <v>82</v>
      </c>
      <c r="C15" s="1227" t="s">
        <v>14</v>
      </c>
      <c r="D15" s="1227">
        <v>10</v>
      </c>
      <c r="E15" s="1228">
        <f t="shared" si="0"/>
        <v>0.60450000000000004</v>
      </c>
      <c r="F15" s="1678">
        <v>1</v>
      </c>
      <c r="G15" s="1230">
        <f t="shared" si="1"/>
        <v>6.0449999999999999</v>
      </c>
      <c r="H15" s="1683">
        <f t="shared" si="2"/>
        <v>6.0449999999999999</v>
      </c>
      <c r="I15" s="914">
        <f>VLOOKUP(B15,All_Ingredients!$A$1:$F$161,6,FALSE())</f>
        <v>1</v>
      </c>
      <c r="J15" s="940">
        <f>VLOOKUP(B15,All_Ingredients!$A$1:$J$161,10,FALSE())</f>
        <v>147.88732394366198</v>
      </c>
      <c r="K15" s="945">
        <f t="shared" si="5"/>
        <v>6.045E-3</v>
      </c>
      <c r="L15" s="945">
        <f t="shared" si="6"/>
        <v>0.8939788732394367</v>
      </c>
    </row>
    <row r="16" spans="1:30" x14ac:dyDescent="0.2">
      <c r="A16" s="1225"/>
      <c r="B16" s="1232" t="s">
        <v>93</v>
      </c>
      <c r="C16" s="1227" t="s">
        <v>14</v>
      </c>
      <c r="D16" s="1227">
        <v>50</v>
      </c>
      <c r="E16" s="1228">
        <f t="shared" si="0"/>
        <v>0.60450000000000004</v>
      </c>
      <c r="F16" s="1678">
        <v>1</v>
      </c>
      <c r="G16" s="1230">
        <f t="shared" si="1"/>
        <v>30.225000000000001</v>
      </c>
      <c r="H16" s="1683">
        <f t="shared" si="2"/>
        <v>30.225000000000001</v>
      </c>
      <c r="I16" s="914">
        <f>VLOOKUP(B16,All_Ingredients!$A$1:$F$161,6,FALSE())</f>
        <v>1</v>
      </c>
      <c r="J16" s="940">
        <f>VLOOKUP(B16,All_Ingredients!$A$1:$J$161,10,FALSE())</f>
        <v>0.74</v>
      </c>
      <c r="K16" s="945">
        <f t="shared" si="5"/>
        <v>3.0225000000000002E-2</v>
      </c>
      <c r="L16" s="945">
        <f t="shared" si="6"/>
        <v>2.2366500000000001E-2</v>
      </c>
      <c r="M16" s="349"/>
      <c r="N16" s="349"/>
    </row>
    <row r="17" spans="1:29" x14ac:dyDescent="0.2">
      <c r="A17" s="1225"/>
      <c r="B17" s="1232" t="s">
        <v>214</v>
      </c>
      <c r="C17" s="1227" t="s">
        <v>14</v>
      </c>
      <c r="D17" s="1227">
        <v>10</v>
      </c>
      <c r="E17" s="1228">
        <f t="shared" si="0"/>
        <v>0.60450000000000004</v>
      </c>
      <c r="F17" s="1678">
        <v>1</v>
      </c>
      <c r="G17" s="1230">
        <f t="shared" si="1"/>
        <v>6.0449999999999999</v>
      </c>
      <c r="H17" s="1683">
        <f t="shared" si="2"/>
        <v>6.0449999999999999</v>
      </c>
      <c r="I17" s="914">
        <f>VLOOKUP(B17,All_Ingredients!$A$1:$F$161,6,FALSE())</f>
        <v>1</v>
      </c>
      <c r="J17" s="940">
        <f>VLOOKUP(B17,All_Ingredients!$A$1:$J$161,10,FALSE())</f>
        <v>35</v>
      </c>
      <c r="K17" s="945">
        <f t="shared" si="5"/>
        <v>6.045E-3</v>
      </c>
      <c r="L17" s="945">
        <f t="shared" si="6"/>
        <v>0.21157500000000001</v>
      </c>
    </row>
    <row r="18" spans="1:29" x14ac:dyDescent="0.2">
      <c r="A18" s="1225" t="s">
        <v>881</v>
      </c>
      <c r="B18" s="1232" t="s">
        <v>12</v>
      </c>
      <c r="C18" s="1227" t="s">
        <v>14</v>
      </c>
      <c r="D18" s="1227">
        <v>500</v>
      </c>
      <c r="E18" s="1228">
        <f t="shared" si="0"/>
        <v>0.60450000000000004</v>
      </c>
      <c r="F18" s="1668">
        <v>1</v>
      </c>
      <c r="G18" s="1230">
        <f t="shared" si="1"/>
        <v>302.25</v>
      </c>
      <c r="H18" s="1683">
        <f t="shared" si="2"/>
        <v>302.25</v>
      </c>
      <c r="I18" s="914">
        <f>VLOOKUP(B18,All_Ingredients!$A$1:$F$161,6,FALSE())</f>
        <v>0.9</v>
      </c>
      <c r="J18" s="940">
        <f>VLOOKUP(B18,All_Ingredients!$A$1:$J$161,10,FALSE())</f>
        <v>3</v>
      </c>
      <c r="K18" s="945">
        <f t="shared" si="5"/>
        <v>0.33583333333333332</v>
      </c>
      <c r="L18" s="945">
        <f t="shared" si="6"/>
        <v>1.0074999999999998</v>
      </c>
    </row>
    <row r="19" spans="1:29" x14ac:dyDescent="0.2">
      <c r="A19" s="1225" t="s">
        <v>868</v>
      </c>
      <c r="B19" s="1232" t="s">
        <v>706</v>
      </c>
      <c r="C19" s="1227" t="s">
        <v>14</v>
      </c>
      <c r="D19" s="1227">
        <v>100</v>
      </c>
      <c r="E19" s="1228">
        <f t="shared" si="0"/>
        <v>0.60450000000000004</v>
      </c>
      <c r="F19" s="1678">
        <v>1</v>
      </c>
      <c r="G19" s="1230">
        <f t="shared" si="1"/>
        <v>60.45</v>
      </c>
      <c r="H19" s="1683">
        <f t="shared" si="2"/>
        <v>60.45</v>
      </c>
      <c r="I19" s="914">
        <f>VLOOKUP(B19,All_Ingredients!$A$1:$F$161,6,FALSE())</f>
        <v>1</v>
      </c>
      <c r="J19" s="940">
        <f>VLOOKUP(B19,All_Ingredients!$A$1:$J$161,10,FALSE())</f>
        <v>10.5</v>
      </c>
      <c r="K19" s="945">
        <f t="shared" si="5"/>
        <v>6.0450000000000004E-2</v>
      </c>
      <c r="L19" s="945">
        <f t="shared" si="6"/>
        <v>0.63472499999999998</v>
      </c>
    </row>
    <row r="20" spans="1:29" x14ac:dyDescent="0.2">
      <c r="A20" s="1225"/>
      <c r="B20" s="1232" t="s">
        <v>678</v>
      </c>
      <c r="C20" s="1227" t="s">
        <v>14</v>
      </c>
      <c r="D20" s="1227">
        <v>2000</v>
      </c>
      <c r="E20" s="1228">
        <f t="shared" si="0"/>
        <v>0.60450000000000004</v>
      </c>
      <c r="F20" s="1678">
        <v>1</v>
      </c>
      <c r="G20" s="1230">
        <f t="shared" si="1"/>
        <v>1209</v>
      </c>
      <c r="H20" s="1683">
        <f t="shared" si="2"/>
        <v>1209</v>
      </c>
      <c r="I20" s="914">
        <f>VLOOKUP(B20,All_Ingredients!$A$1:$F$161,6,FALSE())</f>
        <v>1</v>
      </c>
      <c r="J20" s="940">
        <f>VLOOKUP(B20,All_Ingredients!$A$1:$J$161,10,FALSE())</f>
        <v>8.1520833333333336</v>
      </c>
      <c r="K20" s="945">
        <f t="shared" si="5"/>
        <v>1.2090000000000001</v>
      </c>
      <c r="L20" s="945">
        <f t="shared" si="6"/>
        <v>9.8558687500000008</v>
      </c>
    </row>
    <row r="21" spans="1:29" x14ac:dyDescent="0.2">
      <c r="A21" s="1225"/>
      <c r="B21" s="1313" t="s">
        <v>203</v>
      </c>
      <c r="C21" s="1681" t="s">
        <v>160</v>
      </c>
      <c r="D21" s="1682">
        <v>4000</v>
      </c>
      <c r="E21" s="1228">
        <f t="shared" si="0"/>
        <v>0.60450000000000004</v>
      </c>
      <c r="F21" s="1678">
        <v>1</v>
      </c>
      <c r="G21" s="1230">
        <f t="shared" ref="G21" si="7">D21*E21</f>
        <v>2418</v>
      </c>
      <c r="H21" s="1683">
        <f t="shared" ref="H21" si="8">G21*F21</f>
        <v>2418</v>
      </c>
      <c r="I21" s="914">
        <f>VLOOKUP(B21,All_Ingredients!$A$1:$F$161,6,FALSE())</f>
        <v>1</v>
      </c>
      <c r="J21" s="940">
        <f>VLOOKUP(B21,All_Ingredients!$A$1:$J$161,10,FALSE())</f>
        <v>0</v>
      </c>
      <c r="K21" s="945">
        <f t="shared" ref="K21" si="9">(H21/I21)/1000</f>
        <v>2.4180000000000001</v>
      </c>
      <c r="L21" s="945">
        <f t="shared" ref="L21" si="10">K21*J21</f>
        <v>0</v>
      </c>
    </row>
    <row r="22" spans="1:29" x14ac:dyDescent="0.2">
      <c r="N22" s="1813"/>
      <c r="O22" s="1813"/>
    </row>
    <row r="24" spans="1:29" x14ac:dyDescent="0.2">
      <c r="Z24" s="631"/>
    </row>
    <row r="25" spans="1:29" x14ac:dyDescent="0.2">
      <c r="R25" s="1905" t="s">
        <v>520</v>
      </c>
      <c r="S25" s="1906"/>
      <c r="T25" s="1906"/>
      <c r="Z25" s="96" t="s">
        <v>14</v>
      </c>
      <c r="AA25" s="639">
        <f>1/1000</f>
        <v>1E-3</v>
      </c>
      <c r="AB25" s="96" t="s">
        <v>249</v>
      </c>
      <c r="AC25" s="98">
        <f>(T33/T29)*AA25</f>
        <v>1.6618425609971229E-5</v>
      </c>
    </row>
    <row r="26" spans="1:29" x14ac:dyDescent="0.2">
      <c r="R26" s="351" t="s">
        <v>254</v>
      </c>
      <c r="S26" s="351" t="s">
        <v>501</v>
      </c>
      <c r="T26" s="351" t="s">
        <v>526</v>
      </c>
    </row>
    <row r="27" spans="1:29" x14ac:dyDescent="0.2">
      <c r="R27" s="351" t="s">
        <v>502</v>
      </c>
      <c r="S27" s="672">
        <f>Z1</f>
        <v>19650</v>
      </c>
      <c r="T27" s="674">
        <f>S27*0.15</f>
        <v>2947.5</v>
      </c>
    </row>
    <row r="28" spans="1:29" x14ac:dyDescent="0.2">
      <c r="R28" s="351"/>
      <c r="S28" s="673">
        <f>AB1</f>
        <v>500</v>
      </c>
      <c r="T28" s="680"/>
    </row>
    <row r="29" spans="1:29" x14ac:dyDescent="0.2">
      <c r="R29" s="350"/>
      <c r="S29" s="681">
        <f>S27+S28</f>
        <v>20150</v>
      </c>
      <c r="T29" s="679">
        <f>S29*0.15</f>
        <v>3022.5</v>
      </c>
    </row>
    <row r="33" spans="13:20" ht="15.75" thickBot="1" x14ac:dyDescent="0.25">
      <c r="R33" s="117" t="s">
        <v>249</v>
      </c>
      <c r="S33" s="548">
        <f>SUM(L5:L20)</f>
        <v>50.229191406138035</v>
      </c>
      <c r="T33" s="601">
        <f>SUM(L5:L20)</f>
        <v>50.229191406138035</v>
      </c>
    </row>
    <row r="40" spans="13:20" x14ac:dyDescent="0.2">
      <c r="M40" s="1904"/>
      <c r="N40" s="1904"/>
      <c r="O40" s="1904"/>
      <c r="P40" s="1904"/>
      <c r="Q40" s="1904"/>
      <c r="R40" s="1904"/>
      <c r="S40" s="1904"/>
      <c r="T40" s="1904"/>
    </row>
    <row r="50" spans="1:8" ht="18" x14ac:dyDescent="0.2">
      <c r="B50" s="845" t="s">
        <v>309</v>
      </c>
      <c r="C50" s="150" t="s">
        <v>233</v>
      </c>
      <c r="D50" s="150" t="s">
        <v>279</v>
      </c>
      <c r="E50" s="368"/>
      <c r="F50" s="368"/>
      <c r="G50" s="368"/>
      <c r="H50" s="368"/>
    </row>
    <row r="51" spans="1:8" ht="18" x14ac:dyDescent="0.2">
      <c r="B51" s="844" t="s">
        <v>283</v>
      </c>
      <c r="C51" s="133">
        <f>5/$K$1</f>
        <v>5</v>
      </c>
      <c r="D51" s="134">
        <f>$C$1</f>
        <v>5000</v>
      </c>
      <c r="E51" s="368"/>
      <c r="F51" s="368"/>
      <c r="G51" s="368"/>
      <c r="H51" s="368"/>
    </row>
    <row r="52" spans="1:8" x14ac:dyDescent="0.2">
      <c r="B52" s="846" t="s">
        <v>257</v>
      </c>
      <c r="C52" s="157">
        <f>G1</f>
        <v>0.60450000000000004</v>
      </c>
      <c r="D52" s="157">
        <f>E1</f>
        <v>3022.5</v>
      </c>
      <c r="E52" s="370"/>
      <c r="F52" s="367"/>
      <c r="G52" s="370"/>
      <c r="H52" s="369"/>
    </row>
    <row r="53" spans="1:8" x14ac:dyDescent="0.2">
      <c r="B53" s="846" t="s">
        <v>284</v>
      </c>
      <c r="C53" s="158">
        <f>MIN($C$52, $C$51)</f>
        <v>0.60450000000000004</v>
      </c>
      <c r="D53" s="157">
        <f>(C53*$K$1)*1000</f>
        <v>604.5</v>
      </c>
      <c r="E53" s="366"/>
      <c r="F53" s="365"/>
      <c r="G53" s="364"/>
      <c r="H53" s="363"/>
    </row>
    <row r="54" spans="1:8" x14ac:dyDescent="0.2">
      <c r="B54" s="846" t="s">
        <v>285</v>
      </c>
      <c r="C54" s="158">
        <f>MIN(MAX($C$52-C53,0),$C$51)</f>
        <v>0</v>
      </c>
      <c r="D54" s="157">
        <f>(C54*$K$1)*1000</f>
        <v>0</v>
      </c>
      <c r="E54" s="366"/>
      <c r="F54" s="365"/>
      <c r="G54" s="364"/>
      <c r="H54" s="363"/>
    </row>
    <row r="55" spans="1:8" x14ac:dyDescent="0.2">
      <c r="B55" s="846" t="s">
        <v>286</v>
      </c>
      <c r="C55" s="158">
        <f>MIN(MAX($C$52-C53-C54,0),$C$51)</f>
        <v>0</v>
      </c>
      <c r="D55" s="157">
        <f>(C55*$K$1)*1000</f>
        <v>0</v>
      </c>
      <c r="E55" s="366"/>
      <c r="F55" s="365"/>
      <c r="G55" s="364"/>
      <c r="H55" s="363"/>
    </row>
    <row r="56" spans="1:8" x14ac:dyDescent="0.2">
      <c r="B56" s="347"/>
      <c r="C56" s="347"/>
      <c r="D56" s="347"/>
      <c r="E56" s="366"/>
      <c r="F56" s="365"/>
      <c r="G56" s="364"/>
      <c r="H56" s="363"/>
    </row>
    <row r="57" spans="1:8" x14ac:dyDescent="0.2">
      <c r="B57" s="347"/>
      <c r="C57" s="347"/>
      <c r="D57" s="347"/>
      <c r="E57" s="366"/>
      <c r="F57" s="365"/>
      <c r="G57" s="364"/>
      <c r="H57" s="363"/>
    </row>
    <row r="58" spans="1:8" x14ac:dyDescent="0.2">
      <c r="B58" s="347"/>
      <c r="C58" s="347"/>
      <c r="D58" s="347"/>
      <c r="E58" s="366"/>
      <c r="F58" s="365"/>
      <c r="G58" s="364"/>
      <c r="H58" s="363"/>
    </row>
    <row r="59" spans="1:8" x14ac:dyDescent="0.2">
      <c r="B59" s="347"/>
      <c r="C59" s="347"/>
      <c r="D59" s="347"/>
      <c r="E59" s="366"/>
      <c r="F59" s="365"/>
      <c r="G59" s="364"/>
      <c r="H59" s="363"/>
    </row>
    <row r="62" spans="1:8" ht="12.75" x14ac:dyDescent="0.2">
      <c r="A62" s="1806"/>
      <c r="B62" s="1814" t="s">
        <v>520</v>
      </c>
      <c r="C62" s="1814"/>
      <c r="D62" s="1814"/>
      <c r="E62" s="1814"/>
      <c r="F62" s="1814"/>
      <c r="G62" s="1814"/>
      <c r="H62" s="1814"/>
    </row>
    <row r="63" spans="1:8" ht="12.75" x14ac:dyDescent="0.2">
      <c r="A63" s="1806"/>
      <c r="B63" s="1808"/>
      <c r="C63" s="1808"/>
      <c r="D63" s="1808"/>
      <c r="E63" s="1808"/>
      <c r="F63" s="1808"/>
      <c r="G63" s="1808"/>
      <c r="H63" s="1808"/>
    </row>
    <row r="64" spans="1:8" ht="38.25" x14ac:dyDescent="0.2">
      <c r="A64" s="1542" t="s">
        <v>864</v>
      </c>
      <c r="B64" s="1219" t="s">
        <v>241</v>
      </c>
      <c r="C64" s="1220" t="s">
        <v>316</v>
      </c>
      <c r="D64" s="1220" t="s">
        <v>519</v>
      </c>
      <c r="E64" s="1221" t="s">
        <v>518</v>
      </c>
      <c r="F64" s="1222" t="s">
        <v>243</v>
      </c>
      <c r="G64" s="1223" t="s">
        <v>244</v>
      </c>
      <c r="H64" s="1224" t="s">
        <v>321</v>
      </c>
    </row>
    <row r="65" spans="1:8" x14ac:dyDescent="0.2">
      <c r="A65" s="1715" t="s">
        <v>880</v>
      </c>
      <c r="B65" s="1716" t="s">
        <v>32</v>
      </c>
      <c r="C65" s="1717" t="s">
        <v>14</v>
      </c>
      <c r="D65" s="1717">
        <v>600</v>
      </c>
      <c r="E65" s="1228">
        <f t="shared" ref="E65:E81" si="11">$I$1</f>
        <v>0.60450000000000004</v>
      </c>
      <c r="F65" s="1678">
        <v>1</v>
      </c>
      <c r="G65" s="1230">
        <f t="shared" ref="G65:G81" si="12">D65*E65</f>
        <v>362.70000000000005</v>
      </c>
      <c r="H65" s="1683">
        <f t="shared" ref="H65:H81" si="13">G65*F65</f>
        <v>362.70000000000005</v>
      </c>
    </row>
    <row r="66" spans="1:8" x14ac:dyDescent="0.2">
      <c r="A66" s="1715" t="s">
        <v>880</v>
      </c>
      <c r="B66" s="1716" t="s">
        <v>30</v>
      </c>
      <c r="C66" s="1717" t="s">
        <v>14</v>
      </c>
      <c r="D66" s="1717">
        <v>600</v>
      </c>
      <c r="E66" s="1228">
        <f t="shared" si="11"/>
        <v>0.60450000000000004</v>
      </c>
      <c r="F66" s="1678">
        <v>1</v>
      </c>
      <c r="G66" s="1230">
        <f t="shared" si="12"/>
        <v>362.70000000000005</v>
      </c>
      <c r="H66" s="1683">
        <f t="shared" si="13"/>
        <v>362.70000000000005</v>
      </c>
    </row>
    <row r="67" spans="1:8" x14ac:dyDescent="0.2">
      <c r="A67" s="1715" t="s">
        <v>880</v>
      </c>
      <c r="B67" s="1716" t="s">
        <v>28</v>
      </c>
      <c r="C67" s="1717" t="s">
        <v>14</v>
      </c>
      <c r="D67" s="1717">
        <v>600</v>
      </c>
      <c r="E67" s="1228">
        <f t="shared" si="11"/>
        <v>0.60450000000000004</v>
      </c>
      <c r="F67" s="1678">
        <v>1</v>
      </c>
      <c r="G67" s="1230">
        <f t="shared" si="12"/>
        <v>362.70000000000005</v>
      </c>
      <c r="H67" s="1683">
        <f t="shared" si="13"/>
        <v>362.70000000000005</v>
      </c>
    </row>
    <row r="68" spans="1:8" x14ac:dyDescent="0.2">
      <c r="A68" s="1715"/>
      <c r="B68" s="1716" t="s">
        <v>517</v>
      </c>
      <c r="C68" s="1717" t="s">
        <v>14</v>
      </c>
      <c r="D68" s="1717">
        <v>1368</v>
      </c>
      <c r="E68" s="1228">
        <f t="shared" si="11"/>
        <v>0.60450000000000004</v>
      </c>
      <c r="F68" s="1678">
        <v>1</v>
      </c>
      <c r="G68" s="1230">
        <f t="shared" si="12"/>
        <v>826.95600000000002</v>
      </c>
      <c r="H68" s="1683">
        <f t="shared" si="13"/>
        <v>826.95600000000002</v>
      </c>
    </row>
    <row r="69" spans="1:8" x14ac:dyDescent="0.2">
      <c r="A69" s="1715"/>
      <c r="B69" s="1716" t="s">
        <v>516</v>
      </c>
      <c r="C69" s="1717" t="s">
        <v>14</v>
      </c>
      <c r="D69" s="1717">
        <v>2125</v>
      </c>
      <c r="E69" s="1228">
        <f t="shared" si="11"/>
        <v>0.60450000000000004</v>
      </c>
      <c r="F69" s="1678">
        <v>1</v>
      </c>
      <c r="G69" s="1230">
        <f t="shared" si="12"/>
        <v>1284.5625</v>
      </c>
      <c r="H69" s="1683">
        <f t="shared" si="13"/>
        <v>1284.5625</v>
      </c>
    </row>
    <row r="70" spans="1:8" x14ac:dyDescent="0.2">
      <c r="A70" s="1715"/>
      <c r="B70" s="1716" t="s">
        <v>152</v>
      </c>
      <c r="C70" s="1717" t="s">
        <v>14</v>
      </c>
      <c r="D70" s="1717">
        <v>300</v>
      </c>
      <c r="E70" s="1228">
        <f t="shared" si="11"/>
        <v>0.60450000000000004</v>
      </c>
      <c r="F70" s="1678">
        <v>1</v>
      </c>
      <c r="G70" s="1230">
        <f t="shared" si="12"/>
        <v>181.35000000000002</v>
      </c>
      <c r="H70" s="1683">
        <f t="shared" si="13"/>
        <v>181.35000000000002</v>
      </c>
    </row>
    <row r="71" spans="1:8" x14ac:dyDescent="0.2">
      <c r="A71" s="1225"/>
      <c r="B71" s="1232" t="s">
        <v>105</v>
      </c>
      <c r="C71" s="1227" t="s">
        <v>14</v>
      </c>
      <c r="D71" s="1227">
        <v>25</v>
      </c>
      <c r="E71" s="1228">
        <f t="shared" si="11"/>
        <v>0.60450000000000004</v>
      </c>
      <c r="F71" s="1678">
        <v>1</v>
      </c>
      <c r="G71" s="1230">
        <f t="shared" si="12"/>
        <v>15.112500000000001</v>
      </c>
      <c r="H71" s="1683">
        <f t="shared" si="13"/>
        <v>15.112500000000001</v>
      </c>
    </row>
    <row r="72" spans="1:8" x14ac:dyDescent="0.2">
      <c r="A72" s="1225"/>
      <c r="B72" s="1232" t="s">
        <v>110</v>
      </c>
      <c r="C72" s="1227" t="s">
        <v>14</v>
      </c>
      <c r="D72" s="1227">
        <v>25</v>
      </c>
      <c r="E72" s="1228">
        <f t="shared" si="11"/>
        <v>0.60450000000000004</v>
      </c>
      <c r="F72" s="1678">
        <v>1</v>
      </c>
      <c r="G72" s="1230">
        <f t="shared" si="12"/>
        <v>15.112500000000001</v>
      </c>
      <c r="H72" s="1683">
        <f t="shared" si="13"/>
        <v>15.112500000000001</v>
      </c>
    </row>
    <row r="73" spans="1:8" x14ac:dyDescent="0.2">
      <c r="A73" s="1225"/>
      <c r="B73" s="1232" t="s">
        <v>113</v>
      </c>
      <c r="C73" s="1227" t="s">
        <v>14</v>
      </c>
      <c r="D73" s="1227">
        <v>10</v>
      </c>
      <c r="E73" s="1228">
        <f t="shared" si="11"/>
        <v>0.60450000000000004</v>
      </c>
      <c r="F73" s="1678">
        <v>1</v>
      </c>
      <c r="G73" s="1230">
        <f t="shared" si="12"/>
        <v>6.0449999999999999</v>
      </c>
      <c r="H73" s="1683">
        <f t="shared" si="13"/>
        <v>6.0449999999999999</v>
      </c>
    </row>
    <row r="74" spans="1:8" ht="25.5" x14ac:dyDescent="0.2">
      <c r="A74" s="1225"/>
      <c r="B74" s="1232" t="s">
        <v>99</v>
      </c>
      <c r="C74" s="1227" t="s">
        <v>14</v>
      </c>
      <c r="D74" s="1227">
        <v>10</v>
      </c>
      <c r="E74" s="1228">
        <f t="shared" si="11"/>
        <v>0.60450000000000004</v>
      </c>
      <c r="F74" s="1678">
        <v>1</v>
      </c>
      <c r="G74" s="1230">
        <f t="shared" si="12"/>
        <v>6.0449999999999999</v>
      </c>
      <c r="H74" s="1683">
        <f t="shared" si="13"/>
        <v>6.0449999999999999</v>
      </c>
    </row>
    <row r="75" spans="1:8" x14ac:dyDescent="0.2">
      <c r="A75" s="1225"/>
      <c r="B75" s="1232" t="s">
        <v>82</v>
      </c>
      <c r="C75" s="1227" t="s">
        <v>14</v>
      </c>
      <c r="D75" s="1227">
        <v>10</v>
      </c>
      <c r="E75" s="1228">
        <f t="shared" si="11"/>
        <v>0.60450000000000004</v>
      </c>
      <c r="F75" s="1678">
        <v>1</v>
      </c>
      <c r="G75" s="1230">
        <f t="shared" si="12"/>
        <v>6.0449999999999999</v>
      </c>
      <c r="H75" s="1683">
        <f t="shared" si="13"/>
        <v>6.0449999999999999</v>
      </c>
    </row>
    <row r="76" spans="1:8" x14ac:dyDescent="0.2">
      <c r="A76" s="1225"/>
      <c r="B76" s="1232" t="s">
        <v>93</v>
      </c>
      <c r="C76" s="1227" t="s">
        <v>14</v>
      </c>
      <c r="D76" s="1227">
        <v>50</v>
      </c>
      <c r="E76" s="1228">
        <f t="shared" si="11"/>
        <v>0.60450000000000004</v>
      </c>
      <c r="F76" s="1678">
        <v>1</v>
      </c>
      <c r="G76" s="1230">
        <f t="shared" si="12"/>
        <v>30.225000000000001</v>
      </c>
      <c r="H76" s="1683">
        <f t="shared" si="13"/>
        <v>30.225000000000001</v>
      </c>
    </row>
    <row r="77" spans="1:8" x14ac:dyDescent="0.2">
      <c r="A77" s="1225"/>
      <c r="B77" s="1232" t="s">
        <v>214</v>
      </c>
      <c r="C77" s="1227" t="s">
        <v>14</v>
      </c>
      <c r="D77" s="1227">
        <v>10</v>
      </c>
      <c r="E77" s="1228">
        <f t="shared" si="11"/>
        <v>0.60450000000000004</v>
      </c>
      <c r="F77" s="1678">
        <v>1</v>
      </c>
      <c r="G77" s="1230">
        <f t="shared" si="12"/>
        <v>6.0449999999999999</v>
      </c>
      <c r="H77" s="1683">
        <f t="shared" si="13"/>
        <v>6.0449999999999999</v>
      </c>
    </row>
    <row r="78" spans="1:8" x14ac:dyDescent="0.2">
      <c r="A78" s="1225" t="s">
        <v>881</v>
      </c>
      <c r="B78" s="1232" t="s">
        <v>12</v>
      </c>
      <c r="C78" s="1227" t="s">
        <v>14</v>
      </c>
      <c r="D78" s="1227">
        <v>500</v>
      </c>
      <c r="E78" s="1228">
        <f t="shared" si="11"/>
        <v>0.60450000000000004</v>
      </c>
      <c r="F78" s="1668">
        <v>1</v>
      </c>
      <c r="G78" s="1230">
        <f t="shared" si="12"/>
        <v>302.25</v>
      </c>
      <c r="H78" s="1683">
        <f t="shared" si="13"/>
        <v>302.25</v>
      </c>
    </row>
    <row r="79" spans="1:8" x14ac:dyDescent="0.2">
      <c r="A79" s="1225" t="s">
        <v>868</v>
      </c>
      <c r="B79" s="1232" t="s">
        <v>706</v>
      </c>
      <c r="C79" s="1227" t="s">
        <v>14</v>
      </c>
      <c r="D79" s="1227">
        <v>100</v>
      </c>
      <c r="E79" s="1228">
        <f t="shared" si="11"/>
        <v>0.60450000000000004</v>
      </c>
      <c r="F79" s="1678">
        <v>1</v>
      </c>
      <c r="G79" s="1230">
        <f t="shared" si="12"/>
        <v>60.45</v>
      </c>
      <c r="H79" s="1683">
        <f t="shared" si="13"/>
        <v>60.45</v>
      </c>
    </row>
    <row r="80" spans="1:8" x14ac:dyDescent="0.2">
      <c r="A80" s="1225"/>
      <c r="B80" s="1232" t="s">
        <v>678</v>
      </c>
      <c r="C80" s="1227" t="s">
        <v>14</v>
      </c>
      <c r="D80" s="1227">
        <v>2000</v>
      </c>
      <c r="E80" s="1228">
        <f t="shared" si="11"/>
        <v>0.60450000000000004</v>
      </c>
      <c r="F80" s="1678">
        <v>1</v>
      </c>
      <c r="G80" s="1230">
        <f t="shared" si="12"/>
        <v>1209</v>
      </c>
      <c r="H80" s="1683">
        <f t="shared" si="13"/>
        <v>1209</v>
      </c>
    </row>
    <row r="81" spans="1:8" x14ac:dyDescent="0.2">
      <c r="A81" s="1225"/>
      <c r="B81" s="1313" t="s">
        <v>203</v>
      </c>
      <c r="C81" s="1681" t="s">
        <v>160</v>
      </c>
      <c r="D81" s="1682">
        <v>4000</v>
      </c>
      <c r="E81" s="1228">
        <f t="shared" si="11"/>
        <v>0.60450000000000004</v>
      </c>
      <c r="F81" s="1678">
        <v>1</v>
      </c>
      <c r="G81" s="1230">
        <f t="shared" si="12"/>
        <v>2418</v>
      </c>
      <c r="H81" s="1683">
        <f t="shared" si="13"/>
        <v>2418</v>
      </c>
    </row>
    <row r="82" spans="1:8" ht="15.75" x14ac:dyDescent="0.2">
      <c r="B82" s="1622" t="s">
        <v>686</v>
      </c>
    </row>
    <row r="83" spans="1:8" ht="24" customHeight="1" x14ac:dyDescent="0.3">
      <c r="B83" s="1048">
        <f>$D$52</f>
        <v>3022.5</v>
      </c>
    </row>
  </sheetData>
  <mergeCells count="8">
    <mergeCell ref="A62:A63"/>
    <mergeCell ref="B62:H63"/>
    <mergeCell ref="M40:T40"/>
    <mergeCell ref="A2:A3"/>
    <mergeCell ref="B2:H3"/>
    <mergeCell ref="K2:K3"/>
    <mergeCell ref="N22:O22"/>
    <mergeCell ref="R25:T25"/>
  </mergeCells>
  <printOptions horizontalCentered="1"/>
  <pageMargins left="0.5" right="0.5" top="1" bottom="0.5" header="0.3" footer="0.511811023622047"/>
  <pageSetup paperSize="9" scale="24" orientation="portrait" r:id="rId1"/>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9">
    <tabColor rgb="FF333F50"/>
    <pageSetUpPr fitToPage="1"/>
  </sheetPr>
  <dimension ref="A1:AT108"/>
  <sheetViews>
    <sheetView topLeftCell="A61" zoomScale="70" zoomScaleNormal="70" workbookViewId="0">
      <selection activeCell="H69" sqref="H69"/>
    </sheetView>
  </sheetViews>
  <sheetFormatPr defaultColWidth="12.5" defaultRowHeight="15" x14ac:dyDescent="0.25"/>
  <cols>
    <col min="1" max="1" width="16.75" style="61" bestFit="1" customWidth="1"/>
    <col min="2" max="2" width="30.875" style="14" bestFit="1" customWidth="1"/>
    <col min="3" max="3" width="16.375" style="14" bestFit="1" customWidth="1"/>
    <col min="4" max="4" width="19.625" style="14" bestFit="1" customWidth="1"/>
    <col min="5" max="5" width="19" style="14" bestFit="1" customWidth="1"/>
    <col min="6" max="6" width="23.125" style="14" bestFit="1" customWidth="1"/>
    <col min="7" max="7" width="21.75" style="14" bestFit="1" customWidth="1"/>
    <col min="8" max="8" width="39" style="14" bestFit="1" customWidth="1"/>
    <col min="9" max="9" width="16.75" style="14" bestFit="1" customWidth="1"/>
    <col min="10" max="10" width="13.875" style="14" bestFit="1" customWidth="1"/>
    <col min="11" max="11" width="18.375" style="14" bestFit="1" customWidth="1"/>
    <col min="12" max="12" width="12.75" style="14" bestFit="1" customWidth="1"/>
    <col min="13" max="14" width="4.25" style="14" customWidth="1"/>
    <col min="15" max="16" width="9.75" style="14" bestFit="1" customWidth="1"/>
    <col min="17" max="17" width="12.25" style="14" bestFit="1" customWidth="1"/>
    <col min="18" max="18" width="38.375" style="14" bestFit="1" customWidth="1"/>
    <col min="19" max="19" width="10" style="14" bestFit="1" customWidth="1"/>
    <col min="20" max="20" width="43.75" style="14" bestFit="1" customWidth="1"/>
    <col min="21" max="21" width="11.25" style="14" bestFit="1" customWidth="1"/>
    <col min="22" max="22" width="12.125" style="14" bestFit="1" customWidth="1"/>
    <col min="23" max="23" width="37.75" style="14" bestFit="1" customWidth="1"/>
    <col min="24" max="24" width="12.5" style="14" customWidth="1"/>
    <col min="25" max="25" width="7.75" style="14" bestFit="1" customWidth="1"/>
    <col min="26" max="26" width="11.25" style="14" bestFit="1" customWidth="1"/>
    <col min="27" max="27" width="11.875" style="14" bestFit="1" customWidth="1"/>
    <col min="28" max="28" width="13.125" style="14" bestFit="1" customWidth="1"/>
    <col min="29" max="29" width="13.5" style="14" bestFit="1" customWidth="1"/>
    <col min="30" max="30" width="15.125" style="14" bestFit="1" customWidth="1"/>
    <col min="31" max="31" width="11.25" style="14" bestFit="1" customWidth="1"/>
    <col min="32" max="32" width="8.5" style="14" bestFit="1" customWidth="1"/>
    <col min="33" max="34" width="2.875" style="14" customWidth="1"/>
    <col min="35" max="35" width="9.25" style="14" bestFit="1" customWidth="1"/>
    <col min="36" max="36" width="31.5" style="14" bestFit="1" customWidth="1"/>
    <col min="37" max="37" width="6.5" style="14" bestFit="1" customWidth="1"/>
    <col min="38" max="38" width="12.25" style="14" bestFit="1" customWidth="1"/>
    <col min="39" max="39" width="12.625" style="14" bestFit="1" customWidth="1"/>
    <col min="40" max="40" width="11.875" style="14" bestFit="1" customWidth="1"/>
    <col min="41" max="41" width="12.5" style="14"/>
    <col min="42" max="42" width="17.75" style="14" bestFit="1" customWidth="1"/>
    <col min="43" max="43" width="12.5" style="14"/>
    <col min="44" max="44" width="11.625" style="14" bestFit="1" customWidth="1"/>
    <col min="45" max="45" width="11.125" style="14" bestFit="1" customWidth="1"/>
    <col min="46" max="46" width="6" style="14" bestFit="1" customWidth="1"/>
    <col min="47" max="16384" width="12.5" style="14"/>
  </cols>
  <sheetData>
    <row r="1" spans="1:46" ht="38.25" x14ac:dyDescent="0.25">
      <c r="B1" s="843" t="s">
        <v>231</v>
      </c>
      <c r="C1" s="63">
        <v>1000</v>
      </c>
      <c r="D1" s="64" t="s">
        <v>232</v>
      </c>
      <c r="E1" s="65">
        <f>T32</f>
        <v>12917.948717948724</v>
      </c>
      <c r="F1" s="62" t="s">
        <v>233</v>
      </c>
      <c r="G1" s="66">
        <f>E1/C1</f>
        <v>12.917948717948724</v>
      </c>
      <c r="H1" s="62" t="s">
        <v>234</v>
      </c>
      <c r="I1" s="67">
        <f>(G1/K1)</f>
        <v>13.048433048433054</v>
      </c>
      <c r="J1" s="68" t="s">
        <v>235</v>
      </c>
      <c r="K1" s="238">
        <v>0.99</v>
      </c>
      <c r="L1" s="69"/>
      <c r="M1" s="70"/>
      <c r="N1" s="71"/>
      <c r="O1" s="72" t="s">
        <v>236</v>
      </c>
      <c r="P1" s="73" t="s">
        <v>237</v>
      </c>
      <c r="Q1" s="74" t="s">
        <v>238</v>
      </c>
      <c r="R1" s="73">
        <v>0.59</v>
      </c>
      <c r="Y1" s="72" t="s">
        <v>444</v>
      </c>
      <c r="Z1" s="422">
        <v>21900</v>
      </c>
      <c r="AA1" s="72" t="s">
        <v>544</v>
      </c>
      <c r="AB1" s="422">
        <v>1000</v>
      </c>
      <c r="AC1" s="72" t="s">
        <v>537</v>
      </c>
      <c r="AD1" s="422">
        <v>155</v>
      </c>
      <c r="AE1" s="168"/>
      <c r="AF1" s="170"/>
      <c r="AG1" s="73"/>
      <c r="AI1" s="61"/>
      <c r="AJ1" s="75" t="s">
        <v>250</v>
      </c>
      <c r="AK1" s="75">
        <v>10000</v>
      </c>
      <c r="AL1" s="318" t="s">
        <v>474</v>
      </c>
      <c r="AM1" s="319">
        <f>$S$32</f>
        <v>17615.384615384613</v>
      </c>
      <c r="AN1" s="75" t="s">
        <v>239</v>
      </c>
      <c r="AO1" s="212">
        <f>((S32)/$R$1)/$AK$1</f>
        <v>2.9856584093872227</v>
      </c>
      <c r="AP1" s="76"/>
    </row>
    <row r="2" spans="1:46" ht="15.75" x14ac:dyDescent="0.25">
      <c r="A2" s="863"/>
      <c r="B2" s="78"/>
      <c r="C2" s="78"/>
      <c r="D2" s="78"/>
      <c r="E2" s="78"/>
      <c r="F2" s="1828" t="s">
        <v>148</v>
      </c>
      <c r="G2" s="78"/>
      <c r="H2" s="78"/>
      <c r="I2" s="78"/>
      <c r="J2" s="78"/>
      <c r="K2" s="78"/>
      <c r="L2" s="187"/>
      <c r="M2" s="80"/>
      <c r="N2" s="80"/>
      <c r="O2" s="80"/>
      <c r="P2" s="80"/>
      <c r="Q2" s="80"/>
      <c r="R2" s="80"/>
      <c r="AC2" s="79"/>
      <c r="AD2" s="79"/>
      <c r="AE2" s="1795"/>
      <c r="AF2" s="1799"/>
      <c r="AG2" s="1799"/>
      <c r="AI2" s="61"/>
      <c r="AJ2" s="81"/>
      <c r="AK2" s="1873" t="s">
        <v>452</v>
      </c>
      <c r="AL2" s="1873"/>
      <c r="AM2" s="1873"/>
      <c r="AN2" s="1873"/>
      <c r="AO2" s="81"/>
      <c r="AP2" s="81"/>
    </row>
    <row r="3" spans="1:46" ht="15.75" x14ac:dyDescent="0.25">
      <c r="A3" s="863"/>
      <c r="B3" s="78"/>
      <c r="C3" s="78"/>
      <c r="D3" s="78"/>
      <c r="E3" s="78"/>
      <c r="F3" s="1796"/>
      <c r="G3" s="78"/>
      <c r="H3" s="78"/>
      <c r="I3" s="78"/>
      <c r="J3" s="78"/>
      <c r="K3" s="78"/>
      <c r="L3" s="187"/>
      <c r="O3" s="80"/>
      <c r="P3" s="80"/>
      <c r="Q3" s="80"/>
      <c r="R3" s="80"/>
      <c r="AC3" s="79"/>
      <c r="AD3" s="79"/>
      <c r="AE3" s="1799"/>
      <c r="AF3" s="1799"/>
      <c r="AG3" s="1799"/>
      <c r="AI3" s="61"/>
      <c r="AJ3" s="81"/>
      <c r="AK3" s="81"/>
      <c r="AL3" s="81"/>
      <c r="AM3" s="81"/>
      <c r="AN3" s="1799"/>
      <c r="AO3" s="81"/>
      <c r="AP3" s="81"/>
    </row>
    <row r="4" spans="1:46" ht="38.25" x14ac:dyDescent="0.25">
      <c r="A4" s="1350" t="s">
        <v>864</v>
      </c>
      <c r="B4" s="923" t="s">
        <v>241</v>
      </c>
      <c r="C4" s="934" t="s">
        <v>242</v>
      </c>
      <c r="D4" s="923" t="s">
        <v>231</v>
      </c>
      <c r="E4" s="935" t="s">
        <v>234</v>
      </c>
      <c r="F4" s="935" t="s">
        <v>243</v>
      </c>
      <c r="G4" s="923" t="s">
        <v>244</v>
      </c>
      <c r="H4" s="1635" t="s">
        <v>334</v>
      </c>
      <c r="I4" s="923" t="s">
        <v>246</v>
      </c>
      <c r="J4" s="923" t="s">
        <v>247</v>
      </c>
      <c r="K4" s="923" t="s">
        <v>248</v>
      </c>
      <c r="L4" s="923" t="s">
        <v>249</v>
      </c>
      <c r="O4" s="80"/>
      <c r="P4" s="80"/>
      <c r="AA4" s="169"/>
      <c r="AB4" s="171"/>
      <c r="AC4" s="171"/>
      <c r="AD4" s="171"/>
      <c r="AE4" s="169"/>
      <c r="AF4" s="169"/>
      <c r="AG4" s="169"/>
      <c r="AI4" s="61"/>
      <c r="AJ4" s="926" t="s">
        <v>241</v>
      </c>
      <c r="AK4" s="1169" t="s">
        <v>242</v>
      </c>
      <c r="AL4" s="926" t="s">
        <v>250</v>
      </c>
      <c r="AM4" s="926" t="s">
        <v>234</v>
      </c>
      <c r="AN4" s="926" t="s">
        <v>243</v>
      </c>
      <c r="AO4" s="926" t="s">
        <v>244</v>
      </c>
      <c r="AP4" s="926" t="s">
        <v>334</v>
      </c>
      <c r="AQ4" s="923" t="s">
        <v>246</v>
      </c>
      <c r="AR4" s="923" t="s">
        <v>247</v>
      </c>
      <c r="AS4" s="923" t="s">
        <v>248</v>
      </c>
      <c r="AT4" s="923" t="s">
        <v>249</v>
      </c>
    </row>
    <row r="5" spans="1:46" x14ac:dyDescent="0.25">
      <c r="A5" s="937" t="s">
        <v>873</v>
      </c>
      <c r="B5" s="1614" t="s">
        <v>220</v>
      </c>
      <c r="C5" s="939" t="s">
        <v>14</v>
      </c>
      <c r="D5" s="1116">
        <f>I51/10</f>
        <v>2311.3713405238827</v>
      </c>
      <c r="E5" s="1646">
        <f>H52</f>
        <v>12.917259797426189</v>
      </c>
      <c r="F5" s="942">
        <v>1</v>
      </c>
      <c r="G5" s="940">
        <f t="shared" ref="G5:G22" si="0">D5*E5</f>
        <v>29856.584093872229</v>
      </c>
      <c r="H5" s="1038">
        <f t="shared" ref="H5:H22" si="1">G5*F5</f>
        <v>29856.584093872229</v>
      </c>
      <c r="I5" s="914">
        <f>VLOOKUP(B5,All_Ingredients!$A$1:$F$161,6,FALSE())</f>
        <v>0.86</v>
      </c>
      <c r="J5" s="940">
        <f>VLOOKUP(B5,All_Ingredients!$A$1:$J$161,10,FALSE())</f>
        <v>17.100000000000001</v>
      </c>
      <c r="K5" s="945">
        <f t="shared" ref="K5" si="2">(H5/I5)/1000</f>
        <v>34.716958248688634</v>
      </c>
      <c r="L5" s="945">
        <f t="shared" ref="L5" si="3">K5*J5</f>
        <v>593.65998605257573</v>
      </c>
      <c r="O5" s="80"/>
      <c r="P5" s="80"/>
      <c r="AA5" s="73"/>
      <c r="AB5" s="89"/>
      <c r="AC5" s="89"/>
      <c r="AD5" s="89"/>
      <c r="AE5" s="172"/>
      <c r="AF5" s="90"/>
      <c r="AG5" s="91"/>
      <c r="AI5" s="61"/>
      <c r="AJ5" s="1686" t="s">
        <v>220</v>
      </c>
      <c r="AK5" s="947" t="s">
        <v>227</v>
      </c>
      <c r="AL5" s="1615">
        <v>10</v>
      </c>
      <c r="AM5" s="1627">
        <f t="shared" ref="AM5:AM12" si="4">$AO$1</f>
        <v>2.9856584093872227</v>
      </c>
      <c r="AN5" s="1616">
        <v>1</v>
      </c>
      <c r="AO5" s="940">
        <f t="shared" ref="AO5:AO11" si="5">AL5*AM5</f>
        <v>29.856584093872229</v>
      </c>
      <c r="AP5" s="1617">
        <f t="shared" ref="AP5:AP11" si="6">AO5*AN5</f>
        <v>29.856584093872229</v>
      </c>
      <c r="AQ5" s="952"/>
      <c r="AR5" s="953"/>
      <c r="AS5" s="1020"/>
      <c r="AT5" s="955"/>
    </row>
    <row r="6" spans="1:46" x14ac:dyDescent="0.25">
      <c r="A6" s="949" t="s">
        <v>866</v>
      </c>
      <c r="B6" s="938" t="s">
        <v>12</v>
      </c>
      <c r="C6" s="939" t="s">
        <v>14</v>
      </c>
      <c r="D6" s="1618">
        <v>100</v>
      </c>
      <c r="E6" s="1646">
        <f t="shared" ref="E6:E22" si="7">$I$1</f>
        <v>13.048433048433054</v>
      </c>
      <c r="F6" s="1626">
        <v>0.95</v>
      </c>
      <c r="G6" s="940">
        <f t="shared" si="0"/>
        <v>1304.8433048433053</v>
      </c>
      <c r="H6" s="1038">
        <f t="shared" si="1"/>
        <v>1239.6011396011399</v>
      </c>
      <c r="I6" s="914">
        <f>VLOOKUP(B6,All_Ingredients!$A$1:$F$161,6,FALSE())</f>
        <v>0.9</v>
      </c>
      <c r="J6" s="940">
        <f>VLOOKUP(B6,All_Ingredients!$A$1:$J$161,10,FALSE())</f>
        <v>3</v>
      </c>
      <c r="K6" s="945">
        <f t="shared" ref="K6:K22" si="8">(H6/I6)/1000</f>
        <v>1.3773345995568222</v>
      </c>
      <c r="L6" s="945">
        <f t="shared" ref="L6:L22" si="9">K6*J6</f>
        <v>4.1320037986704667</v>
      </c>
      <c r="AI6" s="61" t="s">
        <v>55</v>
      </c>
      <c r="AJ6" s="1252" t="s">
        <v>54</v>
      </c>
      <c r="AK6" s="1400" t="s">
        <v>14</v>
      </c>
      <c r="AL6" s="1615">
        <v>100</v>
      </c>
      <c r="AM6" s="1627">
        <f t="shared" si="4"/>
        <v>2.9856584093872227</v>
      </c>
      <c r="AN6" s="1616">
        <v>1</v>
      </c>
      <c r="AO6" s="940">
        <f t="shared" si="5"/>
        <v>298.56584093872226</v>
      </c>
      <c r="AP6" s="1617">
        <f t="shared" si="6"/>
        <v>298.56584093872226</v>
      </c>
      <c r="AQ6" s="955">
        <f>VLOOKUP(AJ6,Marination_Ordering!$A:$J,6,FALSE)</f>
        <v>0.87</v>
      </c>
      <c r="AR6" s="955">
        <f>VLOOKUP(AJ6,Marination_Ordering!$A:$J,10,FALSE)</f>
        <v>7</v>
      </c>
      <c r="AS6" s="1020">
        <f>AP6/AQ6</f>
        <v>343.17912751577273</v>
      </c>
      <c r="AT6" s="955">
        <f>AR6*(AS6/1000)</f>
        <v>2.4022538926104091</v>
      </c>
    </row>
    <row r="7" spans="1:46" x14ac:dyDescent="0.25">
      <c r="A7" s="949" t="s">
        <v>868</v>
      </c>
      <c r="B7" s="938" t="s">
        <v>706</v>
      </c>
      <c r="C7" s="939" t="s">
        <v>14</v>
      </c>
      <c r="D7" s="1618">
        <v>20</v>
      </c>
      <c r="E7" s="1646">
        <f t="shared" si="7"/>
        <v>13.048433048433054</v>
      </c>
      <c r="F7" s="1626">
        <v>1</v>
      </c>
      <c r="G7" s="940">
        <f t="shared" si="0"/>
        <v>260.96866096866108</v>
      </c>
      <c r="H7" s="1038">
        <f t="shared" si="1"/>
        <v>260.96866096866108</v>
      </c>
      <c r="I7" s="914">
        <f>VLOOKUP(B7,All_Ingredients!$A$1:$F$161,6,FALSE())</f>
        <v>1</v>
      </c>
      <c r="J7" s="940">
        <f>VLOOKUP(B7,All_Ingredients!$A$1:$J$161,10,FALSE())</f>
        <v>10.5</v>
      </c>
      <c r="K7" s="945">
        <f t="shared" si="8"/>
        <v>0.26096866096866106</v>
      </c>
      <c r="L7" s="945">
        <f t="shared" si="9"/>
        <v>2.7401709401709411</v>
      </c>
      <c r="AI7" s="61" t="s">
        <v>13</v>
      </c>
      <c r="AJ7" s="1252" t="s">
        <v>706</v>
      </c>
      <c r="AK7" s="1400" t="s">
        <v>14</v>
      </c>
      <c r="AL7" s="1615">
        <v>100</v>
      </c>
      <c r="AM7" s="1627">
        <f t="shared" si="4"/>
        <v>2.9856584093872227</v>
      </c>
      <c r="AN7" s="1616">
        <v>1</v>
      </c>
      <c r="AO7" s="940">
        <f t="shared" si="5"/>
        <v>298.56584093872226</v>
      </c>
      <c r="AP7" s="1617">
        <f t="shared" si="6"/>
        <v>298.56584093872226</v>
      </c>
      <c r="AQ7" s="955">
        <f>VLOOKUP(AJ7,Marination_Ordering!$A:$J,6,FALSE)</f>
        <v>1</v>
      </c>
      <c r="AR7" s="955">
        <f>VLOOKUP(AJ7,Marination_Ordering!$A:$J,10,FALSE)</f>
        <v>10.5</v>
      </c>
      <c r="AS7" s="1020">
        <f t="shared" ref="AS7:AS8" si="10">AP7/AQ7</f>
        <v>298.56584093872226</v>
      </c>
      <c r="AT7" s="955">
        <f t="shared" ref="AT7:AT8" si="11">AR7*(AS7/1000)</f>
        <v>3.1349413298565834</v>
      </c>
    </row>
    <row r="8" spans="1:46" x14ac:dyDescent="0.25">
      <c r="A8" s="949" t="s">
        <v>870</v>
      </c>
      <c r="B8" s="938" t="s">
        <v>17</v>
      </c>
      <c r="C8" s="939" t="s">
        <v>14</v>
      </c>
      <c r="D8" s="1618">
        <v>500</v>
      </c>
      <c r="E8" s="1646">
        <f t="shared" si="7"/>
        <v>13.048433048433054</v>
      </c>
      <c r="F8" s="1626">
        <v>0.9</v>
      </c>
      <c r="G8" s="940">
        <f t="shared" si="0"/>
        <v>6524.2165242165274</v>
      </c>
      <c r="H8" s="1038">
        <f t="shared" si="1"/>
        <v>5871.7948717948748</v>
      </c>
      <c r="I8" s="914">
        <f>VLOOKUP(B8,All_Ingredients!$A$1:$F$161,6,FALSE())</f>
        <v>0.98</v>
      </c>
      <c r="J8" s="940">
        <f>VLOOKUP(B8,All_Ingredients!$A$1:$J$161,10,FALSE())</f>
        <v>3.5</v>
      </c>
      <c r="K8" s="945">
        <f t="shared" si="8"/>
        <v>5.991627420198852</v>
      </c>
      <c r="L8" s="945">
        <f t="shared" si="9"/>
        <v>20.970695970695981</v>
      </c>
      <c r="AI8" s="61" t="s">
        <v>204</v>
      </c>
      <c r="AJ8" s="1252" t="s">
        <v>212</v>
      </c>
      <c r="AK8" s="1400" t="s">
        <v>160</v>
      </c>
      <c r="AL8" s="1615">
        <v>200</v>
      </c>
      <c r="AM8" s="1627">
        <f t="shared" si="4"/>
        <v>2.9856584093872227</v>
      </c>
      <c r="AN8" s="1616">
        <v>1</v>
      </c>
      <c r="AO8" s="940">
        <f t="shared" si="5"/>
        <v>597.13168187744452</v>
      </c>
      <c r="AP8" s="1617">
        <f t="shared" si="6"/>
        <v>597.13168187744452</v>
      </c>
      <c r="AQ8" s="955">
        <f>VLOOKUP(AJ8,Marination_Ordering!$A:$J,6,FALSE)</f>
        <v>1</v>
      </c>
      <c r="AR8" s="955">
        <f>VLOOKUP(AJ8,Marination_Ordering!$A:$J,10,FALSE)</f>
        <v>5</v>
      </c>
      <c r="AS8" s="1020">
        <f t="shared" si="10"/>
        <v>597.13168187744452</v>
      </c>
      <c r="AT8" s="955">
        <f t="shared" si="11"/>
        <v>2.9856584093872223</v>
      </c>
    </row>
    <row r="9" spans="1:46" x14ac:dyDescent="0.25">
      <c r="A9" s="949"/>
      <c r="B9" s="938" t="s">
        <v>79</v>
      </c>
      <c r="C9" s="939" t="s">
        <v>14</v>
      </c>
      <c r="D9" s="1618">
        <v>0.5</v>
      </c>
      <c r="E9" s="1646">
        <f t="shared" si="7"/>
        <v>13.048433048433054</v>
      </c>
      <c r="F9" s="1626">
        <v>0.75</v>
      </c>
      <c r="G9" s="940">
        <f t="shared" si="0"/>
        <v>6.5242165242165271</v>
      </c>
      <c r="H9" s="1038">
        <f t="shared" si="1"/>
        <v>4.8931623931623953</v>
      </c>
      <c r="I9" s="914">
        <f>VLOOKUP(B9,All_Ingredients!$A$1:$F$161,6,FALSE())</f>
        <v>1</v>
      </c>
      <c r="J9" s="940">
        <f>VLOOKUP(B9,All_Ingredients!$A$1:$J$161,10,FALSE())</f>
        <v>7</v>
      </c>
      <c r="K9" s="945">
        <f t="shared" si="8"/>
        <v>4.8931623931623954E-3</v>
      </c>
      <c r="L9" s="945">
        <f t="shared" si="9"/>
        <v>3.4252136752136765E-2</v>
      </c>
      <c r="AI9" s="61" t="s">
        <v>204</v>
      </c>
      <c r="AJ9" s="1252" t="s">
        <v>208</v>
      </c>
      <c r="AK9" s="947" t="s">
        <v>160</v>
      </c>
      <c r="AL9" s="1615">
        <v>150</v>
      </c>
      <c r="AM9" s="1627">
        <f t="shared" si="4"/>
        <v>2.9856584093872227</v>
      </c>
      <c r="AN9" s="1616">
        <v>1</v>
      </c>
      <c r="AO9" s="940">
        <f t="shared" si="5"/>
        <v>447.84876140808342</v>
      </c>
      <c r="AP9" s="1617">
        <f t="shared" si="6"/>
        <v>447.84876140808342</v>
      </c>
      <c r="AQ9" s="955">
        <f>VLOOKUP(AJ9,Marination_Ordering!$A:$J,6,FALSE)</f>
        <v>1</v>
      </c>
      <c r="AR9" s="955">
        <f>VLOOKUP(AJ9,Marination_Ordering!$A:$J,10,FALSE)</f>
        <v>2.1621621621621623</v>
      </c>
      <c r="AS9" s="1020">
        <f t="shared" ref="AS9:AS12" si="12">AP9/AQ9</f>
        <v>447.84876140808342</v>
      </c>
      <c r="AT9" s="955">
        <f t="shared" ref="AT9:AT12" si="13">AR9*(AS9/1000)</f>
        <v>0.96832164628774808</v>
      </c>
    </row>
    <row r="10" spans="1:46" x14ac:dyDescent="0.25">
      <c r="A10" s="949"/>
      <c r="B10" s="938" t="s">
        <v>84</v>
      </c>
      <c r="C10" s="939" t="s">
        <v>14</v>
      </c>
      <c r="D10" s="1618">
        <v>0.5</v>
      </c>
      <c r="E10" s="1646">
        <f t="shared" si="7"/>
        <v>13.048433048433054</v>
      </c>
      <c r="F10" s="1626">
        <v>0.9</v>
      </c>
      <c r="G10" s="940">
        <f t="shared" si="0"/>
        <v>6.5242165242165271</v>
      </c>
      <c r="H10" s="1038">
        <f t="shared" si="1"/>
        <v>5.8717948717948749</v>
      </c>
      <c r="I10" s="914">
        <f>VLOOKUP(B10,All_Ingredients!$A$1:$F$161,6,FALSE())</f>
        <v>1</v>
      </c>
      <c r="J10" s="940">
        <f>VLOOKUP(B10,All_Ingredients!$A$1:$J$161,10,FALSE())</f>
        <v>140.84507042253523</v>
      </c>
      <c r="K10" s="945">
        <f t="shared" si="8"/>
        <v>5.8717948717948746E-3</v>
      </c>
      <c r="L10" s="945">
        <f t="shared" si="9"/>
        <v>0.82701336222463029</v>
      </c>
      <c r="AI10" s="61" t="s">
        <v>94</v>
      </c>
      <c r="AJ10" s="1252" t="s">
        <v>93</v>
      </c>
      <c r="AK10" s="1400" t="s">
        <v>14</v>
      </c>
      <c r="AL10" s="1615">
        <v>2</v>
      </c>
      <c r="AM10" s="1627">
        <f t="shared" si="4"/>
        <v>2.9856584093872227</v>
      </c>
      <c r="AN10" s="1616">
        <v>1</v>
      </c>
      <c r="AO10" s="940">
        <f t="shared" si="5"/>
        <v>5.9713168187744454</v>
      </c>
      <c r="AP10" s="1617">
        <f t="shared" si="6"/>
        <v>5.9713168187744454</v>
      </c>
      <c r="AQ10" s="955">
        <f>VLOOKUP(AJ10,Marination_Ordering!$A:$J,6,FALSE)</f>
        <v>1</v>
      </c>
      <c r="AR10" s="955">
        <f>VLOOKUP(AJ10,Marination_Ordering!$A:$J,10,FALSE)</f>
        <v>0.74</v>
      </c>
      <c r="AS10" s="1020">
        <f t="shared" si="12"/>
        <v>5.9713168187744454</v>
      </c>
      <c r="AT10" s="955">
        <f t="shared" si="13"/>
        <v>4.4187744458930901E-3</v>
      </c>
    </row>
    <row r="11" spans="1:46" x14ac:dyDescent="0.25">
      <c r="A11" s="949"/>
      <c r="B11" s="938" t="s">
        <v>82</v>
      </c>
      <c r="C11" s="939" t="s">
        <v>14</v>
      </c>
      <c r="D11" s="1618">
        <v>0.5</v>
      </c>
      <c r="E11" s="1646">
        <f t="shared" si="7"/>
        <v>13.048433048433054</v>
      </c>
      <c r="F11" s="1626">
        <v>0.9</v>
      </c>
      <c r="G11" s="940">
        <f t="shared" si="0"/>
        <v>6.5242165242165271</v>
      </c>
      <c r="H11" s="1038">
        <f t="shared" si="1"/>
        <v>5.8717948717948749</v>
      </c>
      <c r="I11" s="914">
        <f>VLOOKUP(B11,All_Ingredients!$A$1:$F$161,6,FALSE())</f>
        <v>1</v>
      </c>
      <c r="J11" s="940">
        <f>VLOOKUP(B11,All_Ingredients!$A$1:$J$161,10,FALSE())</f>
        <v>147.88732394366198</v>
      </c>
      <c r="K11" s="945">
        <f t="shared" si="8"/>
        <v>5.8717948717948746E-3</v>
      </c>
      <c r="L11" s="945">
        <f t="shared" si="9"/>
        <v>0.86836403033586185</v>
      </c>
      <c r="AI11" s="61" t="s">
        <v>94</v>
      </c>
      <c r="AJ11" s="1252" t="s">
        <v>99</v>
      </c>
      <c r="AK11" s="1400" t="s">
        <v>14</v>
      </c>
      <c r="AL11" s="1082">
        <v>5</v>
      </c>
      <c r="AM11" s="1627">
        <f t="shared" si="4"/>
        <v>2.9856584093872227</v>
      </c>
      <c r="AN11" s="1616">
        <v>1</v>
      </c>
      <c r="AO11" s="940">
        <f t="shared" si="5"/>
        <v>14.928292046936114</v>
      </c>
      <c r="AP11" s="1617">
        <f t="shared" si="6"/>
        <v>14.928292046936114</v>
      </c>
      <c r="AQ11" s="955">
        <f>VLOOKUP(AJ11,Marination_Ordering!$A:$J,6,FALSE)</f>
        <v>1</v>
      </c>
      <c r="AR11" s="955">
        <f>VLOOKUP(AJ11,Marination_Ordering!$A:$J,10,FALSE)</f>
        <v>31</v>
      </c>
      <c r="AS11" s="1020">
        <f t="shared" si="12"/>
        <v>14.928292046936114</v>
      </c>
      <c r="AT11" s="955">
        <f t="shared" si="13"/>
        <v>0.46277705345501952</v>
      </c>
    </row>
    <row r="12" spans="1:46" x14ac:dyDescent="0.25">
      <c r="A12" s="949"/>
      <c r="B12" s="938" t="s">
        <v>93</v>
      </c>
      <c r="C12" s="939" t="s">
        <v>14</v>
      </c>
      <c r="D12" s="1618">
        <v>10</v>
      </c>
      <c r="E12" s="1646">
        <f t="shared" si="7"/>
        <v>13.048433048433054</v>
      </c>
      <c r="F12" s="1626">
        <v>0.75</v>
      </c>
      <c r="G12" s="940">
        <f t="shared" si="0"/>
        <v>130.48433048433054</v>
      </c>
      <c r="H12" s="1038">
        <f t="shared" si="1"/>
        <v>97.863247863247906</v>
      </c>
      <c r="I12" s="914">
        <f>VLOOKUP(B12,All_Ingredients!$A$1:$F$161,6,FALSE())</f>
        <v>1</v>
      </c>
      <c r="J12" s="940">
        <f>VLOOKUP(B12,All_Ingredients!$A$1:$J$161,10,FALSE())</f>
        <v>0.74</v>
      </c>
      <c r="K12" s="945">
        <f t="shared" si="8"/>
        <v>9.7863247863247904E-2</v>
      </c>
      <c r="L12" s="945">
        <f t="shared" si="9"/>
        <v>7.2418803418803454E-2</v>
      </c>
      <c r="AI12" s="61" t="s">
        <v>94</v>
      </c>
      <c r="AJ12" s="1252" t="s">
        <v>214</v>
      </c>
      <c r="AK12" s="1400" t="s">
        <v>14</v>
      </c>
      <c r="AL12" s="1082">
        <v>5</v>
      </c>
      <c r="AM12" s="1627">
        <f t="shared" si="4"/>
        <v>2.9856584093872227</v>
      </c>
      <c r="AN12" s="1616">
        <v>1</v>
      </c>
      <c r="AO12" s="940">
        <f>AL12*AM12</f>
        <v>14.928292046936114</v>
      </c>
      <c r="AP12" s="1617">
        <f>AO12*AN12</f>
        <v>14.928292046936114</v>
      </c>
      <c r="AQ12" s="955">
        <f>VLOOKUP(AJ12,Marination_Ordering!$A:$J,6,FALSE)</f>
        <v>1</v>
      </c>
      <c r="AR12" s="955">
        <f>VLOOKUP(AJ12,Marination_Ordering!$A:$J,10,FALSE)</f>
        <v>35</v>
      </c>
      <c r="AS12" s="1020">
        <f t="shared" si="12"/>
        <v>14.928292046936114</v>
      </c>
      <c r="AT12" s="955">
        <f t="shared" si="13"/>
        <v>0.52249022164276404</v>
      </c>
    </row>
    <row r="13" spans="1:46" x14ac:dyDescent="0.25">
      <c r="A13" s="949"/>
      <c r="B13" s="938" t="s">
        <v>99</v>
      </c>
      <c r="C13" s="939" t="s">
        <v>14</v>
      </c>
      <c r="D13" s="1618">
        <v>1</v>
      </c>
      <c r="E13" s="1646">
        <f t="shared" si="7"/>
        <v>13.048433048433054</v>
      </c>
      <c r="F13" s="1626">
        <v>0.75</v>
      </c>
      <c r="G13" s="940">
        <f t="shared" si="0"/>
        <v>13.048433048433054</v>
      </c>
      <c r="H13" s="1038">
        <f t="shared" si="1"/>
        <v>9.7863247863247906</v>
      </c>
      <c r="I13" s="914">
        <f>VLOOKUP(B13,All_Ingredients!$A$1:$F$161,6,FALSE())</f>
        <v>1</v>
      </c>
      <c r="J13" s="940">
        <f>VLOOKUP(B13,All_Ingredients!$A$1:$J$161,10,FALSE())</f>
        <v>31</v>
      </c>
      <c r="K13" s="945">
        <f t="shared" si="8"/>
        <v>9.7863247863247908E-3</v>
      </c>
      <c r="L13" s="945">
        <f t="shared" si="9"/>
        <v>0.30337606837606851</v>
      </c>
      <c r="AI13" s="61"/>
    </row>
    <row r="14" spans="1:46" x14ac:dyDescent="0.25">
      <c r="A14" s="949"/>
      <c r="B14" s="938" t="s">
        <v>183</v>
      </c>
      <c r="C14" s="939" t="s">
        <v>14</v>
      </c>
      <c r="D14" s="1618">
        <v>20</v>
      </c>
      <c r="E14" s="1646">
        <f t="shared" si="7"/>
        <v>13.048433048433054</v>
      </c>
      <c r="F14" s="1626">
        <v>0.75</v>
      </c>
      <c r="G14" s="940">
        <f t="shared" si="0"/>
        <v>260.96866096866108</v>
      </c>
      <c r="H14" s="1038">
        <f t="shared" si="1"/>
        <v>195.72649572649581</v>
      </c>
      <c r="I14" s="914">
        <f>VLOOKUP(B14,All_Ingredients!$A$1:$F$161,6,FALSE())</f>
        <v>1</v>
      </c>
      <c r="J14" s="940">
        <f>VLOOKUP(B14,All_Ingredients!$A$1:$J$161,10,FALSE())</f>
        <v>17</v>
      </c>
      <c r="K14" s="945">
        <f t="shared" si="8"/>
        <v>0.19572649572649581</v>
      </c>
      <c r="L14" s="945">
        <f t="shared" si="9"/>
        <v>3.3273504273504289</v>
      </c>
      <c r="AI14" s="61"/>
    </row>
    <row r="15" spans="1:46" x14ac:dyDescent="0.25">
      <c r="A15" s="949"/>
      <c r="B15" s="938" t="s">
        <v>152</v>
      </c>
      <c r="C15" s="939" t="s">
        <v>14</v>
      </c>
      <c r="D15" s="1618">
        <v>30</v>
      </c>
      <c r="E15" s="1646">
        <f t="shared" si="7"/>
        <v>13.048433048433054</v>
      </c>
      <c r="F15" s="1626">
        <v>1</v>
      </c>
      <c r="G15" s="940">
        <f t="shared" si="0"/>
        <v>391.45299145299163</v>
      </c>
      <c r="H15" s="1038">
        <f t="shared" si="1"/>
        <v>391.45299145299163</v>
      </c>
      <c r="I15" s="914">
        <f>VLOOKUP(B15,All_Ingredients!$A$1:$F$161,6,FALSE())</f>
        <v>1</v>
      </c>
      <c r="J15" s="940">
        <f>VLOOKUP(B15,All_Ingredients!$A$1:$J$161,10,FALSE())</f>
        <v>30</v>
      </c>
      <c r="K15" s="945">
        <f t="shared" si="8"/>
        <v>0.39145299145299162</v>
      </c>
      <c r="L15" s="945">
        <f t="shared" si="9"/>
        <v>11.743589743589748</v>
      </c>
      <c r="AI15" s="61"/>
    </row>
    <row r="16" spans="1:46" x14ac:dyDescent="0.25">
      <c r="A16" s="949"/>
      <c r="B16" s="938" t="s">
        <v>185</v>
      </c>
      <c r="C16" s="939" t="s">
        <v>14</v>
      </c>
      <c r="D16" s="1618">
        <v>10</v>
      </c>
      <c r="E16" s="1646">
        <f t="shared" si="7"/>
        <v>13.048433048433054</v>
      </c>
      <c r="F16" s="1626">
        <v>1</v>
      </c>
      <c r="G16" s="940">
        <f t="shared" si="0"/>
        <v>130.48433048433054</v>
      </c>
      <c r="H16" s="1038">
        <f t="shared" si="1"/>
        <v>130.48433048433054</v>
      </c>
      <c r="I16" s="914">
        <f>VLOOKUP(B16,All_Ingredients!$A$1:$F$161,6,FALSE())</f>
        <v>1</v>
      </c>
      <c r="J16" s="940">
        <f>VLOOKUP(B16,All_Ingredients!$A$1:$J$161,10,FALSE())</f>
        <v>1.7</v>
      </c>
      <c r="K16" s="945">
        <f t="shared" si="8"/>
        <v>0.13048433048433053</v>
      </c>
      <c r="L16" s="945">
        <f t="shared" si="9"/>
        <v>0.2218233618233619</v>
      </c>
      <c r="AI16" s="61"/>
    </row>
    <row r="17" spans="1:32" x14ac:dyDescent="0.25">
      <c r="A17" s="949"/>
      <c r="B17" s="938" t="s">
        <v>166</v>
      </c>
      <c r="C17" s="939" t="s">
        <v>160</v>
      </c>
      <c r="D17" s="1618">
        <v>280</v>
      </c>
      <c r="E17" s="1646">
        <f t="shared" si="7"/>
        <v>13.048433048433054</v>
      </c>
      <c r="F17" s="1626">
        <v>1</v>
      </c>
      <c r="G17" s="940">
        <f t="shared" si="0"/>
        <v>3653.5612535612554</v>
      </c>
      <c r="H17" s="1038">
        <f t="shared" si="1"/>
        <v>3653.5612535612554</v>
      </c>
      <c r="I17" s="914">
        <f>VLOOKUP(B17,All_Ingredients!$A$1:$F$161,6,FALSE())</f>
        <v>1</v>
      </c>
      <c r="J17" s="940">
        <f>VLOOKUP(B17,All_Ingredients!$A$1:$J$161,10,FALSE())</f>
        <v>12.666666666666666</v>
      </c>
      <c r="K17" s="945">
        <f t="shared" si="8"/>
        <v>3.6535612535612554</v>
      </c>
      <c r="L17" s="945">
        <f t="shared" si="9"/>
        <v>46.278442545109236</v>
      </c>
    </row>
    <row r="18" spans="1:32" x14ac:dyDescent="0.25">
      <c r="A18" s="949"/>
      <c r="B18" s="938" t="s">
        <v>159</v>
      </c>
      <c r="C18" s="939" t="s">
        <v>160</v>
      </c>
      <c r="D18" s="1618">
        <v>400</v>
      </c>
      <c r="E18" s="1646">
        <f t="shared" si="7"/>
        <v>13.048433048433054</v>
      </c>
      <c r="F18" s="1626">
        <v>1</v>
      </c>
      <c r="G18" s="940">
        <f t="shared" si="0"/>
        <v>5219.3732193732212</v>
      </c>
      <c r="H18" s="1038">
        <f t="shared" si="1"/>
        <v>5219.3732193732212</v>
      </c>
      <c r="I18" s="914">
        <f>VLOOKUP(B18,All_Ingredients!$A$1:$F$161,6,FALSE())</f>
        <v>1</v>
      </c>
      <c r="J18" s="940">
        <f>VLOOKUP(B18,All_Ingredients!$A$1:$J$161,10,FALSE())</f>
        <v>4.2033333333333331</v>
      </c>
      <c r="K18" s="945">
        <f t="shared" si="8"/>
        <v>5.219373219373221</v>
      </c>
      <c r="L18" s="945">
        <f t="shared" si="9"/>
        <v>21.938765432098773</v>
      </c>
    </row>
    <row r="19" spans="1:32" x14ac:dyDescent="0.25">
      <c r="A19" s="949"/>
      <c r="B19" s="938" t="s">
        <v>214</v>
      </c>
      <c r="C19" s="939" t="s">
        <v>14</v>
      </c>
      <c r="D19" s="1618">
        <v>1</v>
      </c>
      <c r="E19" s="1646">
        <f t="shared" si="7"/>
        <v>13.048433048433054</v>
      </c>
      <c r="F19" s="1626">
        <v>1</v>
      </c>
      <c r="G19" s="940">
        <f t="shared" si="0"/>
        <v>13.048433048433054</v>
      </c>
      <c r="H19" s="1038">
        <f t="shared" si="1"/>
        <v>13.048433048433054</v>
      </c>
      <c r="I19" s="914">
        <f>VLOOKUP(B19,All_Ingredients!$A$1:$F$161,6,FALSE())</f>
        <v>1</v>
      </c>
      <c r="J19" s="940">
        <f>VLOOKUP(B19,All_Ingredients!$A$1:$J$161,10,FALSE())</f>
        <v>35</v>
      </c>
      <c r="K19" s="945">
        <f t="shared" si="8"/>
        <v>1.3048433048433054E-2</v>
      </c>
      <c r="L19" s="945">
        <f t="shared" si="9"/>
        <v>0.45669515669515692</v>
      </c>
    </row>
    <row r="20" spans="1:32" x14ac:dyDescent="0.25">
      <c r="A20" s="949"/>
      <c r="B20" s="938" t="s">
        <v>705</v>
      </c>
      <c r="C20" s="939" t="s">
        <v>14</v>
      </c>
      <c r="D20" s="1618">
        <v>50</v>
      </c>
      <c r="E20" s="1646">
        <f t="shared" si="7"/>
        <v>13.048433048433054</v>
      </c>
      <c r="F20" s="1626">
        <v>1</v>
      </c>
      <c r="G20" s="940">
        <f t="shared" si="0"/>
        <v>652.42165242165265</v>
      </c>
      <c r="H20" s="1038">
        <f t="shared" si="1"/>
        <v>652.42165242165265</v>
      </c>
      <c r="I20" s="914">
        <f>VLOOKUP(B20,All_Ingredients!$A$1:$F$161,6,FALSE())</f>
        <v>1</v>
      </c>
      <c r="J20" s="940">
        <f>VLOOKUP(B20,All_Ingredients!$A$1:$J$161,10,FALSE())</f>
        <v>67.91483113069016</v>
      </c>
      <c r="K20" s="945">
        <f t="shared" si="8"/>
        <v>0.65242165242165262</v>
      </c>
      <c r="L20" s="945">
        <f t="shared" si="9"/>
        <v>44.309106350222372</v>
      </c>
    </row>
    <row r="21" spans="1:32" x14ac:dyDescent="0.25">
      <c r="A21" s="949"/>
      <c r="B21" s="938" t="s">
        <v>139</v>
      </c>
      <c r="C21" s="939" t="s">
        <v>14</v>
      </c>
      <c r="D21" s="1618">
        <v>5</v>
      </c>
      <c r="E21" s="1646">
        <f t="shared" si="7"/>
        <v>13.048433048433054</v>
      </c>
      <c r="F21" s="1626">
        <v>1</v>
      </c>
      <c r="G21" s="940">
        <f t="shared" si="0"/>
        <v>65.242165242165271</v>
      </c>
      <c r="H21" s="1038">
        <f t="shared" si="1"/>
        <v>65.242165242165271</v>
      </c>
      <c r="I21" s="914">
        <f>VLOOKUP(B21,All_Ingredients!$A$1:$F$161,6,FALSE())</f>
        <v>1</v>
      </c>
      <c r="J21" s="940">
        <f>VLOOKUP(B21,All_Ingredients!$A$1:$J$161,10,FALSE())</f>
        <v>15.277777777777779</v>
      </c>
      <c r="K21" s="945">
        <f t="shared" si="8"/>
        <v>6.5242165242165265E-2</v>
      </c>
      <c r="L21" s="945">
        <f t="shared" si="9"/>
        <v>0.99675530231085829</v>
      </c>
    </row>
    <row r="22" spans="1:32" x14ac:dyDescent="0.25">
      <c r="A22" s="949"/>
      <c r="B22" s="938" t="s">
        <v>198</v>
      </c>
      <c r="C22" s="1157" t="s">
        <v>160</v>
      </c>
      <c r="D22" s="1618">
        <v>50</v>
      </c>
      <c r="E22" s="1646">
        <f t="shared" si="7"/>
        <v>13.048433048433054</v>
      </c>
      <c r="F22" s="1626">
        <v>1</v>
      </c>
      <c r="G22" s="940">
        <f t="shared" si="0"/>
        <v>652.42165242165265</v>
      </c>
      <c r="H22" s="1038">
        <f t="shared" si="1"/>
        <v>652.42165242165265</v>
      </c>
      <c r="I22" s="914">
        <f>VLOOKUP(B22,All_Ingredients!$A$1:$F$161,6,FALSE())</f>
        <v>1</v>
      </c>
      <c r="J22" s="940">
        <f>VLOOKUP(B22,All_Ingredients!$A$1:$J$161,10,FALSE())</f>
        <v>3.25</v>
      </c>
      <c r="K22" s="945">
        <f t="shared" si="8"/>
        <v>0.65242165242165262</v>
      </c>
      <c r="L22" s="945">
        <f t="shared" si="9"/>
        <v>2.1203703703703711</v>
      </c>
      <c r="P22"/>
    </row>
    <row r="23" spans="1:32" x14ac:dyDescent="0.25">
      <c r="B23" s="80"/>
      <c r="C23" s="168"/>
      <c r="D23" s="172"/>
      <c r="E23" s="90"/>
      <c r="F23" s="290"/>
      <c r="G23" s="92"/>
      <c r="H23" s="291"/>
      <c r="I23" s="73"/>
      <c r="J23" s="94"/>
      <c r="K23" s="73"/>
      <c r="L23" s="92"/>
    </row>
    <row r="24" spans="1:32" x14ac:dyDescent="0.25">
      <c r="B24" s="80"/>
      <c r="C24" s="168"/>
      <c r="D24" s="172"/>
      <c r="E24" s="90"/>
      <c r="F24" s="290"/>
      <c r="G24" s="92"/>
      <c r="H24" s="291"/>
      <c r="I24" s="73"/>
      <c r="J24" s="94"/>
      <c r="K24" s="73"/>
      <c r="L24" s="92"/>
      <c r="Z24" s="597"/>
    </row>
    <row r="25" spans="1:32" ht="15.75" x14ac:dyDescent="0.25">
      <c r="L25" s="190"/>
      <c r="R25" s="1885" t="s">
        <v>452</v>
      </c>
      <c r="S25" s="1850"/>
      <c r="T25" s="1850"/>
      <c r="U25" s="1850"/>
      <c r="V25" s="592"/>
      <c r="W25" s="592"/>
      <c r="Z25" s="96" t="s">
        <v>252</v>
      </c>
      <c r="AA25" s="97">
        <v>1</v>
      </c>
      <c r="AB25" s="96" t="s">
        <v>249</v>
      </c>
      <c r="AC25" s="98">
        <f>(AA25*(4/3))*AF30+(AA30*(AB28/R1))</f>
        <v>3.3459964848324475E-2</v>
      </c>
    </row>
    <row r="26" spans="1:32" x14ac:dyDescent="0.25">
      <c r="L26" s="190"/>
      <c r="R26" s="1897" t="s">
        <v>253</v>
      </c>
      <c r="S26" s="1850"/>
      <c r="T26" s="1850"/>
      <c r="U26" s="1850"/>
      <c r="V26" s="592"/>
      <c r="W26" s="592"/>
    </row>
    <row r="27" spans="1:32" ht="16.5" thickBot="1" x14ac:dyDescent="0.3">
      <c r="B27" s="431"/>
      <c r="C27" s="1862"/>
      <c r="D27" s="1862"/>
      <c r="E27" s="1862"/>
      <c r="F27" s="1862"/>
      <c r="G27" s="1862"/>
      <c r="H27" s="432"/>
      <c r="L27" s="190"/>
      <c r="R27" s="100" t="s">
        <v>254</v>
      </c>
      <c r="S27" s="101" t="s">
        <v>255</v>
      </c>
      <c r="T27" s="101" t="s">
        <v>256</v>
      </c>
      <c r="U27" s="101" t="s">
        <v>257</v>
      </c>
      <c r="V27" s="101" t="s">
        <v>746</v>
      </c>
      <c r="W27" s="101" t="s">
        <v>753</v>
      </c>
      <c r="Z27" s="96" t="s">
        <v>258</v>
      </c>
      <c r="AA27" s="580" t="s">
        <v>311</v>
      </c>
      <c r="AB27" s="102" t="s">
        <v>259</v>
      </c>
      <c r="AC27" s="102" t="s">
        <v>260</v>
      </c>
      <c r="AD27" s="102" t="s">
        <v>261</v>
      </c>
      <c r="AE27" s="581" t="s">
        <v>753</v>
      </c>
      <c r="AF27" s="102" t="s">
        <v>262</v>
      </c>
    </row>
    <row r="28" spans="1:32" ht="15.75" thickBot="1" x14ac:dyDescent="0.3">
      <c r="B28" s="433"/>
      <c r="C28" s="434"/>
      <c r="D28" s="435"/>
      <c r="E28" s="433"/>
      <c r="F28" s="433"/>
      <c r="G28" s="435"/>
      <c r="H28" s="436"/>
      <c r="L28" s="190"/>
      <c r="R28" s="103" t="s">
        <v>263</v>
      </c>
      <c r="S28" s="380">
        <f>U28*S40</f>
        <v>16846.153846153844</v>
      </c>
      <c r="T28" s="380">
        <f>U28*U40</f>
        <v>5053.8461538461588</v>
      </c>
      <c r="U28" s="669">
        <f>Z1</f>
        <v>21900</v>
      </c>
      <c r="V28" s="104">
        <f>SUM(AP5:AP12)</f>
        <v>1707.7966101694915</v>
      </c>
      <c r="W28" s="104">
        <f>H37</f>
        <v>10.850000000000001</v>
      </c>
      <c r="Z28" s="105"/>
      <c r="AA28" s="582"/>
      <c r="AB28" s="106">
        <f>AA25*$S$40</f>
        <v>0.76923076923076905</v>
      </c>
      <c r="AC28" s="106">
        <f>AA25*$U$40</f>
        <v>0.230769230769231</v>
      </c>
      <c r="AD28" s="107">
        <f>AA25*(1/3)</f>
        <v>0.33333333333333331</v>
      </c>
      <c r="AE28" s="582"/>
      <c r="AF28" s="640">
        <f>SUM(AB28:AD28)</f>
        <v>1.3333333333333333</v>
      </c>
    </row>
    <row r="29" spans="1:32" ht="15.75" thickBot="1" x14ac:dyDescent="0.3">
      <c r="L29" s="190"/>
      <c r="R29" s="103" t="s">
        <v>264</v>
      </c>
      <c r="S29" s="109"/>
      <c r="T29" s="104">
        <f>U28*(1/3)</f>
        <v>7300</v>
      </c>
      <c r="U29" s="380">
        <f>T29</f>
        <v>7300</v>
      </c>
      <c r="V29" s="104"/>
      <c r="W29" s="104"/>
      <c r="Z29" s="105"/>
      <c r="AA29" s="583"/>
      <c r="AB29" s="110">
        <f>AB28/$AF$28</f>
        <v>0.57692307692307687</v>
      </c>
      <c r="AC29" s="110">
        <f>AC28/$AF$28</f>
        <v>0.17307692307692327</v>
      </c>
      <c r="AD29" s="110">
        <f>AD28/$AF$28</f>
        <v>0.25</v>
      </c>
      <c r="AE29" s="583"/>
      <c r="AF29" s="110">
        <f>AF28/$AF$28</f>
        <v>1</v>
      </c>
    </row>
    <row r="30" spans="1:32" ht="15.75" thickBot="1" x14ac:dyDescent="0.3">
      <c r="L30" s="190"/>
      <c r="R30" s="103" t="s">
        <v>265</v>
      </c>
      <c r="S30" s="654">
        <f>U30*S40</f>
        <v>769.23076923076906</v>
      </c>
      <c r="T30" s="380">
        <f>(U30*U40)+(U30*(1/3))</f>
        <v>564.10256410256432</v>
      </c>
      <c r="U30" s="669">
        <f>AB1</f>
        <v>1000</v>
      </c>
      <c r="V30" s="547"/>
      <c r="W30" s="547"/>
      <c r="Z30" s="96" t="s">
        <v>266</v>
      </c>
      <c r="AA30" s="584">
        <f>V35/(S32/R1)</f>
        <v>3.5104020254737492E-4</v>
      </c>
      <c r="AB30" s="111">
        <f>S35/(S32)</f>
        <v>3.3701221915648408E-2</v>
      </c>
      <c r="AC30" s="112">
        <f>T35/T32</f>
        <v>1.2489691461310817E-2</v>
      </c>
      <c r="AD30" s="112">
        <f>T35/T32</f>
        <v>1.2489691461310817E-2</v>
      </c>
      <c r="AE30" s="585">
        <f>W35/U32</f>
        <v>2.4601108498488409E-5</v>
      </c>
      <c r="AF30" s="587">
        <f>SUMPRODUCT(AB30:AD30,AB29:AD29)+AE30</f>
        <v>2.4751713985773301E-2</v>
      </c>
    </row>
    <row r="31" spans="1:32" ht="15.75" thickBot="1" x14ac:dyDescent="0.3">
      <c r="R31" s="103" t="s">
        <v>267</v>
      </c>
      <c r="S31" s="109"/>
      <c r="T31" s="104"/>
      <c r="U31" s="104"/>
      <c r="V31" s="104"/>
      <c r="W31" s="104"/>
    </row>
    <row r="32" spans="1:32" ht="15.75" thickBot="1" x14ac:dyDescent="0.3">
      <c r="R32" s="114" t="s">
        <v>257</v>
      </c>
      <c r="S32" s="104">
        <f>SUM(S28:S30)</f>
        <v>17615.384615384613</v>
      </c>
      <c r="T32" s="104">
        <f>SUM(T28:T30)</f>
        <v>12917.948717948724</v>
      </c>
      <c r="U32" s="104">
        <f>SUM(S32:T32)</f>
        <v>30533.333333333336</v>
      </c>
      <c r="V32" s="104"/>
      <c r="W32" s="104">
        <f>SUM(W28:W30)</f>
        <v>10.850000000000001</v>
      </c>
    </row>
    <row r="33" spans="2:23" ht="15.75" thickBot="1" x14ac:dyDescent="0.3">
      <c r="R33" s="115" t="s">
        <v>268</v>
      </c>
      <c r="S33" s="109"/>
      <c r="T33" s="109"/>
      <c r="U33" s="109"/>
      <c r="V33" s="109"/>
      <c r="W33" s="109"/>
    </row>
    <row r="34" spans="2:23" ht="15.75" thickBot="1" x14ac:dyDescent="0.3">
      <c r="R34" s="116" t="s">
        <v>269</v>
      </c>
      <c r="S34" s="109"/>
      <c r="T34" s="104"/>
      <c r="U34" s="109"/>
      <c r="V34" s="109"/>
      <c r="W34" s="109"/>
    </row>
    <row r="35" spans="2:23" ht="16.5" thickBot="1" x14ac:dyDescent="0.3">
      <c r="B35" s="1892" t="s">
        <v>657</v>
      </c>
      <c r="C35" s="1892"/>
      <c r="D35" s="1892"/>
      <c r="E35" s="1892"/>
      <c r="F35" s="1892"/>
      <c r="G35" s="444"/>
      <c r="H35" s="444"/>
      <c r="I35" s="444"/>
      <c r="J35" s="444"/>
      <c r="K35" s="444"/>
      <c r="L35" s="444"/>
      <c r="R35" s="117" t="s">
        <v>249</v>
      </c>
      <c r="S35" s="118">
        <f>$L$5</f>
        <v>593.65998605257573</v>
      </c>
      <c r="T35" s="118">
        <f>SUM(L6:L22)</f>
        <v>161.34119380021519</v>
      </c>
      <c r="U35" s="600">
        <f>S35+T35+V35+W35</f>
        <v>766.23319502663048</v>
      </c>
      <c r="V35" s="548">
        <f>SUM(AT6:AT12)</f>
        <v>10.480861327685639</v>
      </c>
      <c r="W35" s="548">
        <f>L37</f>
        <v>0.75115384615384617</v>
      </c>
    </row>
    <row r="36" spans="2:23" ht="31.5" x14ac:dyDescent="0.25">
      <c r="B36" s="1004" t="s">
        <v>241</v>
      </c>
      <c r="C36" s="1004" t="s">
        <v>316</v>
      </c>
      <c r="D36" s="1002" t="s">
        <v>610</v>
      </c>
      <c r="E36" s="1003" t="s">
        <v>611</v>
      </c>
      <c r="F36" s="1002" t="s">
        <v>612</v>
      </c>
      <c r="G36" s="1001"/>
      <c r="H36" s="427" t="s">
        <v>612</v>
      </c>
      <c r="I36" s="427" t="s">
        <v>246</v>
      </c>
      <c r="J36" s="427" t="s">
        <v>247</v>
      </c>
      <c r="K36" s="427" t="s">
        <v>248</v>
      </c>
      <c r="L36" s="427" t="s">
        <v>249</v>
      </c>
    </row>
    <row r="37" spans="2:23" x14ac:dyDescent="0.25">
      <c r="B37" s="1005" t="s">
        <v>666</v>
      </c>
      <c r="C37" s="1006" t="s">
        <v>14</v>
      </c>
      <c r="D37" s="1645">
        <v>7.0000000000000007E-2</v>
      </c>
      <c r="E37" s="1005">
        <f>$AD$1</f>
        <v>155</v>
      </c>
      <c r="F37" s="1005">
        <f>D37*E37</f>
        <v>10.850000000000001</v>
      </c>
      <c r="G37" s="437"/>
      <c r="H37" s="425">
        <f>F37</f>
        <v>10.850000000000001</v>
      </c>
      <c r="I37" s="425">
        <f>VLOOKUP(B37,All_Ingredients!$A$1:$F$161,6,FALSE())</f>
        <v>0.65</v>
      </c>
      <c r="J37" s="425">
        <f>VLOOKUP(B37,All_Ingredients!$A$1:$J$161,10,FALSE())</f>
        <v>45</v>
      </c>
      <c r="K37" s="425">
        <f>(H37/I37)/1000</f>
        <v>1.6692307692307694E-2</v>
      </c>
      <c r="L37" s="425">
        <f>K37*J37</f>
        <v>0.75115384615384617</v>
      </c>
    </row>
    <row r="40" spans="2:23" x14ac:dyDescent="0.25">
      <c r="R40" s="119" t="s">
        <v>270</v>
      </c>
      <c r="S40" s="120">
        <v>0.76923076923076905</v>
      </c>
      <c r="T40" s="119" t="s">
        <v>271</v>
      </c>
      <c r="U40" s="121">
        <v>0.230769230769231</v>
      </c>
      <c r="V40" s="122">
        <f>S40+U40</f>
        <v>1</v>
      </c>
    </row>
    <row r="41" spans="2:23" x14ac:dyDescent="0.25">
      <c r="U41" s="123"/>
    </row>
    <row r="43" spans="2:23" ht="15.75" thickBot="1" x14ac:dyDescent="0.3">
      <c r="Q43" s="124" t="s">
        <v>272</v>
      </c>
      <c r="R43" s="124" t="s">
        <v>273</v>
      </c>
      <c r="S43" s="124" t="s">
        <v>274</v>
      </c>
      <c r="T43" s="124" t="s">
        <v>275</v>
      </c>
      <c r="U43" s="124" t="s">
        <v>276</v>
      </c>
      <c r="V43" s="124" t="s">
        <v>277</v>
      </c>
      <c r="W43" s="124" t="s">
        <v>278</v>
      </c>
    </row>
    <row r="44" spans="2:23" ht="15.75" thickBot="1" x14ac:dyDescent="0.3">
      <c r="Q44" s="663">
        <v>17728</v>
      </c>
      <c r="R44" s="127">
        <f>D51</f>
        <v>10000</v>
      </c>
      <c r="S44" s="664">
        <v>0.40909090909090912</v>
      </c>
      <c r="T44" s="664">
        <v>0.59090909090909094</v>
      </c>
      <c r="U44" s="165">
        <f>R44*S44</f>
        <v>4090.909090909091</v>
      </c>
      <c r="V44" s="129">
        <f>R44*T44</f>
        <v>5909.090909090909</v>
      </c>
      <c r="W44" s="129">
        <f>Q44-U44</f>
        <v>13637.090909090908</v>
      </c>
    </row>
    <row r="50" spans="1:10" x14ac:dyDescent="0.25">
      <c r="B50" s="229"/>
      <c r="C50" s="130" t="s">
        <v>233</v>
      </c>
      <c r="D50" s="130" t="s">
        <v>279</v>
      </c>
      <c r="E50" s="80"/>
      <c r="F50" s="80"/>
      <c r="G50" s="100" t="s">
        <v>280</v>
      </c>
      <c r="H50" s="100" t="s">
        <v>233</v>
      </c>
      <c r="I50" s="130" t="s">
        <v>281</v>
      </c>
      <c r="J50" s="130" t="s">
        <v>282</v>
      </c>
    </row>
    <row r="51" spans="1:10" x14ac:dyDescent="0.25">
      <c r="B51" s="844" t="s">
        <v>283</v>
      </c>
      <c r="C51" s="133">
        <f>10/$K$1</f>
        <v>10.1010101010101</v>
      </c>
      <c r="D51" s="134">
        <f>$C$1*10</f>
        <v>10000</v>
      </c>
      <c r="E51" s="135"/>
      <c r="F51" s="80"/>
      <c r="G51" s="132" t="s">
        <v>283</v>
      </c>
      <c r="H51" s="182">
        <f>I51/$D$5</f>
        <v>10</v>
      </c>
      <c r="I51" s="133">
        <f>J51/$R$1</f>
        <v>23113.713405238828</v>
      </c>
      <c r="J51" s="133">
        <f>$W$44</f>
        <v>13637.090909090908</v>
      </c>
    </row>
    <row r="52" spans="1:10" x14ac:dyDescent="0.25">
      <c r="B52" s="846" t="s">
        <v>262</v>
      </c>
      <c r="C52" s="156">
        <f>$I$1</f>
        <v>13.048433048433054</v>
      </c>
      <c r="D52" s="157">
        <f>$E$1</f>
        <v>12917.948717948724</v>
      </c>
      <c r="E52" s="80"/>
      <c r="F52" s="80"/>
      <c r="G52" s="103" t="s">
        <v>262</v>
      </c>
      <c r="H52" s="145">
        <f>I52/$D$5</f>
        <v>12.917259797426189</v>
      </c>
      <c r="I52" s="129">
        <f>J52/$R$1</f>
        <v>29856.584093872229</v>
      </c>
      <c r="J52" s="136">
        <f>$S$32</f>
        <v>17615.384615384613</v>
      </c>
    </row>
    <row r="53" spans="1:10" x14ac:dyDescent="0.25">
      <c r="B53" s="846" t="s">
        <v>284</v>
      </c>
      <c r="C53" s="158">
        <f>MIN(C52, C51)</f>
        <v>10.1010101010101</v>
      </c>
      <c r="D53" s="157">
        <f>(C53*$K$1)*$C$1</f>
        <v>10000</v>
      </c>
      <c r="E53" s="80"/>
      <c r="F53" s="80"/>
      <c r="G53" s="103" t="s">
        <v>284</v>
      </c>
      <c r="H53" s="139">
        <f>MIN(H52,H51)</f>
        <v>10</v>
      </c>
      <c r="I53" s="129">
        <f>J53/$R$1</f>
        <v>23113.713405238828</v>
      </c>
      <c r="J53" s="129">
        <f>MIN(J52,J51)</f>
        <v>13637.090909090908</v>
      </c>
    </row>
    <row r="54" spans="1:10" x14ac:dyDescent="0.25">
      <c r="B54" s="846" t="s">
        <v>285</v>
      </c>
      <c r="C54" s="158">
        <f>MIN(MAX(C52-C53,0),C51)</f>
        <v>2.9474229474229539</v>
      </c>
      <c r="D54" s="157">
        <f>(C54*$K$1)*$C$1</f>
        <v>2917.9487179487246</v>
      </c>
      <c r="E54" s="80"/>
      <c r="F54" s="80"/>
      <c r="G54" s="103" t="s">
        <v>285</v>
      </c>
      <c r="H54" s="139">
        <f>MIN(MAX(H52-H53),H51)</f>
        <v>2.9172597974261887</v>
      </c>
      <c r="I54" s="129">
        <f>J54/$R$1</f>
        <v>6742.8706886333994</v>
      </c>
      <c r="J54" s="129">
        <f>MIN(MAX(J52-J53),J51)</f>
        <v>3978.2937062937053</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62" spans="1:10" x14ac:dyDescent="0.25">
      <c r="A62" s="867"/>
      <c r="B62" s="1907" t="str">
        <f>"دجاج بكريمة الطماطم   1 / " &amp; COUNTIF($C$53:$C$55, "&gt;0")</f>
        <v>دجاج بكريمة الطماطم   1 / 2</v>
      </c>
      <c r="C62" s="1908"/>
      <c r="D62" s="1908"/>
      <c r="E62" s="1908"/>
      <c r="F62" s="1908"/>
      <c r="G62" s="1908"/>
      <c r="H62" s="1908"/>
    </row>
    <row r="63" spans="1:10" x14ac:dyDescent="0.25">
      <c r="A63" s="867"/>
      <c r="B63" s="1872" t="str">
        <f>"Pink Chicken  1 / " &amp; COUNTIF($C$53:$C$55, "&gt;0")</f>
        <v>Pink Chicken  1 / 2</v>
      </c>
      <c r="C63" s="1883"/>
      <c r="D63" s="1883"/>
      <c r="E63" s="1883"/>
      <c r="F63" s="1883"/>
      <c r="G63" s="1883"/>
      <c r="H63" s="1883"/>
    </row>
    <row r="64" spans="1:10" ht="25.5" x14ac:dyDescent="0.2">
      <c r="A64" s="1350" t="s">
        <v>864</v>
      </c>
      <c r="B64" s="1104" t="s">
        <v>241</v>
      </c>
      <c r="C64" s="934" t="s">
        <v>242</v>
      </c>
      <c r="D64" s="1104" t="s">
        <v>231</v>
      </c>
      <c r="E64" s="936" t="s">
        <v>234</v>
      </c>
      <c r="F64" s="936" t="s">
        <v>243</v>
      </c>
      <c r="G64" s="1104" t="s">
        <v>244</v>
      </c>
      <c r="H64" s="936" t="s">
        <v>245</v>
      </c>
    </row>
    <row r="65" spans="1:8" x14ac:dyDescent="0.2">
      <c r="A65" s="876" t="s">
        <v>873</v>
      </c>
      <c r="B65" s="938" t="str">
        <f t="shared" ref="B65:D82" si="14">B5</f>
        <v>Chicken - دجاج</v>
      </c>
      <c r="C65" s="938" t="str">
        <f t="shared" si="14"/>
        <v>gm</v>
      </c>
      <c r="D65" s="1127">
        <f t="shared" si="14"/>
        <v>2311.3713405238827</v>
      </c>
      <c r="E65" s="1627">
        <f>H53</f>
        <v>10</v>
      </c>
      <c r="F65" s="1626">
        <f t="shared" ref="F65:F82" si="15">F5</f>
        <v>1</v>
      </c>
      <c r="G65" s="940">
        <f t="shared" ref="G65:G82" si="16">D65*E65</f>
        <v>23113.713405238828</v>
      </c>
      <c r="H65" s="1038">
        <f t="shared" ref="H65:H70" si="17">G65*F65</f>
        <v>23113.713405238828</v>
      </c>
    </row>
    <row r="66" spans="1:8" x14ac:dyDescent="0.25">
      <c r="A66" s="61" t="s">
        <v>866</v>
      </c>
      <c r="B66" s="938" t="str">
        <f t="shared" si="14"/>
        <v>Onion - بصل</v>
      </c>
      <c r="C66" s="938" t="str">
        <f t="shared" si="14"/>
        <v>gm</v>
      </c>
      <c r="D66" s="938">
        <f t="shared" si="14"/>
        <v>100</v>
      </c>
      <c r="E66" s="1627">
        <f t="shared" ref="E66:E82" si="18">$C$53</f>
        <v>10.1010101010101</v>
      </c>
      <c r="F66" s="1626">
        <f t="shared" si="15"/>
        <v>0.95</v>
      </c>
      <c r="G66" s="940">
        <f t="shared" si="16"/>
        <v>1010.10101010101</v>
      </c>
      <c r="H66" s="1038">
        <f t="shared" si="17"/>
        <v>959.59595959595947</v>
      </c>
    </row>
    <row r="67" spans="1:8" x14ac:dyDescent="0.25">
      <c r="A67" s="61" t="s">
        <v>868</v>
      </c>
      <c r="B67" s="938" t="str">
        <f t="shared" si="14"/>
        <v>Garlic - ثوم مقشر</v>
      </c>
      <c r="C67" s="938" t="str">
        <f t="shared" si="14"/>
        <v>gm</v>
      </c>
      <c r="D67" s="938">
        <f t="shared" si="14"/>
        <v>20</v>
      </c>
      <c r="E67" s="1627">
        <f t="shared" si="18"/>
        <v>10.1010101010101</v>
      </c>
      <c r="F67" s="1626">
        <f t="shared" si="15"/>
        <v>1</v>
      </c>
      <c r="G67" s="940">
        <f t="shared" si="16"/>
        <v>202.02020202020202</v>
      </c>
      <c r="H67" s="1038">
        <f t="shared" si="17"/>
        <v>202.02020202020202</v>
      </c>
    </row>
    <row r="68" spans="1:8" x14ac:dyDescent="0.25">
      <c r="A68" s="61" t="s">
        <v>870</v>
      </c>
      <c r="B68" s="938" t="str">
        <f t="shared" si="14"/>
        <v>Tomato - طماطم</v>
      </c>
      <c r="C68" s="938" t="str">
        <f t="shared" si="14"/>
        <v>gm</v>
      </c>
      <c r="D68" s="938">
        <f t="shared" si="14"/>
        <v>500</v>
      </c>
      <c r="E68" s="1627">
        <f t="shared" si="18"/>
        <v>10.1010101010101</v>
      </c>
      <c r="F68" s="1626">
        <f t="shared" si="15"/>
        <v>0.9</v>
      </c>
      <c r="G68" s="940">
        <f t="shared" si="16"/>
        <v>5050.5050505050503</v>
      </c>
      <c r="H68" s="1038">
        <f t="shared" si="17"/>
        <v>4545.454545454545</v>
      </c>
    </row>
    <row r="69" spans="1:8" x14ac:dyDescent="0.25">
      <c r="B69" s="938" t="str">
        <f t="shared" si="14"/>
        <v>Dry Thyme - زعتر مجفف</v>
      </c>
      <c r="C69" s="938" t="str">
        <f t="shared" si="14"/>
        <v>gm</v>
      </c>
      <c r="D69" s="938">
        <f t="shared" si="14"/>
        <v>0.5</v>
      </c>
      <c r="E69" s="1627">
        <f t="shared" si="18"/>
        <v>10.1010101010101</v>
      </c>
      <c r="F69" s="1626">
        <f t="shared" si="15"/>
        <v>0.75</v>
      </c>
      <c r="G69" s="940">
        <f t="shared" si="16"/>
        <v>5.0505050505050502</v>
      </c>
      <c r="H69" s="1038">
        <f t="shared" si="17"/>
        <v>3.7878787878787876</v>
      </c>
    </row>
    <row r="70" spans="1:8" x14ac:dyDescent="0.25">
      <c r="B70" s="938" t="str">
        <f t="shared" si="14"/>
        <v>Dry Basil - ريحان مجفف</v>
      </c>
      <c r="C70" s="938" t="str">
        <f t="shared" si="14"/>
        <v>gm</v>
      </c>
      <c r="D70" s="938">
        <f t="shared" si="14"/>
        <v>0.5</v>
      </c>
      <c r="E70" s="1627">
        <f t="shared" si="18"/>
        <v>10.1010101010101</v>
      </c>
      <c r="F70" s="1626">
        <f t="shared" si="15"/>
        <v>0.9</v>
      </c>
      <c r="G70" s="940">
        <f t="shared" si="16"/>
        <v>5.0505050505050502</v>
      </c>
      <c r="H70" s="1038">
        <f t="shared" si="17"/>
        <v>4.545454545454545</v>
      </c>
    </row>
    <row r="71" spans="1:8" x14ac:dyDescent="0.25">
      <c r="B71" s="938" t="str">
        <f t="shared" si="14"/>
        <v>Dry Oregano - أوريجانو مجفف</v>
      </c>
      <c r="C71" s="938" t="str">
        <f t="shared" si="14"/>
        <v>gm</v>
      </c>
      <c r="D71" s="938">
        <f t="shared" si="14"/>
        <v>0.5</v>
      </c>
      <c r="E71" s="1627">
        <f t="shared" si="18"/>
        <v>10.1010101010101</v>
      </c>
      <c r="F71" s="1626">
        <f t="shared" si="15"/>
        <v>0.9</v>
      </c>
      <c r="G71" s="940">
        <f t="shared" si="16"/>
        <v>5.0505050505050502</v>
      </c>
      <c r="H71" s="1038">
        <v>20</v>
      </c>
    </row>
    <row r="72" spans="1:8" x14ac:dyDescent="0.25">
      <c r="B72" s="938" t="str">
        <f t="shared" si="14"/>
        <v>Salt - ملح</v>
      </c>
      <c r="C72" s="938" t="str">
        <f t="shared" si="14"/>
        <v>gm</v>
      </c>
      <c r="D72" s="938">
        <f t="shared" si="14"/>
        <v>10</v>
      </c>
      <c r="E72" s="1627">
        <f t="shared" si="18"/>
        <v>10.1010101010101</v>
      </c>
      <c r="F72" s="1626">
        <f t="shared" si="15"/>
        <v>0.75</v>
      </c>
      <c r="G72" s="940">
        <f t="shared" si="16"/>
        <v>101.01010101010101</v>
      </c>
      <c r="H72" s="1038">
        <f t="shared" ref="H72:H82" si="19">G72*F72</f>
        <v>75.757575757575751</v>
      </c>
    </row>
    <row r="73" spans="1:8" x14ac:dyDescent="0.25">
      <c r="B73" s="938" t="str">
        <f t="shared" si="14"/>
        <v>Black Pepper Powder - فلفل أسود مطحون</v>
      </c>
      <c r="C73" s="938" t="str">
        <f t="shared" si="14"/>
        <v>gm</v>
      </c>
      <c r="D73" s="938">
        <f t="shared" si="14"/>
        <v>1</v>
      </c>
      <c r="E73" s="1627">
        <f t="shared" si="18"/>
        <v>10.1010101010101</v>
      </c>
      <c r="F73" s="1626">
        <f t="shared" si="15"/>
        <v>0.75</v>
      </c>
      <c r="G73" s="940">
        <f t="shared" si="16"/>
        <v>10.1010101010101</v>
      </c>
      <c r="H73" s="1038">
        <f t="shared" si="19"/>
        <v>7.5757575757575752</v>
      </c>
    </row>
    <row r="74" spans="1:8" x14ac:dyDescent="0.25">
      <c r="B74" s="938" t="str">
        <f t="shared" si="14"/>
        <v>Honey - عسل</v>
      </c>
      <c r="C74" s="938" t="str">
        <f t="shared" si="14"/>
        <v>gm</v>
      </c>
      <c r="D74" s="938">
        <f t="shared" si="14"/>
        <v>20</v>
      </c>
      <c r="E74" s="1627">
        <f t="shared" si="18"/>
        <v>10.1010101010101</v>
      </c>
      <c r="F74" s="1626">
        <f t="shared" si="15"/>
        <v>0.75</v>
      </c>
      <c r="G74" s="940">
        <f t="shared" si="16"/>
        <v>202.02020202020202</v>
      </c>
      <c r="H74" s="1038">
        <f t="shared" si="19"/>
        <v>151.5151515151515</v>
      </c>
    </row>
    <row r="75" spans="1:8" x14ac:dyDescent="0.25">
      <c r="B75" s="938" t="str">
        <f t="shared" si="14"/>
        <v>Butter - زبدة</v>
      </c>
      <c r="C75" s="938" t="str">
        <f t="shared" si="14"/>
        <v>gm</v>
      </c>
      <c r="D75" s="938">
        <f t="shared" si="14"/>
        <v>30</v>
      </c>
      <c r="E75" s="1627">
        <f t="shared" si="18"/>
        <v>10.1010101010101</v>
      </c>
      <c r="F75" s="1626">
        <f t="shared" si="15"/>
        <v>1</v>
      </c>
      <c r="G75" s="940">
        <f t="shared" si="16"/>
        <v>303.030303030303</v>
      </c>
      <c r="H75" s="1038">
        <f t="shared" si="19"/>
        <v>303.030303030303</v>
      </c>
    </row>
    <row r="76" spans="1:8" x14ac:dyDescent="0.25">
      <c r="B76" s="938" t="str">
        <f t="shared" si="14"/>
        <v>Flour - دقيق</v>
      </c>
      <c r="C76" s="938" t="str">
        <f t="shared" si="14"/>
        <v>gm</v>
      </c>
      <c r="D76" s="938">
        <f t="shared" si="14"/>
        <v>10</v>
      </c>
      <c r="E76" s="1627">
        <f t="shared" si="18"/>
        <v>10.1010101010101</v>
      </c>
      <c r="F76" s="1626">
        <f t="shared" si="15"/>
        <v>1</v>
      </c>
      <c r="G76" s="940">
        <f t="shared" si="16"/>
        <v>101.01010101010101</v>
      </c>
      <c r="H76" s="1038">
        <f t="shared" si="19"/>
        <v>101.01010101010101</v>
      </c>
    </row>
    <row r="77" spans="1:8" x14ac:dyDescent="0.25">
      <c r="B77" s="938" t="str">
        <f t="shared" si="14"/>
        <v>Cooking Cream - كريمة طبخ</v>
      </c>
      <c r="C77" s="938" t="str">
        <f t="shared" si="14"/>
        <v>ml</v>
      </c>
      <c r="D77" s="938">
        <f t="shared" si="14"/>
        <v>280</v>
      </c>
      <c r="E77" s="1627">
        <f t="shared" si="18"/>
        <v>10.1010101010101</v>
      </c>
      <c r="F77" s="1626">
        <f t="shared" si="15"/>
        <v>1</v>
      </c>
      <c r="G77" s="940">
        <f t="shared" si="16"/>
        <v>2828.2828282828282</v>
      </c>
      <c r="H77" s="1038">
        <f t="shared" si="19"/>
        <v>2828.2828282828282</v>
      </c>
    </row>
    <row r="78" spans="1:8" x14ac:dyDescent="0.25">
      <c r="B78" s="938" t="str">
        <f t="shared" si="14"/>
        <v>Milk - حليب</v>
      </c>
      <c r="C78" s="938" t="str">
        <f t="shared" si="14"/>
        <v>ml</v>
      </c>
      <c r="D78" s="938">
        <f t="shared" si="14"/>
        <v>400</v>
      </c>
      <c r="E78" s="1627">
        <f t="shared" si="18"/>
        <v>10.1010101010101</v>
      </c>
      <c r="F78" s="1626">
        <f t="shared" si="15"/>
        <v>1</v>
      </c>
      <c r="G78" s="940">
        <f t="shared" si="16"/>
        <v>4040.4040404040402</v>
      </c>
      <c r="H78" s="1038">
        <f t="shared" si="19"/>
        <v>4040.4040404040402</v>
      </c>
    </row>
    <row r="79" spans="1:8" x14ac:dyDescent="0.25">
      <c r="B79" s="938" t="str">
        <f t="shared" si="14"/>
        <v>Orange Color - لون برتقالي</v>
      </c>
      <c r="C79" s="938" t="str">
        <f t="shared" si="14"/>
        <v>gm</v>
      </c>
      <c r="D79" s="938">
        <f t="shared" si="14"/>
        <v>1</v>
      </c>
      <c r="E79" s="1627">
        <f t="shared" si="18"/>
        <v>10.1010101010101</v>
      </c>
      <c r="F79" s="1626">
        <f t="shared" si="15"/>
        <v>1</v>
      </c>
      <c r="G79" s="940">
        <f t="shared" si="16"/>
        <v>10.1010101010101</v>
      </c>
      <c r="H79" s="1038">
        <f t="shared" si="19"/>
        <v>10.1010101010101</v>
      </c>
    </row>
    <row r="80" spans="1:8" x14ac:dyDescent="0.25">
      <c r="B80" s="938" t="str">
        <f t="shared" si="14"/>
        <v>Parmesan Cheese Powder - بديل البارميزان</v>
      </c>
      <c r="C80" s="938" t="str">
        <f t="shared" si="14"/>
        <v>gm</v>
      </c>
      <c r="D80" s="938">
        <f t="shared" si="14"/>
        <v>50</v>
      </c>
      <c r="E80" s="1627">
        <f t="shared" si="18"/>
        <v>10.1010101010101</v>
      </c>
      <c r="F80" s="1626">
        <f t="shared" si="15"/>
        <v>1</v>
      </c>
      <c r="G80" s="940">
        <f t="shared" si="16"/>
        <v>505.05050505050502</v>
      </c>
      <c r="H80" s="1038">
        <f t="shared" si="19"/>
        <v>505.05050505050502</v>
      </c>
    </row>
    <row r="81" spans="1:8" x14ac:dyDescent="0.25">
      <c r="B81" s="938" t="str">
        <f t="shared" si="14"/>
        <v>Maggi Cubes - مكعبات ماجي</v>
      </c>
      <c r="C81" s="938" t="str">
        <f t="shared" si="14"/>
        <v>gm</v>
      </c>
      <c r="D81" s="938">
        <f t="shared" si="14"/>
        <v>5</v>
      </c>
      <c r="E81" s="1627">
        <f t="shared" si="18"/>
        <v>10.1010101010101</v>
      </c>
      <c r="F81" s="1626">
        <f t="shared" si="15"/>
        <v>1</v>
      </c>
      <c r="G81" s="940">
        <f t="shared" si="16"/>
        <v>50.505050505050505</v>
      </c>
      <c r="H81" s="1038">
        <f t="shared" si="19"/>
        <v>50.505050505050505</v>
      </c>
    </row>
    <row r="82" spans="1:8" x14ac:dyDescent="0.25">
      <c r="B82" s="938" t="str">
        <f t="shared" si="14"/>
        <v>Tomato Ketchup - كاتشب طماطم</v>
      </c>
      <c r="C82" s="938" t="str">
        <f t="shared" si="14"/>
        <v>ml</v>
      </c>
      <c r="D82" s="938">
        <f t="shared" si="14"/>
        <v>50</v>
      </c>
      <c r="E82" s="1627">
        <f t="shared" si="18"/>
        <v>10.1010101010101</v>
      </c>
      <c r="F82" s="1626">
        <f t="shared" si="15"/>
        <v>1</v>
      </c>
      <c r="G82" s="940">
        <f t="shared" si="16"/>
        <v>505.05050505050502</v>
      </c>
      <c r="H82" s="1038">
        <f t="shared" si="19"/>
        <v>505.05050505050502</v>
      </c>
    </row>
    <row r="83" spans="1:8" ht="18" x14ac:dyDescent="0.25">
      <c r="A83" s="861"/>
      <c r="B83" s="1622" t="s">
        <v>287</v>
      </c>
      <c r="C83" s="1042" t="s">
        <v>273</v>
      </c>
      <c r="D83" s="952"/>
      <c r="E83" s="1042" t="s">
        <v>288</v>
      </c>
      <c r="F83" s="952"/>
      <c r="G83" s="1045" t="s">
        <v>264</v>
      </c>
      <c r="H83" s="1045" t="s">
        <v>661</v>
      </c>
    </row>
    <row r="84" spans="1:8" ht="20.25" x14ac:dyDescent="0.3">
      <c r="A84" s="861"/>
      <c r="B84" s="1048">
        <f>$J$53</f>
        <v>13637.090909090908</v>
      </c>
      <c r="C84" s="1048">
        <f>E84+G84</f>
        <v>10000</v>
      </c>
      <c r="D84" s="972"/>
      <c r="E84" s="1283">
        <f>$D$53*$S$44</f>
        <v>4090.909090909091</v>
      </c>
      <c r="F84" s="1208"/>
      <c r="G84" s="1386">
        <f>$D$53*$T$44</f>
        <v>5909.090909090909</v>
      </c>
      <c r="H84" s="1386">
        <f>B84+E84</f>
        <v>17728</v>
      </c>
    </row>
    <row r="85" spans="1:8" x14ac:dyDescent="0.25">
      <c r="B85" s="1208"/>
      <c r="C85" s="952"/>
      <c r="D85" s="952"/>
      <c r="E85" s="1208"/>
      <c r="F85" s="1208"/>
      <c r="G85" s="952"/>
      <c r="H85" s="952"/>
    </row>
    <row r="86" spans="1:8" x14ac:dyDescent="0.25">
      <c r="A86" s="867"/>
      <c r="B86" s="1776" t="str">
        <f>"دجاج بكريمة الطماطم   2 / " &amp; COUNTIF($C$53:$C$55, "&gt;0")</f>
        <v>دجاج بكريمة الطماطم   2 / 2</v>
      </c>
      <c r="C86" s="1777"/>
      <c r="D86" s="1777"/>
      <c r="E86" s="1777"/>
      <c r="F86" s="1777"/>
      <c r="G86" s="1777"/>
      <c r="H86" s="1777"/>
    </row>
    <row r="87" spans="1:8" x14ac:dyDescent="0.25">
      <c r="A87" s="867"/>
      <c r="B87" s="1842" t="str">
        <f>"Pink Chicken  2 / " &amp; COUNTIF($C$53:$C$55, "&gt;0")</f>
        <v>Pink Chicken  2 / 2</v>
      </c>
      <c r="C87" s="1843"/>
      <c r="D87" s="1843"/>
      <c r="E87" s="1843"/>
      <c r="F87" s="1843"/>
      <c r="G87" s="1843"/>
      <c r="H87" s="1843"/>
    </row>
    <row r="88" spans="1:8" ht="25.5" x14ac:dyDescent="0.2">
      <c r="A88" s="1350" t="s">
        <v>864</v>
      </c>
      <c r="B88" s="1104" t="s">
        <v>241</v>
      </c>
      <c r="C88" s="934" t="s">
        <v>242</v>
      </c>
      <c r="D88" s="1104" t="s">
        <v>231</v>
      </c>
      <c r="E88" s="936" t="s">
        <v>234</v>
      </c>
      <c r="F88" s="936" t="s">
        <v>243</v>
      </c>
      <c r="G88" s="1104" t="s">
        <v>244</v>
      </c>
      <c r="H88" s="936" t="s">
        <v>245</v>
      </c>
    </row>
    <row r="89" spans="1:8" x14ac:dyDescent="0.25">
      <c r="A89" s="61" t="s">
        <v>873</v>
      </c>
      <c r="B89" s="938" t="str">
        <f t="shared" ref="B89:D106" si="20">B5</f>
        <v>Chicken - دجاج</v>
      </c>
      <c r="C89" s="938" t="str">
        <f t="shared" si="20"/>
        <v>gm</v>
      </c>
      <c r="D89" s="1127">
        <f t="shared" si="20"/>
        <v>2311.3713405238827</v>
      </c>
      <c r="E89" s="1627">
        <f>H54</f>
        <v>2.9172597974261887</v>
      </c>
      <c r="F89" s="1626">
        <f t="shared" ref="F89:F106" si="21">F5</f>
        <v>1</v>
      </c>
      <c r="G89" s="940">
        <f t="shared" ref="G89:G106" si="22">D89*E89</f>
        <v>6742.8706886334003</v>
      </c>
      <c r="H89" s="1038">
        <f t="shared" ref="H89:H94" si="23">G89*F89</f>
        <v>6742.8706886334003</v>
      </c>
    </row>
    <row r="90" spans="1:8" x14ac:dyDescent="0.25">
      <c r="A90" s="61" t="s">
        <v>866</v>
      </c>
      <c r="B90" s="938" t="str">
        <f t="shared" si="20"/>
        <v>Onion - بصل</v>
      </c>
      <c r="C90" s="938" t="str">
        <f t="shared" si="20"/>
        <v>gm</v>
      </c>
      <c r="D90" s="938">
        <f t="shared" si="20"/>
        <v>100</v>
      </c>
      <c r="E90" s="1627">
        <f t="shared" ref="E90:E106" si="24">$C$54</f>
        <v>2.9474229474229539</v>
      </c>
      <c r="F90" s="1626">
        <f t="shared" si="21"/>
        <v>0.95</v>
      </c>
      <c r="G90" s="940">
        <f t="shared" si="22"/>
        <v>294.74229474229537</v>
      </c>
      <c r="H90" s="1038">
        <f t="shared" si="23"/>
        <v>280.00518000518059</v>
      </c>
    </row>
    <row r="91" spans="1:8" x14ac:dyDescent="0.25">
      <c r="A91" s="61" t="s">
        <v>868</v>
      </c>
      <c r="B91" s="938" t="str">
        <f t="shared" si="20"/>
        <v>Garlic - ثوم مقشر</v>
      </c>
      <c r="C91" s="938" t="str">
        <f t="shared" si="20"/>
        <v>gm</v>
      </c>
      <c r="D91" s="938">
        <f t="shared" si="20"/>
        <v>20</v>
      </c>
      <c r="E91" s="1627">
        <f t="shared" si="24"/>
        <v>2.9474229474229539</v>
      </c>
      <c r="F91" s="1626">
        <f t="shared" si="21"/>
        <v>1</v>
      </c>
      <c r="G91" s="940">
        <f t="shared" si="22"/>
        <v>58.948458948459077</v>
      </c>
      <c r="H91" s="1038">
        <f t="shared" si="23"/>
        <v>58.948458948459077</v>
      </c>
    </row>
    <row r="92" spans="1:8" x14ac:dyDescent="0.25">
      <c r="A92" s="61" t="s">
        <v>870</v>
      </c>
      <c r="B92" s="938" t="str">
        <f t="shared" si="20"/>
        <v>Tomato - طماطم</v>
      </c>
      <c r="C92" s="938" t="str">
        <f t="shared" si="20"/>
        <v>gm</v>
      </c>
      <c r="D92" s="938">
        <f t="shared" si="20"/>
        <v>500</v>
      </c>
      <c r="E92" s="1627">
        <f t="shared" si="24"/>
        <v>2.9474229474229539</v>
      </c>
      <c r="F92" s="1626">
        <f t="shared" si="21"/>
        <v>0.9</v>
      </c>
      <c r="G92" s="940">
        <f t="shared" si="22"/>
        <v>1473.7114737114769</v>
      </c>
      <c r="H92" s="1038">
        <f t="shared" si="23"/>
        <v>1326.3403263403293</v>
      </c>
    </row>
    <row r="93" spans="1:8" x14ac:dyDescent="0.25">
      <c r="B93" s="938" t="str">
        <f t="shared" si="20"/>
        <v>Dry Thyme - زعتر مجفف</v>
      </c>
      <c r="C93" s="938" t="str">
        <f t="shared" si="20"/>
        <v>gm</v>
      </c>
      <c r="D93" s="938">
        <f t="shared" si="20"/>
        <v>0.5</v>
      </c>
      <c r="E93" s="1627">
        <f t="shared" si="24"/>
        <v>2.9474229474229539</v>
      </c>
      <c r="F93" s="1626">
        <f t="shared" si="21"/>
        <v>0.75</v>
      </c>
      <c r="G93" s="940">
        <f t="shared" si="22"/>
        <v>1.4737114737114769</v>
      </c>
      <c r="H93" s="1038">
        <f t="shared" si="23"/>
        <v>1.1052836052836077</v>
      </c>
    </row>
    <row r="94" spans="1:8" x14ac:dyDescent="0.25">
      <c r="B94" s="938" t="str">
        <f t="shared" si="20"/>
        <v>Dry Basil - ريحان مجفف</v>
      </c>
      <c r="C94" s="938" t="str">
        <f t="shared" si="20"/>
        <v>gm</v>
      </c>
      <c r="D94" s="938">
        <f t="shared" si="20"/>
        <v>0.5</v>
      </c>
      <c r="E94" s="1627">
        <f t="shared" si="24"/>
        <v>2.9474229474229539</v>
      </c>
      <c r="F94" s="1626">
        <f t="shared" si="21"/>
        <v>0.9</v>
      </c>
      <c r="G94" s="940">
        <f t="shared" si="22"/>
        <v>1.4737114737114769</v>
      </c>
      <c r="H94" s="1038">
        <f t="shared" si="23"/>
        <v>1.3263403263403293</v>
      </c>
    </row>
    <row r="95" spans="1:8" x14ac:dyDescent="0.25">
      <c r="B95" s="938" t="str">
        <f t="shared" si="20"/>
        <v>Dry Oregano - أوريجانو مجفف</v>
      </c>
      <c r="C95" s="938" t="str">
        <f t="shared" si="20"/>
        <v>gm</v>
      </c>
      <c r="D95" s="938">
        <f t="shared" si="20"/>
        <v>0.5</v>
      </c>
      <c r="E95" s="1627">
        <f t="shared" si="24"/>
        <v>2.9474229474229539</v>
      </c>
      <c r="F95" s="1626">
        <f t="shared" si="21"/>
        <v>0.9</v>
      </c>
      <c r="G95" s="940">
        <f t="shared" si="22"/>
        <v>1.4737114737114769</v>
      </c>
      <c r="H95" s="1038">
        <v>20</v>
      </c>
    </row>
    <row r="96" spans="1:8" x14ac:dyDescent="0.25">
      <c r="B96" s="938" t="str">
        <f t="shared" si="20"/>
        <v>Salt - ملح</v>
      </c>
      <c r="C96" s="938" t="str">
        <f t="shared" si="20"/>
        <v>gm</v>
      </c>
      <c r="D96" s="938">
        <f t="shared" si="20"/>
        <v>10</v>
      </c>
      <c r="E96" s="1627">
        <f t="shared" si="24"/>
        <v>2.9474229474229539</v>
      </c>
      <c r="F96" s="1626">
        <f t="shared" si="21"/>
        <v>0.75</v>
      </c>
      <c r="G96" s="940">
        <f t="shared" si="22"/>
        <v>29.474229474229539</v>
      </c>
      <c r="H96" s="1038">
        <f t="shared" ref="H96:H106" si="25">G96*F96</f>
        <v>22.105672105672156</v>
      </c>
    </row>
    <row r="97" spans="1:8" x14ac:dyDescent="0.25">
      <c r="B97" s="938" t="str">
        <f t="shared" si="20"/>
        <v>Black Pepper Powder - فلفل أسود مطحون</v>
      </c>
      <c r="C97" s="938" t="str">
        <f t="shared" si="20"/>
        <v>gm</v>
      </c>
      <c r="D97" s="938">
        <f t="shared" si="20"/>
        <v>1</v>
      </c>
      <c r="E97" s="1627">
        <f t="shared" si="24"/>
        <v>2.9474229474229539</v>
      </c>
      <c r="F97" s="1626">
        <f t="shared" si="21"/>
        <v>0.75</v>
      </c>
      <c r="G97" s="940">
        <f t="shared" si="22"/>
        <v>2.9474229474229539</v>
      </c>
      <c r="H97" s="1038">
        <f t="shared" si="25"/>
        <v>2.2105672105672154</v>
      </c>
    </row>
    <row r="98" spans="1:8" x14ac:dyDescent="0.25">
      <c r="B98" s="938" t="str">
        <f t="shared" si="20"/>
        <v>Honey - عسل</v>
      </c>
      <c r="C98" s="938" t="str">
        <f t="shared" si="20"/>
        <v>gm</v>
      </c>
      <c r="D98" s="938">
        <f t="shared" si="20"/>
        <v>20</v>
      </c>
      <c r="E98" s="1627">
        <f t="shared" si="24"/>
        <v>2.9474229474229539</v>
      </c>
      <c r="F98" s="1626">
        <f t="shared" si="21"/>
        <v>0.75</v>
      </c>
      <c r="G98" s="940">
        <f t="shared" si="22"/>
        <v>58.948458948459077</v>
      </c>
      <c r="H98" s="1038">
        <f t="shared" si="25"/>
        <v>44.211344211344311</v>
      </c>
    </row>
    <row r="99" spans="1:8" x14ac:dyDescent="0.25">
      <c r="B99" s="938" t="str">
        <f t="shared" si="20"/>
        <v>Butter - زبدة</v>
      </c>
      <c r="C99" s="938" t="str">
        <f t="shared" si="20"/>
        <v>gm</v>
      </c>
      <c r="D99" s="938">
        <f t="shared" si="20"/>
        <v>30</v>
      </c>
      <c r="E99" s="1627">
        <f t="shared" si="24"/>
        <v>2.9474229474229539</v>
      </c>
      <c r="F99" s="1626">
        <f t="shared" si="21"/>
        <v>1</v>
      </c>
      <c r="G99" s="940">
        <f t="shared" si="22"/>
        <v>88.422688422688623</v>
      </c>
      <c r="H99" s="1038">
        <f t="shared" si="25"/>
        <v>88.422688422688623</v>
      </c>
    </row>
    <row r="100" spans="1:8" x14ac:dyDescent="0.25">
      <c r="B100" s="938" t="str">
        <f t="shared" si="20"/>
        <v>Flour - دقيق</v>
      </c>
      <c r="C100" s="938" t="str">
        <f t="shared" si="20"/>
        <v>gm</v>
      </c>
      <c r="D100" s="938">
        <f t="shared" si="20"/>
        <v>10</v>
      </c>
      <c r="E100" s="1627">
        <f t="shared" si="24"/>
        <v>2.9474229474229539</v>
      </c>
      <c r="F100" s="1626">
        <f t="shared" si="21"/>
        <v>1</v>
      </c>
      <c r="G100" s="940">
        <f t="shared" si="22"/>
        <v>29.474229474229539</v>
      </c>
      <c r="H100" s="1038">
        <f t="shared" si="25"/>
        <v>29.474229474229539</v>
      </c>
    </row>
    <row r="101" spans="1:8" x14ac:dyDescent="0.25">
      <c r="B101" s="938" t="str">
        <f t="shared" si="20"/>
        <v>Cooking Cream - كريمة طبخ</v>
      </c>
      <c r="C101" s="938" t="str">
        <f t="shared" si="20"/>
        <v>ml</v>
      </c>
      <c r="D101" s="938">
        <f t="shared" si="20"/>
        <v>280</v>
      </c>
      <c r="E101" s="1627">
        <f t="shared" si="24"/>
        <v>2.9474229474229539</v>
      </c>
      <c r="F101" s="1626">
        <f t="shared" si="21"/>
        <v>1</v>
      </c>
      <c r="G101" s="940">
        <f t="shared" si="22"/>
        <v>825.27842527842711</v>
      </c>
      <c r="H101" s="1038">
        <f t="shared" si="25"/>
        <v>825.27842527842711</v>
      </c>
    </row>
    <row r="102" spans="1:8" x14ac:dyDescent="0.25">
      <c r="B102" s="938" t="str">
        <f t="shared" si="20"/>
        <v>Milk - حليب</v>
      </c>
      <c r="C102" s="938" t="str">
        <f t="shared" si="20"/>
        <v>ml</v>
      </c>
      <c r="D102" s="938">
        <f t="shared" si="20"/>
        <v>400</v>
      </c>
      <c r="E102" s="1627">
        <f t="shared" si="24"/>
        <v>2.9474229474229539</v>
      </c>
      <c r="F102" s="1626">
        <f t="shared" si="21"/>
        <v>1</v>
      </c>
      <c r="G102" s="940">
        <f t="shared" si="22"/>
        <v>1178.9691789691815</v>
      </c>
      <c r="H102" s="1038">
        <f t="shared" si="25"/>
        <v>1178.9691789691815</v>
      </c>
    </row>
    <row r="103" spans="1:8" x14ac:dyDescent="0.25">
      <c r="B103" s="938" t="str">
        <f t="shared" si="20"/>
        <v>Orange Color - لون برتقالي</v>
      </c>
      <c r="C103" s="938" t="str">
        <f t="shared" si="20"/>
        <v>gm</v>
      </c>
      <c r="D103" s="938">
        <f t="shared" si="20"/>
        <v>1</v>
      </c>
      <c r="E103" s="1627">
        <f t="shared" si="24"/>
        <v>2.9474229474229539</v>
      </c>
      <c r="F103" s="1626">
        <f t="shared" si="21"/>
        <v>1</v>
      </c>
      <c r="G103" s="940">
        <f t="shared" si="22"/>
        <v>2.9474229474229539</v>
      </c>
      <c r="H103" s="1038">
        <f t="shared" si="25"/>
        <v>2.9474229474229539</v>
      </c>
    </row>
    <row r="104" spans="1:8" x14ac:dyDescent="0.25">
      <c r="B104" s="938" t="str">
        <f t="shared" si="20"/>
        <v>Parmesan Cheese Powder - بديل البارميزان</v>
      </c>
      <c r="C104" s="938" t="str">
        <f t="shared" si="20"/>
        <v>gm</v>
      </c>
      <c r="D104" s="938">
        <f t="shared" si="20"/>
        <v>50</v>
      </c>
      <c r="E104" s="1627">
        <f t="shared" si="24"/>
        <v>2.9474229474229539</v>
      </c>
      <c r="F104" s="1626">
        <f t="shared" si="21"/>
        <v>1</v>
      </c>
      <c r="G104" s="940">
        <f t="shared" si="22"/>
        <v>147.37114737114769</v>
      </c>
      <c r="H104" s="1038">
        <f t="shared" si="25"/>
        <v>147.37114737114769</v>
      </c>
    </row>
    <row r="105" spans="1:8" x14ac:dyDescent="0.25">
      <c r="B105" s="938" t="str">
        <f t="shared" si="20"/>
        <v>Maggi Cubes - مكعبات ماجي</v>
      </c>
      <c r="C105" s="938" t="str">
        <f t="shared" si="20"/>
        <v>gm</v>
      </c>
      <c r="D105" s="938">
        <f t="shared" si="20"/>
        <v>5</v>
      </c>
      <c r="E105" s="1627">
        <f t="shared" si="24"/>
        <v>2.9474229474229539</v>
      </c>
      <c r="F105" s="1626">
        <f t="shared" si="21"/>
        <v>1</v>
      </c>
      <c r="G105" s="940">
        <f t="shared" si="22"/>
        <v>14.737114737114769</v>
      </c>
      <c r="H105" s="1038">
        <f t="shared" si="25"/>
        <v>14.737114737114769</v>
      </c>
    </row>
    <row r="106" spans="1:8" x14ac:dyDescent="0.25">
      <c r="B106" s="938" t="str">
        <f t="shared" si="20"/>
        <v>Tomato Ketchup - كاتشب طماطم</v>
      </c>
      <c r="C106" s="938" t="str">
        <f t="shared" si="20"/>
        <v>ml</v>
      </c>
      <c r="D106" s="938">
        <f t="shared" si="20"/>
        <v>50</v>
      </c>
      <c r="E106" s="1627">
        <f t="shared" si="24"/>
        <v>2.9474229474229539</v>
      </c>
      <c r="F106" s="1626">
        <f t="shared" si="21"/>
        <v>1</v>
      </c>
      <c r="G106" s="940">
        <f t="shared" si="22"/>
        <v>147.37114737114769</v>
      </c>
      <c r="H106" s="1038">
        <f t="shared" si="25"/>
        <v>147.37114737114769</v>
      </c>
    </row>
    <row r="107" spans="1:8" ht="18" x14ac:dyDescent="0.25">
      <c r="A107" s="861"/>
      <c r="B107" s="1622" t="s">
        <v>287</v>
      </c>
      <c r="C107" s="1042" t="s">
        <v>273</v>
      </c>
      <c r="D107" s="952"/>
      <c r="E107" s="1042" t="s">
        <v>288</v>
      </c>
      <c r="F107" s="952"/>
      <c r="G107" s="1045" t="s">
        <v>264</v>
      </c>
      <c r="H107" s="1045" t="s">
        <v>661</v>
      </c>
    </row>
    <row r="108" spans="1:8" ht="20.25" x14ac:dyDescent="0.3">
      <c r="A108" s="861"/>
      <c r="B108" s="1048">
        <f>$J$54</f>
        <v>3978.2937062937053</v>
      </c>
      <c r="C108" s="1283">
        <f>E108+G108</f>
        <v>2917.9487179487251</v>
      </c>
      <c r="D108" s="972"/>
      <c r="E108" s="1283">
        <f>$D$54*$S$44</f>
        <v>1193.7062937062965</v>
      </c>
      <c r="F108" s="1208"/>
      <c r="G108" s="1386">
        <f>$D$54*$T$44</f>
        <v>1724.2424242424283</v>
      </c>
      <c r="H108" s="1386">
        <f>B108+E108</f>
        <v>5172.0000000000018</v>
      </c>
    </row>
  </sheetData>
  <mergeCells count="12">
    <mergeCell ref="AE2:AG3"/>
    <mergeCell ref="B87:H87"/>
    <mergeCell ref="R26:U26"/>
    <mergeCell ref="AN2:AN3"/>
    <mergeCell ref="B86:H86"/>
    <mergeCell ref="R25:U25"/>
    <mergeCell ref="B63:H63"/>
    <mergeCell ref="F2:F3"/>
    <mergeCell ref="B62:H62"/>
    <mergeCell ref="AK2:AM2"/>
    <mergeCell ref="C27:G27"/>
    <mergeCell ref="B35:F35"/>
  </mergeCells>
  <printOptions horizontalCentered="1"/>
  <pageMargins left="0.4" right="0.4" top="1" bottom="0.5" header="0.3" footer="0.511811023622047"/>
  <pageSetup paperSize="9" scale="46" orientation="landscape" r:id="rId1"/>
  <legacyDrawing r:id="rId2"/>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0">
    <tabColor rgb="FF333F50"/>
    <pageSetUpPr fitToPage="1"/>
  </sheetPr>
  <dimension ref="A1:AT139"/>
  <sheetViews>
    <sheetView zoomScale="70" zoomScaleNormal="70" workbookViewId="0">
      <selection activeCell="H69" sqref="H69"/>
    </sheetView>
  </sheetViews>
  <sheetFormatPr defaultColWidth="12.5" defaultRowHeight="15" x14ac:dyDescent="0.25"/>
  <cols>
    <col min="1" max="1" width="16.75" style="61" bestFit="1" customWidth="1"/>
    <col min="2" max="2" width="36.5" style="26" bestFit="1" customWidth="1"/>
    <col min="3" max="3" width="16.375" style="14" bestFit="1" customWidth="1"/>
    <col min="4" max="4" width="17.75" style="14" bestFit="1" customWidth="1"/>
    <col min="5" max="5" width="19" style="14" bestFit="1" customWidth="1"/>
    <col min="6" max="6" width="23.125" style="14" bestFit="1" customWidth="1"/>
    <col min="7" max="7" width="21.75" style="14" bestFit="1" customWidth="1"/>
    <col min="8" max="8" width="39" style="14" bestFit="1" customWidth="1"/>
    <col min="9" max="9" width="16.75" style="14" bestFit="1" customWidth="1"/>
    <col min="10" max="10" width="13.875" style="14" bestFit="1" customWidth="1"/>
    <col min="11" max="11" width="12.75" style="14" bestFit="1" customWidth="1"/>
    <col min="12" max="12" width="12.5" style="14" bestFit="1" customWidth="1"/>
    <col min="13" max="14" width="3.875" style="14" customWidth="1"/>
    <col min="15" max="15" width="16.875" style="14" bestFit="1" customWidth="1"/>
    <col min="16" max="16" width="9.75" style="14" bestFit="1" customWidth="1"/>
    <col min="17" max="17" width="14.375" style="14" bestFit="1" customWidth="1"/>
    <col min="18" max="18" width="38.375" style="14" bestFit="1" customWidth="1"/>
    <col min="19" max="19" width="10" style="14" bestFit="1" customWidth="1"/>
    <col min="20" max="20" width="43.75" style="14" bestFit="1" customWidth="1"/>
    <col min="21" max="21" width="11.25" style="14" bestFit="1" customWidth="1"/>
    <col min="22" max="22" width="12.125" style="14" bestFit="1" customWidth="1"/>
    <col min="23" max="23" width="37.75" style="14" bestFit="1" customWidth="1"/>
    <col min="24" max="24" width="12.5" style="14" customWidth="1"/>
    <col min="25" max="25" width="7.75" style="14" bestFit="1" customWidth="1"/>
    <col min="26" max="26" width="11.25" style="14" bestFit="1" customWidth="1"/>
    <col min="27" max="27" width="11.875" style="14" bestFit="1" customWidth="1"/>
    <col min="28" max="28" width="13.125" style="14" bestFit="1" customWidth="1"/>
    <col min="29" max="29" width="13.5" style="14" bestFit="1" customWidth="1"/>
    <col min="30" max="30" width="15.125" style="14" bestFit="1" customWidth="1"/>
    <col min="31" max="31" width="11.25" style="14" bestFit="1" customWidth="1"/>
    <col min="32" max="32" width="8.5" style="14" bestFit="1" customWidth="1"/>
    <col min="33" max="34" width="4.75" style="14" customWidth="1"/>
    <col min="35" max="35" width="10.5" style="14" bestFit="1" customWidth="1"/>
    <col min="36" max="36" width="36.5" style="14" bestFit="1" customWidth="1"/>
    <col min="37" max="37" width="6.5" style="14" bestFit="1" customWidth="1"/>
    <col min="38" max="38" width="15.125" style="14" bestFit="1" customWidth="1"/>
    <col min="39" max="39" width="12.625" style="14" bestFit="1" customWidth="1"/>
    <col min="40" max="40" width="11.875" style="14" bestFit="1" customWidth="1"/>
    <col min="41" max="41" width="12.5" style="14"/>
    <col min="42" max="42" width="17.75" style="14" bestFit="1" customWidth="1"/>
    <col min="43" max="43" width="12.5" style="14"/>
    <col min="44" max="44" width="11.625" style="14" bestFit="1" customWidth="1"/>
    <col min="45" max="45" width="11.125" style="14" bestFit="1" customWidth="1"/>
    <col min="46" max="46" width="6" style="14" bestFit="1" customWidth="1"/>
    <col min="47" max="16384" width="12.5" style="14"/>
  </cols>
  <sheetData>
    <row r="1" spans="1:46" ht="25.5" x14ac:dyDescent="0.25">
      <c r="B1" s="852" t="s">
        <v>231</v>
      </c>
      <c r="C1" s="63">
        <v>1000</v>
      </c>
      <c r="D1" s="64" t="s">
        <v>232</v>
      </c>
      <c r="E1" s="84">
        <f>T32</f>
        <v>23968.717948717956</v>
      </c>
      <c r="F1" s="62" t="s">
        <v>233</v>
      </c>
      <c r="G1" s="63">
        <f>E1/C1</f>
        <v>23.968717948717956</v>
      </c>
      <c r="H1" s="62" t="s">
        <v>234</v>
      </c>
      <c r="I1" s="167">
        <f>(G1/K1)</f>
        <v>24.457875457875467</v>
      </c>
      <c r="J1" s="68" t="s">
        <v>235</v>
      </c>
      <c r="K1" s="63">
        <v>0.98</v>
      </c>
      <c r="L1" s="80"/>
      <c r="M1" s="70"/>
      <c r="N1" s="71"/>
      <c r="O1" s="72" t="s">
        <v>236</v>
      </c>
      <c r="P1" s="73" t="s">
        <v>237</v>
      </c>
      <c r="Q1" s="74" t="s">
        <v>238</v>
      </c>
      <c r="R1" s="73">
        <v>0.59</v>
      </c>
      <c r="Y1" s="72" t="s">
        <v>444</v>
      </c>
      <c r="Z1" s="422">
        <v>41490</v>
      </c>
      <c r="AA1" s="72" t="s">
        <v>544</v>
      </c>
      <c r="AB1" s="422">
        <v>1000</v>
      </c>
      <c r="AC1" s="72" t="s">
        <v>537</v>
      </c>
      <c r="AD1" s="422">
        <v>288</v>
      </c>
      <c r="AE1" s="168"/>
      <c r="AF1" s="170"/>
      <c r="AG1" s="73"/>
      <c r="AI1" s="61"/>
      <c r="AJ1" s="75" t="s">
        <v>250</v>
      </c>
      <c r="AK1" s="75">
        <v>10000</v>
      </c>
      <c r="AL1" s="318" t="s">
        <v>474</v>
      </c>
      <c r="AM1" s="319">
        <f>$S$32</f>
        <v>32684.615384615376</v>
      </c>
      <c r="AN1" s="75" t="s">
        <v>239</v>
      </c>
      <c r="AO1" s="212">
        <f>((S32)/$R$1)/$AK$1</f>
        <v>5.5397653194263352</v>
      </c>
      <c r="AP1" s="76"/>
    </row>
    <row r="2" spans="1:46" ht="15.75" x14ac:dyDescent="0.25">
      <c r="A2" s="863"/>
      <c r="B2" s="306"/>
      <c r="C2" s="78"/>
      <c r="D2" s="78"/>
      <c r="E2" s="78"/>
      <c r="F2" s="1828" t="s">
        <v>453</v>
      </c>
      <c r="G2" s="78"/>
      <c r="H2" s="78"/>
      <c r="I2" s="78"/>
      <c r="J2" s="78"/>
      <c r="K2" s="78"/>
      <c r="L2" s="187"/>
      <c r="M2" s="80"/>
      <c r="N2" s="80"/>
      <c r="O2" s="80"/>
      <c r="P2" s="80"/>
      <c r="Q2" s="80"/>
      <c r="R2" s="80"/>
      <c r="AC2" s="79"/>
      <c r="AD2" s="79"/>
      <c r="AE2" s="1795"/>
      <c r="AF2" s="1799"/>
      <c r="AG2" s="1799"/>
      <c r="AI2" s="61"/>
      <c r="AJ2" s="81"/>
      <c r="AK2" s="1873" t="s">
        <v>454</v>
      </c>
      <c r="AL2" s="1873"/>
      <c r="AM2" s="1873"/>
      <c r="AN2" s="1873"/>
      <c r="AO2" s="81"/>
      <c r="AP2" s="81"/>
    </row>
    <row r="3" spans="1:46" ht="15.75" x14ac:dyDescent="0.25">
      <c r="A3" s="863"/>
      <c r="B3" s="306"/>
      <c r="C3" s="78"/>
      <c r="D3" s="78"/>
      <c r="E3" s="78"/>
      <c r="F3" s="1796"/>
      <c r="G3" s="78"/>
      <c r="H3" s="78"/>
      <c r="I3" s="78"/>
      <c r="J3" s="78"/>
      <c r="K3" s="78"/>
      <c r="L3" s="187"/>
      <c r="O3" s="80"/>
      <c r="P3" s="80"/>
      <c r="Q3" s="80"/>
      <c r="R3" s="80"/>
      <c r="AC3" s="79"/>
      <c r="AD3" s="79"/>
      <c r="AE3" s="1799"/>
      <c r="AF3" s="1799"/>
      <c r="AG3" s="1799"/>
      <c r="AI3" s="61"/>
      <c r="AJ3" s="81"/>
      <c r="AK3" s="81"/>
      <c r="AL3" s="81"/>
      <c r="AM3" s="81"/>
      <c r="AN3" s="1873"/>
      <c r="AO3" s="81"/>
      <c r="AP3" s="81"/>
    </row>
    <row r="4" spans="1:46" ht="38.25" x14ac:dyDescent="0.25">
      <c r="A4" s="1350" t="s">
        <v>864</v>
      </c>
      <c r="B4" s="923" t="s">
        <v>241</v>
      </c>
      <c r="C4" s="934" t="s">
        <v>242</v>
      </c>
      <c r="D4" s="923" t="s">
        <v>231</v>
      </c>
      <c r="E4" s="935" t="s">
        <v>234</v>
      </c>
      <c r="F4" s="935" t="s">
        <v>243</v>
      </c>
      <c r="G4" s="923" t="s">
        <v>244</v>
      </c>
      <c r="H4" s="1635" t="s">
        <v>334</v>
      </c>
      <c r="I4" s="923" t="s">
        <v>246</v>
      </c>
      <c r="J4" s="923" t="s">
        <v>247</v>
      </c>
      <c r="K4" s="923" t="s">
        <v>248</v>
      </c>
      <c r="L4" s="923" t="s">
        <v>249</v>
      </c>
      <c r="O4" s="80"/>
      <c r="P4" s="80"/>
      <c r="AA4" s="169"/>
      <c r="AB4" s="169"/>
      <c r="AC4" s="169"/>
      <c r="AD4" s="171"/>
      <c r="AE4" s="169"/>
      <c r="AF4" s="169"/>
      <c r="AG4" s="169"/>
      <c r="AI4" s="61"/>
      <c r="AJ4" s="926" t="s">
        <v>241</v>
      </c>
      <c r="AK4" s="1169" t="s">
        <v>242</v>
      </c>
      <c r="AL4" s="926" t="s">
        <v>250</v>
      </c>
      <c r="AM4" s="926" t="s">
        <v>234</v>
      </c>
      <c r="AN4" s="926" t="s">
        <v>243</v>
      </c>
      <c r="AO4" s="926" t="s">
        <v>244</v>
      </c>
      <c r="AP4" s="926" t="s">
        <v>334</v>
      </c>
      <c r="AQ4" s="923" t="s">
        <v>246</v>
      </c>
      <c r="AR4" s="923" t="s">
        <v>247</v>
      </c>
      <c r="AS4" s="923" t="s">
        <v>248</v>
      </c>
      <c r="AT4" s="923" t="s">
        <v>249</v>
      </c>
    </row>
    <row r="5" spans="1:46" x14ac:dyDescent="0.25">
      <c r="A5" s="1718" t="s">
        <v>873</v>
      </c>
      <c r="B5" s="1614" t="s">
        <v>220</v>
      </c>
      <c r="C5" s="939" t="s">
        <v>14</v>
      </c>
      <c r="D5" s="1116">
        <f>I51/10</f>
        <v>2311.3713405238827</v>
      </c>
      <c r="E5" s="1646">
        <f>H52</f>
        <v>23.967439685268065</v>
      </c>
      <c r="F5" s="1626">
        <v>1</v>
      </c>
      <c r="G5" s="940">
        <f t="shared" ref="G5:G24" si="0">D5*E5</f>
        <v>55397.653194263352</v>
      </c>
      <c r="H5" s="1038">
        <f t="shared" ref="H5:H24" si="1">G5*F5</f>
        <v>55397.653194263352</v>
      </c>
      <c r="I5" s="914">
        <f>VLOOKUP(B5,All_Ingredients!$A$1:$F$161,6,FALSE())</f>
        <v>0.86</v>
      </c>
      <c r="J5" s="940">
        <f>VLOOKUP(B5,All_Ingredients!$A$1:$J$161,10,FALSE())</f>
        <v>17.100000000000001</v>
      </c>
      <c r="K5" s="945">
        <f t="shared" ref="K5" si="2">(H5/I5)/1000</f>
        <v>64.415875807282973</v>
      </c>
      <c r="L5" s="945">
        <f t="shared" ref="L5" si="3">K5*J5</f>
        <v>1101.511476304539</v>
      </c>
      <c r="O5" s="80"/>
      <c r="P5" s="80"/>
      <c r="AA5" s="73"/>
      <c r="AB5" s="73"/>
      <c r="AC5" s="73"/>
      <c r="AD5" s="89"/>
      <c r="AE5" s="172"/>
      <c r="AF5" s="90"/>
      <c r="AG5" s="91"/>
      <c r="AI5" s="61"/>
      <c r="AJ5" s="1686" t="s">
        <v>220</v>
      </c>
      <c r="AK5" s="947" t="s">
        <v>227</v>
      </c>
      <c r="AL5" s="1618">
        <v>10</v>
      </c>
      <c r="AM5" s="1646">
        <f t="shared" ref="AM5:AM12" si="4">$AO$1</f>
        <v>5.5397653194263352</v>
      </c>
      <c r="AN5" s="1616">
        <v>1</v>
      </c>
      <c r="AO5" s="940">
        <f t="shared" ref="AO5:AO12" si="5">AL5*AM5</f>
        <v>55.397653194263356</v>
      </c>
      <c r="AP5" s="1617">
        <f t="shared" ref="AP5:AP12" si="6">AO5*AN5</f>
        <v>55.397653194263356</v>
      </c>
      <c r="AQ5" s="952"/>
      <c r="AR5" s="953"/>
      <c r="AS5" s="1020"/>
      <c r="AT5" s="955"/>
    </row>
    <row r="6" spans="1:46" x14ac:dyDescent="0.25">
      <c r="A6" s="949" t="s">
        <v>880</v>
      </c>
      <c r="B6" s="1115" t="s">
        <v>12</v>
      </c>
      <c r="C6" s="939" t="s">
        <v>14</v>
      </c>
      <c r="D6" s="1618">
        <v>150</v>
      </c>
      <c r="E6" s="1621">
        <f t="shared" ref="E6:E24" si="7">$I$1</f>
        <v>24.457875457875467</v>
      </c>
      <c r="F6" s="1626">
        <v>0.95</v>
      </c>
      <c r="G6" s="940">
        <f t="shared" si="0"/>
        <v>3668.6813186813201</v>
      </c>
      <c r="H6" s="1038">
        <f t="shared" si="1"/>
        <v>3485.2472527472542</v>
      </c>
      <c r="I6" s="914">
        <f>VLOOKUP(B6,All_Ingredients!$A$1:$F$161,6,FALSE())</f>
        <v>0.9</v>
      </c>
      <c r="J6" s="940">
        <f>VLOOKUP(B6,All_Ingredients!$A$1:$J$161,10,FALSE())</f>
        <v>3</v>
      </c>
      <c r="K6" s="945">
        <f t="shared" ref="K6:K24" si="8">(H6/I6)/1000</f>
        <v>3.8724969474969488</v>
      </c>
      <c r="L6" s="945">
        <f t="shared" ref="L6:L24" si="9">K6*J6</f>
        <v>11.617490842490847</v>
      </c>
      <c r="AI6" s="61" t="s">
        <v>55</v>
      </c>
      <c r="AJ6" s="1115" t="s">
        <v>54</v>
      </c>
      <c r="AK6" s="947" t="s">
        <v>14</v>
      </c>
      <c r="AL6" s="1618">
        <v>300</v>
      </c>
      <c r="AM6" s="1646">
        <f t="shared" si="4"/>
        <v>5.5397653194263352</v>
      </c>
      <c r="AN6" s="1616">
        <v>1</v>
      </c>
      <c r="AO6" s="940">
        <f t="shared" si="5"/>
        <v>1661.9295958279006</v>
      </c>
      <c r="AP6" s="1617">
        <f t="shared" si="6"/>
        <v>1661.9295958279006</v>
      </c>
      <c r="AQ6" s="955">
        <f>VLOOKUP(AJ6,Marination_Ordering!$A:$J,6,FALSE)</f>
        <v>0.87</v>
      </c>
      <c r="AR6" s="955">
        <f>VLOOKUP(AJ6,Marination_Ordering!$A:$J,10,FALSE)</f>
        <v>7</v>
      </c>
      <c r="AS6" s="1020">
        <f>AP6/AQ6</f>
        <v>1910.2639032504605</v>
      </c>
      <c r="AT6" s="955">
        <f>AR6*(AS6/1000)</f>
        <v>13.371847322753224</v>
      </c>
    </row>
    <row r="7" spans="1:46" x14ac:dyDescent="0.25">
      <c r="A7" s="949" t="s">
        <v>945</v>
      </c>
      <c r="B7" s="1115" t="s">
        <v>17</v>
      </c>
      <c r="C7" s="939" t="s">
        <v>14</v>
      </c>
      <c r="D7" s="1618">
        <v>450</v>
      </c>
      <c r="E7" s="1621">
        <f t="shared" si="7"/>
        <v>24.457875457875467</v>
      </c>
      <c r="F7" s="1626">
        <v>1</v>
      </c>
      <c r="G7" s="940">
        <f t="shared" si="0"/>
        <v>11006.043956043961</v>
      </c>
      <c r="H7" s="1038">
        <f t="shared" si="1"/>
        <v>11006.043956043961</v>
      </c>
      <c r="I7" s="914">
        <f>VLOOKUP(B7,All_Ingredients!$A$1:$F$161,6,FALSE())</f>
        <v>0.98</v>
      </c>
      <c r="J7" s="940">
        <f>VLOOKUP(B7,All_Ingredients!$A$1:$J$161,10,FALSE())</f>
        <v>3.5</v>
      </c>
      <c r="K7" s="945">
        <f t="shared" si="8"/>
        <v>11.230657098004041</v>
      </c>
      <c r="L7" s="945">
        <f t="shared" si="9"/>
        <v>39.307299843014142</v>
      </c>
      <c r="AI7" s="61" t="s">
        <v>13</v>
      </c>
      <c r="AJ7" s="1115" t="s">
        <v>706</v>
      </c>
      <c r="AK7" s="947" t="s">
        <v>14</v>
      </c>
      <c r="AL7" s="1618">
        <v>100</v>
      </c>
      <c r="AM7" s="1646">
        <f t="shared" si="4"/>
        <v>5.5397653194263352</v>
      </c>
      <c r="AN7" s="1616">
        <v>1</v>
      </c>
      <c r="AO7" s="940">
        <f t="shared" si="5"/>
        <v>553.97653194263353</v>
      </c>
      <c r="AP7" s="1617">
        <f t="shared" si="6"/>
        <v>553.97653194263353</v>
      </c>
      <c r="AQ7" s="955">
        <f>VLOOKUP(AJ7,Marination_Ordering!$A:$J,6,FALSE)</f>
        <v>1</v>
      </c>
      <c r="AR7" s="955">
        <f>VLOOKUP(AJ7,Marination_Ordering!$A:$J,10,FALSE)</f>
        <v>10.5</v>
      </c>
      <c r="AS7" s="1020">
        <f t="shared" ref="AS7:AS8" si="10">AP7/AQ7</f>
        <v>553.97653194263353</v>
      </c>
      <c r="AT7" s="955">
        <f t="shared" ref="AT7:AT8" si="11">AR7*(AS7/1000)</f>
        <v>5.8167535853976524</v>
      </c>
    </row>
    <row r="8" spans="1:46" x14ac:dyDescent="0.25">
      <c r="A8" s="949" t="s">
        <v>867</v>
      </c>
      <c r="B8" s="1115" t="s">
        <v>54</v>
      </c>
      <c r="C8" s="939" t="s">
        <v>14</v>
      </c>
      <c r="D8" s="1618">
        <v>25</v>
      </c>
      <c r="E8" s="1621">
        <f t="shared" si="7"/>
        <v>24.457875457875467</v>
      </c>
      <c r="F8" s="1626">
        <v>0.9</v>
      </c>
      <c r="G8" s="940">
        <f t="shared" si="0"/>
        <v>611.44688644688665</v>
      </c>
      <c r="H8" s="1038">
        <f t="shared" si="1"/>
        <v>550.30219780219795</v>
      </c>
      <c r="I8" s="914">
        <f>VLOOKUP(B8,All_Ingredients!$A$1:$F$161,6,FALSE())</f>
        <v>0.87</v>
      </c>
      <c r="J8" s="940">
        <f>VLOOKUP(B8,All_Ingredients!$A$1:$J$161,10,FALSE())</f>
        <v>7</v>
      </c>
      <c r="K8" s="945">
        <f t="shared" si="8"/>
        <v>0.6325312618416068</v>
      </c>
      <c r="L8" s="945">
        <f t="shared" si="9"/>
        <v>4.427718832891248</v>
      </c>
      <c r="AI8" s="61" t="s">
        <v>204</v>
      </c>
      <c r="AJ8" s="1115" t="s">
        <v>212</v>
      </c>
      <c r="AK8" s="947" t="s">
        <v>160</v>
      </c>
      <c r="AL8" s="1618">
        <v>350</v>
      </c>
      <c r="AM8" s="1646">
        <f t="shared" si="4"/>
        <v>5.5397653194263352</v>
      </c>
      <c r="AN8" s="1616">
        <v>1</v>
      </c>
      <c r="AO8" s="940">
        <f t="shared" si="5"/>
        <v>1938.9178617992172</v>
      </c>
      <c r="AP8" s="1617">
        <f t="shared" si="6"/>
        <v>1938.9178617992172</v>
      </c>
      <c r="AQ8" s="955">
        <f>VLOOKUP(AJ8,Marination_Ordering!$A:$J,6,FALSE)</f>
        <v>1</v>
      </c>
      <c r="AR8" s="955">
        <f>VLOOKUP(AJ8,Marination_Ordering!$A:$J,10,FALSE)</f>
        <v>5</v>
      </c>
      <c r="AS8" s="1020">
        <f t="shared" si="10"/>
        <v>1938.9178617992172</v>
      </c>
      <c r="AT8" s="955">
        <f t="shared" si="11"/>
        <v>9.6945893089960862</v>
      </c>
    </row>
    <row r="9" spans="1:46" x14ac:dyDescent="0.25">
      <c r="A9" s="949"/>
      <c r="B9" s="1115" t="s">
        <v>706</v>
      </c>
      <c r="C9" s="939" t="s">
        <v>14</v>
      </c>
      <c r="D9" s="1618">
        <v>25</v>
      </c>
      <c r="E9" s="1621">
        <f t="shared" si="7"/>
        <v>24.457875457875467</v>
      </c>
      <c r="F9" s="1626">
        <v>0.9</v>
      </c>
      <c r="G9" s="940">
        <f t="shared" si="0"/>
        <v>611.44688644688665</v>
      </c>
      <c r="H9" s="1038">
        <f t="shared" si="1"/>
        <v>550.30219780219795</v>
      </c>
      <c r="I9" s="914">
        <f>VLOOKUP(B9,All_Ingredients!$A$1:$F$161,6,FALSE())</f>
        <v>1</v>
      </c>
      <c r="J9" s="940">
        <f>VLOOKUP(B9,All_Ingredients!$A$1:$J$161,10,FALSE())</f>
        <v>10.5</v>
      </c>
      <c r="K9" s="945">
        <f t="shared" si="8"/>
        <v>0.55030219780219791</v>
      </c>
      <c r="L9" s="945">
        <f t="shared" si="9"/>
        <v>5.7781730769230784</v>
      </c>
      <c r="AI9" s="61" t="s">
        <v>204</v>
      </c>
      <c r="AJ9" s="1115" t="s">
        <v>208</v>
      </c>
      <c r="AK9" s="947" t="s">
        <v>160</v>
      </c>
      <c r="AL9" s="1618">
        <v>70</v>
      </c>
      <c r="AM9" s="1646">
        <f t="shared" si="4"/>
        <v>5.5397653194263352</v>
      </c>
      <c r="AN9" s="1616">
        <v>1</v>
      </c>
      <c r="AO9" s="940">
        <f t="shared" si="5"/>
        <v>387.78357235984345</v>
      </c>
      <c r="AP9" s="1617">
        <f t="shared" si="6"/>
        <v>387.78357235984345</v>
      </c>
      <c r="AQ9" s="955">
        <f>VLOOKUP(AJ9,Marination_Ordering!$A:$J,6,FALSE)</f>
        <v>1</v>
      </c>
      <c r="AR9" s="955">
        <f>VLOOKUP(AJ9,Marination_Ordering!$A:$J,10,FALSE)</f>
        <v>2.1621621621621623</v>
      </c>
      <c r="AS9" s="1020">
        <f t="shared" ref="AS9:AS12" si="12">AP9/AQ9</f>
        <v>387.78357235984345</v>
      </c>
      <c r="AT9" s="955">
        <f t="shared" ref="AT9:AT12" si="13">AR9*(AS9/1000)</f>
        <v>0.83845096726452639</v>
      </c>
    </row>
    <row r="10" spans="1:46" x14ac:dyDescent="0.25">
      <c r="A10" s="949"/>
      <c r="B10" s="1115" t="s">
        <v>34</v>
      </c>
      <c r="C10" s="939" t="s">
        <v>14</v>
      </c>
      <c r="D10" s="1618">
        <v>5</v>
      </c>
      <c r="E10" s="1621">
        <f t="shared" si="7"/>
        <v>24.457875457875467</v>
      </c>
      <c r="F10" s="1626">
        <v>0.75</v>
      </c>
      <c r="G10" s="940">
        <f t="shared" si="0"/>
        <v>122.28937728937734</v>
      </c>
      <c r="H10" s="1038">
        <f t="shared" si="1"/>
        <v>91.717032967033006</v>
      </c>
      <c r="I10" s="914">
        <f>VLOOKUP(B10,All_Ingredients!$A$1:$F$161,6,FALSE())</f>
        <v>0.86</v>
      </c>
      <c r="J10" s="940">
        <f>VLOOKUP(B10,All_Ingredients!$A$1:$J$161,10,FALSE())</f>
        <v>14</v>
      </c>
      <c r="K10" s="945">
        <f t="shared" si="8"/>
        <v>0.10664771275236395</v>
      </c>
      <c r="L10" s="945">
        <f t="shared" si="9"/>
        <v>1.4930679785330954</v>
      </c>
      <c r="AI10" s="61" t="s">
        <v>94</v>
      </c>
      <c r="AJ10" s="1115" t="s">
        <v>93</v>
      </c>
      <c r="AK10" s="947" t="s">
        <v>14</v>
      </c>
      <c r="AL10" s="1618">
        <v>5</v>
      </c>
      <c r="AM10" s="1646">
        <f t="shared" si="4"/>
        <v>5.5397653194263352</v>
      </c>
      <c r="AN10" s="1616">
        <v>1</v>
      </c>
      <c r="AO10" s="940">
        <f t="shared" si="5"/>
        <v>27.698826597131678</v>
      </c>
      <c r="AP10" s="1617">
        <f t="shared" si="6"/>
        <v>27.698826597131678</v>
      </c>
      <c r="AQ10" s="955">
        <f>VLOOKUP(AJ10,Marination_Ordering!$A:$J,6,FALSE)</f>
        <v>1</v>
      </c>
      <c r="AR10" s="955">
        <f>VLOOKUP(AJ10,Marination_Ordering!$A:$J,10,FALSE)</f>
        <v>0.74</v>
      </c>
      <c r="AS10" s="1020">
        <f t="shared" si="12"/>
        <v>27.698826597131678</v>
      </c>
      <c r="AT10" s="955">
        <f t="shared" si="13"/>
        <v>2.0497131681877442E-2</v>
      </c>
    </row>
    <row r="11" spans="1:46" x14ac:dyDescent="0.25">
      <c r="A11" s="949"/>
      <c r="B11" s="1115" t="s">
        <v>105</v>
      </c>
      <c r="C11" s="939" t="s">
        <v>14</v>
      </c>
      <c r="D11" s="1618">
        <v>5</v>
      </c>
      <c r="E11" s="1621">
        <f t="shared" si="7"/>
        <v>24.457875457875467</v>
      </c>
      <c r="F11" s="1626">
        <v>1</v>
      </c>
      <c r="G11" s="940">
        <f t="shared" si="0"/>
        <v>122.28937728937734</v>
      </c>
      <c r="H11" s="1038">
        <f t="shared" si="1"/>
        <v>122.28937728937734</v>
      </c>
      <c r="I11" s="914">
        <f>VLOOKUP(B11,All_Ingredients!$A$1:$F$161,6,FALSE())</f>
        <v>1</v>
      </c>
      <c r="J11" s="940">
        <f>VLOOKUP(B11,All_Ingredients!$A$1:$J$161,10,FALSE())</f>
        <v>15</v>
      </c>
      <c r="K11" s="945">
        <f t="shared" si="8"/>
        <v>0.12228937728937735</v>
      </c>
      <c r="L11" s="945">
        <f t="shared" si="9"/>
        <v>1.8343406593406602</v>
      </c>
      <c r="AI11" s="61" t="s">
        <v>94</v>
      </c>
      <c r="AJ11" s="1115" t="s">
        <v>99</v>
      </c>
      <c r="AK11" s="947" t="s">
        <v>14</v>
      </c>
      <c r="AL11" s="1618">
        <v>3</v>
      </c>
      <c r="AM11" s="1646">
        <f t="shared" si="4"/>
        <v>5.5397653194263352</v>
      </c>
      <c r="AN11" s="1616">
        <v>1</v>
      </c>
      <c r="AO11" s="940">
        <f t="shared" si="5"/>
        <v>16.619295958279004</v>
      </c>
      <c r="AP11" s="1617">
        <f t="shared" si="6"/>
        <v>16.619295958279004</v>
      </c>
      <c r="AQ11" s="955">
        <f>VLOOKUP(AJ11,Marination_Ordering!$A:$J,6,FALSE)</f>
        <v>1</v>
      </c>
      <c r="AR11" s="955">
        <f>VLOOKUP(AJ11,Marination_Ordering!$A:$J,10,FALSE)</f>
        <v>31</v>
      </c>
      <c r="AS11" s="1020">
        <f t="shared" si="12"/>
        <v>16.619295958279004</v>
      </c>
      <c r="AT11" s="955">
        <f t="shared" si="13"/>
        <v>0.51519817470664908</v>
      </c>
    </row>
    <row r="12" spans="1:46" x14ac:dyDescent="0.25">
      <c r="A12" s="949"/>
      <c r="B12" s="1115" t="s">
        <v>113</v>
      </c>
      <c r="C12" s="939" t="s">
        <v>14</v>
      </c>
      <c r="D12" s="1618">
        <v>3</v>
      </c>
      <c r="E12" s="1621">
        <f t="shared" si="7"/>
        <v>24.457875457875467</v>
      </c>
      <c r="F12" s="1626">
        <v>0.75</v>
      </c>
      <c r="G12" s="940">
        <f t="shared" si="0"/>
        <v>73.373626373626394</v>
      </c>
      <c r="H12" s="1038">
        <f t="shared" si="1"/>
        <v>55.030219780219795</v>
      </c>
      <c r="I12" s="914">
        <f>VLOOKUP(B12,All_Ingredients!$A$1:$F$161,6,FALSE())</f>
        <v>1</v>
      </c>
      <c r="J12" s="940">
        <f>VLOOKUP(B12,All_Ingredients!$A$1:$J$161,10,FALSE())</f>
        <v>20</v>
      </c>
      <c r="K12" s="945">
        <f t="shared" si="8"/>
        <v>5.5030219780219797E-2</v>
      </c>
      <c r="L12" s="945">
        <f t="shared" si="9"/>
        <v>1.100604395604396</v>
      </c>
      <c r="AI12" s="61" t="s">
        <v>213</v>
      </c>
      <c r="AJ12" s="1115" t="s">
        <v>799</v>
      </c>
      <c r="AK12" s="947" t="s">
        <v>14</v>
      </c>
      <c r="AL12" s="1618">
        <v>5</v>
      </c>
      <c r="AM12" s="1646">
        <f t="shared" si="4"/>
        <v>5.5397653194263352</v>
      </c>
      <c r="AN12" s="1616">
        <v>1</v>
      </c>
      <c r="AO12" s="940">
        <f t="shared" si="5"/>
        <v>27.698826597131678</v>
      </c>
      <c r="AP12" s="1617">
        <f t="shared" si="6"/>
        <v>27.698826597131678</v>
      </c>
      <c r="AQ12" s="955">
        <f>VLOOKUP(AJ12,Marination_Ordering!$A:$J,6,FALSE)</f>
        <v>1</v>
      </c>
      <c r="AR12" s="955">
        <f>VLOOKUP(AJ12,Marination_Ordering!$A:$J,10,FALSE)</f>
        <v>22.5</v>
      </c>
      <c r="AS12" s="1020">
        <f t="shared" si="12"/>
        <v>27.698826597131678</v>
      </c>
      <c r="AT12" s="955">
        <f t="shared" si="13"/>
        <v>0.62322359843546271</v>
      </c>
    </row>
    <row r="13" spans="1:46" x14ac:dyDescent="0.25">
      <c r="A13" s="949"/>
      <c r="B13" s="1115" t="s">
        <v>139</v>
      </c>
      <c r="C13" s="939" t="s">
        <v>14</v>
      </c>
      <c r="D13" s="1618">
        <v>7</v>
      </c>
      <c r="E13" s="1621">
        <f t="shared" si="7"/>
        <v>24.457875457875467</v>
      </c>
      <c r="F13" s="1626">
        <v>0.75</v>
      </c>
      <c r="G13" s="940">
        <f t="shared" si="0"/>
        <v>171.20512820512826</v>
      </c>
      <c r="H13" s="1038">
        <f t="shared" si="1"/>
        <v>128.40384615384619</v>
      </c>
      <c r="I13" s="914">
        <f>VLOOKUP(B13,All_Ingredients!$A$1:$F$161,6,FALSE())</f>
        <v>1</v>
      </c>
      <c r="J13" s="940">
        <f>VLOOKUP(B13,All_Ingredients!$A$1:$J$161,10,FALSE())</f>
        <v>15.277777777777779</v>
      </c>
      <c r="K13" s="945">
        <f t="shared" si="8"/>
        <v>0.1284038461538462</v>
      </c>
      <c r="L13" s="945">
        <f t="shared" si="9"/>
        <v>1.9617254273504281</v>
      </c>
    </row>
    <row r="14" spans="1:46" x14ac:dyDescent="0.25">
      <c r="A14" s="949"/>
      <c r="B14" s="1115" t="s">
        <v>703</v>
      </c>
      <c r="C14" s="939" t="s">
        <v>14</v>
      </c>
      <c r="D14" s="1618">
        <v>1</v>
      </c>
      <c r="E14" s="1621">
        <f t="shared" si="7"/>
        <v>24.457875457875467</v>
      </c>
      <c r="F14" s="1626">
        <v>0.75</v>
      </c>
      <c r="G14" s="940">
        <f t="shared" si="0"/>
        <v>24.457875457875467</v>
      </c>
      <c r="H14" s="1038">
        <f t="shared" si="1"/>
        <v>18.343406593406598</v>
      </c>
      <c r="I14" s="914">
        <f>VLOOKUP(B14,All_Ingredients!$A$1:$F$161,6,FALSE())</f>
        <v>1</v>
      </c>
      <c r="J14" s="940">
        <f>VLOOKUP(B14,All_Ingredients!$A$1:$J$161,10,FALSE())</f>
        <v>52</v>
      </c>
      <c r="K14" s="945">
        <f t="shared" si="8"/>
        <v>1.8343406593406598E-2</v>
      </c>
      <c r="L14" s="945">
        <f t="shared" si="9"/>
        <v>0.95385714285714307</v>
      </c>
    </row>
    <row r="15" spans="1:46" x14ac:dyDescent="0.25">
      <c r="A15" s="949"/>
      <c r="B15" s="1115" t="s">
        <v>166</v>
      </c>
      <c r="C15" s="939" t="s">
        <v>160</v>
      </c>
      <c r="D15" s="1618">
        <v>300</v>
      </c>
      <c r="E15" s="1621">
        <f t="shared" si="7"/>
        <v>24.457875457875467</v>
      </c>
      <c r="F15" s="1626">
        <v>1</v>
      </c>
      <c r="G15" s="940">
        <f t="shared" si="0"/>
        <v>7337.3626373626403</v>
      </c>
      <c r="H15" s="1038">
        <f t="shared" si="1"/>
        <v>7337.3626373626403</v>
      </c>
      <c r="I15" s="914">
        <f>VLOOKUP(B15,All_Ingredients!$A$1:$F$161,6,FALSE())</f>
        <v>1</v>
      </c>
      <c r="J15" s="940">
        <f>VLOOKUP(B15,All_Ingredients!$A$1:$J$161,10,FALSE())</f>
        <v>12.666666666666666</v>
      </c>
      <c r="K15" s="945">
        <f t="shared" si="8"/>
        <v>7.3373626373626406</v>
      </c>
      <c r="L15" s="945">
        <f t="shared" si="9"/>
        <v>92.939926739926776</v>
      </c>
    </row>
    <row r="16" spans="1:46" x14ac:dyDescent="0.25">
      <c r="A16" s="949"/>
      <c r="B16" s="1115" t="s">
        <v>203</v>
      </c>
      <c r="C16" s="939" t="s">
        <v>160</v>
      </c>
      <c r="D16" s="1618">
        <v>100</v>
      </c>
      <c r="E16" s="1621">
        <f t="shared" si="7"/>
        <v>24.457875457875467</v>
      </c>
      <c r="F16" s="1626">
        <v>1</v>
      </c>
      <c r="G16" s="940">
        <f t="shared" si="0"/>
        <v>2445.7875457875466</v>
      </c>
      <c r="H16" s="1038">
        <f t="shared" si="1"/>
        <v>2445.7875457875466</v>
      </c>
      <c r="I16" s="914">
        <f>VLOOKUP(B16,All_Ingredients!$A$1:$F$161,6,FALSE())</f>
        <v>1</v>
      </c>
      <c r="J16" s="940">
        <f>VLOOKUP(B16,All_Ingredients!$A$1:$J$161,10,FALSE())</f>
        <v>0</v>
      </c>
      <c r="K16" s="945">
        <f t="shared" si="8"/>
        <v>2.4457875457875464</v>
      </c>
      <c r="L16" s="945">
        <f t="shared" si="9"/>
        <v>0</v>
      </c>
    </row>
    <row r="17" spans="1:32" x14ac:dyDescent="0.25">
      <c r="A17" s="949"/>
      <c r="B17" s="1115" t="s">
        <v>107</v>
      </c>
      <c r="C17" s="939" t="s">
        <v>14</v>
      </c>
      <c r="D17" s="1618">
        <v>5</v>
      </c>
      <c r="E17" s="1621">
        <f t="shared" si="7"/>
        <v>24.457875457875467</v>
      </c>
      <c r="F17" s="1626">
        <v>1</v>
      </c>
      <c r="G17" s="940">
        <f t="shared" si="0"/>
        <v>122.28937728937734</v>
      </c>
      <c r="H17" s="1038">
        <f t="shared" si="1"/>
        <v>122.28937728937734</v>
      </c>
      <c r="I17" s="914">
        <f>VLOOKUP(B17,All_Ingredients!$A$1:$F$161,6,FALSE())</f>
        <v>1</v>
      </c>
      <c r="J17" s="940">
        <f>VLOOKUP(B17,All_Ingredients!$A$1:$J$161,10,FALSE())</f>
        <v>8</v>
      </c>
      <c r="K17" s="945">
        <f t="shared" si="8"/>
        <v>0.12228937728937735</v>
      </c>
      <c r="L17" s="945">
        <f t="shared" si="9"/>
        <v>0.97831501831501877</v>
      </c>
    </row>
    <row r="18" spans="1:32" x14ac:dyDescent="0.25">
      <c r="A18" s="949"/>
      <c r="B18" s="1115" t="s">
        <v>799</v>
      </c>
      <c r="C18" s="939" t="s">
        <v>14</v>
      </c>
      <c r="D18" s="1618">
        <v>1</v>
      </c>
      <c r="E18" s="1621">
        <f t="shared" si="7"/>
        <v>24.457875457875467</v>
      </c>
      <c r="F18" s="1626">
        <v>1</v>
      </c>
      <c r="G18" s="940">
        <f t="shared" si="0"/>
        <v>24.457875457875467</v>
      </c>
      <c r="H18" s="1038">
        <f t="shared" si="1"/>
        <v>24.457875457875467</v>
      </c>
      <c r="I18" s="914">
        <f>VLOOKUP(B18,All_Ingredients!$A$1:$F$161,6,FALSE())</f>
        <v>1</v>
      </c>
      <c r="J18" s="940">
        <f>VLOOKUP(B18,All_Ingredients!$A$1:$J$161,10,FALSE())</f>
        <v>22.5</v>
      </c>
      <c r="K18" s="945">
        <f t="shared" si="8"/>
        <v>2.4457875457875467E-2</v>
      </c>
      <c r="L18" s="945">
        <f t="shared" si="9"/>
        <v>0.55030219780219802</v>
      </c>
    </row>
    <row r="19" spans="1:32" x14ac:dyDescent="0.25">
      <c r="A19" s="949"/>
      <c r="B19" s="1115" t="s">
        <v>93</v>
      </c>
      <c r="C19" s="939" t="s">
        <v>14</v>
      </c>
      <c r="D19" s="1618">
        <v>5</v>
      </c>
      <c r="E19" s="1621">
        <f t="shared" si="7"/>
        <v>24.457875457875467</v>
      </c>
      <c r="F19" s="1626">
        <v>0.75</v>
      </c>
      <c r="G19" s="940">
        <f t="shared" si="0"/>
        <v>122.28937728937734</v>
      </c>
      <c r="H19" s="1038">
        <f t="shared" si="1"/>
        <v>91.717032967033006</v>
      </c>
      <c r="I19" s="914">
        <f>VLOOKUP(B19,All_Ingredients!$A$1:$F$161,6,FALSE())</f>
        <v>1</v>
      </c>
      <c r="J19" s="940">
        <f>VLOOKUP(B19,All_Ingredients!$A$1:$J$161,10,FALSE())</f>
        <v>0.74</v>
      </c>
      <c r="K19" s="945">
        <f t="shared" si="8"/>
        <v>9.1717032967033013E-2</v>
      </c>
      <c r="L19" s="945">
        <f t="shared" si="9"/>
        <v>6.7870604395604425E-2</v>
      </c>
    </row>
    <row r="20" spans="1:32" x14ac:dyDescent="0.25">
      <c r="A20" s="949"/>
      <c r="B20" s="1115" t="s">
        <v>152</v>
      </c>
      <c r="C20" s="939" t="s">
        <v>14</v>
      </c>
      <c r="D20" s="1618">
        <v>40</v>
      </c>
      <c r="E20" s="1621">
        <f t="shared" si="7"/>
        <v>24.457875457875467</v>
      </c>
      <c r="F20" s="1626">
        <v>1</v>
      </c>
      <c r="G20" s="940">
        <f t="shared" si="0"/>
        <v>978.31501831501873</v>
      </c>
      <c r="H20" s="1038">
        <f t="shared" si="1"/>
        <v>978.31501831501873</v>
      </c>
      <c r="I20" s="914">
        <f>VLOOKUP(B20,All_Ingredients!$A$1:$F$161,6,FALSE())</f>
        <v>1</v>
      </c>
      <c r="J20" s="940">
        <f>VLOOKUP(B20,All_Ingredients!$A$1:$J$161,10,FALSE())</f>
        <v>30</v>
      </c>
      <c r="K20" s="945">
        <f t="shared" si="8"/>
        <v>0.97831501831501877</v>
      </c>
      <c r="L20" s="945">
        <f t="shared" si="9"/>
        <v>29.349450549450562</v>
      </c>
    </row>
    <row r="21" spans="1:32" x14ac:dyDescent="0.25">
      <c r="A21" s="949"/>
      <c r="B21" s="1252" t="s">
        <v>678</v>
      </c>
      <c r="C21" s="939" t="s">
        <v>14</v>
      </c>
      <c r="D21" s="1618">
        <v>20</v>
      </c>
      <c r="E21" s="1621">
        <f t="shared" si="7"/>
        <v>24.457875457875467</v>
      </c>
      <c r="F21" s="1626">
        <v>1</v>
      </c>
      <c r="G21" s="940">
        <f t="shared" si="0"/>
        <v>489.15750915750937</v>
      </c>
      <c r="H21" s="1038">
        <f t="shared" si="1"/>
        <v>489.15750915750937</v>
      </c>
      <c r="I21" s="914">
        <f>VLOOKUP(B21,All_Ingredients!$A$1:$F$161,6,FALSE())</f>
        <v>1</v>
      </c>
      <c r="J21" s="940">
        <f>VLOOKUP(B21,All_Ingredients!$A$1:$J$161,10,FALSE())</f>
        <v>8.1520833333333336</v>
      </c>
      <c r="K21" s="945">
        <f t="shared" si="8"/>
        <v>0.48915750915750938</v>
      </c>
      <c r="L21" s="945">
        <f t="shared" si="9"/>
        <v>3.9876527777777797</v>
      </c>
    </row>
    <row r="22" spans="1:32" x14ac:dyDescent="0.25">
      <c r="A22" s="949"/>
      <c r="B22" s="1252" t="s">
        <v>163</v>
      </c>
      <c r="C22" s="939" t="s">
        <v>14</v>
      </c>
      <c r="D22" s="1618">
        <v>100</v>
      </c>
      <c r="E22" s="1621">
        <f t="shared" si="7"/>
        <v>24.457875457875467</v>
      </c>
      <c r="F22" s="1626">
        <v>1</v>
      </c>
      <c r="G22" s="940">
        <f t="shared" si="0"/>
        <v>2445.7875457875466</v>
      </c>
      <c r="H22" s="1038">
        <f t="shared" si="1"/>
        <v>2445.7875457875466</v>
      </c>
      <c r="I22" s="914">
        <f>VLOOKUP(B22,All_Ingredients!$A$1:$F$161,6,FALSE())</f>
        <v>1</v>
      </c>
      <c r="J22" s="940">
        <f>VLOOKUP(B22,All_Ingredients!$A$1:$J$161,10,FALSE())</f>
        <v>6.6959999999999997</v>
      </c>
      <c r="K22" s="945">
        <f t="shared" si="8"/>
        <v>2.4457875457875464</v>
      </c>
      <c r="L22" s="945">
        <f t="shared" si="9"/>
        <v>16.37699340659341</v>
      </c>
      <c r="M22" s="87"/>
      <c r="N22" s="87"/>
    </row>
    <row r="23" spans="1:32" x14ac:dyDescent="0.25">
      <c r="A23" s="949"/>
      <c r="B23" s="1252" t="s">
        <v>118</v>
      </c>
      <c r="C23" s="939" t="s">
        <v>14</v>
      </c>
      <c r="D23" s="1071">
        <v>5</v>
      </c>
      <c r="E23" s="1621">
        <f t="shared" si="7"/>
        <v>24.457875457875467</v>
      </c>
      <c r="F23" s="1626">
        <v>0.75</v>
      </c>
      <c r="G23" s="940">
        <f t="shared" si="0"/>
        <v>122.28937728937734</v>
      </c>
      <c r="H23" s="1038">
        <f t="shared" si="1"/>
        <v>91.717032967033006</v>
      </c>
      <c r="I23" s="914">
        <f>VLOOKUP(B23,All_Ingredients!$A$1:$F$161,6,FALSE())</f>
        <v>1</v>
      </c>
      <c r="J23" s="940">
        <f>VLOOKUP(B23,All_Ingredients!$A$1:$J$161,10,FALSE())</f>
        <v>15</v>
      </c>
      <c r="K23" s="945">
        <f t="shared" si="8"/>
        <v>9.1717032967033013E-2</v>
      </c>
      <c r="L23" s="945">
        <f t="shared" si="9"/>
        <v>1.3757554945054953</v>
      </c>
      <c r="M23" s="87"/>
      <c r="N23" s="87"/>
      <c r="P23"/>
    </row>
    <row r="24" spans="1:32" x14ac:dyDescent="0.25">
      <c r="A24" s="949"/>
      <c r="B24" s="938" t="s">
        <v>187</v>
      </c>
      <c r="C24" s="947" t="s">
        <v>14</v>
      </c>
      <c r="D24" s="1719">
        <v>20</v>
      </c>
      <c r="E24" s="1646">
        <f t="shared" si="7"/>
        <v>24.457875457875467</v>
      </c>
      <c r="F24" s="1616">
        <v>1</v>
      </c>
      <c r="G24" s="940">
        <f t="shared" si="0"/>
        <v>489.15750915750937</v>
      </c>
      <c r="H24" s="1617">
        <f t="shared" si="1"/>
        <v>489.15750915750937</v>
      </c>
      <c r="I24" s="914">
        <f>VLOOKUP(B24,All_Ingredients!$A$1:$F$161,6,FALSE())</f>
        <v>0.9</v>
      </c>
      <c r="J24" s="944">
        <f>VLOOKUP(B24,All_Ingredients!$A$1:$J$161,10,FALSE())</f>
        <v>2.3199999999999998</v>
      </c>
      <c r="K24" s="945">
        <f t="shared" si="8"/>
        <v>0.54350834350834376</v>
      </c>
      <c r="L24" s="945">
        <f t="shared" si="9"/>
        <v>1.2609393569393574</v>
      </c>
      <c r="M24" s="87"/>
      <c r="N24" s="87"/>
      <c r="Z24" s="597"/>
    </row>
    <row r="25" spans="1:32" ht="15.75" x14ac:dyDescent="0.25">
      <c r="B25" s="228"/>
      <c r="C25" s="168"/>
      <c r="D25" s="146"/>
      <c r="E25" s="189"/>
      <c r="F25" s="290"/>
      <c r="G25" s="92"/>
      <c r="H25" s="291"/>
      <c r="I25" s="73"/>
      <c r="J25" s="94"/>
      <c r="K25" s="73"/>
      <c r="L25" s="92"/>
      <c r="M25" s="87"/>
      <c r="N25" s="87"/>
      <c r="R25" s="1885" t="s">
        <v>454</v>
      </c>
      <c r="S25" s="1850"/>
      <c r="T25" s="1850"/>
      <c r="U25" s="1850"/>
      <c r="V25" s="553"/>
      <c r="Z25" s="96" t="s">
        <v>252</v>
      </c>
      <c r="AA25" s="97">
        <v>200</v>
      </c>
      <c r="AB25" s="96" t="s">
        <v>249</v>
      </c>
      <c r="AC25" s="670">
        <f>(AA25*(4/3))*AF30+(AA30*(AB28/R1))</f>
        <v>6.3489022061155032</v>
      </c>
    </row>
    <row r="26" spans="1:32" x14ac:dyDescent="0.25">
      <c r="I26" s="73"/>
      <c r="J26" s="94"/>
      <c r="K26" s="73"/>
      <c r="L26" s="92"/>
      <c r="M26" s="87"/>
      <c r="N26" s="87"/>
      <c r="R26" s="1881" t="s">
        <v>253</v>
      </c>
      <c r="S26" s="1867"/>
      <c r="T26" s="1867"/>
      <c r="U26" s="1867"/>
      <c r="V26" s="553"/>
    </row>
    <row r="27" spans="1:32" ht="15.75" thickBot="1" x14ac:dyDescent="0.3">
      <c r="I27" s="73"/>
      <c r="J27" s="94"/>
      <c r="K27" s="73"/>
      <c r="L27" s="92"/>
      <c r="M27" s="87"/>
      <c r="N27" s="87"/>
      <c r="R27" s="100" t="s">
        <v>254</v>
      </c>
      <c r="S27" s="101" t="s">
        <v>255</v>
      </c>
      <c r="T27" s="101" t="s">
        <v>256</v>
      </c>
      <c r="U27" s="101" t="s">
        <v>257</v>
      </c>
      <c r="V27" s="101" t="s">
        <v>746</v>
      </c>
      <c r="W27" s="101" t="s">
        <v>753</v>
      </c>
      <c r="Z27" s="96" t="s">
        <v>258</v>
      </c>
      <c r="AA27" s="580" t="s">
        <v>311</v>
      </c>
      <c r="AB27" s="102" t="s">
        <v>259</v>
      </c>
      <c r="AC27" s="102" t="s">
        <v>260</v>
      </c>
      <c r="AD27" s="102" t="s">
        <v>261</v>
      </c>
      <c r="AE27" s="581" t="s">
        <v>753</v>
      </c>
      <c r="AF27" s="102" t="s">
        <v>262</v>
      </c>
    </row>
    <row r="28" spans="1:32" ht="15.75" thickBot="1" x14ac:dyDescent="0.3">
      <c r="I28" s="73"/>
      <c r="J28" s="94"/>
      <c r="K28" s="73"/>
      <c r="L28" s="92"/>
      <c r="M28" s="87"/>
      <c r="N28" s="87"/>
      <c r="R28" s="103" t="s">
        <v>263</v>
      </c>
      <c r="S28" s="380">
        <f>U28*S40</f>
        <v>31915.384615384606</v>
      </c>
      <c r="T28" s="380">
        <f>U28*U40</f>
        <v>9574.6153846153939</v>
      </c>
      <c r="U28" s="385">
        <f>Z1</f>
        <v>41490</v>
      </c>
      <c r="V28" s="104">
        <f>SUM(AP6:AP12)</f>
        <v>4614.6245110821365</v>
      </c>
      <c r="W28" s="104">
        <f>SUM(H37:H38)</f>
        <v>308.16000000000003</v>
      </c>
      <c r="Z28" s="105"/>
      <c r="AA28" s="582"/>
      <c r="AB28" s="106">
        <f>AA25*$S$40</f>
        <v>153.84615384615381</v>
      </c>
      <c r="AC28" s="106">
        <f>AA25*$U$40</f>
        <v>46.153846153846203</v>
      </c>
      <c r="AD28" s="107">
        <f>AA25*(1/3)</f>
        <v>66.666666666666657</v>
      </c>
      <c r="AE28" s="582"/>
      <c r="AF28" s="108">
        <f>SUM(AB28:AD28)</f>
        <v>266.66666666666663</v>
      </c>
    </row>
    <row r="29" spans="1:32" ht="15.75" thickBot="1" x14ac:dyDescent="0.3">
      <c r="B29" s="228"/>
      <c r="C29" s="168"/>
      <c r="D29" s="146"/>
      <c r="E29" s="189"/>
      <c r="F29" s="290"/>
      <c r="G29" s="92"/>
      <c r="H29" s="291"/>
      <c r="I29" s="73"/>
      <c r="J29" s="94"/>
      <c r="K29" s="73"/>
      <c r="L29" s="92"/>
      <c r="M29" s="87"/>
      <c r="N29" s="87"/>
      <c r="R29" s="103" t="s">
        <v>264</v>
      </c>
      <c r="S29" s="109"/>
      <c r="T29" s="641">
        <f>U28*(1/3)</f>
        <v>13830</v>
      </c>
      <c r="U29" s="380">
        <f>T29</f>
        <v>13830</v>
      </c>
      <c r="V29" s="104"/>
      <c r="W29" s="104"/>
      <c r="Z29" s="105"/>
      <c r="AA29" s="583"/>
      <c r="AB29" s="110">
        <f>AB28/$AF$28</f>
        <v>0.57692307692307687</v>
      </c>
      <c r="AC29" s="110">
        <f>AC28/$AF$28</f>
        <v>0.17307692307692329</v>
      </c>
      <c r="AD29" s="110">
        <f>AD28/$AF$28</f>
        <v>0.25</v>
      </c>
      <c r="AE29" s="583"/>
      <c r="AF29" s="110">
        <f>AF28/$AF$28</f>
        <v>1</v>
      </c>
    </row>
    <row r="30" spans="1:32" ht="15.75" thickBot="1" x14ac:dyDescent="0.3">
      <c r="I30" s="73"/>
      <c r="J30" s="94"/>
      <c r="K30" s="73"/>
      <c r="L30" s="92"/>
      <c r="M30" s="87"/>
      <c r="N30" s="87"/>
      <c r="R30" s="103" t="s">
        <v>265</v>
      </c>
      <c r="S30" s="654">
        <f>U30*S40</f>
        <v>769.23076923076906</v>
      </c>
      <c r="T30" s="380">
        <f>(U30*U40)+(U30*(1/3))</f>
        <v>564.10256410256432</v>
      </c>
      <c r="U30" s="385">
        <f>AB1</f>
        <v>1000</v>
      </c>
      <c r="V30" s="547"/>
      <c r="W30" s="547"/>
      <c r="Z30" s="96" t="s">
        <v>266</v>
      </c>
      <c r="AA30" s="584">
        <f>V35/(S32/R1)</f>
        <v>5.574344454799628E-4</v>
      </c>
      <c r="AB30" s="111">
        <f>S35/(S32)</f>
        <v>3.3701221915648415E-2</v>
      </c>
      <c r="AC30" s="112">
        <f>T35/T32</f>
        <v>8.932498828091209E-3</v>
      </c>
      <c r="AD30" s="112">
        <f>T35/T32</f>
        <v>8.932498828091209E-3</v>
      </c>
      <c r="AE30" s="585">
        <f>W35/U32</f>
        <v>4.1157195358183826E-5</v>
      </c>
      <c r="AF30" s="587">
        <f>SUMPRODUCT(AB30:AD30,AB29:AD29)+AE30</f>
        <v>2.3263303958578549E-2</v>
      </c>
    </row>
    <row r="31" spans="1:32" ht="15.75" thickBot="1" x14ac:dyDescent="0.3">
      <c r="I31" s="73"/>
      <c r="J31" s="94"/>
      <c r="K31" s="73"/>
      <c r="L31" s="92"/>
      <c r="M31" s="87"/>
      <c r="N31" s="87"/>
      <c r="R31" s="103" t="s">
        <v>267</v>
      </c>
      <c r="S31" s="109"/>
      <c r="T31" s="104"/>
      <c r="U31" s="104"/>
      <c r="V31" s="104"/>
      <c r="W31" s="104"/>
    </row>
    <row r="32" spans="1:32" ht="15.75" thickBot="1" x14ac:dyDescent="0.3">
      <c r="I32" s="73"/>
      <c r="J32" s="94"/>
      <c r="K32" s="73"/>
      <c r="L32" s="92"/>
      <c r="M32" s="87"/>
      <c r="N32" s="87"/>
      <c r="R32" s="114" t="s">
        <v>257</v>
      </c>
      <c r="S32" s="104">
        <f>SUM(S28:S30)</f>
        <v>32684.615384615376</v>
      </c>
      <c r="T32" s="104">
        <f>SUM(T28:T30)</f>
        <v>23968.717948717956</v>
      </c>
      <c r="U32" s="104">
        <f>SUM(S32:T32)</f>
        <v>56653.333333333328</v>
      </c>
      <c r="V32" s="104"/>
      <c r="W32" s="104">
        <f>SUM(W28:W30)</f>
        <v>308.16000000000003</v>
      </c>
    </row>
    <row r="35" spans="2:23" ht="16.5" thickBot="1" x14ac:dyDescent="0.3">
      <c r="B35" s="1892" t="s">
        <v>658</v>
      </c>
      <c r="C35" s="1892"/>
      <c r="D35" s="1892"/>
      <c r="E35" s="1892"/>
      <c r="F35" s="1892"/>
      <c r="G35" s="444"/>
      <c r="H35" s="444"/>
      <c r="I35" s="444"/>
      <c r="J35" s="444"/>
      <c r="K35" s="444"/>
      <c r="L35" s="444"/>
      <c r="M35" s="87"/>
      <c r="N35" s="87"/>
      <c r="R35" s="117" t="s">
        <v>249</v>
      </c>
      <c r="S35" s="548">
        <f>$L$5</f>
        <v>1101.511476304539</v>
      </c>
      <c r="T35" s="548">
        <f>SUM(L6:L23)</f>
        <v>214.10054498777188</v>
      </c>
      <c r="U35" s="548">
        <f>S35+T35+V35+W35</f>
        <v>1348.8242736892387</v>
      </c>
      <c r="V35" s="548">
        <f>SUM(AT6:AT12)</f>
        <v>30.88056008923548</v>
      </c>
      <c r="W35" s="104">
        <f>SUM(L37:L38)</f>
        <v>2.3316923076923075</v>
      </c>
    </row>
    <row r="36" spans="2:23" ht="47.25" x14ac:dyDescent="0.25">
      <c r="B36" s="1004" t="s">
        <v>241</v>
      </c>
      <c r="C36" s="1004" t="s">
        <v>316</v>
      </c>
      <c r="D36" s="1002" t="s">
        <v>610</v>
      </c>
      <c r="E36" s="1003" t="s">
        <v>611</v>
      </c>
      <c r="F36" s="1002" t="s">
        <v>612</v>
      </c>
      <c r="G36" s="1001"/>
      <c r="H36" s="427" t="s">
        <v>612</v>
      </c>
      <c r="I36" s="427" t="s">
        <v>246</v>
      </c>
      <c r="J36" s="427" t="s">
        <v>247</v>
      </c>
      <c r="K36" s="427" t="s">
        <v>248</v>
      </c>
      <c r="L36" s="427" t="s">
        <v>249</v>
      </c>
      <c r="M36" s="87"/>
      <c r="N36" s="87"/>
    </row>
    <row r="37" spans="2:23" x14ac:dyDescent="0.25">
      <c r="B37" s="1005" t="s">
        <v>666</v>
      </c>
      <c r="C37" s="1006" t="s">
        <v>14</v>
      </c>
      <c r="D37" s="1645">
        <v>7.0000000000000007E-2</v>
      </c>
      <c r="E37" s="1005">
        <f>$AD$1</f>
        <v>288</v>
      </c>
      <c r="F37" s="1005">
        <f>D37*E37</f>
        <v>20.160000000000004</v>
      </c>
      <c r="G37" s="437"/>
      <c r="H37" s="425">
        <f>F37</f>
        <v>20.160000000000004</v>
      </c>
      <c r="I37" s="425">
        <f>VLOOKUP(B37,All_Ingredients!$A$1:$F$161,6,FALSE())</f>
        <v>0.65</v>
      </c>
      <c r="J37" s="425">
        <f>VLOOKUP(B37,All_Ingredients!$A$1:$J$161,10,FALSE())</f>
        <v>45</v>
      </c>
      <c r="K37" s="425">
        <f>(H37/I37)/1000</f>
        <v>3.1015384615384618E-2</v>
      </c>
      <c r="L37" s="425">
        <f>K37*J37</f>
        <v>1.3956923076923078</v>
      </c>
      <c r="M37" s="87"/>
      <c r="N37" s="87"/>
    </row>
    <row r="38" spans="2:23" x14ac:dyDescent="0.25">
      <c r="B38" s="1005" t="s">
        <v>19</v>
      </c>
      <c r="C38" s="1006" t="s">
        <v>14</v>
      </c>
      <c r="D38" s="1645">
        <v>1</v>
      </c>
      <c r="E38" s="1005">
        <f>$AD$1</f>
        <v>288</v>
      </c>
      <c r="F38" s="1005">
        <f>D38*E38</f>
        <v>288</v>
      </c>
      <c r="G38" s="437"/>
      <c r="H38" s="425">
        <f>F38</f>
        <v>288</v>
      </c>
      <c r="I38" s="425">
        <f>VLOOKUP(B38,All_Ingredients!$A$1:$F$161,6,FALSE())</f>
        <v>0.8</v>
      </c>
      <c r="J38" s="425">
        <f>VLOOKUP(B38,All_Ingredients!$A$1:$J$161,10,FALSE())</f>
        <v>2.6</v>
      </c>
      <c r="K38" s="425">
        <f>(H38/I38)/1000</f>
        <v>0.36</v>
      </c>
      <c r="L38" s="425">
        <f>K38*J38</f>
        <v>0.93599999999999994</v>
      </c>
      <c r="M38" s="87"/>
      <c r="N38" s="87"/>
    </row>
    <row r="39" spans="2:23" x14ac:dyDescent="0.25">
      <c r="B39" s="228"/>
      <c r="C39" s="168"/>
      <c r="D39" s="146"/>
      <c r="E39" s="189"/>
      <c r="F39" s="290"/>
      <c r="G39" s="92"/>
      <c r="H39" s="291"/>
      <c r="I39" s="73"/>
      <c r="J39" s="94"/>
      <c r="K39" s="73"/>
      <c r="L39" s="92"/>
      <c r="M39" s="87"/>
      <c r="N39" s="87"/>
    </row>
    <row r="40" spans="2:23" x14ac:dyDescent="0.25">
      <c r="B40" s="228"/>
      <c r="C40" s="168"/>
      <c r="D40" s="146"/>
      <c r="E40" s="189"/>
      <c r="F40" s="290"/>
      <c r="G40" s="92"/>
      <c r="H40" s="291"/>
      <c r="I40" s="73"/>
      <c r="J40" s="94"/>
      <c r="K40" s="73"/>
      <c r="L40" s="92"/>
      <c r="M40" s="87"/>
      <c r="N40" s="87"/>
      <c r="R40" s="119" t="s">
        <v>270</v>
      </c>
      <c r="S40" s="120">
        <v>0.76923076923076905</v>
      </c>
      <c r="T40" s="119" t="s">
        <v>271</v>
      </c>
      <c r="U40" s="121">
        <v>0.230769230769231</v>
      </c>
      <c r="V40" s="122">
        <f>S40+U40</f>
        <v>1</v>
      </c>
    </row>
    <row r="41" spans="2:23" x14ac:dyDescent="0.25">
      <c r="B41" s="228"/>
      <c r="C41" s="168"/>
      <c r="D41" s="146"/>
      <c r="E41" s="189"/>
      <c r="F41" s="290"/>
      <c r="G41" s="92"/>
      <c r="H41" s="291"/>
      <c r="I41" s="73"/>
      <c r="J41" s="94"/>
      <c r="K41" s="73"/>
      <c r="L41" s="92"/>
      <c r="M41" s="87"/>
      <c r="N41" s="87"/>
      <c r="U41" s="123"/>
    </row>
    <row r="42" spans="2:23" x14ac:dyDescent="0.25">
      <c r="B42" s="228"/>
      <c r="C42" s="168"/>
      <c r="D42" s="146"/>
      <c r="E42" s="189"/>
      <c r="F42" s="290"/>
      <c r="G42" s="92"/>
      <c r="H42" s="291"/>
      <c r="I42" s="73"/>
      <c r="J42" s="94"/>
      <c r="K42" s="73"/>
      <c r="L42" s="92"/>
      <c r="M42" s="87"/>
      <c r="N42" s="87"/>
    </row>
    <row r="43" spans="2:23" ht="15.75" thickBot="1" x14ac:dyDescent="0.3">
      <c r="B43" s="228"/>
      <c r="C43" s="168"/>
      <c r="D43" s="146"/>
      <c r="E43" s="189"/>
      <c r="F43" s="290"/>
      <c r="G43" s="92"/>
      <c r="H43" s="291"/>
      <c r="I43" s="73"/>
      <c r="J43" s="94"/>
      <c r="K43" s="73"/>
      <c r="L43" s="92"/>
      <c r="M43" s="87"/>
      <c r="N43" s="87"/>
      <c r="Q43" s="124" t="s">
        <v>272</v>
      </c>
      <c r="R43" s="124" t="s">
        <v>273</v>
      </c>
      <c r="S43" s="124" t="s">
        <v>274</v>
      </c>
      <c r="T43" s="124" t="s">
        <v>275</v>
      </c>
      <c r="U43" s="124" t="s">
        <v>276</v>
      </c>
      <c r="V43" s="124" t="s">
        <v>277</v>
      </c>
      <c r="W43" s="124" t="s">
        <v>278</v>
      </c>
    </row>
    <row r="44" spans="2:23" ht="15.75" thickBot="1" x14ac:dyDescent="0.3">
      <c r="B44" s="228"/>
      <c r="C44" s="168"/>
      <c r="D44" s="146"/>
      <c r="E44" s="189"/>
      <c r="F44" s="290"/>
      <c r="G44" s="92"/>
      <c r="H44" s="291"/>
      <c r="I44" s="73"/>
      <c r="J44" s="94"/>
      <c r="K44" s="73"/>
      <c r="L44" s="92"/>
      <c r="M44" s="87"/>
      <c r="N44" s="87"/>
      <c r="Q44" s="663">
        <v>17728</v>
      </c>
      <c r="R44" s="127">
        <f>D51</f>
        <v>10000</v>
      </c>
      <c r="S44" s="664">
        <v>0.40909090909090912</v>
      </c>
      <c r="T44" s="664">
        <v>0.59090909090909094</v>
      </c>
      <c r="U44" s="165">
        <f>R44*S44</f>
        <v>4090.909090909091</v>
      </c>
      <c r="V44" s="129">
        <f>R44*T44</f>
        <v>5909.090909090909</v>
      </c>
      <c r="W44" s="129">
        <f>Q44-U44</f>
        <v>13637.090909090908</v>
      </c>
    </row>
    <row r="50" spans="1:14" x14ac:dyDescent="0.25">
      <c r="B50" s="853"/>
      <c r="C50" s="130" t="s">
        <v>233</v>
      </c>
      <c r="D50" s="130" t="s">
        <v>279</v>
      </c>
      <c r="E50" s="80"/>
      <c r="F50" s="80"/>
      <c r="G50" s="130" t="s">
        <v>280</v>
      </c>
      <c r="H50" s="130" t="s">
        <v>233</v>
      </c>
      <c r="I50" s="130" t="s">
        <v>281</v>
      </c>
      <c r="J50" s="130" t="s">
        <v>282</v>
      </c>
      <c r="K50" s="73"/>
      <c r="L50" s="92"/>
      <c r="M50" s="87"/>
      <c r="N50" s="87"/>
    </row>
    <row r="51" spans="1:14" x14ac:dyDescent="0.25">
      <c r="B51" s="844" t="s">
        <v>283</v>
      </c>
      <c r="C51" s="133">
        <f>10/$K$1</f>
        <v>10.204081632653061</v>
      </c>
      <c r="D51" s="134">
        <f>$C$1*10</f>
        <v>10000</v>
      </c>
      <c r="E51" s="135"/>
      <c r="F51" s="80"/>
      <c r="G51" s="132" t="s">
        <v>283</v>
      </c>
      <c r="H51" s="182">
        <f>I51/$D$5</f>
        <v>10</v>
      </c>
      <c r="I51" s="133">
        <f>J51/$R$1</f>
        <v>23113.713405238828</v>
      </c>
      <c r="J51" s="133">
        <f>$W$44</f>
        <v>13637.090909090908</v>
      </c>
      <c r="K51" s="73"/>
      <c r="L51" s="92"/>
      <c r="M51" s="87"/>
      <c r="N51" s="87"/>
    </row>
    <row r="52" spans="1:14" x14ac:dyDescent="0.25">
      <c r="B52" s="846" t="s">
        <v>262</v>
      </c>
      <c r="C52" s="156">
        <f>$I$1</f>
        <v>24.457875457875467</v>
      </c>
      <c r="D52" s="157">
        <f>$E$1</f>
        <v>23968.717948717956</v>
      </c>
      <c r="E52" s="80"/>
      <c r="F52" s="80"/>
      <c r="G52" s="103" t="s">
        <v>262</v>
      </c>
      <c r="H52" s="145">
        <f>I52/$D$5</f>
        <v>23.967439685268065</v>
      </c>
      <c r="I52" s="129">
        <f>J52/$R$1</f>
        <v>55397.653194263352</v>
      </c>
      <c r="J52" s="136">
        <f>$S$32</f>
        <v>32684.615384615376</v>
      </c>
      <c r="K52" s="73"/>
      <c r="L52" s="92"/>
      <c r="M52" s="87"/>
      <c r="N52" s="87"/>
    </row>
    <row r="53" spans="1:14" x14ac:dyDescent="0.25">
      <c r="B53" s="846" t="s">
        <v>284</v>
      </c>
      <c r="C53" s="158">
        <f>MIN(C52, C51)</f>
        <v>10.204081632653061</v>
      </c>
      <c r="D53" s="157">
        <f>(C53*$K$1)*$C$1</f>
        <v>10000</v>
      </c>
      <c r="E53" s="80"/>
      <c r="F53" s="80"/>
      <c r="G53" s="103" t="s">
        <v>284</v>
      </c>
      <c r="H53" s="139">
        <f>MIN(H52,H51)</f>
        <v>10</v>
      </c>
      <c r="I53" s="129">
        <f>J53/$R$1</f>
        <v>23113.713405238828</v>
      </c>
      <c r="J53" s="129">
        <f>MIN(J52,J51)</f>
        <v>13637.090909090908</v>
      </c>
      <c r="L53" s="190"/>
    </row>
    <row r="54" spans="1:14" x14ac:dyDescent="0.25">
      <c r="B54" s="846" t="s">
        <v>285</v>
      </c>
      <c r="C54" s="158">
        <f>MIN(MAX(C52-C53,0),C51)</f>
        <v>10.204081632653061</v>
      </c>
      <c r="D54" s="157">
        <f>(C54*$K$1)*$C$1</f>
        <v>10000</v>
      </c>
      <c r="E54" s="80"/>
      <c r="F54" s="80"/>
      <c r="G54" s="103" t="s">
        <v>285</v>
      </c>
      <c r="H54" s="139">
        <f>MIN(MAX(H52-H53),H51)</f>
        <v>10</v>
      </c>
      <c r="I54" s="129">
        <f>J54/$R$1</f>
        <v>23113.713405238828</v>
      </c>
      <c r="J54" s="129">
        <f>MIN(MAX(J52-J53),J51)</f>
        <v>13637.090909090908</v>
      </c>
      <c r="L54" s="190"/>
    </row>
    <row r="55" spans="1:14" x14ac:dyDescent="0.25">
      <c r="B55" s="846" t="s">
        <v>286</v>
      </c>
      <c r="C55" s="158">
        <f>MIN(MAX(C52-C53-C54,0),C51)</f>
        <v>4.0497121925693449</v>
      </c>
      <c r="D55" s="157">
        <f>(C55*$K$1)*$C$1</f>
        <v>3968.7179487179578</v>
      </c>
      <c r="E55" s="80"/>
      <c r="F55" s="80"/>
      <c r="G55" s="100" t="s">
        <v>286</v>
      </c>
      <c r="H55" s="139">
        <f>MIN(MAX(H52-H53-H54),H51)</f>
        <v>3.9674396852680651</v>
      </c>
      <c r="I55" s="129">
        <f>J55/$R$1</f>
        <v>9170.2263837856954</v>
      </c>
      <c r="J55" s="129">
        <f>MIN(MAX(J52-J53-J54),J51)</f>
        <v>5410.4335664335595</v>
      </c>
    </row>
    <row r="59" spans="1:14" x14ac:dyDescent="0.25">
      <c r="B59" s="312"/>
      <c r="C59" s="206"/>
      <c r="D59" s="239"/>
      <c r="E59" s="80"/>
      <c r="F59" s="80"/>
    </row>
    <row r="60" spans="1:14" x14ac:dyDescent="0.25">
      <c r="B60" s="312"/>
      <c r="C60" s="206"/>
      <c r="D60" s="239"/>
      <c r="E60" s="80"/>
      <c r="F60" s="80"/>
    </row>
    <row r="62" spans="1:14" x14ac:dyDescent="0.25">
      <c r="A62" s="867"/>
      <c r="B62" s="1871" t="str">
        <f>"دجاج بالزنجبيل   1 / " &amp; COUNTIF($C$53:$C$55, "&gt;0")</f>
        <v>دجاج بالزنجبيل   1 / 3</v>
      </c>
      <c r="C62" s="1880"/>
      <c r="D62" s="1880"/>
      <c r="E62" s="1880"/>
      <c r="F62" s="1880"/>
      <c r="G62" s="1880"/>
      <c r="H62" s="1880"/>
    </row>
    <row r="63" spans="1:14" x14ac:dyDescent="0.25">
      <c r="A63" s="867"/>
      <c r="B63" s="1872" t="str">
        <f>"Ginger Chicken  1 / " &amp; COUNTIF($C$53:$C$55, "&gt;0")</f>
        <v>Ginger Chicken  1 / 3</v>
      </c>
      <c r="C63" s="1883"/>
      <c r="D63" s="1883"/>
      <c r="E63" s="1883"/>
      <c r="F63" s="1883"/>
      <c r="G63" s="1883"/>
      <c r="H63" s="1883"/>
    </row>
    <row r="64" spans="1:14" ht="25.5" x14ac:dyDescent="0.2">
      <c r="A64" s="1350" t="s">
        <v>864</v>
      </c>
      <c r="B64" s="1103" t="s">
        <v>241</v>
      </c>
      <c r="C64" s="934" t="s">
        <v>242</v>
      </c>
      <c r="D64" s="1104" t="s">
        <v>231</v>
      </c>
      <c r="E64" s="936" t="s">
        <v>234</v>
      </c>
      <c r="F64" s="936" t="s">
        <v>243</v>
      </c>
      <c r="G64" s="1104" t="s">
        <v>244</v>
      </c>
      <c r="H64" s="936" t="s">
        <v>245</v>
      </c>
    </row>
    <row r="65" spans="1:8" x14ac:dyDescent="0.2">
      <c r="A65" s="1718" t="s">
        <v>873</v>
      </c>
      <c r="B65" s="1115" t="str">
        <f t="shared" ref="B65:D84" si="14">B5</f>
        <v>Chicken - دجاج</v>
      </c>
      <c r="C65" s="1115" t="str">
        <f t="shared" si="14"/>
        <v>gm</v>
      </c>
      <c r="D65" s="1720">
        <f t="shared" si="14"/>
        <v>2311.3713405238827</v>
      </c>
      <c r="E65" s="1687">
        <f>H53</f>
        <v>10</v>
      </c>
      <c r="F65" s="1626">
        <f t="shared" ref="F65:F84" si="15">F5</f>
        <v>1</v>
      </c>
      <c r="G65" s="940">
        <f t="shared" ref="G65:G83" si="16">D65*E65</f>
        <v>23113.713405238828</v>
      </c>
      <c r="H65" s="1038">
        <f t="shared" ref="H65:H83" si="17">G65*F65</f>
        <v>23113.713405238828</v>
      </c>
    </row>
    <row r="66" spans="1:8" x14ac:dyDescent="0.25">
      <c r="A66" s="949" t="s">
        <v>880</v>
      </c>
      <c r="B66" s="1115" t="str">
        <f t="shared" si="14"/>
        <v>Onion - بصل</v>
      </c>
      <c r="C66" s="1115" t="str">
        <f t="shared" si="14"/>
        <v>gm</v>
      </c>
      <c r="D66" s="1115">
        <f t="shared" si="14"/>
        <v>150</v>
      </c>
      <c r="E66" s="1687">
        <f t="shared" ref="E66:E84" si="18">$C$53</f>
        <v>10.204081632653061</v>
      </c>
      <c r="F66" s="1626">
        <f t="shared" si="15"/>
        <v>0.95</v>
      </c>
      <c r="G66" s="940">
        <f t="shared" si="16"/>
        <v>1530.612244897959</v>
      </c>
      <c r="H66" s="1038">
        <f t="shared" si="17"/>
        <v>1454.081632653061</v>
      </c>
    </row>
    <row r="67" spans="1:8" x14ac:dyDescent="0.25">
      <c r="A67" s="949" t="s">
        <v>945</v>
      </c>
      <c r="B67" s="1115" t="str">
        <f t="shared" si="14"/>
        <v>Tomato - طماطم</v>
      </c>
      <c r="C67" s="1115" t="str">
        <f t="shared" si="14"/>
        <v>gm</v>
      </c>
      <c r="D67" s="1115">
        <f t="shared" si="14"/>
        <v>450</v>
      </c>
      <c r="E67" s="1687">
        <f t="shared" si="18"/>
        <v>10.204081632653061</v>
      </c>
      <c r="F67" s="1626">
        <f t="shared" si="15"/>
        <v>1</v>
      </c>
      <c r="G67" s="940">
        <f t="shared" si="16"/>
        <v>4591.8367346938776</v>
      </c>
      <c r="H67" s="1038">
        <f t="shared" si="17"/>
        <v>4591.8367346938776</v>
      </c>
    </row>
    <row r="68" spans="1:8" x14ac:dyDescent="0.25">
      <c r="A68" s="949" t="s">
        <v>867</v>
      </c>
      <c r="B68" s="1115" t="str">
        <f t="shared" si="14"/>
        <v>Ginger - زنجبيل</v>
      </c>
      <c r="C68" s="1115" t="str">
        <f t="shared" si="14"/>
        <v>gm</v>
      </c>
      <c r="D68" s="1115">
        <f t="shared" si="14"/>
        <v>25</v>
      </c>
      <c r="E68" s="1687">
        <f t="shared" si="18"/>
        <v>10.204081632653061</v>
      </c>
      <c r="F68" s="1626">
        <f t="shared" si="15"/>
        <v>0.9</v>
      </c>
      <c r="G68" s="940">
        <f t="shared" si="16"/>
        <v>255.10204081632654</v>
      </c>
      <c r="H68" s="1038">
        <f t="shared" si="17"/>
        <v>229.59183673469389</v>
      </c>
    </row>
    <row r="69" spans="1:8" x14ac:dyDescent="0.25">
      <c r="B69" s="1115" t="str">
        <f t="shared" si="14"/>
        <v>Garlic - ثوم مقشر</v>
      </c>
      <c r="C69" s="1115" t="str">
        <f t="shared" si="14"/>
        <v>gm</v>
      </c>
      <c r="D69" s="1115">
        <f t="shared" si="14"/>
        <v>25</v>
      </c>
      <c r="E69" s="1687">
        <f t="shared" si="18"/>
        <v>10.204081632653061</v>
      </c>
      <c r="F69" s="1626">
        <f t="shared" si="15"/>
        <v>0.9</v>
      </c>
      <c r="G69" s="940">
        <f t="shared" si="16"/>
        <v>255.10204081632654</v>
      </c>
      <c r="H69" s="1038">
        <f t="shared" si="17"/>
        <v>229.59183673469389</v>
      </c>
    </row>
    <row r="70" spans="1:8" x14ac:dyDescent="0.25">
      <c r="B70" s="1115" t="str">
        <f t="shared" si="14"/>
        <v>Green Chilli Pepper - فلفل أخضر حار</v>
      </c>
      <c r="C70" s="1115" t="str">
        <f t="shared" si="14"/>
        <v>gm</v>
      </c>
      <c r="D70" s="1115">
        <f t="shared" si="14"/>
        <v>5</v>
      </c>
      <c r="E70" s="1687">
        <f t="shared" si="18"/>
        <v>10.204081632653061</v>
      </c>
      <c r="F70" s="1626">
        <f t="shared" si="15"/>
        <v>0.75</v>
      </c>
      <c r="G70" s="940">
        <f t="shared" si="16"/>
        <v>51.020408163265301</v>
      </c>
      <c r="H70" s="1038">
        <f t="shared" si="17"/>
        <v>38.265306122448976</v>
      </c>
    </row>
    <row r="71" spans="1:8" x14ac:dyDescent="0.25">
      <c r="B71" s="1115" t="str">
        <f t="shared" si="14"/>
        <v>Cumin Powder - كمون مطحون</v>
      </c>
      <c r="C71" s="1115" t="str">
        <f t="shared" si="14"/>
        <v>gm</v>
      </c>
      <c r="D71" s="1115">
        <f t="shared" si="14"/>
        <v>5</v>
      </c>
      <c r="E71" s="1687">
        <f t="shared" si="18"/>
        <v>10.204081632653061</v>
      </c>
      <c r="F71" s="1626">
        <f t="shared" si="15"/>
        <v>1</v>
      </c>
      <c r="G71" s="940">
        <f t="shared" si="16"/>
        <v>51.020408163265301</v>
      </c>
      <c r="H71" s="1038">
        <f t="shared" si="17"/>
        <v>51.020408163265301</v>
      </c>
    </row>
    <row r="72" spans="1:8" x14ac:dyDescent="0.25">
      <c r="B72" s="1115" t="str">
        <f t="shared" si="14"/>
        <v>Red Chilli Powder - شطة حمراء مطحونة</v>
      </c>
      <c r="C72" s="1115" t="str">
        <f t="shared" si="14"/>
        <v>gm</v>
      </c>
      <c r="D72" s="1115">
        <f t="shared" si="14"/>
        <v>3</v>
      </c>
      <c r="E72" s="1687">
        <f t="shared" si="18"/>
        <v>10.204081632653061</v>
      </c>
      <c r="F72" s="1626">
        <f t="shared" si="15"/>
        <v>0.75</v>
      </c>
      <c r="G72" s="940">
        <f t="shared" si="16"/>
        <v>30.612244897959183</v>
      </c>
      <c r="H72" s="1038">
        <f t="shared" si="17"/>
        <v>22.959183673469386</v>
      </c>
    </row>
    <row r="73" spans="1:8" x14ac:dyDescent="0.25">
      <c r="B73" s="1115" t="str">
        <f t="shared" si="14"/>
        <v>Maggi Cubes - مكعبات ماجي</v>
      </c>
      <c r="C73" s="1115" t="str">
        <f t="shared" si="14"/>
        <v>gm</v>
      </c>
      <c r="D73" s="1115">
        <f t="shared" si="14"/>
        <v>7</v>
      </c>
      <c r="E73" s="1687">
        <f t="shared" si="18"/>
        <v>10.204081632653061</v>
      </c>
      <c r="F73" s="1626">
        <f t="shared" si="15"/>
        <v>0.75</v>
      </c>
      <c r="G73" s="940">
        <f t="shared" si="16"/>
        <v>71.428571428571431</v>
      </c>
      <c r="H73" s="1038">
        <f t="shared" si="17"/>
        <v>53.571428571428569</v>
      </c>
    </row>
    <row r="74" spans="1:8" x14ac:dyDescent="0.25">
      <c r="B74" s="1115" t="str">
        <f t="shared" si="14"/>
        <v>Kasuri Methi - ورق حلبة مجففة</v>
      </c>
      <c r="C74" s="1115" t="str">
        <f t="shared" si="14"/>
        <v>gm</v>
      </c>
      <c r="D74" s="1115">
        <f t="shared" si="14"/>
        <v>1</v>
      </c>
      <c r="E74" s="1687">
        <f t="shared" si="18"/>
        <v>10.204081632653061</v>
      </c>
      <c r="F74" s="1626">
        <f t="shared" si="15"/>
        <v>0.75</v>
      </c>
      <c r="G74" s="940">
        <f t="shared" si="16"/>
        <v>10.204081632653061</v>
      </c>
      <c r="H74" s="1038">
        <f t="shared" si="17"/>
        <v>7.6530612244897958</v>
      </c>
    </row>
    <row r="75" spans="1:8" x14ac:dyDescent="0.25">
      <c r="B75" s="1115" t="str">
        <f t="shared" si="14"/>
        <v>Cooking Cream - كريمة طبخ</v>
      </c>
      <c r="C75" s="1115" t="str">
        <f t="shared" si="14"/>
        <v>ml</v>
      </c>
      <c r="D75" s="1115">
        <f t="shared" si="14"/>
        <v>300</v>
      </c>
      <c r="E75" s="1687">
        <f t="shared" si="18"/>
        <v>10.204081632653061</v>
      </c>
      <c r="F75" s="1626">
        <f t="shared" si="15"/>
        <v>1</v>
      </c>
      <c r="G75" s="940">
        <f t="shared" si="16"/>
        <v>3061.2244897959181</v>
      </c>
      <c r="H75" s="1038">
        <f t="shared" si="17"/>
        <v>3061.2244897959181</v>
      </c>
    </row>
    <row r="76" spans="1:8" x14ac:dyDescent="0.25">
      <c r="B76" s="1115" t="str">
        <f t="shared" si="14"/>
        <v>Water - ماء</v>
      </c>
      <c r="C76" s="1115" t="str">
        <f t="shared" si="14"/>
        <v>ml</v>
      </c>
      <c r="D76" s="1115">
        <f t="shared" si="14"/>
        <v>100</v>
      </c>
      <c r="E76" s="1687">
        <f t="shared" si="18"/>
        <v>10.204081632653061</v>
      </c>
      <c r="F76" s="1626">
        <f t="shared" si="15"/>
        <v>1</v>
      </c>
      <c r="G76" s="940">
        <f t="shared" si="16"/>
        <v>1020.4081632653061</v>
      </c>
      <c r="H76" s="1038">
        <f t="shared" si="17"/>
        <v>1020.4081632653061</v>
      </c>
    </row>
    <row r="77" spans="1:8" x14ac:dyDescent="0.25">
      <c r="B77" s="1115" t="str">
        <f t="shared" si="14"/>
        <v>Coriander Powder - كزبرة مطحونة</v>
      </c>
      <c r="C77" s="1115" t="str">
        <f t="shared" si="14"/>
        <v>gm</v>
      </c>
      <c r="D77" s="1115">
        <f t="shared" si="14"/>
        <v>5</v>
      </c>
      <c r="E77" s="1687">
        <f t="shared" si="18"/>
        <v>10.204081632653061</v>
      </c>
      <c r="F77" s="1626">
        <f t="shared" si="15"/>
        <v>1</v>
      </c>
      <c r="G77" s="940">
        <f t="shared" si="16"/>
        <v>51.020408163265301</v>
      </c>
      <c r="H77" s="1038">
        <f t="shared" si="17"/>
        <v>51.020408163265301</v>
      </c>
    </row>
    <row r="78" spans="1:8" x14ac:dyDescent="0.25">
      <c r="B78" s="1115" t="str">
        <f t="shared" si="14"/>
        <v>Saffron yellow color powder - لون صفار زعفران بودر</v>
      </c>
      <c r="C78" s="1115" t="str">
        <f t="shared" si="14"/>
        <v>gm</v>
      </c>
      <c r="D78" s="1115">
        <f t="shared" si="14"/>
        <v>1</v>
      </c>
      <c r="E78" s="1687">
        <f t="shared" si="18"/>
        <v>10.204081632653061</v>
      </c>
      <c r="F78" s="1626">
        <f t="shared" si="15"/>
        <v>1</v>
      </c>
      <c r="G78" s="940">
        <f t="shared" si="16"/>
        <v>10.204081632653061</v>
      </c>
      <c r="H78" s="1038">
        <f t="shared" si="17"/>
        <v>10.204081632653061</v>
      </c>
    </row>
    <row r="79" spans="1:8" x14ac:dyDescent="0.25">
      <c r="B79" s="1115" t="str">
        <f t="shared" si="14"/>
        <v>Salt - ملح</v>
      </c>
      <c r="C79" s="1115" t="str">
        <f t="shared" si="14"/>
        <v>gm</v>
      </c>
      <c r="D79" s="1115">
        <f t="shared" si="14"/>
        <v>5</v>
      </c>
      <c r="E79" s="1687">
        <f t="shared" si="18"/>
        <v>10.204081632653061</v>
      </c>
      <c r="F79" s="1626">
        <f t="shared" si="15"/>
        <v>0.75</v>
      </c>
      <c r="G79" s="940">
        <f t="shared" si="16"/>
        <v>51.020408163265301</v>
      </c>
      <c r="H79" s="1038">
        <f t="shared" si="17"/>
        <v>38.265306122448976</v>
      </c>
    </row>
    <row r="80" spans="1:8" x14ac:dyDescent="0.25">
      <c r="B80" s="1115" t="str">
        <f t="shared" si="14"/>
        <v>Butter - زبدة</v>
      </c>
      <c r="C80" s="1115" t="str">
        <f t="shared" si="14"/>
        <v>gm</v>
      </c>
      <c r="D80" s="1115">
        <f t="shared" si="14"/>
        <v>40</v>
      </c>
      <c r="E80" s="1687">
        <f t="shared" si="18"/>
        <v>10.204081632653061</v>
      </c>
      <c r="F80" s="1626">
        <f t="shared" si="15"/>
        <v>1</v>
      </c>
      <c r="G80" s="940">
        <f t="shared" si="16"/>
        <v>408.16326530612241</v>
      </c>
      <c r="H80" s="1038">
        <f t="shared" si="17"/>
        <v>408.16326530612241</v>
      </c>
    </row>
    <row r="81" spans="1:8" x14ac:dyDescent="0.25">
      <c r="B81" s="1115" t="str">
        <f t="shared" si="14"/>
        <v>Tomato Paste - صلصة طماطم</v>
      </c>
      <c r="C81" s="1115" t="str">
        <f t="shared" si="14"/>
        <v>gm</v>
      </c>
      <c r="D81" s="1115">
        <f t="shared" si="14"/>
        <v>20</v>
      </c>
      <c r="E81" s="1687">
        <f t="shared" si="18"/>
        <v>10.204081632653061</v>
      </c>
      <c r="F81" s="1626">
        <f t="shared" si="15"/>
        <v>1</v>
      </c>
      <c r="G81" s="940">
        <f t="shared" si="16"/>
        <v>204.08163265306121</v>
      </c>
      <c r="H81" s="1038">
        <f t="shared" si="17"/>
        <v>204.08163265306121</v>
      </c>
    </row>
    <row r="82" spans="1:8" x14ac:dyDescent="0.25">
      <c r="B82" s="1115" t="str">
        <f t="shared" si="14"/>
        <v>Yogurt - زبادي</v>
      </c>
      <c r="C82" s="1115" t="str">
        <f t="shared" si="14"/>
        <v>gm</v>
      </c>
      <c r="D82" s="1115">
        <f t="shared" si="14"/>
        <v>100</v>
      </c>
      <c r="E82" s="1687">
        <f t="shared" si="18"/>
        <v>10.204081632653061</v>
      </c>
      <c r="F82" s="1626">
        <f t="shared" si="15"/>
        <v>1</v>
      </c>
      <c r="G82" s="940">
        <f t="shared" si="16"/>
        <v>1020.4081632653061</v>
      </c>
      <c r="H82" s="1038">
        <f t="shared" si="17"/>
        <v>1020.4081632653061</v>
      </c>
    </row>
    <row r="83" spans="1:8" x14ac:dyDescent="0.25">
      <c r="B83" s="1115" t="str">
        <f t="shared" si="14"/>
        <v>Turmeric - كركم</v>
      </c>
      <c r="C83" s="1115" t="str">
        <f t="shared" si="14"/>
        <v>gm</v>
      </c>
      <c r="D83" s="1115">
        <f t="shared" si="14"/>
        <v>5</v>
      </c>
      <c r="E83" s="1687">
        <f t="shared" si="18"/>
        <v>10.204081632653061</v>
      </c>
      <c r="F83" s="1626">
        <f t="shared" si="15"/>
        <v>0.75</v>
      </c>
      <c r="G83" s="940">
        <f t="shared" si="16"/>
        <v>51.020408163265301</v>
      </c>
      <c r="H83" s="1038">
        <f t="shared" si="17"/>
        <v>38.265306122448976</v>
      </c>
    </row>
    <row r="84" spans="1:8" x14ac:dyDescent="0.25">
      <c r="B84" s="1115" t="str">
        <f t="shared" si="14"/>
        <v>Corn Starch - نشا ذرة</v>
      </c>
      <c r="C84" s="1115" t="str">
        <f t="shared" si="14"/>
        <v>gm</v>
      </c>
      <c r="D84" s="1115">
        <f t="shared" si="14"/>
        <v>20</v>
      </c>
      <c r="E84" s="1687">
        <f t="shared" si="18"/>
        <v>10.204081632653061</v>
      </c>
      <c r="F84" s="1626">
        <f t="shared" si="15"/>
        <v>1</v>
      </c>
      <c r="G84" s="940">
        <f t="shared" ref="G84" si="19">D84*E84</f>
        <v>204.08163265306121</v>
      </c>
      <c r="H84" s="1038">
        <f t="shared" ref="H84" si="20">G84*F84</f>
        <v>204.08163265306121</v>
      </c>
    </row>
    <row r="85" spans="1:8" ht="18" x14ac:dyDescent="0.25">
      <c r="A85" s="861"/>
      <c r="B85" s="1622" t="s">
        <v>287</v>
      </c>
      <c r="C85" s="1042" t="s">
        <v>273</v>
      </c>
      <c r="D85" s="952"/>
      <c r="E85" s="1042" t="s">
        <v>288</v>
      </c>
      <c r="F85" s="952"/>
      <c r="G85" s="1045" t="s">
        <v>264</v>
      </c>
      <c r="H85" s="1045" t="s">
        <v>661</v>
      </c>
    </row>
    <row r="86" spans="1:8" ht="20.25" x14ac:dyDescent="0.3">
      <c r="A86" s="861"/>
      <c r="B86" s="1048">
        <f>$J$53</f>
        <v>13637.090909090908</v>
      </c>
      <c r="C86" s="1048">
        <f>E86+G86</f>
        <v>10000</v>
      </c>
      <c r="D86" s="1629"/>
      <c r="E86" s="1048">
        <f>$D$53*$S$44</f>
        <v>4090.909090909091</v>
      </c>
      <c r="F86" s="1050"/>
      <c r="G86" s="1048">
        <f>$D$53*$T$44</f>
        <v>5909.090909090909</v>
      </c>
      <c r="H86" s="1048">
        <f>B86+E86</f>
        <v>17728</v>
      </c>
    </row>
    <row r="87" spans="1:8" x14ac:dyDescent="0.25">
      <c r="B87" s="1208"/>
      <c r="C87" s="1346"/>
      <c r="D87" s="972"/>
      <c r="E87" s="1208"/>
      <c r="F87" s="1208"/>
      <c r="G87" s="952"/>
      <c r="H87" s="952"/>
    </row>
    <row r="88" spans="1:8" x14ac:dyDescent="0.25">
      <c r="A88" s="867"/>
      <c r="B88" s="1776" t="str">
        <f>"دجاج بالزنجبيل   2 / " &amp; COUNTIF($C$53:$C$55, "&gt;0")</f>
        <v>دجاج بالزنجبيل   2 / 3</v>
      </c>
      <c r="C88" s="1777"/>
      <c r="D88" s="1777"/>
      <c r="E88" s="1777"/>
      <c r="F88" s="1777"/>
      <c r="G88" s="1777"/>
      <c r="H88" s="1777"/>
    </row>
    <row r="89" spans="1:8" x14ac:dyDescent="0.25">
      <c r="A89" s="867"/>
      <c r="B89" s="1842" t="str">
        <f>"Ginger Chicken  2 / " &amp; COUNTIF($C$53:$C$55, "&gt;0")</f>
        <v>Ginger Chicken  2 / 3</v>
      </c>
      <c r="C89" s="1843"/>
      <c r="D89" s="1843"/>
      <c r="E89" s="1843"/>
      <c r="F89" s="1843"/>
      <c r="G89" s="1843"/>
      <c r="H89" s="1843"/>
    </row>
    <row r="90" spans="1:8" ht="25.5" x14ac:dyDescent="0.2">
      <c r="A90" s="1350" t="s">
        <v>864</v>
      </c>
      <c r="B90" s="1103" t="s">
        <v>241</v>
      </c>
      <c r="C90" s="934" t="s">
        <v>242</v>
      </c>
      <c r="D90" s="1104" t="s">
        <v>231</v>
      </c>
      <c r="E90" s="936" t="s">
        <v>234</v>
      </c>
      <c r="F90" s="936" t="s">
        <v>243</v>
      </c>
      <c r="G90" s="1104" t="s">
        <v>244</v>
      </c>
      <c r="H90" s="936" t="s">
        <v>245</v>
      </c>
    </row>
    <row r="91" spans="1:8" x14ac:dyDescent="0.2">
      <c r="A91" s="1718" t="s">
        <v>873</v>
      </c>
      <c r="B91" s="1115" t="str">
        <f t="shared" ref="B91:D110" si="21">B5</f>
        <v>Chicken - دجاج</v>
      </c>
      <c r="C91" s="1115" t="str">
        <f t="shared" si="21"/>
        <v>gm</v>
      </c>
      <c r="D91" s="1720">
        <f t="shared" si="21"/>
        <v>2311.3713405238827</v>
      </c>
      <c r="E91" s="1621">
        <f>H54</f>
        <v>10</v>
      </c>
      <c r="F91" s="1626">
        <f t="shared" ref="F91:F110" si="22">F5</f>
        <v>1</v>
      </c>
      <c r="G91" s="940">
        <f t="shared" ref="G91:G109" si="23">D91*E91</f>
        <v>23113.713405238828</v>
      </c>
      <c r="H91" s="1038">
        <f t="shared" ref="H91:H109" si="24">G91*F91</f>
        <v>23113.713405238828</v>
      </c>
    </row>
    <row r="92" spans="1:8" x14ac:dyDescent="0.25">
      <c r="A92" s="949" t="s">
        <v>880</v>
      </c>
      <c r="B92" s="1115" t="str">
        <f t="shared" si="21"/>
        <v>Onion - بصل</v>
      </c>
      <c r="C92" s="1115" t="str">
        <f t="shared" si="21"/>
        <v>gm</v>
      </c>
      <c r="D92" s="1115">
        <f t="shared" si="21"/>
        <v>150</v>
      </c>
      <c r="E92" s="1621">
        <f t="shared" ref="E92:E110" si="25">$C$54</f>
        <v>10.204081632653061</v>
      </c>
      <c r="F92" s="1626">
        <f t="shared" si="22"/>
        <v>0.95</v>
      </c>
      <c r="G92" s="940">
        <f t="shared" si="23"/>
        <v>1530.612244897959</v>
      </c>
      <c r="H92" s="1038">
        <f t="shared" si="24"/>
        <v>1454.081632653061</v>
      </c>
    </row>
    <row r="93" spans="1:8" x14ac:dyDescent="0.25">
      <c r="A93" s="949" t="s">
        <v>945</v>
      </c>
      <c r="B93" s="1115" t="str">
        <f t="shared" si="21"/>
        <v>Tomato - طماطم</v>
      </c>
      <c r="C93" s="1115" t="str">
        <f t="shared" si="21"/>
        <v>gm</v>
      </c>
      <c r="D93" s="1115">
        <f t="shared" si="21"/>
        <v>450</v>
      </c>
      <c r="E93" s="1621">
        <f t="shared" si="25"/>
        <v>10.204081632653061</v>
      </c>
      <c r="F93" s="1626">
        <f t="shared" si="22"/>
        <v>1</v>
      </c>
      <c r="G93" s="940">
        <f t="shared" si="23"/>
        <v>4591.8367346938776</v>
      </c>
      <c r="H93" s="1038">
        <f t="shared" si="24"/>
        <v>4591.8367346938776</v>
      </c>
    </row>
    <row r="94" spans="1:8" x14ac:dyDescent="0.25">
      <c r="A94" s="949" t="s">
        <v>867</v>
      </c>
      <c r="B94" s="1115" t="str">
        <f t="shared" si="21"/>
        <v>Ginger - زنجبيل</v>
      </c>
      <c r="C94" s="1115" t="str">
        <f t="shared" si="21"/>
        <v>gm</v>
      </c>
      <c r="D94" s="1115">
        <f t="shared" si="21"/>
        <v>25</v>
      </c>
      <c r="E94" s="1621">
        <f t="shared" si="25"/>
        <v>10.204081632653061</v>
      </c>
      <c r="F94" s="1626">
        <f t="shared" si="22"/>
        <v>0.9</v>
      </c>
      <c r="G94" s="940">
        <f t="shared" si="23"/>
        <v>255.10204081632654</v>
      </c>
      <c r="H94" s="1038">
        <f t="shared" si="24"/>
        <v>229.59183673469389</v>
      </c>
    </row>
    <row r="95" spans="1:8" x14ac:dyDescent="0.25">
      <c r="B95" s="1115" t="str">
        <f t="shared" si="21"/>
        <v>Garlic - ثوم مقشر</v>
      </c>
      <c r="C95" s="1115" t="str">
        <f t="shared" si="21"/>
        <v>gm</v>
      </c>
      <c r="D95" s="1115">
        <f t="shared" si="21"/>
        <v>25</v>
      </c>
      <c r="E95" s="1621">
        <f t="shared" si="25"/>
        <v>10.204081632653061</v>
      </c>
      <c r="F95" s="1626">
        <f t="shared" si="22"/>
        <v>0.9</v>
      </c>
      <c r="G95" s="940">
        <f t="shared" si="23"/>
        <v>255.10204081632654</v>
      </c>
      <c r="H95" s="1038">
        <f t="shared" si="24"/>
        <v>229.59183673469389</v>
      </c>
    </row>
    <row r="96" spans="1:8" x14ac:dyDescent="0.25">
      <c r="B96" s="1115" t="str">
        <f t="shared" si="21"/>
        <v>Green Chilli Pepper - فلفل أخضر حار</v>
      </c>
      <c r="C96" s="1115" t="str">
        <f t="shared" si="21"/>
        <v>gm</v>
      </c>
      <c r="D96" s="1115">
        <f t="shared" si="21"/>
        <v>5</v>
      </c>
      <c r="E96" s="1621">
        <f t="shared" si="25"/>
        <v>10.204081632653061</v>
      </c>
      <c r="F96" s="1626">
        <f t="shared" si="22"/>
        <v>0.75</v>
      </c>
      <c r="G96" s="940">
        <f t="shared" si="23"/>
        <v>51.020408163265301</v>
      </c>
      <c r="H96" s="1038">
        <f t="shared" si="24"/>
        <v>38.265306122448976</v>
      </c>
    </row>
    <row r="97" spans="1:8" x14ac:dyDescent="0.25">
      <c r="B97" s="1115" t="str">
        <f t="shared" si="21"/>
        <v>Cumin Powder - كمون مطحون</v>
      </c>
      <c r="C97" s="1115" t="str">
        <f t="shared" si="21"/>
        <v>gm</v>
      </c>
      <c r="D97" s="1115">
        <f t="shared" si="21"/>
        <v>5</v>
      </c>
      <c r="E97" s="1621">
        <f t="shared" si="25"/>
        <v>10.204081632653061</v>
      </c>
      <c r="F97" s="1626">
        <f t="shared" si="22"/>
        <v>1</v>
      </c>
      <c r="G97" s="940">
        <f t="shared" si="23"/>
        <v>51.020408163265301</v>
      </c>
      <c r="H97" s="1038">
        <f t="shared" si="24"/>
        <v>51.020408163265301</v>
      </c>
    </row>
    <row r="98" spans="1:8" x14ac:dyDescent="0.25">
      <c r="B98" s="1115" t="str">
        <f t="shared" si="21"/>
        <v>Red Chilli Powder - شطة حمراء مطحونة</v>
      </c>
      <c r="C98" s="1115" t="str">
        <f t="shared" si="21"/>
        <v>gm</v>
      </c>
      <c r="D98" s="1115">
        <f t="shared" si="21"/>
        <v>3</v>
      </c>
      <c r="E98" s="1621">
        <f t="shared" si="25"/>
        <v>10.204081632653061</v>
      </c>
      <c r="F98" s="1626">
        <f t="shared" si="22"/>
        <v>0.75</v>
      </c>
      <c r="G98" s="940">
        <f t="shared" si="23"/>
        <v>30.612244897959183</v>
      </c>
      <c r="H98" s="1038">
        <f t="shared" si="24"/>
        <v>22.959183673469386</v>
      </c>
    </row>
    <row r="99" spans="1:8" x14ac:dyDescent="0.25">
      <c r="B99" s="1115" t="str">
        <f t="shared" si="21"/>
        <v>Maggi Cubes - مكعبات ماجي</v>
      </c>
      <c r="C99" s="1115" t="str">
        <f t="shared" si="21"/>
        <v>gm</v>
      </c>
      <c r="D99" s="1115">
        <f t="shared" si="21"/>
        <v>7</v>
      </c>
      <c r="E99" s="1621">
        <f t="shared" si="25"/>
        <v>10.204081632653061</v>
      </c>
      <c r="F99" s="1626">
        <f t="shared" si="22"/>
        <v>0.75</v>
      </c>
      <c r="G99" s="940">
        <f t="shared" si="23"/>
        <v>71.428571428571431</v>
      </c>
      <c r="H99" s="1038">
        <f t="shared" si="24"/>
        <v>53.571428571428569</v>
      </c>
    </row>
    <row r="100" spans="1:8" x14ac:dyDescent="0.25">
      <c r="B100" s="1115" t="str">
        <f t="shared" si="21"/>
        <v>Kasuri Methi - ورق حلبة مجففة</v>
      </c>
      <c r="C100" s="1115" t="str">
        <f t="shared" si="21"/>
        <v>gm</v>
      </c>
      <c r="D100" s="1115">
        <f t="shared" si="21"/>
        <v>1</v>
      </c>
      <c r="E100" s="1621">
        <f t="shared" si="25"/>
        <v>10.204081632653061</v>
      </c>
      <c r="F100" s="1626">
        <f t="shared" si="22"/>
        <v>0.75</v>
      </c>
      <c r="G100" s="940">
        <f t="shared" si="23"/>
        <v>10.204081632653061</v>
      </c>
      <c r="H100" s="1038">
        <f t="shared" si="24"/>
        <v>7.6530612244897958</v>
      </c>
    </row>
    <row r="101" spans="1:8" x14ac:dyDescent="0.25">
      <c r="B101" s="1115" t="str">
        <f t="shared" si="21"/>
        <v>Cooking Cream - كريمة طبخ</v>
      </c>
      <c r="C101" s="1115" t="str">
        <f t="shared" si="21"/>
        <v>ml</v>
      </c>
      <c r="D101" s="1115">
        <f t="shared" si="21"/>
        <v>300</v>
      </c>
      <c r="E101" s="1621">
        <f t="shared" si="25"/>
        <v>10.204081632653061</v>
      </c>
      <c r="F101" s="1626">
        <f t="shared" si="22"/>
        <v>1</v>
      </c>
      <c r="G101" s="940">
        <f t="shared" si="23"/>
        <v>3061.2244897959181</v>
      </c>
      <c r="H101" s="1038">
        <f t="shared" si="24"/>
        <v>3061.2244897959181</v>
      </c>
    </row>
    <row r="102" spans="1:8" x14ac:dyDescent="0.25">
      <c r="B102" s="1115" t="str">
        <f t="shared" si="21"/>
        <v>Water - ماء</v>
      </c>
      <c r="C102" s="1115" t="str">
        <f t="shared" si="21"/>
        <v>ml</v>
      </c>
      <c r="D102" s="1115">
        <f t="shared" si="21"/>
        <v>100</v>
      </c>
      <c r="E102" s="1621">
        <f t="shared" si="25"/>
        <v>10.204081632653061</v>
      </c>
      <c r="F102" s="1626">
        <f t="shared" si="22"/>
        <v>1</v>
      </c>
      <c r="G102" s="940">
        <f t="shared" si="23"/>
        <v>1020.4081632653061</v>
      </c>
      <c r="H102" s="1038">
        <f t="shared" si="24"/>
        <v>1020.4081632653061</v>
      </c>
    </row>
    <row r="103" spans="1:8" x14ac:dyDescent="0.25">
      <c r="B103" s="1115" t="str">
        <f t="shared" si="21"/>
        <v>Coriander Powder - كزبرة مطحونة</v>
      </c>
      <c r="C103" s="1115" t="str">
        <f t="shared" si="21"/>
        <v>gm</v>
      </c>
      <c r="D103" s="1115">
        <f t="shared" si="21"/>
        <v>5</v>
      </c>
      <c r="E103" s="1621">
        <f t="shared" si="25"/>
        <v>10.204081632653061</v>
      </c>
      <c r="F103" s="1626">
        <f t="shared" si="22"/>
        <v>1</v>
      </c>
      <c r="G103" s="940">
        <f t="shared" si="23"/>
        <v>51.020408163265301</v>
      </c>
      <c r="H103" s="1038">
        <f t="shared" si="24"/>
        <v>51.020408163265301</v>
      </c>
    </row>
    <row r="104" spans="1:8" x14ac:dyDescent="0.25">
      <c r="B104" s="1115" t="str">
        <f t="shared" si="21"/>
        <v>Saffron yellow color powder - لون صفار زعفران بودر</v>
      </c>
      <c r="C104" s="1115" t="str">
        <f t="shared" si="21"/>
        <v>gm</v>
      </c>
      <c r="D104" s="1115">
        <f t="shared" si="21"/>
        <v>1</v>
      </c>
      <c r="E104" s="1621">
        <f t="shared" si="25"/>
        <v>10.204081632653061</v>
      </c>
      <c r="F104" s="1626">
        <f t="shared" si="22"/>
        <v>1</v>
      </c>
      <c r="G104" s="940">
        <f t="shared" si="23"/>
        <v>10.204081632653061</v>
      </c>
      <c r="H104" s="1038">
        <f t="shared" si="24"/>
        <v>10.204081632653061</v>
      </c>
    </row>
    <row r="105" spans="1:8" x14ac:dyDescent="0.25">
      <c r="B105" s="1115" t="str">
        <f t="shared" si="21"/>
        <v>Salt - ملح</v>
      </c>
      <c r="C105" s="1115" t="str">
        <f t="shared" si="21"/>
        <v>gm</v>
      </c>
      <c r="D105" s="1115">
        <f t="shared" si="21"/>
        <v>5</v>
      </c>
      <c r="E105" s="1621">
        <f t="shared" si="25"/>
        <v>10.204081632653061</v>
      </c>
      <c r="F105" s="1626">
        <f t="shared" si="22"/>
        <v>0.75</v>
      </c>
      <c r="G105" s="940">
        <f t="shared" si="23"/>
        <v>51.020408163265301</v>
      </c>
      <c r="H105" s="1038">
        <f t="shared" si="24"/>
        <v>38.265306122448976</v>
      </c>
    </row>
    <row r="106" spans="1:8" x14ac:dyDescent="0.25">
      <c r="B106" s="1115" t="str">
        <f t="shared" si="21"/>
        <v>Butter - زبدة</v>
      </c>
      <c r="C106" s="1115" t="str">
        <f t="shared" si="21"/>
        <v>gm</v>
      </c>
      <c r="D106" s="1115">
        <f t="shared" si="21"/>
        <v>40</v>
      </c>
      <c r="E106" s="1621">
        <f t="shared" si="25"/>
        <v>10.204081632653061</v>
      </c>
      <c r="F106" s="1626">
        <f t="shared" si="22"/>
        <v>1</v>
      </c>
      <c r="G106" s="940">
        <f t="shared" si="23"/>
        <v>408.16326530612241</v>
      </c>
      <c r="H106" s="1038">
        <f t="shared" si="24"/>
        <v>408.16326530612241</v>
      </c>
    </row>
    <row r="107" spans="1:8" x14ac:dyDescent="0.25">
      <c r="B107" s="1115" t="str">
        <f t="shared" si="21"/>
        <v>Tomato Paste - صلصة طماطم</v>
      </c>
      <c r="C107" s="1115" t="str">
        <f t="shared" si="21"/>
        <v>gm</v>
      </c>
      <c r="D107" s="1115">
        <f t="shared" si="21"/>
        <v>20</v>
      </c>
      <c r="E107" s="1621">
        <f t="shared" si="25"/>
        <v>10.204081632653061</v>
      </c>
      <c r="F107" s="1626">
        <f t="shared" si="22"/>
        <v>1</v>
      </c>
      <c r="G107" s="940">
        <f t="shared" si="23"/>
        <v>204.08163265306121</v>
      </c>
      <c r="H107" s="1038">
        <f t="shared" si="24"/>
        <v>204.08163265306121</v>
      </c>
    </row>
    <row r="108" spans="1:8" x14ac:dyDescent="0.25">
      <c r="B108" s="1115" t="str">
        <f t="shared" si="21"/>
        <v>Yogurt - زبادي</v>
      </c>
      <c r="C108" s="1115" t="str">
        <f t="shared" si="21"/>
        <v>gm</v>
      </c>
      <c r="D108" s="1115">
        <f t="shared" si="21"/>
        <v>100</v>
      </c>
      <c r="E108" s="1621">
        <f t="shared" si="25"/>
        <v>10.204081632653061</v>
      </c>
      <c r="F108" s="1626">
        <f t="shared" si="22"/>
        <v>1</v>
      </c>
      <c r="G108" s="940">
        <f t="shared" si="23"/>
        <v>1020.4081632653061</v>
      </c>
      <c r="H108" s="1038">
        <f t="shared" si="24"/>
        <v>1020.4081632653061</v>
      </c>
    </row>
    <row r="109" spans="1:8" x14ac:dyDescent="0.25">
      <c r="B109" s="1115" t="str">
        <f t="shared" si="21"/>
        <v>Turmeric - كركم</v>
      </c>
      <c r="C109" s="1115" t="str">
        <f t="shared" si="21"/>
        <v>gm</v>
      </c>
      <c r="D109" s="1115">
        <f t="shared" si="21"/>
        <v>5</v>
      </c>
      <c r="E109" s="1621">
        <f t="shared" si="25"/>
        <v>10.204081632653061</v>
      </c>
      <c r="F109" s="1626">
        <f t="shared" si="22"/>
        <v>0.75</v>
      </c>
      <c r="G109" s="940">
        <f t="shared" si="23"/>
        <v>51.020408163265301</v>
      </c>
      <c r="H109" s="1038">
        <f t="shared" si="24"/>
        <v>38.265306122448976</v>
      </c>
    </row>
    <row r="110" spans="1:8" x14ac:dyDescent="0.25">
      <c r="B110" s="1115" t="str">
        <f t="shared" si="21"/>
        <v>Corn Starch - نشا ذرة</v>
      </c>
      <c r="C110" s="1115" t="str">
        <f t="shared" si="21"/>
        <v>gm</v>
      </c>
      <c r="D110" s="1115">
        <f t="shared" si="21"/>
        <v>20</v>
      </c>
      <c r="E110" s="1621">
        <f t="shared" si="25"/>
        <v>10.204081632653061</v>
      </c>
      <c r="F110" s="1626">
        <f t="shared" si="22"/>
        <v>1</v>
      </c>
      <c r="G110" s="940">
        <f t="shared" ref="G110" si="26">D110*E110</f>
        <v>204.08163265306121</v>
      </c>
      <c r="H110" s="1038">
        <f t="shared" ref="H110" si="27">G110*F110</f>
        <v>204.08163265306121</v>
      </c>
    </row>
    <row r="111" spans="1:8" ht="18" x14ac:dyDescent="0.25">
      <c r="A111" s="861"/>
      <c r="B111" s="1622" t="s">
        <v>287</v>
      </c>
      <c r="C111" s="1042" t="s">
        <v>273</v>
      </c>
      <c r="D111" s="952"/>
      <c r="E111" s="1042" t="s">
        <v>288</v>
      </c>
      <c r="F111" s="952"/>
      <c r="G111" s="1045" t="s">
        <v>264</v>
      </c>
      <c r="H111" s="1045" t="s">
        <v>661</v>
      </c>
    </row>
    <row r="112" spans="1:8" ht="20.25" x14ac:dyDescent="0.3">
      <c r="A112" s="861"/>
      <c r="B112" s="1048">
        <f>$J$54</f>
        <v>13637.090909090908</v>
      </c>
      <c r="C112" s="1721">
        <f>E112+G112</f>
        <v>10000</v>
      </c>
      <c r="D112" s="1722"/>
      <c r="E112" s="1721">
        <f>$D$54*$S$44</f>
        <v>4090.909090909091</v>
      </c>
      <c r="F112" s="1723"/>
      <c r="G112" s="1721">
        <f>$D$54*$T$44</f>
        <v>5909.090909090909</v>
      </c>
      <c r="H112" s="1721">
        <f>B112+E112</f>
        <v>17728</v>
      </c>
    </row>
    <row r="115" spans="1:8" x14ac:dyDescent="0.25">
      <c r="A115" s="867"/>
      <c r="B115" s="1871" t="str">
        <f>"دجاج بالزنجبيل   3 / " &amp; COUNTIF($C$53:$C$55, "&gt;0")</f>
        <v>دجاج بالزنجبيل   3 / 3</v>
      </c>
      <c r="C115" s="1880"/>
      <c r="D115" s="1880"/>
      <c r="E115" s="1880"/>
      <c r="F115" s="1880"/>
      <c r="G115" s="1880"/>
      <c r="H115" s="1880"/>
    </row>
    <row r="116" spans="1:8" x14ac:dyDescent="0.25">
      <c r="A116" s="867"/>
      <c r="B116" s="1872" t="str">
        <f>"Ginger Chicken  3 / " &amp; COUNTIF($C$53:$C$55, "&gt;0")</f>
        <v>Ginger Chicken  3 / 3</v>
      </c>
      <c r="C116" s="1883"/>
      <c r="D116" s="1883"/>
      <c r="E116" s="1883"/>
      <c r="F116" s="1883"/>
      <c r="G116" s="1883"/>
      <c r="H116" s="1883"/>
    </row>
    <row r="117" spans="1:8" ht="25.5" x14ac:dyDescent="0.2">
      <c r="A117" s="1350" t="s">
        <v>864</v>
      </c>
      <c r="B117" s="1103" t="s">
        <v>241</v>
      </c>
      <c r="C117" s="934" t="s">
        <v>242</v>
      </c>
      <c r="D117" s="1104" t="s">
        <v>231</v>
      </c>
      <c r="E117" s="936" t="s">
        <v>234</v>
      </c>
      <c r="F117" s="936" t="s">
        <v>243</v>
      </c>
      <c r="G117" s="1104" t="s">
        <v>244</v>
      </c>
      <c r="H117" s="936" t="s">
        <v>245</v>
      </c>
    </row>
    <row r="118" spans="1:8" x14ac:dyDescent="0.2">
      <c r="A118" s="1718" t="s">
        <v>873</v>
      </c>
      <c r="B118" s="1115" t="str">
        <f t="shared" ref="B118:D137" si="28">B5</f>
        <v>Chicken - دجاج</v>
      </c>
      <c r="C118" s="1115" t="str">
        <f t="shared" si="28"/>
        <v>gm</v>
      </c>
      <c r="D118" s="1115">
        <f t="shared" si="28"/>
        <v>2311.3713405238827</v>
      </c>
      <c r="E118" s="1628">
        <f>$H$55</f>
        <v>3.9674396852680651</v>
      </c>
      <c r="F118" s="1626">
        <f t="shared" ref="F118:F137" si="29">F5</f>
        <v>1</v>
      </c>
      <c r="G118" s="940">
        <f t="shared" ref="G118:G136" si="30">D118*E118</f>
        <v>9170.226383785699</v>
      </c>
      <c r="H118" s="1038">
        <f t="shared" ref="H118:H136" si="31">G118*F118</f>
        <v>9170.226383785699</v>
      </c>
    </row>
    <row r="119" spans="1:8" x14ac:dyDescent="0.25">
      <c r="A119" s="949" t="s">
        <v>880</v>
      </c>
      <c r="B119" s="1115" t="str">
        <f t="shared" si="28"/>
        <v>Onion - بصل</v>
      </c>
      <c r="C119" s="1115" t="str">
        <f t="shared" si="28"/>
        <v>gm</v>
      </c>
      <c r="D119" s="1115">
        <f t="shared" si="28"/>
        <v>150</v>
      </c>
      <c r="E119" s="1628">
        <f t="shared" ref="E119:E137" si="32">$C$55</f>
        <v>4.0497121925693449</v>
      </c>
      <c r="F119" s="1626">
        <f t="shared" si="29"/>
        <v>0.95</v>
      </c>
      <c r="G119" s="940">
        <f t="shared" si="30"/>
        <v>607.45682888540171</v>
      </c>
      <c r="H119" s="1038">
        <f t="shared" si="31"/>
        <v>577.08398744113163</v>
      </c>
    </row>
    <row r="120" spans="1:8" x14ac:dyDescent="0.25">
      <c r="A120" s="949" t="s">
        <v>945</v>
      </c>
      <c r="B120" s="1115" t="str">
        <f t="shared" si="28"/>
        <v>Tomato - طماطم</v>
      </c>
      <c r="C120" s="1115" t="str">
        <f t="shared" si="28"/>
        <v>gm</v>
      </c>
      <c r="D120" s="1115">
        <f t="shared" si="28"/>
        <v>450</v>
      </c>
      <c r="E120" s="1628">
        <f t="shared" si="32"/>
        <v>4.0497121925693449</v>
      </c>
      <c r="F120" s="1626">
        <f t="shared" si="29"/>
        <v>1</v>
      </c>
      <c r="G120" s="940">
        <f t="shared" si="30"/>
        <v>1822.3704866562052</v>
      </c>
      <c r="H120" s="1038">
        <f t="shared" si="31"/>
        <v>1822.3704866562052</v>
      </c>
    </row>
    <row r="121" spans="1:8" x14ac:dyDescent="0.25">
      <c r="A121" s="949" t="s">
        <v>867</v>
      </c>
      <c r="B121" s="1115" t="str">
        <f t="shared" si="28"/>
        <v>Ginger - زنجبيل</v>
      </c>
      <c r="C121" s="1115" t="str">
        <f t="shared" si="28"/>
        <v>gm</v>
      </c>
      <c r="D121" s="1115">
        <f t="shared" si="28"/>
        <v>25</v>
      </c>
      <c r="E121" s="1628">
        <f t="shared" si="32"/>
        <v>4.0497121925693449</v>
      </c>
      <c r="F121" s="1626">
        <f t="shared" si="29"/>
        <v>0.9</v>
      </c>
      <c r="G121" s="940">
        <f t="shared" si="30"/>
        <v>101.24280481423362</v>
      </c>
      <c r="H121" s="1038">
        <f t="shared" si="31"/>
        <v>91.118524332810267</v>
      </c>
    </row>
    <row r="122" spans="1:8" x14ac:dyDescent="0.25">
      <c r="B122" s="1115" t="str">
        <f t="shared" si="28"/>
        <v>Garlic - ثوم مقشر</v>
      </c>
      <c r="C122" s="1115" t="str">
        <f t="shared" si="28"/>
        <v>gm</v>
      </c>
      <c r="D122" s="1115">
        <f t="shared" si="28"/>
        <v>25</v>
      </c>
      <c r="E122" s="1628">
        <f t="shared" si="32"/>
        <v>4.0497121925693449</v>
      </c>
      <c r="F122" s="1626">
        <f t="shared" si="29"/>
        <v>0.9</v>
      </c>
      <c r="G122" s="940">
        <f t="shared" si="30"/>
        <v>101.24280481423362</v>
      </c>
      <c r="H122" s="1038">
        <f t="shared" si="31"/>
        <v>91.118524332810267</v>
      </c>
    </row>
    <row r="123" spans="1:8" x14ac:dyDescent="0.25">
      <c r="B123" s="1115" t="str">
        <f t="shared" si="28"/>
        <v>Green Chilli Pepper - فلفل أخضر حار</v>
      </c>
      <c r="C123" s="1115" t="str">
        <f t="shared" si="28"/>
        <v>gm</v>
      </c>
      <c r="D123" s="1115">
        <f t="shared" si="28"/>
        <v>5</v>
      </c>
      <c r="E123" s="1628">
        <f t="shared" si="32"/>
        <v>4.0497121925693449</v>
      </c>
      <c r="F123" s="1626">
        <f t="shared" si="29"/>
        <v>0.75</v>
      </c>
      <c r="G123" s="940">
        <f t="shared" si="30"/>
        <v>20.248560962846724</v>
      </c>
      <c r="H123" s="1038">
        <f t="shared" si="31"/>
        <v>15.186420722135043</v>
      </c>
    </row>
    <row r="124" spans="1:8" x14ac:dyDescent="0.25">
      <c r="B124" s="1115" t="str">
        <f t="shared" si="28"/>
        <v>Cumin Powder - كمون مطحون</v>
      </c>
      <c r="C124" s="1115" t="str">
        <f t="shared" si="28"/>
        <v>gm</v>
      </c>
      <c r="D124" s="1115">
        <f t="shared" si="28"/>
        <v>5</v>
      </c>
      <c r="E124" s="1628">
        <f t="shared" si="32"/>
        <v>4.0497121925693449</v>
      </c>
      <c r="F124" s="1626">
        <f t="shared" si="29"/>
        <v>1</v>
      </c>
      <c r="G124" s="940">
        <f t="shared" si="30"/>
        <v>20.248560962846724</v>
      </c>
      <c r="H124" s="1038">
        <f t="shared" si="31"/>
        <v>20.248560962846724</v>
      </c>
    </row>
    <row r="125" spans="1:8" x14ac:dyDescent="0.25">
      <c r="B125" s="1115" t="str">
        <f t="shared" si="28"/>
        <v>Red Chilli Powder - شطة حمراء مطحونة</v>
      </c>
      <c r="C125" s="1115" t="str">
        <f t="shared" si="28"/>
        <v>gm</v>
      </c>
      <c r="D125" s="1115">
        <f t="shared" si="28"/>
        <v>3</v>
      </c>
      <c r="E125" s="1628">
        <f t="shared" si="32"/>
        <v>4.0497121925693449</v>
      </c>
      <c r="F125" s="1626">
        <f t="shared" si="29"/>
        <v>0.75</v>
      </c>
      <c r="G125" s="940">
        <f t="shared" si="30"/>
        <v>12.149136577708035</v>
      </c>
      <c r="H125" s="1038">
        <f t="shared" si="31"/>
        <v>9.111852433281026</v>
      </c>
    </row>
    <row r="126" spans="1:8" x14ac:dyDescent="0.25">
      <c r="B126" s="1115" t="str">
        <f t="shared" si="28"/>
        <v>Maggi Cubes - مكعبات ماجي</v>
      </c>
      <c r="C126" s="1115" t="str">
        <f t="shared" si="28"/>
        <v>gm</v>
      </c>
      <c r="D126" s="1115">
        <f t="shared" si="28"/>
        <v>7</v>
      </c>
      <c r="E126" s="1628">
        <f t="shared" si="32"/>
        <v>4.0497121925693449</v>
      </c>
      <c r="F126" s="1626">
        <f t="shared" si="29"/>
        <v>0.75</v>
      </c>
      <c r="G126" s="940">
        <f t="shared" si="30"/>
        <v>28.347985347985414</v>
      </c>
      <c r="H126" s="1038">
        <f t="shared" si="31"/>
        <v>21.260989010989061</v>
      </c>
    </row>
    <row r="127" spans="1:8" x14ac:dyDescent="0.25">
      <c r="B127" s="1115" t="str">
        <f t="shared" si="28"/>
        <v>Kasuri Methi - ورق حلبة مجففة</v>
      </c>
      <c r="C127" s="1115" t="str">
        <f t="shared" si="28"/>
        <v>gm</v>
      </c>
      <c r="D127" s="1115">
        <f t="shared" si="28"/>
        <v>1</v>
      </c>
      <c r="E127" s="1628">
        <f t="shared" si="32"/>
        <v>4.0497121925693449</v>
      </c>
      <c r="F127" s="1626">
        <f t="shared" si="29"/>
        <v>0.75</v>
      </c>
      <c r="G127" s="940">
        <f t="shared" si="30"/>
        <v>4.0497121925693449</v>
      </c>
      <c r="H127" s="1038">
        <f t="shared" si="31"/>
        <v>3.0372841444270087</v>
      </c>
    </row>
    <row r="128" spans="1:8" x14ac:dyDescent="0.25">
      <c r="B128" s="1115" t="str">
        <f t="shared" si="28"/>
        <v>Cooking Cream - كريمة طبخ</v>
      </c>
      <c r="C128" s="1115" t="str">
        <f t="shared" si="28"/>
        <v>ml</v>
      </c>
      <c r="D128" s="1115">
        <f t="shared" si="28"/>
        <v>300</v>
      </c>
      <c r="E128" s="1628">
        <f t="shared" si="32"/>
        <v>4.0497121925693449</v>
      </c>
      <c r="F128" s="1626">
        <f t="shared" si="29"/>
        <v>1</v>
      </c>
      <c r="G128" s="940">
        <f t="shared" si="30"/>
        <v>1214.9136577708034</v>
      </c>
      <c r="H128" s="1038">
        <f t="shared" si="31"/>
        <v>1214.9136577708034</v>
      </c>
    </row>
    <row r="129" spans="1:8" x14ac:dyDescent="0.25">
      <c r="B129" s="1115" t="str">
        <f t="shared" si="28"/>
        <v>Water - ماء</v>
      </c>
      <c r="C129" s="1115" t="str">
        <f t="shared" si="28"/>
        <v>ml</v>
      </c>
      <c r="D129" s="1115">
        <f t="shared" si="28"/>
        <v>100</v>
      </c>
      <c r="E129" s="1628">
        <f t="shared" si="32"/>
        <v>4.0497121925693449</v>
      </c>
      <c r="F129" s="1626">
        <f t="shared" si="29"/>
        <v>1</v>
      </c>
      <c r="G129" s="940">
        <f t="shared" si="30"/>
        <v>404.97121925693449</v>
      </c>
      <c r="H129" s="1038">
        <f t="shared" si="31"/>
        <v>404.97121925693449</v>
      </c>
    </row>
    <row r="130" spans="1:8" x14ac:dyDescent="0.25">
      <c r="B130" s="1115" t="str">
        <f t="shared" si="28"/>
        <v>Coriander Powder - كزبرة مطحونة</v>
      </c>
      <c r="C130" s="1115" t="str">
        <f t="shared" si="28"/>
        <v>gm</v>
      </c>
      <c r="D130" s="1115">
        <f t="shared" si="28"/>
        <v>5</v>
      </c>
      <c r="E130" s="1628">
        <f t="shared" si="32"/>
        <v>4.0497121925693449</v>
      </c>
      <c r="F130" s="1626">
        <f t="shared" si="29"/>
        <v>1</v>
      </c>
      <c r="G130" s="940">
        <f t="shared" si="30"/>
        <v>20.248560962846724</v>
      </c>
      <c r="H130" s="1038">
        <f t="shared" si="31"/>
        <v>20.248560962846724</v>
      </c>
    </row>
    <row r="131" spans="1:8" x14ac:dyDescent="0.25">
      <c r="B131" s="1115" t="str">
        <f t="shared" si="28"/>
        <v>Saffron yellow color powder - لون صفار زعفران بودر</v>
      </c>
      <c r="C131" s="1115" t="str">
        <f t="shared" si="28"/>
        <v>gm</v>
      </c>
      <c r="D131" s="1115">
        <f t="shared" si="28"/>
        <v>1</v>
      </c>
      <c r="E131" s="1628">
        <f t="shared" si="32"/>
        <v>4.0497121925693449</v>
      </c>
      <c r="F131" s="1626">
        <f t="shared" si="29"/>
        <v>1</v>
      </c>
      <c r="G131" s="940">
        <f t="shared" si="30"/>
        <v>4.0497121925693449</v>
      </c>
      <c r="H131" s="1038">
        <f t="shared" si="31"/>
        <v>4.0497121925693449</v>
      </c>
    </row>
    <row r="132" spans="1:8" x14ac:dyDescent="0.25">
      <c r="B132" s="1115" t="str">
        <f t="shared" si="28"/>
        <v>Salt - ملح</v>
      </c>
      <c r="C132" s="1115" t="str">
        <f t="shared" si="28"/>
        <v>gm</v>
      </c>
      <c r="D132" s="1115">
        <f t="shared" si="28"/>
        <v>5</v>
      </c>
      <c r="E132" s="1628">
        <f t="shared" si="32"/>
        <v>4.0497121925693449</v>
      </c>
      <c r="F132" s="1626">
        <f t="shared" si="29"/>
        <v>0.75</v>
      </c>
      <c r="G132" s="940">
        <f t="shared" si="30"/>
        <v>20.248560962846724</v>
      </c>
      <c r="H132" s="1038">
        <f t="shared" si="31"/>
        <v>15.186420722135043</v>
      </c>
    </row>
    <row r="133" spans="1:8" x14ac:dyDescent="0.25">
      <c r="B133" s="1115" t="str">
        <f t="shared" si="28"/>
        <v>Butter - زبدة</v>
      </c>
      <c r="C133" s="1115" t="str">
        <f t="shared" si="28"/>
        <v>gm</v>
      </c>
      <c r="D133" s="1115">
        <f t="shared" si="28"/>
        <v>40</v>
      </c>
      <c r="E133" s="1628">
        <f t="shared" si="32"/>
        <v>4.0497121925693449</v>
      </c>
      <c r="F133" s="1626">
        <f t="shared" si="29"/>
        <v>1</v>
      </c>
      <c r="G133" s="940">
        <f t="shared" si="30"/>
        <v>161.9884877027738</v>
      </c>
      <c r="H133" s="1038">
        <f t="shared" si="31"/>
        <v>161.9884877027738</v>
      </c>
    </row>
    <row r="134" spans="1:8" x14ac:dyDescent="0.25">
      <c r="B134" s="1115" t="str">
        <f t="shared" si="28"/>
        <v>Tomato Paste - صلصة طماطم</v>
      </c>
      <c r="C134" s="1115" t="str">
        <f t="shared" si="28"/>
        <v>gm</v>
      </c>
      <c r="D134" s="1115">
        <f t="shared" si="28"/>
        <v>20</v>
      </c>
      <c r="E134" s="1628">
        <f t="shared" si="32"/>
        <v>4.0497121925693449</v>
      </c>
      <c r="F134" s="1626">
        <f t="shared" si="29"/>
        <v>1</v>
      </c>
      <c r="G134" s="940">
        <f t="shared" si="30"/>
        <v>80.994243851386898</v>
      </c>
      <c r="H134" s="1038">
        <f t="shared" si="31"/>
        <v>80.994243851386898</v>
      </c>
    </row>
    <row r="135" spans="1:8" x14ac:dyDescent="0.25">
      <c r="B135" s="1115" t="str">
        <f t="shared" si="28"/>
        <v>Yogurt - زبادي</v>
      </c>
      <c r="C135" s="1115" t="str">
        <f t="shared" si="28"/>
        <v>gm</v>
      </c>
      <c r="D135" s="1115">
        <f t="shared" si="28"/>
        <v>100</v>
      </c>
      <c r="E135" s="1628">
        <f t="shared" si="32"/>
        <v>4.0497121925693449</v>
      </c>
      <c r="F135" s="1626">
        <f t="shared" si="29"/>
        <v>1</v>
      </c>
      <c r="G135" s="940">
        <f t="shared" si="30"/>
        <v>404.97121925693449</v>
      </c>
      <c r="H135" s="1038">
        <f t="shared" si="31"/>
        <v>404.97121925693449</v>
      </c>
    </row>
    <row r="136" spans="1:8" x14ac:dyDescent="0.25">
      <c r="B136" s="1115" t="str">
        <f t="shared" si="28"/>
        <v>Turmeric - كركم</v>
      </c>
      <c r="C136" s="1115" t="str">
        <f t="shared" si="28"/>
        <v>gm</v>
      </c>
      <c r="D136" s="1115">
        <f t="shared" si="28"/>
        <v>5</v>
      </c>
      <c r="E136" s="1628">
        <f t="shared" si="32"/>
        <v>4.0497121925693449</v>
      </c>
      <c r="F136" s="1626">
        <f t="shared" si="29"/>
        <v>0.75</v>
      </c>
      <c r="G136" s="940">
        <f t="shared" si="30"/>
        <v>20.248560962846724</v>
      </c>
      <c r="H136" s="1038">
        <f t="shared" si="31"/>
        <v>15.186420722135043</v>
      </c>
    </row>
    <row r="137" spans="1:8" x14ac:dyDescent="0.25">
      <c r="B137" s="1115" t="str">
        <f t="shared" si="28"/>
        <v>Corn Starch - نشا ذرة</v>
      </c>
      <c r="C137" s="1115" t="str">
        <f t="shared" si="28"/>
        <v>gm</v>
      </c>
      <c r="D137" s="1115">
        <f t="shared" si="28"/>
        <v>20</v>
      </c>
      <c r="E137" s="1628">
        <f t="shared" si="32"/>
        <v>4.0497121925693449</v>
      </c>
      <c r="F137" s="1626">
        <f t="shared" si="29"/>
        <v>1</v>
      </c>
      <c r="G137" s="940">
        <f t="shared" ref="G137" si="33">D137*E137</f>
        <v>80.994243851386898</v>
      </c>
      <c r="H137" s="1038">
        <f t="shared" ref="H137" si="34">G137*F137</f>
        <v>80.994243851386898</v>
      </c>
    </row>
    <row r="138" spans="1:8" ht="18" x14ac:dyDescent="0.25">
      <c r="A138" s="861"/>
      <c r="B138" s="1622" t="s">
        <v>287</v>
      </c>
      <c r="C138" s="1042" t="s">
        <v>273</v>
      </c>
      <c r="D138" s="952"/>
      <c r="E138" s="1042" t="s">
        <v>288</v>
      </c>
      <c r="F138" s="952"/>
      <c r="G138" s="1045" t="s">
        <v>264</v>
      </c>
      <c r="H138" s="1045" t="s">
        <v>661</v>
      </c>
    </row>
    <row r="139" spans="1:8" ht="20.25" x14ac:dyDescent="0.3">
      <c r="A139" s="861"/>
      <c r="B139" s="1048">
        <f>$J$55</f>
        <v>5410.4335664335595</v>
      </c>
      <c r="C139" s="1048">
        <f>E139+G139</f>
        <v>3968.7179487179578</v>
      </c>
      <c r="D139" s="1629"/>
      <c r="E139" s="1048">
        <f>$D$55*$S$44</f>
        <v>1623.5664335664374</v>
      </c>
      <c r="F139" s="1208"/>
      <c r="G139" s="1721">
        <f>$D$55*$T$44</f>
        <v>2345.1515151515205</v>
      </c>
      <c r="H139" s="1721">
        <f>B139+E139</f>
        <v>7033.9999999999964</v>
      </c>
    </row>
  </sheetData>
  <mergeCells count="13">
    <mergeCell ref="B116:H116"/>
    <mergeCell ref="B63:H63"/>
    <mergeCell ref="AE2:AG3"/>
    <mergeCell ref="B89:H89"/>
    <mergeCell ref="R26:U26"/>
    <mergeCell ref="B115:H115"/>
    <mergeCell ref="B35:F35"/>
    <mergeCell ref="AN2:AN3"/>
    <mergeCell ref="B88:H88"/>
    <mergeCell ref="R25:U25"/>
    <mergeCell ref="B62:H62"/>
    <mergeCell ref="F2:F3"/>
    <mergeCell ref="AK2:AM2"/>
  </mergeCells>
  <printOptions horizontalCentered="1"/>
  <pageMargins left="0.4" right="0.4" top="1" bottom="0.5" header="0.3" footer="0.511811023622047"/>
  <pageSetup paperSize="9" scale="44" orientation="landscape" r:id="rId1"/>
  <legacyDrawing r:id="rId2"/>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A7C4-3626-4FFC-8D5D-B007BD701B88}">
  <sheetPr codeName="Sheet71">
    <tabColor theme="3" tint="-0.249977111117893"/>
    <pageSetUpPr fitToPage="1"/>
  </sheetPr>
  <dimension ref="A1:AT112"/>
  <sheetViews>
    <sheetView zoomScale="85" zoomScaleNormal="55" workbookViewId="0">
      <selection activeCell="H69" sqref="H69"/>
    </sheetView>
  </sheetViews>
  <sheetFormatPr defaultColWidth="12.5" defaultRowHeight="15" x14ac:dyDescent="0.25"/>
  <cols>
    <col min="1" max="1" width="15.375" style="1" customWidth="1"/>
    <col min="2" max="2" width="35.75" bestFit="1" customWidth="1"/>
    <col min="3" max="3" width="16" bestFit="1" customWidth="1"/>
    <col min="4" max="4" width="18.375" bestFit="1" customWidth="1"/>
    <col min="5" max="5" width="16.25" customWidth="1"/>
    <col min="6" max="6" width="22.625" bestFit="1" customWidth="1"/>
    <col min="7" max="7" width="20.625" bestFit="1" customWidth="1"/>
    <col min="8" max="8" width="33.75" bestFit="1" customWidth="1"/>
    <col min="9" max="9" width="16.5" bestFit="1" customWidth="1"/>
    <col min="10" max="10" width="13.625" bestFit="1" customWidth="1"/>
    <col min="11" max="11" width="11.125" bestFit="1" customWidth="1"/>
    <col min="12" max="12" width="6.75" bestFit="1" customWidth="1"/>
    <col min="13" max="14" width="6.25" customWidth="1"/>
    <col min="15" max="15" width="14.5" bestFit="1" customWidth="1"/>
    <col min="16" max="16" width="4.875" bestFit="1" customWidth="1"/>
    <col min="17" max="17" width="12.125" bestFit="1" customWidth="1"/>
    <col min="18" max="18" width="32.75" bestFit="1" customWidth="1"/>
    <col min="19" max="19" width="8.5" bestFit="1" customWidth="1"/>
    <col min="20" max="20" width="38" bestFit="1" customWidth="1"/>
    <col min="21" max="21" width="9.625" bestFit="1" customWidth="1"/>
    <col min="22" max="22" width="10.25" bestFit="1" customWidth="1"/>
    <col min="23" max="23" width="32.125" bestFit="1" customWidth="1"/>
    <col min="25" max="25" width="6.625" bestFit="1" customWidth="1"/>
    <col min="26" max="26" width="9.5" bestFit="1" customWidth="1"/>
    <col min="27" max="27" width="10" bestFit="1" customWidth="1"/>
    <col min="28" max="28" width="11.125" bestFit="1" customWidth="1"/>
    <col min="29" max="29" width="11.75" bestFit="1" customWidth="1"/>
    <col min="30" max="30" width="13" bestFit="1" customWidth="1"/>
    <col min="31" max="31" width="9.875" bestFit="1" customWidth="1"/>
    <col min="32" max="32" width="6.75" bestFit="1" customWidth="1"/>
    <col min="33" max="34" width="5.75" customWidth="1"/>
    <col min="35" max="35" width="4.125" bestFit="1" customWidth="1"/>
    <col min="36" max="36" width="35.75" bestFit="1" customWidth="1"/>
    <col min="37" max="37" width="5.375" bestFit="1" customWidth="1"/>
    <col min="38" max="38" width="11.25" bestFit="1" customWidth="1"/>
    <col min="39" max="39" width="10.875" bestFit="1" customWidth="1"/>
    <col min="40" max="40" width="10" bestFit="1" customWidth="1"/>
    <col min="42" max="42" width="15.125" bestFit="1" customWidth="1"/>
    <col min="43" max="43" width="11" bestFit="1" customWidth="1"/>
    <col min="44" max="44" width="11.625" bestFit="1" customWidth="1"/>
    <col min="45" max="45" width="11.125" bestFit="1" customWidth="1"/>
    <col min="46" max="46" width="6.125" bestFit="1" customWidth="1"/>
  </cols>
  <sheetData>
    <row r="1" spans="1:46" ht="25.5" x14ac:dyDescent="0.25">
      <c r="B1" s="843" t="s">
        <v>231</v>
      </c>
      <c r="C1" s="63">
        <v>1000</v>
      </c>
      <c r="D1" s="64" t="s">
        <v>232</v>
      </c>
      <c r="E1" s="84">
        <f>T32</f>
        <v>12060.512820512824</v>
      </c>
      <c r="F1" s="62" t="s">
        <v>233</v>
      </c>
      <c r="G1" s="85">
        <f>E1/C1</f>
        <v>12.060512820512823</v>
      </c>
      <c r="H1" s="62" t="s">
        <v>234</v>
      </c>
      <c r="I1" s="184">
        <f>G1/K1</f>
        <v>12.182336182336185</v>
      </c>
      <c r="J1" s="68" t="s">
        <v>235</v>
      </c>
      <c r="K1" s="73">
        <v>0.99</v>
      </c>
      <c r="L1" s="313">
        <f>4.2/4.6</f>
        <v>0.91304347826086962</v>
      </c>
      <c r="M1" s="70"/>
      <c r="N1" s="210"/>
      <c r="O1" s="72" t="s">
        <v>236</v>
      </c>
      <c r="P1" s="73" t="s">
        <v>298</v>
      </c>
      <c r="Q1" s="74" t="s">
        <v>238</v>
      </c>
      <c r="R1" s="73">
        <v>0.57999999999999996</v>
      </c>
      <c r="Y1" s="72" t="s">
        <v>444</v>
      </c>
      <c r="Z1" s="422">
        <v>20880</v>
      </c>
      <c r="AA1" s="72" t="s">
        <v>544</v>
      </c>
      <c r="AB1" s="422">
        <v>500</v>
      </c>
      <c r="AC1" s="72" t="s">
        <v>537</v>
      </c>
      <c r="AD1" s="422">
        <v>145</v>
      </c>
      <c r="AE1" s="168"/>
      <c r="AF1" s="170"/>
      <c r="AG1" s="73"/>
      <c r="AI1" s="1"/>
      <c r="AJ1" s="75" t="s">
        <v>250</v>
      </c>
      <c r="AK1" s="75">
        <v>10000</v>
      </c>
      <c r="AL1" s="318" t="s">
        <v>493</v>
      </c>
      <c r="AM1" s="319">
        <f>$S$32</f>
        <v>16446.15384615384</v>
      </c>
      <c r="AN1" s="75" t="s">
        <v>239</v>
      </c>
      <c r="AO1" s="212">
        <f>((S32)/$R$1)/$AK$1</f>
        <v>2.8355437665782488</v>
      </c>
      <c r="AP1" s="76"/>
    </row>
    <row r="2" spans="1:46" ht="15.75" x14ac:dyDescent="0.25">
      <c r="A2" s="860"/>
      <c r="B2" s="1851" t="s">
        <v>151</v>
      </c>
      <c r="C2" s="1796"/>
      <c r="D2" s="1796"/>
      <c r="E2" s="1796"/>
      <c r="F2" s="1796"/>
      <c r="G2" s="1796"/>
      <c r="H2" s="1796"/>
      <c r="I2" s="1796"/>
      <c r="J2" s="1796"/>
      <c r="K2" s="1796"/>
      <c r="L2" s="187"/>
      <c r="M2" s="80"/>
      <c r="N2" s="80"/>
      <c r="O2" s="80"/>
      <c r="P2" s="80"/>
      <c r="Q2" s="80"/>
      <c r="R2" s="80"/>
      <c r="AC2" s="79"/>
      <c r="AD2" s="79"/>
      <c r="AE2" s="1795"/>
      <c r="AF2" s="1796"/>
      <c r="AG2" s="1796"/>
      <c r="AI2" s="1"/>
      <c r="AJ2" s="81"/>
      <c r="AK2" s="1873" t="s">
        <v>457</v>
      </c>
      <c r="AL2" s="1873"/>
      <c r="AM2" s="1873"/>
      <c r="AN2" s="1873"/>
      <c r="AO2" s="81"/>
      <c r="AP2" s="81"/>
    </row>
    <row r="3" spans="1:46" ht="15.75" x14ac:dyDescent="0.25">
      <c r="A3" s="860"/>
      <c r="B3" s="1796"/>
      <c r="C3" s="1796"/>
      <c r="D3" s="1796"/>
      <c r="E3" s="1796"/>
      <c r="F3" s="1796"/>
      <c r="G3" s="1796"/>
      <c r="H3" s="1796"/>
      <c r="I3" s="1796"/>
      <c r="J3" s="1796"/>
      <c r="K3" s="1796"/>
      <c r="L3" s="187"/>
      <c r="M3" s="80"/>
      <c r="N3" s="80"/>
      <c r="O3" s="80"/>
      <c r="P3" s="80"/>
      <c r="Q3" s="80"/>
      <c r="R3" s="80"/>
      <c r="AC3" s="79"/>
      <c r="AD3" s="79"/>
      <c r="AE3" s="1796"/>
      <c r="AF3" s="1796"/>
      <c r="AG3" s="1796"/>
      <c r="AI3" s="1"/>
      <c r="AJ3" s="81"/>
      <c r="AK3" s="81"/>
      <c r="AL3" s="81"/>
      <c r="AM3" s="81"/>
      <c r="AN3" s="1796"/>
      <c r="AO3" s="81"/>
      <c r="AP3" s="81"/>
    </row>
    <row r="4" spans="1:46" ht="38.25" x14ac:dyDescent="0.25">
      <c r="A4" s="1350" t="s">
        <v>864</v>
      </c>
      <c r="B4" s="1724" t="s">
        <v>241</v>
      </c>
      <c r="C4" s="934" t="s">
        <v>242</v>
      </c>
      <c r="D4" s="923" t="s">
        <v>455</v>
      </c>
      <c r="E4" s="1725" t="s">
        <v>234</v>
      </c>
      <c r="F4" s="935" t="s">
        <v>243</v>
      </c>
      <c r="G4" s="923" t="s">
        <v>456</v>
      </c>
      <c r="H4" s="936" t="s">
        <v>334</v>
      </c>
      <c r="I4" s="923" t="s">
        <v>246</v>
      </c>
      <c r="J4" s="923" t="s">
        <v>247</v>
      </c>
      <c r="K4" s="923" t="s">
        <v>248</v>
      </c>
      <c r="L4" s="923" t="s">
        <v>249</v>
      </c>
      <c r="M4" s="80"/>
      <c r="N4" s="80"/>
      <c r="O4" s="80"/>
      <c r="P4" s="80"/>
      <c r="AA4" s="169"/>
      <c r="AB4" s="171"/>
      <c r="AC4" s="169"/>
      <c r="AD4" s="169"/>
      <c r="AE4" s="169"/>
      <c r="AF4" s="169"/>
      <c r="AG4" s="169"/>
      <c r="AI4" s="1"/>
      <c r="AJ4" s="926" t="s">
        <v>241</v>
      </c>
      <c r="AK4" s="1169" t="s">
        <v>242</v>
      </c>
      <c r="AL4" s="926" t="s">
        <v>250</v>
      </c>
      <c r="AM4" s="926" t="s">
        <v>234</v>
      </c>
      <c r="AN4" s="926" t="s">
        <v>243</v>
      </c>
      <c r="AO4" s="926" t="s">
        <v>244</v>
      </c>
      <c r="AP4" s="926" t="s">
        <v>334</v>
      </c>
      <c r="AQ4" s="923" t="s">
        <v>246</v>
      </c>
      <c r="AR4" s="923" t="s">
        <v>247</v>
      </c>
      <c r="AS4" s="923" t="s">
        <v>248</v>
      </c>
      <c r="AT4" s="923" t="s">
        <v>249</v>
      </c>
    </row>
    <row r="5" spans="1:46" x14ac:dyDescent="0.25">
      <c r="A5" s="882" t="s">
        <v>891</v>
      </c>
      <c r="B5" s="1252" t="s">
        <v>226</v>
      </c>
      <c r="C5" s="939" t="s">
        <v>14</v>
      </c>
      <c r="D5" s="1116">
        <f>I51/10</f>
        <v>2351.2225705329156</v>
      </c>
      <c r="E5" s="1646">
        <f>H52</f>
        <v>12.059869627466018</v>
      </c>
      <c r="F5" s="1616">
        <v>1</v>
      </c>
      <c r="G5" s="944">
        <f t="shared" ref="G5:G15" si="0">D5*E5</f>
        <v>28355.437665782487</v>
      </c>
      <c r="H5" s="1617">
        <f t="shared" ref="H5:H15" si="1">G5*F5</f>
        <v>28355.437665782487</v>
      </c>
      <c r="I5" s="914">
        <f>VLOOKUP(B5,All_Ingredients!$A$1:$F$161,6,FALSE())</f>
        <v>0.99</v>
      </c>
      <c r="J5" s="940">
        <f>VLOOKUP(B5,All_Ingredients!$A$1:$J$161,10,FALSE())</f>
        <v>11.75</v>
      </c>
      <c r="K5" s="945">
        <f t="shared" ref="K5" si="2">(H5/I5)/1000</f>
        <v>28.641856228063119</v>
      </c>
      <c r="L5" s="945">
        <f t="shared" ref="L5" si="3">K5*J5</f>
        <v>336.54181067974167</v>
      </c>
      <c r="M5" s="80"/>
      <c r="N5" s="80"/>
      <c r="O5" s="80"/>
      <c r="P5" s="80"/>
      <c r="AA5" s="73"/>
      <c r="AB5" s="89"/>
      <c r="AC5" s="172"/>
      <c r="AD5" s="90"/>
      <c r="AE5" s="90"/>
      <c r="AF5" s="90"/>
      <c r="AG5" s="91"/>
      <c r="AI5" s="1"/>
      <c r="AJ5" s="1252" t="s">
        <v>226</v>
      </c>
      <c r="AK5" s="947" t="s">
        <v>227</v>
      </c>
      <c r="AL5" s="1618">
        <v>10</v>
      </c>
      <c r="AM5" s="1627">
        <f t="shared" ref="AM5:AM13" si="4">$AO$1</f>
        <v>2.8355437665782488</v>
      </c>
      <c r="AN5" s="1616">
        <v>1</v>
      </c>
      <c r="AO5" s="944">
        <f t="shared" ref="AO5:AO13" si="5">AL5*AM5</f>
        <v>28.355437665782489</v>
      </c>
      <c r="AP5" s="1617">
        <f t="shared" ref="AP5:AP13" si="6">AO5*AN5</f>
        <v>28.355437665782489</v>
      </c>
      <c r="AQ5" s="952"/>
      <c r="AR5" s="953"/>
      <c r="AS5" s="1020"/>
      <c r="AT5" s="955"/>
    </row>
    <row r="6" spans="1:46" x14ac:dyDescent="0.25">
      <c r="A6" s="1" t="s">
        <v>946</v>
      </c>
      <c r="B6" s="1252" t="s">
        <v>40</v>
      </c>
      <c r="C6" s="947" t="s">
        <v>14</v>
      </c>
      <c r="D6" s="1618">
        <v>150</v>
      </c>
      <c r="E6" s="1627">
        <f t="shared" ref="E6:E15" si="7">$I$1</f>
        <v>12.182336182336185</v>
      </c>
      <c r="F6" s="1616">
        <v>1</v>
      </c>
      <c r="G6" s="944">
        <f t="shared" si="0"/>
        <v>1827.3504273504277</v>
      </c>
      <c r="H6" s="1617">
        <f t="shared" si="1"/>
        <v>1827.3504273504277</v>
      </c>
      <c r="I6" s="914">
        <f>VLOOKUP(B6,All_Ingredients!$A$1:$F$161,6,FALSE())</f>
        <v>0.84</v>
      </c>
      <c r="J6" s="940">
        <f>VLOOKUP(B6,All_Ingredients!$A$1:$J$161,10,FALSE())</f>
        <v>2.9629629629629628</v>
      </c>
      <c r="K6" s="945">
        <f t="shared" ref="K6:K9" si="8">(H6/I6)/1000</f>
        <v>2.1754171754171758</v>
      </c>
      <c r="L6" s="945">
        <f t="shared" ref="L6:L9" si="9">K6*J6</f>
        <v>6.4456805197545943</v>
      </c>
      <c r="AI6" s="1" t="s">
        <v>94</v>
      </c>
      <c r="AJ6" s="1252" t="s">
        <v>144</v>
      </c>
      <c r="AK6" s="1400" t="s">
        <v>14</v>
      </c>
      <c r="AL6" s="1618">
        <v>50</v>
      </c>
      <c r="AM6" s="1627">
        <f t="shared" si="4"/>
        <v>2.8355437665782488</v>
      </c>
      <c r="AN6" s="1616">
        <v>1</v>
      </c>
      <c r="AO6" s="944">
        <f t="shared" si="5"/>
        <v>141.77718832891244</v>
      </c>
      <c r="AP6" s="1617">
        <f t="shared" si="6"/>
        <v>141.77718832891244</v>
      </c>
      <c r="AQ6" s="955">
        <f>VLOOKUP(AJ6,Marination_Ordering!$A:$J,6,FALSE)</f>
        <v>1</v>
      </c>
      <c r="AR6" s="955">
        <f>VLOOKUP(AJ6,Marination_Ordering!$A:$J,10,FALSE)</f>
        <v>18</v>
      </c>
      <c r="AS6" s="1020">
        <f>AP6/AQ6</f>
        <v>141.77718832891244</v>
      </c>
      <c r="AT6" s="955">
        <f>AR6*(AS6/1000)</f>
        <v>2.5519893899204242</v>
      </c>
    </row>
    <row r="7" spans="1:46" x14ac:dyDescent="0.25">
      <c r="A7" s="1" t="s">
        <v>868</v>
      </c>
      <c r="B7" s="1252" t="s">
        <v>706</v>
      </c>
      <c r="C7" s="947" t="s">
        <v>14</v>
      </c>
      <c r="D7" s="1618">
        <v>30</v>
      </c>
      <c r="E7" s="1627">
        <f t="shared" si="7"/>
        <v>12.182336182336185</v>
      </c>
      <c r="F7" s="1616">
        <v>1</v>
      </c>
      <c r="G7" s="944">
        <f t="shared" si="0"/>
        <v>365.47008547008556</v>
      </c>
      <c r="H7" s="1617">
        <f t="shared" si="1"/>
        <v>365.47008547008556</v>
      </c>
      <c r="I7" s="914">
        <f>VLOOKUP(B7,All_Ingredients!$A$1:$F$161,6,FALSE())</f>
        <v>1</v>
      </c>
      <c r="J7" s="940">
        <f>VLOOKUP(B7,All_Ingredients!$A$1:$J$161,10,FALSE())</f>
        <v>10.5</v>
      </c>
      <c r="K7" s="945">
        <f t="shared" si="8"/>
        <v>0.36547008547008558</v>
      </c>
      <c r="L7" s="945">
        <f t="shared" si="9"/>
        <v>3.8374358974358986</v>
      </c>
      <c r="AI7" s="1" t="s">
        <v>94</v>
      </c>
      <c r="AJ7" s="1252" t="s">
        <v>149</v>
      </c>
      <c r="AK7" s="1400" t="s">
        <v>14</v>
      </c>
      <c r="AL7" s="1618">
        <v>50</v>
      </c>
      <c r="AM7" s="1627">
        <f t="shared" si="4"/>
        <v>2.8355437665782488</v>
      </c>
      <c r="AN7" s="1616">
        <v>1</v>
      </c>
      <c r="AO7" s="944">
        <f t="shared" si="5"/>
        <v>141.77718832891244</v>
      </c>
      <c r="AP7" s="1617">
        <f t="shared" si="6"/>
        <v>141.77718832891244</v>
      </c>
      <c r="AQ7" s="955">
        <f>VLOOKUP(AJ7,Marination_Ordering!$A:$J,6,FALSE)</f>
        <v>1</v>
      </c>
      <c r="AR7" s="955">
        <f>VLOOKUP(AJ7,Marination_Ordering!$A:$J,10,FALSE)</f>
        <v>10</v>
      </c>
      <c r="AS7" s="1020">
        <f t="shared" ref="AS7:AS13" si="10">AP7/AQ7</f>
        <v>141.77718832891244</v>
      </c>
      <c r="AT7" s="955">
        <f t="shared" ref="AT7:AT13" si="11">AR7*(AS7/1000)</f>
        <v>1.4177718832891246</v>
      </c>
    </row>
    <row r="8" spans="1:46" x14ac:dyDescent="0.25">
      <c r="B8" s="1252" t="s">
        <v>101</v>
      </c>
      <c r="C8" s="947" t="s">
        <v>14</v>
      </c>
      <c r="D8" s="1618">
        <v>6</v>
      </c>
      <c r="E8" s="1627">
        <f t="shared" si="7"/>
        <v>12.182336182336185</v>
      </c>
      <c r="F8" s="1616">
        <v>0.75</v>
      </c>
      <c r="G8" s="944">
        <f t="shared" si="0"/>
        <v>73.094017094017104</v>
      </c>
      <c r="H8" s="1617">
        <f t="shared" si="1"/>
        <v>54.820512820512832</v>
      </c>
      <c r="I8" s="914">
        <f>VLOOKUP(B8,All_Ingredients!$A$1:$F$161,6,FALSE())</f>
        <v>1</v>
      </c>
      <c r="J8" s="940">
        <f>VLOOKUP(B8,All_Ingredients!$A$1:$J$161,10,FALSE())</f>
        <v>47</v>
      </c>
      <c r="K8" s="945">
        <f t="shared" si="8"/>
        <v>5.4820512820512833E-2</v>
      </c>
      <c r="L8" s="945">
        <f t="shared" si="9"/>
        <v>2.5765641025641033</v>
      </c>
      <c r="AI8" s="1" t="s">
        <v>94</v>
      </c>
      <c r="AJ8" s="1252" t="s">
        <v>105</v>
      </c>
      <c r="AK8" s="1400" t="s">
        <v>14</v>
      </c>
      <c r="AL8" s="1618">
        <v>50</v>
      </c>
      <c r="AM8" s="1627">
        <f t="shared" si="4"/>
        <v>2.8355437665782488</v>
      </c>
      <c r="AN8" s="1616">
        <v>1</v>
      </c>
      <c r="AO8" s="944">
        <f t="shared" si="5"/>
        <v>141.77718832891244</v>
      </c>
      <c r="AP8" s="1617">
        <f t="shared" si="6"/>
        <v>141.77718832891244</v>
      </c>
      <c r="AQ8" s="955">
        <f>VLOOKUP(AJ8,Marination_Ordering!$A:$J,6,FALSE)</f>
        <v>1</v>
      </c>
      <c r="AR8" s="955">
        <f>VLOOKUP(AJ8,Marination_Ordering!$A:$J,10,FALSE)</f>
        <v>15</v>
      </c>
      <c r="AS8" s="1020">
        <f t="shared" si="10"/>
        <v>141.77718832891244</v>
      </c>
      <c r="AT8" s="955">
        <f t="shared" si="11"/>
        <v>2.1266578249336869</v>
      </c>
    </row>
    <row r="9" spans="1:46" x14ac:dyDescent="0.25">
      <c r="B9" s="1252" t="s">
        <v>139</v>
      </c>
      <c r="C9" s="947" t="s">
        <v>14</v>
      </c>
      <c r="D9" s="1618">
        <v>10</v>
      </c>
      <c r="E9" s="1627">
        <f t="shared" si="7"/>
        <v>12.182336182336185</v>
      </c>
      <c r="F9" s="1616">
        <v>0.9</v>
      </c>
      <c r="G9" s="944">
        <f t="shared" si="0"/>
        <v>121.82336182336185</v>
      </c>
      <c r="H9" s="1617">
        <f t="shared" si="1"/>
        <v>109.64102564102566</v>
      </c>
      <c r="I9" s="914">
        <f>VLOOKUP(B9,All_Ingredients!$A$1:$F$161,6,FALSE())</f>
        <v>1</v>
      </c>
      <c r="J9" s="940">
        <f>VLOOKUP(B9,All_Ingredients!$A$1:$J$161,10,FALSE())</f>
        <v>15.277777777777779</v>
      </c>
      <c r="K9" s="945">
        <f t="shared" si="8"/>
        <v>0.10964102564102567</v>
      </c>
      <c r="L9" s="945">
        <f t="shared" si="9"/>
        <v>1.6750712250712256</v>
      </c>
      <c r="AI9" s="1" t="s">
        <v>94</v>
      </c>
      <c r="AJ9" s="1252" t="s">
        <v>704</v>
      </c>
      <c r="AK9" s="1400" t="s">
        <v>14</v>
      </c>
      <c r="AL9" s="1618">
        <v>100</v>
      </c>
      <c r="AM9" s="1627">
        <f t="shared" si="4"/>
        <v>2.8355437665782488</v>
      </c>
      <c r="AN9" s="1616">
        <v>1</v>
      </c>
      <c r="AO9" s="944">
        <f t="shared" si="5"/>
        <v>283.55437665782489</v>
      </c>
      <c r="AP9" s="1617">
        <f t="shared" si="6"/>
        <v>283.55437665782489</v>
      </c>
      <c r="AQ9" s="955">
        <f>VLOOKUP(AJ9,Marination_Ordering!$A:$J,6,FALSE)</f>
        <v>1</v>
      </c>
      <c r="AR9" s="955">
        <f>VLOOKUP(AJ9,Marination_Ordering!$A:$J,10,FALSE)</f>
        <v>43.333333333333336</v>
      </c>
      <c r="AS9" s="1020">
        <f t="shared" si="10"/>
        <v>283.55437665782489</v>
      </c>
      <c r="AT9" s="955">
        <f t="shared" si="11"/>
        <v>12.287356321839081</v>
      </c>
    </row>
    <row r="10" spans="1:46" x14ac:dyDescent="0.25">
      <c r="B10" s="1252" t="s">
        <v>159</v>
      </c>
      <c r="C10" s="947" t="s">
        <v>160</v>
      </c>
      <c r="D10" s="1618">
        <v>600</v>
      </c>
      <c r="E10" s="1627">
        <f t="shared" si="7"/>
        <v>12.182336182336185</v>
      </c>
      <c r="F10" s="1616">
        <v>1</v>
      </c>
      <c r="G10" s="940">
        <f t="shared" si="0"/>
        <v>7309.4017094017108</v>
      </c>
      <c r="H10" s="1617">
        <f t="shared" si="1"/>
        <v>7309.4017094017108</v>
      </c>
      <c r="I10" s="914">
        <f>VLOOKUP(B10,All_Ingredients!$A$1:$F$161,6,FALSE())</f>
        <v>1</v>
      </c>
      <c r="J10" s="940">
        <f>VLOOKUP(B10,All_Ingredients!$A$1:$J$161,10,FALSE())</f>
        <v>4.2033333333333331</v>
      </c>
      <c r="K10" s="945">
        <f t="shared" ref="K10:K15" si="12">(H10/I10)/1000</f>
        <v>7.309401709401711</v>
      </c>
      <c r="L10" s="945">
        <f t="shared" ref="L10:L15" si="13">K10*J10</f>
        <v>30.723851851851858</v>
      </c>
      <c r="AI10" s="1" t="s">
        <v>94</v>
      </c>
      <c r="AJ10" s="1252" t="s">
        <v>93</v>
      </c>
      <c r="AK10" s="1400" t="s">
        <v>14</v>
      </c>
      <c r="AL10" s="1618">
        <v>25</v>
      </c>
      <c r="AM10" s="1627">
        <f t="shared" si="4"/>
        <v>2.8355437665782488</v>
      </c>
      <c r="AN10" s="1616">
        <v>1</v>
      </c>
      <c r="AO10" s="944">
        <f t="shared" si="5"/>
        <v>70.888594164456222</v>
      </c>
      <c r="AP10" s="1617">
        <f t="shared" si="6"/>
        <v>70.888594164456222</v>
      </c>
      <c r="AQ10" s="955">
        <f>VLOOKUP(AJ10,Marination_Ordering!$A:$J,6,FALSE)</f>
        <v>1</v>
      </c>
      <c r="AR10" s="955">
        <f>VLOOKUP(AJ10,Marination_Ordering!$A:$J,10,FALSE)</f>
        <v>0.74</v>
      </c>
      <c r="AS10" s="1020">
        <f t="shared" si="10"/>
        <v>70.888594164456222</v>
      </c>
      <c r="AT10" s="955">
        <f t="shared" si="11"/>
        <v>5.2457559681697609E-2</v>
      </c>
    </row>
    <row r="11" spans="1:46" x14ac:dyDescent="0.25">
      <c r="B11" s="1252" t="s">
        <v>166</v>
      </c>
      <c r="C11" s="947" t="s">
        <v>160</v>
      </c>
      <c r="D11" s="1618">
        <v>600</v>
      </c>
      <c r="E11" s="1627">
        <f t="shared" si="7"/>
        <v>12.182336182336185</v>
      </c>
      <c r="F11" s="1616">
        <v>1</v>
      </c>
      <c r="G11" s="940">
        <f t="shared" si="0"/>
        <v>7309.4017094017108</v>
      </c>
      <c r="H11" s="1617">
        <f t="shared" si="1"/>
        <v>7309.4017094017108</v>
      </c>
      <c r="I11" s="914">
        <f>VLOOKUP(B11,All_Ingredients!$A$1:$F$161,6,FALSE())</f>
        <v>1</v>
      </c>
      <c r="J11" s="940">
        <f>VLOOKUP(B11,All_Ingredients!$A$1:$J$161,10,FALSE())</f>
        <v>12.666666666666666</v>
      </c>
      <c r="K11" s="945">
        <f t="shared" si="12"/>
        <v>7.309401709401711</v>
      </c>
      <c r="L11" s="945">
        <f t="shared" si="13"/>
        <v>92.585754985755003</v>
      </c>
      <c r="AI11" s="1" t="s">
        <v>94</v>
      </c>
      <c r="AJ11" s="1252" t="s">
        <v>99</v>
      </c>
      <c r="AK11" s="1400" t="s">
        <v>14</v>
      </c>
      <c r="AL11" s="1618">
        <v>25</v>
      </c>
      <c r="AM11" s="1627">
        <f t="shared" si="4"/>
        <v>2.8355437665782488</v>
      </c>
      <c r="AN11" s="1616">
        <v>1</v>
      </c>
      <c r="AO11" s="944">
        <f t="shared" si="5"/>
        <v>70.888594164456222</v>
      </c>
      <c r="AP11" s="1617">
        <f t="shared" si="6"/>
        <v>70.888594164456222</v>
      </c>
      <c r="AQ11" s="955">
        <f>VLOOKUP(AJ11,Marination_Ordering!$A:$J,6,FALSE)</f>
        <v>1</v>
      </c>
      <c r="AR11" s="955">
        <f>VLOOKUP(AJ11,Marination_Ordering!$A:$J,10,FALSE)</f>
        <v>31</v>
      </c>
      <c r="AS11" s="1020">
        <f t="shared" si="10"/>
        <v>70.888594164456222</v>
      </c>
      <c r="AT11" s="955">
        <f t="shared" si="11"/>
        <v>2.1975464190981429</v>
      </c>
    </row>
    <row r="12" spans="1:46" x14ac:dyDescent="0.25">
      <c r="B12" s="1252" t="s">
        <v>93</v>
      </c>
      <c r="C12" s="947" t="s">
        <v>14</v>
      </c>
      <c r="D12" s="1618">
        <v>5</v>
      </c>
      <c r="E12" s="1627">
        <f t="shared" si="7"/>
        <v>12.182336182336185</v>
      </c>
      <c r="F12" s="1616">
        <v>1</v>
      </c>
      <c r="G12" s="944">
        <f t="shared" si="0"/>
        <v>60.911680911680925</v>
      </c>
      <c r="H12" s="1617">
        <f t="shared" si="1"/>
        <v>60.911680911680925</v>
      </c>
      <c r="I12" s="914">
        <f>VLOOKUP(B12,All_Ingredients!$A$1:$F$161,6,FALSE())</f>
        <v>1</v>
      </c>
      <c r="J12" s="940">
        <f>VLOOKUP(B12,All_Ingredients!$A$1:$J$161,10,FALSE())</f>
        <v>0.74</v>
      </c>
      <c r="K12" s="945">
        <f t="shared" si="12"/>
        <v>6.0911680911680928E-2</v>
      </c>
      <c r="L12" s="945">
        <f t="shared" si="13"/>
        <v>4.507464387464389E-2</v>
      </c>
      <c r="AI12" s="1" t="s">
        <v>94</v>
      </c>
      <c r="AJ12" s="1252" t="s">
        <v>107</v>
      </c>
      <c r="AK12" s="1400" t="s">
        <v>14</v>
      </c>
      <c r="AL12" s="1618">
        <v>50</v>
      </c>
      <c r="AM12" s="1627">
        <f t="shared" si="4"/>
        <v>2.8355437665782488</v>
      </c>
      <c r="AN12" s="1616">
        <v>1</v>
      </c>
      <c r="AO12" s="944">
        <f t="shared" si="5"/>
        <v>141.77718832891244</v>
      </c>
      <c r="AP12" s="1617">
        <f t="shared" si="6"/>
        <v>141.77718832891244</v>
      </c>
      <c r="AQ12" s="955">
        <f>VLOOKUP(AJ12,Marination_Ordering!$A:$J,6,FALSE)</f>
        <v>1</v>
      </c>
      <c r="AR12" s="955">
        <f>VLOOKUP(AJ12,Marination_Ordering!$A:$J,10,FALSE)</f>
        <v>8</v>
      </c>
      <c r="AS12" s="1020">
        <f t="shared" si="10"/>
        <v>141.77718832891244</v>
      </c>
      <c r="AT12" s="955">
        <f t="shared" si="11"/>
        <v>1.1342175066312996</v>
      </c>
    </row>
    <row r="13" spans="1:46" x14ac:dyDescent="0.25">
      <c r="B13" s="1252" t="s">
        <v>185</v>
      </c>
      <c r="C13" s="947" t="s">
        <v>14</v>
      </c>
      <c r="D13" s="1618">
        <v>50</v>
      </c>
      <c r="E13" s="1627">
        <f t="shared" si="7"/>
        <v>12.182336182336185</v>
      </c>
      <c r="F13" s="1616">
        <v>1</v>
      </c>
      <c r="G13" s="944">
        <f t="shared" si="0"/>
        <v>609.11680911680924</v>
      </c>
      <c r="H13" s="1617">
        <f t="shared" si="1"/>
        <v>609.11680911680924</v>
      </c>
      <c r="I13" s="914">
        <f>VLOOKUP(B13,All_Ingredients!$A$1:$F$161,6,FALSE())</f>
        <v>1</v>
      </c>
      <c r="J13" s="940">
        <f>VLOOKUP(B13,All_Ingredients!$A$1:$J$161,10,FALSE())</f>
        <v>1.7</v>
      </c>
      <c r="K13" s="945">
        <f t="shared" si="12"/>
        <v>0.60911680911680921</v>
      </c>
      <c r="L13" s="945">
        <f t="shared" si="13"/>
        <v>1.0354985754985757</v>
      </c>
      <c r="AI13" s="1" t="s">
        <v>94</v>
      </c>
      <c r="AJ13" s="1252" t="s">
        <v>118</v>
      </c>
      <c r="AK13" s="1400" t="s">
        <v>14</v>
      </c>
      <c r="AL13" s="1618">
        <v>50</v>
      </c>
      <c r="AM13" s="1627">
        <f t="shared" si="4"/>
        <v>2.8355437665782488</v>
      </c>
      <c r="AN13" s="1616">
        <v>1</v>
      </c>
      <c r="AO13" s="944">
        <f t="shared" si="5"/>
        <v>141.77718832891244</v>
      </c>
      <c r="AP13" s="1617">
        <f t="shared" si="6"/>
        <v>141.77718832891244</v>
      </c>
      <c r="AQ13" s="955">
        <f>VLOOKUP(AJ13,Marination_Ordering!$A:$J,6,FALSE)</f>
        <v>1</v>
      </c>
      <c r="AR13" s="955">
        <f>VLOOKUP(AJ13,Marination_Ordering!$A:$J,10,FALSE)</f>
        <v>15</v>
      </c>
      <c r="AS13" s="1020">
        <f t="shared" si="10"/>
        <v>141.77718832891244</v>
      </c>
      <c r="AT13" s="955">
        <f t="shared" si="11"/>
        <v>2.1266578249336869</v>
      </c>
    </row>
    <row r="14" spans="1:46" x14ac:dyDescent="0.25">
      <c r="B14" s="1252" t="s">
        <v>705</v>
      </c>
      <c r="C14" s="947" t="s">
        <v>14</v>
      </c>
      <c r="D14" s="1618">
        <v>45</v>
      </c>
      <c r="E14" s="1627">
        <f t="shared" si="7"/>
        <v>12.182336182336185</v>
      </c>
      <c r="F14" s="1616">
        <v>1</v>
      </c>
      <c r="G14" s="944">
        <f t="shared" si="0"/>
        <v>548.20512820512829</v>
      </c>
      <c r="H14" s="1617">
        <f t="shared" si="1"/>
        <v>548.20512820512829</v>
      </c>
      <c r="I14" s="914">
        <f>VLOOKUP(B14,All_Ingredients!$A$1:$F$161,6,FALSE())</f>
        <v>1</v>
      </c>
      <c r="J14" s="940">
        <f>VLOOKUP(B14,All_Ingredients!$A$1:$J$161,10,FALSE())</f>
        <v>67.91483113069016</v>
      </c>
      <c r="K14" s="945">
        <f t="shared" si="12"/>
        <v>0.54820512820512834</v>
      </c>
      <c r="L14" s="945">
        <f t="shared" si="13"/>
        <v>37.231258707029639</v>
      </c>
    </row>
    <row r="15" spans="1:46" x14ac:dyDescent="0.25">
      <c r="B15" s="1115" t="s">
        <v>152</v>
      </c>
      <c r="C15" s="947" t="s">
        <v>14</v>
      </c>
      <c r="D15" s="1618">
        <v>20</v>
      </c>
      <c r="E15" s="1627">
        <f t="shared" si="7"/>
        <v>12.182336182336185</v>
      </c>
      <c r="F15" s="1616">
        <v>1</v>
      </c>
      <c r="G15" s="944">
        <f t="shared" si="0"/>
        <v>243.6467236467237</v>
      </c>
      <c r="H15" s="1617">
        <f t="shared" si="1"/>
        <v>243.6467236467237</v>
      </c>
      <c r="I15" s="914">
        <f>VLOOKUP(B15,All_Ingredients!$A$1:$F$161,6,FALSE())</f>
        <v>1</v>
      </c>
      <c r="J15" s="940">
        <f>VLOOKUP(B15,All_Ingredients!$A$1:$J$161,10,FALSE())</f>
        <v>30</v>
      </c>
      <c r="K15" s="945">
        <f t="shared" si="12"/>
        <v>0.24364672364672371</v>
      </c>
      <c r="L15" s="945">
        <f t="shared" si="13"/>
        <v>7.309401709401711</v>
      </c>
    </row>
    <row r="25" spans="18:32" ht="15.75" x14ac:dyDescent="0.25">
      <c r="R25" s="1885" t="s">
        <v>457</v>
      </c>
      <c r="S25" s="1850"/>
      <c r="T25" s="1850"/>
      <c r="U25" s="1850"/>
      <c r="V25" s="553"/>
      <c r="Z25" s="96" t="s">
        <v>252</v>
      </c>
      <c r="AA25" s="97">
        <v>1</v>
      </c>
      <c r="AB25" s="96" t="s">
        <v>249</v>
      </c>
      <c r="AC25" s="98">
        <f>(AA25*(4/3))*AF30+(AA30*(AB28/R1))</f>
        <v>2.5726300637432465E-2</v>
      </c>
      <c r="AD25" s="14"/>
    </row>
    <row r="26" spans="18:32" x14ac:dyDescent="0.25">
      <c r="R26" s="1897" t="s">
        <v>253</v>
      </c>
      <c r="S26" s="1850"/>
      <c r="T26" s="1850"/>
      <c r="U26" s="1850"/>
      <c r="V26" s="553"/>
      <c r="Z26" s="14"/>
      <c r="AA26" s="14"/>
      <c r="AB26" s="14"/>
      <c r="AC26" s="14"/>
      <c r="AD26" s="14"/>
    </row>
    <row r="27" spans="18:32" ht="15.75" thickBot="1" x14ac:dyDescent="0.3">
      <c r="R27" s="100" t="s">
        <v>254</v>
      </c>
      <c r="S27" s="101" t="s">
        <v>375</v>
      </c>
      <c r="T27" s="101" t="s">
        <v>256</v>
      </c>
      <c r="U27" s="101" t="s">
        <v>257</v>
      </c>
      <c r="V27" s="101" t="s">
        <v>746</v>
      </c>
      <c r="W27" s="101" t="s">
        <v>753</v>
      </c>
      <c r="Z27" s="96" t="s">
        <v>258</v>
      </c>
      <c r="AA27" s="580" t="s">
        <v>311</v>
      </c>
      <c r="AB27" s="102" t="s">
        <v>259</v>
      </c>
      <c r="AC27" s="102" t="s">
        <v>260</v>
      </c>
      <c r="AD27" s="102" t="s">
        <v>261</v>
      </c>
      <c r="AE27" s="581" t="s">
        <v>753</v>
      </c>
      <c r="AF27" s="102" t="s">
        <v>262</v>
      </c>
    </row>
    <row r="28" spans="18:32" ht="15.75" thickBot="1" x14ac:dyDescent="0.3">
      <c r="R28" s="103" t="s">
        <v>263</v>
      </c>
      <c r="S28" s="380">
        <f>U28*S40</f>
        <v>16061.538461538457</v>
      </c>
      <c r="T28" s="380">
        <f>U28*U40</f>
        <v>4818.4615384615436</v>
      </c>
      <c r="U28" s="385">
        <f>Z1</f>
        <v>20880</v>
      </c>
      <c r="V28" s="104">
        <f>SUM(AP5:AP13)</f>
        <v>1162.5729442970819</v>
      </c>
      <c r="W28" s="104">
        <f>SUM(F37:F38)</f>
        <v>290</v>
      </c>
      <c r="Z28" s="105"/>
      <c r="AA28" s="582"/>
      <c r="AB28" s="106">
        <f>AA25*$S$40</f>
        <v>0.76923076923076905</v>
      </c>
      <c r="AC28" s="106">
        <f>AA25*$U$40</f>
        <v>0.230769230769231</v>
      </c>
      <c r="AD28" s="107">
        <f>AA25*(1/3)</f>
        <v>0.33333333333333331</v>
      </c>
      <c r="AE28" s="582"/>
      <c r="AF28" s="108">
        <f>SUM(AB28:AD28)</f>
        <v>1.3333333333333333</v>
      </c>
    </row>
    <row r="29" spans="18:32" ht="15.75" thickBot="1" x14ac:dyDescent="0.3">
      <c r="R29" s="103" t="s">
        <v>264</v>
      </c>
      <c r="S29" s="382"/>
      <c r="T29" s="104">
        <f>U28*(1/3)</f>
        <v>6960</v>
      </c>
      <c r="U29" s="380">
        <f>T29</f>
        <v>6960</v>
      </c>
      <c r="V29" s="104"/>
      <c r="W29" s="104"/>
      <c r="Z29" s="105"/>
      <c r="AA29" s="583"/>
      <c r="AB29" s="110">
        <f>AB28/$AF$28</f>
        <v>0.57692307692307687</v>
      </c>
      <c r="AC29" s="110">
        <f>AC28/$AF$28</f>
        <v>0.17307692307692327</v>
      </c>
      <c r="AD29" s="110">
        <f>AD28/$AF$28</f>
        <v>0.25</v>
      </c>
      <c r="AE29" s="583"/>
      <c r="AF29" s="110">
        <f>AF28/$AF$28</f>
        <v>1</v>
      </c>
    </row>
    <row r="30" spans="18:32" ht="15.75" thickBot="1" x14ac:dyDescent="0.3">
      <c r="R30" s="103" t="s">
        <v>265</v>
      </c>
      <c r="S30" s="666">
        <f>U30*S40</f>
        <v>384.61538461538453</v>
      </c>
      <c r="T30" s="380">
        <f>(U30*U40)+(U30*(1/3))</f>
        <v>282.05128205128216</v>
      </c>
      <c r="U30" s="657">
        <f>AB1</f>
        <v>500</v>
      </c>
      <c r="V30" s="547"/>
      <c r="W30" s="547"/>
      <c r="Z30" s="96" t="s">
        <v>266</v>
      </c>
      <c r="AA30" s="584">
        <f>V35/(S32/R1)</f>
        <v>8.4268333333333348E-4</v>
      </c>
      <c r="AB30" s="111">
        <f>S35/(S32)</f>
        <v>2.0463253221873916E-2</v>
      </c>
      <c r="AC30" s="112">
        <f>T35/T32</f>
        <v>1.5212088818163215E-2</v>
      </c>
      <c r="AD30" s="112">
        <f>T35/T32</f>
        <v>1.5212088818163215E-2</v>
      </c>
      <c r="AE30" s="585">
        <f>W35/U32</f>
        <v>2.1490586997193639E-4</v>
      </c>
      <c r="AF30" s="587">
        <f>SUMPRODUCT(AB30:AD30,AB29:AD29)+AE30</f>
        <v>1.8456512613352863E-2</v>
      </c>
    </row>
    <row r="31" spans="18:32" ht="15.75" thickBot="1" x14ac:dyDescent="0.3">
      <c r="R31" s="103" t="s">
        <v>267</v>
      </c>
      <c r="S31" s="109"/>
      <c r="T31" s="104"/>
      <c r="U31" s="104"/>
      <c r="V31" s="104"/>
      <c r="W31" s="104"/>
    </row>
    <row r="32" spans="18:32" ht="15.75" thickBot="1" x14ac:dyDescent="0.3">
      <c r="R32" s="114" t="s">
        <v>257</v>
      </c>
      <c r="S32" s="104">
        <f>SUM(S28:S30)</f>
        <v>16446.15384615384</v>
      </c>
      <c r="T32" s="104">
        <f>SUM(T28:T30)</f>
        <v>12060.512820512824</v>
      </c>
      <c r="U32" s="104">
        <f>SUM(S32:T32)</f>
        <v>28506.666666666664</v>
      </c>
      <c r="V32" s="104"/>
      <c r="W32" s="104">
        <f>SUM(W28:W30)</f>
        <v>290</v>
      </c>
    </row>
    <row r="33" spans="2:23" ht="15.75" thickBot="1" x14ac:dyDescent="0.3">
      <c r="B33" s="80"/>
      <c r="E33" s="80"/>
      <c r="F33" s="80"/>
      <c r="R33" s="115" t="s">
        <v>268</v>
      </c>
      <c r="S33" s="109"/>
      <c r="T33" s="109"/>
      <c r="U33" s="109"/>
      <c r="V33" s="109"/>
      <c r="W33" s="109"/>
    </row>
    <row r="34" spans="2:23" ht="15.75" thickBot="1" x14ac:dyDescent="0.3">
      <c r="B34" s="80"/>
      <c r="E34" s="80"/>
      <c r="F34" s="80"/>
      <c r="R34" s="116" t="s">
        <v>269</v>
      </c>
      <c r="S34" s="109"/>
      <c r="T34" s="104"/>
      <c r="U34" s="109"/>
      <c r="V34" s="109"/>
      <c r="W34" s="109"/>
    </row>
    <row r="35" spans="2:23" ht="16.5" thickBot="1" x14ac:dyDescent="0.3">
      <c r="B35" s="1892" t="s">
        <v>659</v>
      </c>
      <c r="C35" s="1892"/>
      <c r="D35" s="1892"/>
      <c r="E35" s="1892"/>
      <c r="F35" s="1892"/>
      <c r="G35" s="444"/>
      <c r="H35" s="444"/>
      <c r="I35" s="444"/>
      <c r="J35" s="444"/>
      <c r="K35" s="444"/>
      <c r="L35" s="444"/>
      <c r="R35" s="117" t="s">
        <v>249</v>
      </c>
      <c r="S35" s="548">
        <f>$L$5</f>
        <v>336.54181067974167</v>
      </c>
      <c r="T35" s="635">
        <f>SUM(L6:L15)</f>
        <v>183.46559221823722</v>
      </c>
      <c r="U35" s="589">
        <f>S35+T35+V35+W35</f>
        <v>550.02830762830604</v>
      </c>
      <c r="V35" s="589">
        <f>SUM(AT6:AT13)</f>
        <v>23.894654730327144</v>
      </c>
      <c r="W35" s="595">
        <f>SUM(L37:L38)</f>
        <v>6.1262499999999998</v>
      </c>
    </row>
    <row r="36" spans="2:23" ht="47.25" x14ac:dyDescent="0.25">
      <c r="B36" s="1004" t="s">
        <v>241</v>
      </c>
      <c r="C36" s="1004" t="s">
        <v>316</v>
      </c>
      <c r="D36" s="1002" t="s">
        <v>610</v>
      </c>
      <c r="E36" s="1003" t="s">
        <v>611</v>
      </c>
      <c r="F36" s="1002" t="s">
        <v>612</v>
      </c>
      <c r="G36" s="1001"/>
      <c r="H36" s="427" t="s">
        <v>612</v>
      </c>
      <c r="I36" s="427" t="s">
        <v>246</v>
      </c>
      <c r="J36" s="427" t="s">
        <v>247</v>
      </c>
      <c r="K36" s="427" t="s">
        <v>248</v>
      </c>
      <c r="L36" s="427" t="s">
        <v>249</v>
      </c>
    </row>
    <row r="37" spans="2:23" x14ac:dyDescent="0.25">
      <c r="B37" s="1005" t="s">
        <v>176</v>
      </c>
      <c r="C37" s="1006" t="s">
        <v>14</v>
      </c>
      <c r="D37" s="1645">
        <v>1</v>
      </c>
      <c r="E37" s="1005">
        <f>$AD$1</f>
        <v>145</v>
      </c>
      <c r="F37" s="1005">
        <f>D37*E37</f>
        <v>145</v>
      </c>
      <c r="G37" s="437"/>
      <c r="H37" s="425">
        <f>F37</f>
        <v>145</v>
      </c>
      <c r="I37" s="425">
        <f>VLOOKUP(B37,All_Ingredients!$A$1:$F$161,6,FALSE())</f>
        <v>1</v>
      </c>
      <c r="J37" s="425">
        <f>VLOOKUP(B37,All_Ingredients!$A$1:$J$161,10,FALSE())</f>
        <v>39</v>
      </c>
      <c r="K37" s="425">
        <f t="shared" ref="K37" si="14">(H37/I37)/1000</f>
        <v>0.14499999999999999</v>
      </c>
      <c r="L37" s="425">
        <f t="shared" ref="L37" si="15">K37*J37</f>
        <v>5.6549999999999994</v>
      </c>
    </row>
    <row r="38" spans="2:23" x14ac:dyDescent="0.25">
      <c r="B38" s="1005" t="s">
        <v>19</v>
      </c>
      <c r="C38" s="1006" t="s">
        <v>14</v>
      </c>
      <c r="D38" s="1645">
        <v>1</v>
      </c>
      <c r="E38" s="1005">
        <f>$AD$1</f>
        <v>145</v>
      </c>
      <c r="F38" s="1005">
        <f>D38*E38</f>
        <v>145</v>
      </c>
      <c r="G38" s="437"/>
      <c r="H38" s="425">
        <f>F38</f>
        <v>145</v>
      </c>
      <c r="I38" s="425">
        <f>VLOOKUP(B38,All_Ingredients!$A$1:$F$161,6,FALSE())</f>
        <v>0.8</v>
      </c>
      <c r="J38" s="425">
        <f>VLOOKUP(B38,All_Ingredients!$A$1:$J$161,10,FALSE())</f>
        <v>2.6</v>
      </c>
      <c r="K38" s="425">
        <f t="shared" ref="K38" si="16">(H38/I38)/1000</f>
        <v>0.18124999999999999</v>
      </c>
      <c r="L38" s="425">
        <f t="shared" ref="L38" si="17">K38*J38</f>
        <v>0.47125</v>
      </c>
    </row>
    <row r="40" spans="2:23" ht="26.25" x14ac:dyDescent="0.25">
      <c r="Q40" s="14"/>
      <c r="R40" s="119" t="s">
        <v>270</v>
      </c>
      <c r="S40" s="120">
        <v>0.76923076923076905</v>
      </c>
      <c r="T40" s="119" t="s">
        <v>271</v>
      </c>
      <c r="U40" s="121">
        <v>0.230769230769231</v>
      </c>
      <c r="V40" s="122">
        <f>S40+U40</f>
        <v>1</v>
      </c>
      <c r="W40" s="14"/>
    </row>
    <row r="41" spans="2:23" x14ac:dyDescent="0.25">
      <c r="Q41" s="14"/>
      <c r="R41" s="14"/>
      <c r="S41" s="14"/>
      <c r="T41" s="14"/>
      <c r="U41" s="123"/>
      <c r="V41" s="14"/>
      <c r="W41" s="14"/>
    </row>
    <row r="42" spans="2:23" x14ac:dyDescent="0.25">
      <c r="Q42" s="14"/>
      <c r="R42" s="14"/>
      <c r="S42" s="14"/>
      <c r="T42" s="14"/>
      <c r="U42" s="14"/>
      <c r="V42" s="14"/>
      <c r="W42" s="14"/>
    </row>
    <row r="43" spans="2:23" ht="15.75" thickBot="1" x14ac:dyDescent="0.3">
      <c r="Q43" s="124" t="s">
        <v>272</v>
      </c>
      <c r="R43" s="124" t="s">
        <v>273</v>
      </c>
      <c r="S43" s="124" t="s">
        <v>274</v>
      </c>
      <c r="T43" s="124" t="s">
        <v>275</v>
      </c>
      <c r="U43" s="124" t="s">
        <v>276</v>
      </c>
      <c r="V43" s="124" t="s">
        <v>277</v>
      </c>
      <c r="W43" s="124" t="s">
        <v>278</v>
      </c>
    </row>
    <row r="44" spans="2:23" ht="15.75" thickBot="1" x14ac:dyDescent="0.3">
      <c r="Q44" s="663">
        <v>17728</v>
      </c>
      <c r="R44" s="127">
        <f>D51</f>
        <v>10000</v>
      </c>
      <c r="S44" s="664">
        <v>0.40909090909090912</v>
      </c>
      <c r="T44" s="664">
        <v>0.59090909090909094</v>
      </c>
      <c r="U44" s="165">
        <f>R44*S44</f>
        <v>4090.909090909091</v>
      </c>
      <c r="V44" s="129">
        <f>R44*T44</f>
        <v>5909.090909090909</v>
      </c>
      <c r="W44" s="129">
        <f>Q44-U44</f>
        <v>13637.090909090908</v>
      </c>
    </row>
    <row r="50" spans="1:10" x14ac:dyDescent="0.25">
      <c r="B50" s="181"/>
      <c r="C50" s="100" t="s">
        <v>233</v>
      </c>
      <c r="D50" s="100" t="s">
        <v>279</v>
      </c>
      <c r="E50" s="80"/>
      <c r="F50" s="80"/>
      <c r="G50" s="100" t="s">
        <v>280</v>
      </c>
      <c r="H50" s="100" t="s">
        <v>233</v>
      </c>
      <c r="I50" s="100" t="s">
        <v>281</v>
      </c>
      <c r="J50" s="100" t="s">
        <v>282</v>
      </c>
    </row>
    <row r="51" spans="1:10" x14ac:dyDescent="0.25">
      <c r="B51" s="844" t="s">
        <v>283</v>
      </c>
      <c r="C51" s="133">
        <f>10/$K$1</f>
        <v>10.1010101010101</v>
      </c>
      <c r="D51" s="134">
        <f>$C$1*10</f>
        <v>10000</v>
      </c>
      <c r="E51" s="135"/>
      <c r="F51" s="80"/>
      <c r="G51" s="132" t="s">
        <v>283</v>
      </c>
      <c r="H51" s="182">
        <f>I51/$D$5</f>
        <v>10</v>
      </c>
      <c r="I51" s="133">
        <f>J51/$R$1</f>
        <v>23512.225705329154</v>
      </c>
      <c r="J51" s="133">
        <f>$W$44</f>
        <v>13637.090909090908</v>
      </c>
    </row>
    <row r="52" spans="1:10" x14ac:dyDescent="0.25">
      <c r="B52" s="846" t="s">
        <v>262</v>
      </c>
      <c r="C52" s="156">
        <f>$I$1</f>
        <v>12.182336182336185</v>
      </c>
      <c r="D52" s="157">
        <f>$E$1</f>
        <v>12060.512820512824</v>
      </c>
      <c r="E52" s="80"/>
      <c r="F52" s="80"/>
      <c r="G52" s="103" t="s">
        <v>262</v>
      </c>
      <c r="H52" s="145">
        <f>I52/$D$5</f>
        <v>12.059869627466018</v>
      </c>
      <c r="I52" s="129">
        <f>J52/$R$1</f>
        <v>28355.437665782487</v>
      </c>
      <c r="J52" s="136">
        <f>$S$32</f>
        <v>16446.15384615384</v>
      </c>
    </row>
    <row r="53" spans="1:10" x14ac:dyDescent="0.25">
      <c r="B53" s="846" t="s">
        <v>284</v>
      </c>
      <c r="C53" s="158">
        <f>MIN(C52, C51)</f>
        <v>10.1010101010101</v>
      </c>
      <c r="D53" s="157">
        <f>(C53*$K$1)*$C$1</f>
        <v>10000</v>
      </c>
      <c r="E53" s="80"/>
      <c r="F53" s="80"/>
      <c r="G53" s="103" t="s">
        <v>284</v>
      </c>
      <c r="H53" s="139">
        <f>MIN(H52,H51)</f>
        <v>10</v>
      </c>
      <c r="I53" s="129">
        <f>J53/$R$1</f>
        <v>23512.225705329154</v>
      </c>
      <c r="J53" s="129">
        <f>MIN(J52,J51)</f>
        <v>13637.090909090908</v>
      </c>
    </row>
    <row r="54" spans="1:10" x14ac:dyDescent="0.25">
      <c r="B54" s="846" t="s">
        <v>285</v>
      </c>
      <c r="C54" s="158">
        <f>MIN(MAX(C52-C53,0),C51)</f>
        <v>2.0813260813260843</v>
      </c>
      <c r="D54" s="157">
        <f>(C54*$K$1)*$C$1</f>
        <v>2060.5128205128235</v>
      </c>
      <c r="E54" s="80"/>
      <c r="F54" s="80"/>
      <c r="G54" s="103" t="s">
        <v>285</v>
      </c>
      <c r="H54" s="139">
        <f>MIN(MAX(H52-H53),H51)</f>
        <v>2.0598696274660178</v>
      </c>
      <c r="I54" s="129">
        <f>J54/$R$1</f>
        <v>4843.2119604533318</v>
      </c>
      <c r="J54" s="129">
        <f>MIN(MAX(J52-J53),J51)</f>
        <v>2809.0629370629322</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62" spans="1:10" x14ac:dyDescent="0.25">
      <c r="A62" s="862"/>
      <c r="B62" s="1871" t="str">
        <f>"كرات اللحم الفرنسية   1 / " &amp; COUNTIF($C$53:$C$55, "&gt;0")</f>
        <v>كرات اللحم الفرنسية   1 / 2</v>
      </c>
      <c r="C62" s="1880"/>
      <c r="D62" s="1880"/>
      <c r="E62" s="1880"/>
      <c r="F62" s="1880"/>
      <c r="G62" s="1880"/>
      <c r="H62" s="1880"/>
    </row>
    <row r="63" spans="1:10" x14ac:dyDescent="0.25">
      <c r="A63" s="862"/>
      <c r="B63" s="1872" t="str">
        <f>"French Meatball   1 / " &amp; COUNTIF($C$53:$C$55, "&gt;0")</f>
        <v>French Meatball   1 / 2</v>
      </c>
      <c r="C63" s="1883"/>
      <c r="D63" s="1883"/>
      <c r="E63" s="1883"/>
      <c r="F63" s="1883"/>
      <c r="G63" s="1883"/>
      <c r="H63" s="1883"/>
    </row>
    <row r="64" spans="1:10" ht="25.5" x14ac:dyDescent="0.2">
      <c r="A64" s="1350" t="s">
        <v>864</v>
      </c>
      <c r="B64" s="923" t="s">
        <v>241</v>
      </c>
      <c r="C64" s="934" t="s">
        <v>242</v>
      </c>
      <c r="D64" s="923" t="s">
        <v>231</v>
      </c>
      <c r="E64" s="935" t="s">
        <v>234</v>
      </c>
      <c r="F64" s="935" t="s">
        <v>243</v>
      </c>
      <c r="G64" s="923" t="s">
        <v>244</v>
      </c>
      <c r="H64" s="936" t="s">
        <v>245</v>
      </c>
    </row>
    <row r="65" spans="1:8" x14ac:dyDescent="0.2">
      <c r="A65" s="882" t="s">
        <v>891</v>
      </c>
      <c r="B65" s="947" t="str">
        <f t="shared" ref="B65:D75" si="18">B5</f>
        <v>Indian Meat Tammam Mafroom - مفروم هندى</v>
      </c>
      <c r="C65" s="947" t="str">
        <f t="shared" si="18"/>
        <v>gm</v>
      </c>
      <c r="D65" s="1617">
        <f t="shared" si="18"/>
        <v>2351.2225705329156</v>
      </c>
      <c r="E65" s="1621">
        <f>H53</f>
        <v>10</v>
      </c>
      <c r="F65" s="1616">
        <f t="shared" ref="F65:F75" si="19">F5</f>
        <v>1</v>
      </c>
      <c r="G65" s="940">
        <f t="shared" ref="G65:G75" si="20">D65*E65</f>
        <v>23512.225705329154</v>
      </c>
      <c r="H65" s="1617">
        <f t="shared" ref="H65:H75" si="21">G65*F65</f>
        <v>23512.225705329154</v>
      </c>
    </row>
    <row r="66" spans="1:8" x14ac:dyDescent="0.25">
      <c r="A66" s="1" t="s">
        <v>946</v>
      </c>
      <c r="B66" s="947" t="str">
        <f t="shared" si="18"/>
        <v>Green Onion - بصل أخضر</v>
      </c>
      <c r="C66" s="947" t="str">
        <f t="shared" si="18"/>
        <v>gm</v>
      </c>
      <c r="D66" s="947">
        <f t="shared" si="18"/>
        <v>150</v>
      </c>
      <c r="E66" s="1621">
        <f t="shared" ref="E66:E75" si="22">$C$53</f>
        <v>10.1010101010101</v>
      </c>
      <c r="F66" s="1616">
        <f t="shared" si="19"/>
        <v>1</v>
      </c>
      <c r="G66" s="940">
        <f t="shared" si="20"/>
        <v>1515.151515151515</v>
      </c>
      <c r="H66" s="1617">
        <f t="shared" si="21"/>
        <v>1515.151515151515</v>
      </c>
    </row>
    <row r="67" spans="1:8" x14ac:dyDescent="0.25">
      <c r="A67" s="1" t="s">
        <v>868</v>
      </c>
      <c r="B67" s="947" t="str">
        <f t="shared" si="18"/>
        <v>Garlic - ثوم مقشر</v>
      </c>
      <c r="C67" s="947" t="str">
        <f t="shared" si="18"/>
        <v>gm</v>
      </c>
      <c r="D67" s="947">
        <f t="shared" si="18"/>
        <v>30</v>
      </c>
      <c r="E67" s="1621">
        <f t="shared" si="22"/>
        <v>10.1010101010101</v>
      </c>
      <c r="F67" s="1616">
        <f t="shared" si="19"/>
        <v>1</v>
      </c>
      <c r="G67" s="940">
        <f t="shared" si="20"/>
        <v>303.030303030303</v>
      </c>
      <c r="H67" s="1617">
        <f t="shared" si="21"/>
        <v>303.030303030303</v>
      </c>
    </row>
    <row r="68" spans="1:8" x14ac:dyDescent="0.25">
      <c r="B68" s="947" t="str">
        <f t="shared" si="18"/>
        <v>White Pepper - فلفل أبيض</v>
      </c>
      <c r="C68" s="947" t="str">
        <f t="shared" si="18"/>
        <v>gm</v>
      </c>
      <c r="D68" s="947">
        <f t="shared" si="18"/>
        <v>6</v>
      </c>
      <c r="E68" s="1621">
        <f t="shared" si="22"/>
        <v>10.1010101010101</v>
      </c>
      <c r="F68" s="1616">
        <f t="shared" si="19"/>
        <v>0.75</v>
      </c>
      <c r="G68" s="940">
        <f t="shared" si="20"/>
        <v>60.606060606060602</v>
      </c>
      <c r="H68" s="1617">
        <f t="shared" si="21"/>
        <v>45.454545454545453</v>
      </c>
    </row>
    <row r="69" spans="1:8" x14ac:dyDescent="0.25">
      <c r="B69" s="947" t="str">
        <f t="shared" si="18"/>
        <v>Maggi Cubes - مكعبات ماجي</v>
      </c>
      <c r="C69" s="947" t="str">
        <f t="shared" si="18"/>
        <v>gm</v>
      </c>
      <c r="D69" s="947">
        <f t="shared" si="18"/>
        <v>10</v>
      </c>
      <c r="E69" s="1621">
        <f t="shared" si="22"/>
        <v>10.1010101010101</v>
      </c>
      <c r="F69" s="1616">
        <f t="shared" si="19"/>
        <v>0.9</v>
      </c>
      <c r="G69" s="940">
        <f t="shared" si="20"/>
        <v>101.01010101010101</v>
      </c>
      <c r="H69" s="1617">
        <f t="shared" si="21"/>
        <v>90.909090909090907</v>
      </c>
    </row>
    <row r="70" spans="1:8" x14ac:dyDescent="0.25">
      <c r="B70" s="947" t="str">
        <f t="shared" si="18"/>
        <v>Milk - حليب</v>
      </c>
      <c r="C70" s="947" t="str">
        <f t="shared" si="18"/>
        <v>ml</v>
      </c>
      <c r="D70" s="947">
        <f t="shared" si="18"/>
        <v>600</v>
      </c>
      <c r="E70" s="1621">
        <f t="shared" si="22"/>
        <v>10.1010101010101</v>
      </c>
      <c r="F70" s="1616">
        <f t="shared" si="19"/>
        <v>1</v>
      </c>
      <c r="G70" s="940">
        <f t="shared" si="20"/>
        <v>6060.6060606060601</v>
      </c>
      <c r="H70" s="1617">
        <f t="shared" si="21"/>
        <v>6060.6060606060601</v>
      </c>
    </row>
    <row r="71" spans="1:8" x14ac:dyDescent="0.25">
      <c r="B71" s="947" t="str">
        <f t="shared" si="18"/>
        <v>Cooking Cream - كريمة طبخ</v>
      </c>
      <c r="C71" s="947" t="str">
        <f t="shared" si="18"/>
        <v>ml</v>
      </c>
      <c r="D71" s="947">
        <f t="shared" si="18"/>
        <v>600</v>
      </c>
      <c r="E71" s="1621">
        <f t="shared" si="22"/>
        <v>10.1010101010101</v>
      </c>
      <c r="F71" s="1616">
        <f t="shared" si="19"/>
        <v>1</v>
      </c>
      <c r="G71" s="940">
        <f t="shared" si="20"/>
        <v>6060.6060606060601</v>
      </c>
      <c r="H71" s="1617">
        <f t="shared" si="21"/>
        <v>6060.6060606060601</v>
      </c>
    </row>
    <row r="72" spans="1:8" x14ac:dyDescent="0.25">
      <c r="B72" s="947" t="str">
        <f t="shared" si="18"/>
        <v>Salt - ملح</v>
      </c>
      <c r="C72" s="947" t="str">
        <f t="shared" si="18"/>
        <v>gm</v>
      </c>
      <c r="D72" s="947">
        <f t="shared" si="18"/>
        <v>5</v>
      </c>
      <c r="E72" s="1621">
        <f t="shared" si="22"/>
        <v>10.1010101010101</v>
      </c>
      <c r="F72" s="1616">
        <f t="shared" si="19"/>
        <v>1</v>
      </c>
      <c r="G72" s="940">
        <f t="shared" si="20"/>
        <v>50.505050505050505</v>
      </c>
      <c r="H72" s="1617">
        <f t="shared" si="21"/>
        <v>50.505050505050505</v>
      </c>
    </row>
    <row r="73" spans="1:8" x14ac:dyDescent="0.25">
      <c r="B73" s="947" t="str">
        <f t="shared" si="18"/>
        <v>Flour - دقيق</v>
      </c>
      <c r="C73" s="947" t="str">
        <f t="shared" si="18"/>
        <v>gm</v>
      </c>
      <c r="D73" s="947">
        <f t="shared" si="18"/>
        <v>50</v>
      </c>
      <c r="E73" s="1621">
        <f t="shared" si="22"/>
        <v>10.1010101010101</v>
      </c>
      <c r="F73" s="1616">
        <f t="shared" si="19"/>
        <v>1</v>
      </c>
      <c r="G73" s="940">
        <f t="shared" si="20"/>
        <v>505.05050505050502</v>
      </c>
      <c r="H73" s="1617">
        <f t="shared" si="21"/>
        <v>505.05050505050502</v>
      </c>
    </row>
    <row r="74" spans="1:8" x14ac:dyDescent="0.25">
      <c r="B74" s="947" t="str">
        <f t="shared" si="18"/>
        <v>Parmesan Cheese Powder - بديل البارميزان</v>
      </c>
      <c r="C74" s="947" t="str">
        <f t="shared" si="18"/>
        <v>gm</v>
      </c>
      <c r="D74" s="947">
        <f t="shared" si="18"/>
        <v>45</v>
      </c>
      <c r="E74" s="1621">
        <f t="shared" si="22"/>
        <v>10.1010101010101</v>
      </c>
      <c r="F74" s="1616">
        <f t="shared" si="19"/>
        <v>1</v>
      </c>
      <c r="G74" s="940">
        <f t="shared" si="20"/>
        <v>454.5454545454545</v>
      </c>
      <c r="H74" s="1617">
        <f t="shared" si="21"/>
        <v>454.5454545454545</v>
      </c>
    </row>
    <row r="75" spans="1:8" x14ac:dyDescent="0.25">
      <c r="B75" s="947" t="str">
        <f t="shared" si="18"/>
        <v>Butter - زبدة</v>
      </c>
      <c r="C75" s="947" t="str">
        <f t="shared" si="18"/>
        <v>gm</v>
      </c>
      <c r="D75" s="947">
        <f t="shared" si="18"/>
        <v>20</v>
      </c>
      <c r="E75" s="1621">
        <f t="shared" si="22"/>
        <v>10.1010101010101</v>
      </c>
      <c r="F75" s="1616">
        <f t="shared" si="19"/>
        <v>1</v>
      </c>
      <c r="G75" s="940">
        <f t="shared" si="20"/>
        <v>202.02020202020202</v>
      </c>
      <c r="H75" s="1617">
        <f t="shared" si="21"/>
        <v>202.02020202020202</v>
      </c>
    </row>
    <row r="76" spans="1:8" ht="18" x14ac:dyDescent="0.25">
      <c r="A76" s="861"/>
      <c r="B76" s="1622" t="s">
        <v>287</v>
      </c>
      <c r="C76" s="1042" t="s">
        <v>273</v>
      </c>
      <c r="D76" s="952"/>
      <c r="E76" s="1042" t="s">
        <v>288</v>
      </c>
      <c r="F76" s="952"/>
      <c r="G76" s="1045" t="s">
        <v>264</v>
      </c>
      <c r="H76" s="1045" t="s">
        <v>661</v>
      </c>
    </row>
    <row r="77" spans="1:8" ht="20.25" x14ac:dyDescent="0.3">
      <c r="A77" s="861"/>
      <c r="B77" s="1048">
        <f>$J$53</f>
        <v>13637.090909090908</v>
      </c>
      <c r="C77" s="1048">
        <f>E77+G77</f>
        <v>10000</v>
      </c>
      <c r="D77" s="1629"/>
      <c r="E77" s="1048">
        <f>$D$53*$S$44</f>
        <v>4090.909090909091</v>
      </c>
      <c r="F77" s="1050"/>
      <c r="G77" s="1048">
        <f>$D$53*$T$44</f>
        <v>5909.090909090909</v>
      </c>
      <c r="H77" s="1048">
        <f>B77+E77</f>
        <v>17728</v>
      </c>
    </row>
    <row r="78" spans="1:8" x14ac:dyDescent="0.25">
      <c r="B78" s="1208"/>
      <c r="C78" s="1346"/>
      <c r="D78" s="972"/>
      <c r="E78" s="1208"/>
      <c r="F78" s="1208"/>
      <c r="G78" s="959"/>
      <c r="H78" s="959"/>
    </row>
    <row r="79" spans="1:8" x14ac:dyDescent="0.25">
      <c r="A79" s="862"/>
      <c r="B79" s="1776" t="str">
        <f>"كرات اللحم الفرنسية   2 / " &amp; COUNTIF($C$53:$C$55, "&gt;0")</f>
        <v>كرات اللحم الفرنسية   2 / 2</v>
      </c>
      <c r="C79" s="1777"/>
      <c r="D79" s="1777"/>
      <c r="E79" s="1777"/>
      <c r="F79" s="1777"/>
      <c r="G79" s="1777"/>
      <c r="H79" s="1777"/>
    </row>
    <row r="80" spans="1:8" x14ac:dyDescent="0.25">
      <c r="A80" s="862"/>
      <c r="B80" s="1842" t="str">
        <f>"French Meatball   2 / " &amp; COUNTIF($C$53:$C$55, "&gt;0")</f>
        <v>French Meatball   2 / 2</v>
      </c>
      <c r="C80" s="1843"/>
      <c r="D80" s="1843"/>
      <c r="E80" s="1843"/>
      <c r="F80" s="1843"/>
      <c r="G80" s="1843"/>
      <c r="H80" s="1843"/>
    </row>
    <row r="81" spans="1:10" ht="25.5" x14ac:dyDescent="0.2">
      <c r="A81" s="1350" t="s">
        <v>864</v>
      </c>
      <c r="B81" s="923" t="s">
        <v>241</v>
      </c>
      <c r="C81" s="934" t="s">
        <v>242</v>
      </c>
      <c r="D81" s="923" t="s">
        <v>231</v>
      </c>
      <c r="E81" s="935" t="s">
        <v>234</v>
      </c>
      <c r="F81" s="935" t="s">
        <v>243</v>
      </c>
      <c r="G81" s="923" t="s">
        <v>244</v>
      </c>
      <c r="H81" s="936" t="s">
        <v>245</v>
      </c>
    </row>
    <row r="82" spans="1:10" x14ac:dyDescent="0.2">
      <c r="A82" s="882" t="s">
        <v>891</v>
      </c>
      <c r="B82" s="947" t="str">
        <f t="shared" ref="B82:D92" si="23">B5</f>
        <v>Indian Meat Tammam Mafroom - مفروم هندى</v>
      </c>
      <c r="C82" s="947" t="str">
        <f t="shared" si="23"/>
        <v>gm</v>
      </c>
      <c r="D82" s="1617">
        <f t="shared" si="23"/>
        <v>2351.2225705329156</v>
      </c>
      <c r="E82" s="1627">
        <f>H54</f>
        <v>2.0598696274660178</v>
      </c>
      <c r="F82" s="1616">
        <f t="shared" ref="F82:F92" si="24">F5</f>
        <v>1</v>
      </c>
      <c r="G82" s="940">
        <f t="shared" ref="G82:G92" si="25">D82*E82</f>
        <v>4843.2119604533291</v>
      </c>
      <c r="H82" s="1617">
        <f t="shared" ref="H82:H92" si="26">G82*F82</f>
        <v>4843.2119604533291</v>
      </c>
    </row>
    <row r="83" spans="1:10" x14ac:dyDescent="0.25">
      <c r="A83" s="1" t="s">
        <v>946</v>
      </c>
      <c r="B83" s="947" t="str">
        <f t="shared" si="23"/>
        <v>Green Onion - بصل أخضر</v>
      </c>
      <c r="C83" s="947" t="str">
        <f t="shared" si="23"/>
        <v>gm</v>
      </c>
      <c r="D83" s="947">
        <f t="shared" si="23"/>
        <v>150</v>
      </c>
      <c r="E83" s="1627">
        <f t="shared" ref="E83:E92" si="27">$C$54</f>
        <v>2.0813260813260843</v>
      </c>
      <c r="F83" s="1616">
        <f t="shared" si="24"/>
        <v>1</v>
      </c>
      <c r="G83" s="940">
        <f t="shared" si="25"/>
        <v>312.19891219891264</v>
      </c>
      <c r="H83" s="1617">
        <f t="shared" si="26"/>
        <v>312.19891219891264</v>
      </c>
    </row>
    <row r="84" spans="1:10" x14ac:dyDescent="0.25">
      <c r="A84" s="1" t="s">
        <v>868</v>
      </c>
      <c r="B84" s="947" t="str">
        <f t="shared" si="23"/>
        <v>Garlic - ثوم مقشر</v>
      </c>
      <c r="C84" s="947" t="str">
        <f t="shared" si="23"/>
        <v>gm</v>
      </c>
      <c r="D84" s="947">
        <f t="shared" si="23"/>
        <v>30</v>
      </c>
      <c r="E84" s="1627">
        <f t="shared" si="27"/>
        <v>2.0813260813260843</v>
      </c>
      <c r="F84" s="1616">
        <f t="shared" si="24"/>
        <v>1</v>
      </c>
      <c r="G84" s="940">
        <f t="shared" si="25"/>
        <v>62.439782439782533</v>
      </c>
      <c r="H84" s="1617">
        <f t="shared" si="26"/>
        <v>62.439782439782533</v>
      </c>
    </row>
    <row r="85" spans="1:10" x14ac:dyDescent="0.25">
      <c r="B85" s="947" t="str">
        <f t="shared" si="23"/>
        <v>White Pepper - فلفل أبيض</v>
      </c>
      <c r="C85" s="947" t="str">
        <f t="shared" si="23"/>
        <v>gm</v>
      </c>
      <c r="D85" s="947">
        <f t="shared" si="23"/>
        <v>6</v>
      </c>
      <c r="E85" s="1627">
        <f t="shared" si="27"/>
        <v>2.0813260813260843</v>
      </c>
      <c r="F85" s="1616">
        <f t="shared" si="24"/>
        <v>0.75</v>
      </c>
      <c r="G85" s="940">
        <f t="shared" si="25"/>
        <v>12.487956487956506</v>
      </c>
      <c r="H85" s="1617">
        <f t="shared" si="26"/>
        <v>9.3659673659673786</v>
      </c>
    </row>
    <row r="86" spans="1:10" x14ac:dyDescent="0.25">
      <c r="B86" s="947" t="str">
        <f t="shared" si="23"/>
        <v>Maggi Cubes - مكعبات ماجي</v>
      </c>
      <c r="C86" s="947" t="str">
        <f t="shared" si="23"/>
        <v>gm</v>
      </c>
      <c r="D86" s="947">
        <f t="shared" si="23"/>
        <v>10</v>
      </c>
      <c r="E86" s="1627">
        <f t="shared" si="27"/>
        <v>2.0813260813260843</v>
      </c>
      <c r="F86" s="1616">
        <f t="shared" si="24"/>
        <v>0.9</v>
      </c>
      <c r="G86" s="940">
        <f t="shared" si="25"/>
        <v>20.813260813260843</v>
      </c>
      <c r="H86" s="1617">
        <f t="shared" si="26"/>
        <v>18.731934731934761</v>
      </c>
    </row>
    <row r="87" spans="1:10" x14ac:dyDescent="0.25">
      <c r="B87" s="947" t="str">
        <f t="shared" si="23"/>
        <v>Milk - حليب</v>
      </c>
      <c r="C87" s="947" t="str">
        <f t="shared" si="23"/>
        <v>ml</v>
      </c>
      <c r="D87" s="947">
        <f t="shared" si="23"/>
        <v>600</v>
      </c>
      <c r="E87" s="1627">
        <f t="shared" si="27"/>
        <v>2.0813260813260843</v>
      </c>
      <c r="F87" s="1616">
        <f t="shared" si="24"/>
        <v>1</v>
      </c>
      <c r="G87" s="940">
        <f t="shared" si="25"/>
        <v>1248.7956487956505</v>
      </c>
      <c r="H87" s="1617">
        <f t="shared" si="26"/>
        <v>1248.7956487956505</v>
      </c>
    </row>
    <row r="88" spans="1:10" x14ac:dyDescent="0.25">
      <c r="B88" s="947" t="str">
        <f t="shared" si="23"/>
        <v>Cooking Cream - كريمة طبخ</v>
      </c>
      <c r="C88" s="947" t="str">
        <f t="shared" si="23"/>
        <v>ml</v>
      </c>
      <c r="D88" s="947">
        <f t="shared" si="23"/>
        <v>600</v>
      </c>
      <c r="E88" s="1627">
        <f t="shared" si="27"/>
        <v>2.0813260813260843</v>
      </c>
      <c r="F88" s="1616">
        <f t="shared" si="24"/>
        <v>1</v>
      </c>
      <c r="G88" s="940">
        <f t="shared" si="25"/>
        <v>1248.7956487956505</v>
      </c>
      <c r="H88" s="1617">
        <f t="shared" si="26"/>
        <v>1248.7956487956505</v>
      </c>
    </row>
    <row r="89" spans="1:10" x14ac:dyDescent="0.25">
      <c r="B89" s="947" t="str">
        <f t="shared" si="23"/>
        <v>Salt - ملح</v>
      </c>
      <c r="C89" s="947" t="str">
        <f t="shared" si="23"/>
        <v>gm</v>
      </c>
      <c r="D89" s="947">
        <f t="shared" si="23"/>
        <v>5</v>
      </c>
      <c r="E89" s="1627">
        <f t="shared" si="27"/>
        <v>2.0813260813260843</v>
      </c>
      <c r="F89" s="1616">
        <f t="shared" si="24"/>
        <v>1</v>
      </c>
      <c r="G89" s="940">
        <f t="shared" si="25"/>
        <v>10.406630406630422</v>
      </c>
      <c r="H89" s="1617">
        <f t="shared" si="26"/>
        <v>10.406630406630422</v>
      </c>
    </row>
    <row r="90" spans="1:10" x14ac:dyDescent="0.25">
      <c r="B90" s="947" t="str">
        <f t="shared" si="23"/>
        <v>Flour - دقيق</v>
      </c>
      <c r="C90" s="947" t="str">
        <f t="shared" si="23"/>
        <v>gm</v>
      </c>
      <c r="D90" s="947">
        <f t="shared" si="23"/>
        <v>50</v>
      </c>
      <c r="E90" s="1627">
        <f t="shared" si="27"/>
        <v>2.0813260813260843</v>
      </c>
      <c r="F90" s="1616">
        <f t="shared" si="24"/>
        <v>1</v>
      </c>
      <c r="G90" s="940">
        <f t="shared" si="25"/>
        <v>104.06630406630421</v>
      </c>
      <c r="H90" s="1617">
        <f t="shared" si="26"/>
        <v>104.06630406630421</v>
      </c>
    </row>
    <row r="91" spans="1:10" x14ac:dyDescent="0.25">
      <c r="B91" s="947" t="str">
        <f t="shared" si="23"/>
        <v>Parmesan Cheese Powder - بديل البارميزان</v>
      </c>
      <c r="C91" s="947" t="str">
        <f t="shared" si="23"/>
        <v>gm</v>
      </c>
      <c r="D91" s="947">
        <f t="shared" si="23"/>
        <v>45</v>
      </c>
      <c r="E91" s="1627">
        <f t="shared" si="27"/>
        <v>2.0813260813260843</v>
      </c>
      <c r="F91" s="1616">
        <f t="shared" si="24"/>
        <v>1</v>
      </c>
      <c r="G91" s="940">
        <f t="shared" si="25"/>
        <v>93.6596736596738</v>
      </c>
      <c r="H91" s="1617">
        <f t="shared" si="26"/>
        <v>93.6596736596738</v>
      </c>
    </row>
    <row r="92" spans="1:10" x14ac:dyDescent="0.25">
      <c r="B92" s="947" t="str">
        <f t="shared" si="23"/>
        <v>Butter - زبدة</v>
      </c>
      <c r="C92" s="947" t="str">
        <f t="shared" si="23"/>
        <v>gm</v>
      </c>
      <c r="D92" s="947">
        <f t="shared" si="23"/>
        <v>20</v>
      </c>
      <c r="E92" s="1627">
        <f t="shared" si="27"/>
        <v>2.0813260813260843</v>
      </c>
      <c r="F92" s="1616">
        <f t="shared" si="24"/>
        <v>1</v>
      </c>
      <c r="G92" s="940">
        <f t="shared" si="25"/>
        <v>41.626521626521686</v>
      </c>
      <c r="H92" s="1617">
        <f t="shared" si="26"/>
        <v>41.626521626521686</v>
      </c>
    </row>
    <row r="93" spans="1:10" ht="20.25" x14ac:dyDescent="0.3">
      <c r="A93" s="861"/>
      <c r="B93" s="1622" t="s">
        <v>287</v>
      </c>
      <c r="C93" s="1042" t="s">
        <v>273</v>
      </c>
      <c r="D93" s="952"/>
      <c r="E93" s="1042" t="s">
        <v>288</v>
      </c>
      <c r="F93" s="952"/>
      <c r="G93" s="1045" t="s">
        <v>264</v>
      </c>
      <c r="H93" s="1045" t="s">
        <v>661</v>
      </c>
      <c r="I93" s="142"/>
      <c r="J93" s="141"/>
    </row>
    <row r="94" spans="1:10" ht="20.25" x14ac:dyDescent="0.3">
      <c r="A94" s="861"/>
      <c r="B94" s="1048">
        <f>$J$54</f>
        <v>2809.0629370629322</v>
      </c>
      <c r="C94" s="1048">
        <f>E94+G94</f>
        <v>2060.5128205128235</v>
      </c>
      <c r="D94" s="1629"/>
      <c r="E94" s="1048">
        <f>$D$54*$S$44</f>
        <v>842.93706293706418</v>
      </c>
      <c r="F94" s="1050"/>
      <c r="G94" s="1048">
        <f>$D$54*$T$44</f>
        <v>1217.5757575757593</v>
      </c>
      <c r="H94" s="1048">
        <f>B94+E94</f>
        <v>3651.9999999999964</v>
      </c>
    </row>
    <row r="97" spans="1:8" x14ac:dyDescent="0.25">
      <c r="A97" s="862"/>
      <c r="B97" s="1871" t="str">
        <f>"كرات اللحم الفرنسية   3 / " &amp; COUNTIF($C$53:$C$55, "&gt;0")</f>
        <v>كرات اللحم الفرنسية   3 / 2</v>
      </c>
      <c r="C97" s="1880"/>
      <c r="D97" s="1880"/>
      <c r="E97" s="1880"/>
      <c r="F97" s="1880"/>
      <c r="G97" s="1880"/>
      <c r="H97" s="1880"/>
    </row>
    <row r="98" spans="1:8" x14ac:dyDescent="0.25">
      <c r="A98" s="862"/>
      <c r="B98" s="1872" t="str">
        <f>"French Meatball   3 / " &amp; COUNTIF($C$53:$C$55, "&gt;0")</f>
        <v>French Meatball   3 / 2</v>
      </c>
      <c r="C98" s="1883"/>
      <c r="D98" s="1883"/>
      <c r="E98" s="1883"/>
      <c r="F98" s="1883"/>
      <c r="G98" s="1883"/>
      <c r="H98" s="1883"/>
    </row>
    <row r="99" spans="1:8" ht="25.5" x14ac:dyDescent="0.2">
      <c r="A99" s="1350" t="s">
        <v>864</v>
      </c>
      <c r="B99" s="923" t="s">
        <v>241</v>
      </c>
      <c r="C99" s="934" t="s">
        <v>242</v>
      </c>
      <c r="D99" s="923" t="s">
        <v>231</v>
      </c>
      <c r="E99" s="935" t="s">
        <v>234</v>
      </c>
      <c r="F99" s="935" t="s">
        <v>243</v>
      </c>
      <c r="G99" s="923" t="s">
        <v>244</v>
      </c>
      <c r="H99" s="936" t="s">
        <v>245</v>
      </c>
    </row>
    <row r="100" spans="1:8" x14ac:dyDescent="0.2">
      <c r="A100" s="882" t="s">
        <v>891</v>
      </c>
      <c r="B100" s="947" t="str">
        <f>B5</f>
        <v>Indian Meat Tammam Mafroom - مفروم هندى</v>
      </c>
      <c r="C100" s="947" t="str">
        <f t="shared" ref="C100:D100" si="28">C5</f>
        <v>gm</v>
      </c>
      <c r="D100" s="1617">
        <f t="shared" si="28"/>
        <v>2351.2225705329156</v>
      </c>
      <c r="E100" s="1490">
        <f>$H$55</f>
        <v>0</v>
      </c>
      <c r="F100" s="1726">
        <f>F5</f>
        <v>1</v>
      </c>
      <c r="G100" s="940">
        <f t="shared" ref="G100:G110" si="29">D100*E100</f>
        <v>0</v>
      </c>
      <c r="H100" s="1617">
        <f t="shared" ref="H100:H110" si="30">G100*F100</f>
        <v>0</v>
      </c>
    </row>
    <row r="101" spans="1:8" x14ac:dyDescent="0.25">
      <c r="A101" s="1" t="s">
        <v>946</v>
      </c>
      <c r="B101" s="947" t="str">
        <f t="shared" ref="B101:D110" si="31">B6</f>
        <v>Green Onion - بصل أخضر</v>
      </c>
      <c r="C101" s="947" t="str">
        <f t="shared" si="31"/>
        <v>gm</v>
      </c>
      <c r="D101" s="947">
        <f t="shared" si="31"/>
        <v>150</v>
      </c>
      <c r="E101" s="1490">
        <f t="shared" ref="E101:E110" si="32">$C$55</f>
        <v>0</v>
      </c>
      <c r="F101" s="1726">
        <f t="shared" ref="F101:F110" si="33">F6</f>
        <v>1</v>
      </c>
      <c r="G101" s="940">
        <f t="shared" si="29"/>
        <v>0</v>
      </c>
      <c r="H101" s="1617">
        <f t="shared" si="30"/>
        <v>0</v>
      </c>
    </row>
    <row r="102" spans="1:8" x14ac:dyDescent="0.25">
      <c r="A102" s="1" t="s">
        <v>868</v>
      </c>
      <c r="B102" s="947" t="str">
        <f t="shared" si="31"/>
        <v>Garlic - ثوم مقشر</v>
      </c>
      <c r="C102" s="947" t="str">
        <f t="shared" si="31"/>
        <v>gm</v>
      </c>
      <c r="D102" s="947">
        <f t="shared" si="31"/>
        <v>30</v>
      </c>
      <c r="E102" s="1490">
        <f t="shared" si="32"/>
        <v>0</v>
      </c>
      <c r="F102" s="1726">
        <f t="shared" si="33"/>
        <v>1</v>
      </c>
      <c r="G102" s="940">
        <f t="shared" si="29"/>
        <v>0</v>
      </c>
      <c r="H102" s="1617">
        <f t="shared" si="30"/>
        <v>0</v>
      </c>
    </row>
    <row r="103" spans="1:8" x14ac:dyDescent="0.25">
      <c r="B103" s="947" t="str">
        <f t="shared" si="31"/>
        <v>White Pepper - فلفل أبيض</v>
      </c>
      <c r="C103" s="947" t="str">
        <f t="shared" si="31"/>
        <v>gm</v>
      </c>
      <c r="D103" s="947">
        <f t="shared" si="31"/>
        <v>6</v>
      </c>
      <c r="E103" s="1490">
        <f t="shared" si="32"/>
        <v>0</v>
      </c>
      <c r="F103" s="1726">
        <f t="shared" si="33"/>
        <v>0.75</v>
      </c>
      <c r="G103" s="940">
        <f t="shared" si="29"/>
        <v>0</v>
      </c>
      <c r="H103" s="1617">
        <f t="shared" si="30"/>
        <v>0</v>
      </c>
    </row>
    <row r="104" spans="1:8" x14ac:dyDescent="0.25">
      <c r="B104" s="947" t="str">
        <f t="shared" si="31"/>
        <v>Maggi Cubes - مكعبات ماجي</v>
      </c>
      <c r="C104" s="947" t="str">
        <f t="shared" si="31"/>
        <v>gm</v>
      </c>
      <c r="D104" s="947">
        <f t="shared" si="31"/>
        <v>10</v>
      </c>
      <c r="E104" s="1490">
        <f t="shared" si="32"/>
        <v>0</v>
      </c>
      <c r="F104" s="1726">
        <f t="shared" si="33"/>
        <v>0.9</v>
      </c>
      <c r="G104" s="940">
        <f t="shared" si="29"/>
        <v>0</v>
      </c>
      <c r="H104" s="1617">
        <f t="shared" si="30"/>
        <v>0</v>
      </c>
    </row>
    <row r="105" spans="1:8" x14ac:dyDescent="0.25">
      <c r="B105" s="947" t="str">
        <f t="shared" si="31"/>
        <v>Milk - حليب</v>
      </c>
      <c r="C105" s="947" t="str">
        <f t="shared" si="31"/>
        <v>ml</v>
      </c>
      <c r="D105" s="947">
        <f t="shared" si="31"/>
        <v>600</v>
      </c>
      <c r="E105" s="1490">
        <f t="shared" si="32"/>
        <v>0</v>
      </c>
      <c r="F105" s="1726">
        <f t="shared" si="33"/>
        <v>1</v>
      </c>
      <c r="G105" s="940">
        <f t="shared" si="29"/>
        <v>0</v>
      </c>
      <c r="H105" s="1617">
        <f t="shared" si="30"/>
        <v>0</v>
      </c>
    </row>
    <row r="106" spans="1:8" x14ac:dyDescent="0.25">
      <c r="B106" s="947" t="str">
        <f t="shared" si="31"/>
        <v>Cooking Cream - كريمة طبخ</v>
      </c>
      <c r="C106" s="947" t="str">
        <f t="shared" si="31"/>
        <v>ml</v>
      </c>
      <c r="D106" s="947">
        <f t="shared" si="31"/>
        <v>600</v>
      </c>
      <c r="E106" s="1490">
        <f t="shared" si="32"/>
        <v>0</v>
      </c>
      <c r="F106" s="1726">
        <f t="shared" si="33"/>
        <v>1</v>
      </c>
      <c r="G106" s="940">
        <f t="shared" si="29"/>
        <v>0</v>
      </c>
      <c r="H106" s="1617">
        <f t="shared" si="30"/>
        <v>0</v>
      </c>
    </row>
    <row r="107" spans="1:8" x14ac:dyDescent="0.25">
      <c r="B107" s="947" t="str">
        <f t="shared" si="31"/>
        <v>Salt - ملح</v>
      </c>
      <c r="C107" s="947" t="str">
        <f t="shared" si="31"/>
        <v>gm</v>
      </c>
      <c r="D107" s="947">
        <f t="shared" si="31"/>
        <v>5</v>
      </c>
      <c r="E107" s="1490">
        <f t="shared" si="32"/>
        <v>0</v>
      </c>
      <c r="F107" s="1726">
        <f t="shared" si="33"/>
        <v>1</v>
      </c>
      <c r="G107" s="940">
        <f t="shared" si="29"/>
        <v>0</v>
      </c>
      <c r="H107" s="1617">
        <f t="shared" si="30"/>
        <v>0</v>
      </c>
    </row>
    <row r="108" spans="1:8" x14ac:dyDescent="0.25">
      <c r="B108" s="947" t="str">
        <f t="shared" si="31"/>
        <v>Flour - دقيق</v>
      </c>
      <c r="C108" s="947" t="str">
        <f t="shared" si="31"/>
        <v>gm</v>
      </c>
      <c r="D108" s="947">
        <f t="shared" si="31"/>
        <v>50</v>
      </c>
      <c r="E108" s="1490">
        <f t="shared" si="32"/>
        <v>0</v>
      </c>
      <c r="F108" s="1726">
        <f t="shared" si="33"/>
        <v>1</v>
      </c>
      <c r="G108" s="940">
        <f t="shared" si="29"/>
        <v>0</v>
      </c>
      <c r="H108" s="1617">
        <f t="shared" si="30"/>
        <v>0</v>
      </c>
    </row>
    <row r="109" spans="1:8" x14ac:dyDescent="0.25">
      <c r="B109" s="947" t="str">
        <f t="shared" si="31"/>
        <v>Parmesan Cheese Powder - بديل البارميزان</v>
      </c>
      <c r="C109" s="947" t="str">
        <f t="shared" si="31"/>
        <v>gm</v>
      </c>
      <c r="D109" s="947">
        <f t="shared" si="31"/>
        <v>45</v>
      </c>
      <c r="E109" s="1490">
        <f t="shared" si="32"/>
        <v>0</v>
      </c>
      <c r="F109" s="1726">
        <f t="shared" si="33"/>
        <v>1</v>
      </c>
      <c r="G109" s="940">
        <f t="shared" si="29"/>
        <v>0</v>
      </c>
      <c r="H109" s="1617">
        <f t="shared" si="30"/>
        <v>0</v>
      </c>
    </row>
    <row r="110" spans="1:8" x14ac:dyDescent="0.25">
      <c r="B110" s="947" t="str">
        <f t="shared" si="31"/>
        <v>Butter - زبدة</v>
      </c>
      <c r="C110" s="947" t="str">
        <f t="shared" si="31"/>
        <v>gm</v>
      </c>
      <c r="D110" s="947">
        <f t="shared" si="31"/>
        <v>20</v>
      </c>
      <c r="E110" s="1490">
        <f t="shared" si="32"/>
        <v>0</v>
      </c>
      <c r="F110" s="1726">
        <f t="shared" si="33"/>
        <v>1</v>
      </c>
      <c r="G110" s="940">
        <f t="shared" si="29"/>
        <v>0</v>
      </c>
      <c r="H110" s="1617">
        <f t="shared" si="30"/>
        <v>0</v>
      </c>
    </row>
    <row r="111" spans="1:8" ht="18" x14ac:dyDescent="0.25">
      <c r="A111" s="861"/>
      <c r="B111" s="1622" t="s">
        <v>287</v>
      </c>
      <c r="C111" s="1042" t="s">
        <v>273</v>
      </c>
      <c r="D111" s="952"/>
      <c r="E111" s="1042" t="s">
        <v>288</v>
      </c>
      <c r="F111" s="952"/>
      <c r="G111" s="1045" t="s">
        <v>264</v>
      </c>
      <c r="H111" s="1045" t="s">
        <v>661</v>
      </c>
    </row>
    <row r="112" spans="1:8" ht="20.25" x14ac:dyDescent="0.3">
      <c r="A112" s="861"/>
      <c r="B112" s="1048">
        <f>J55</f>
        <v>0</v>
      </c>
      <c r="C112" s="1048">
        <f>E112+G112</f>
        <v>0</v>
      </c>
      <c r="D112" s="1629"/>
      <c r="E112" s="1048">
        <f>$D$55*$S$44</f>
        <v>0</v>
      </c>
      <c r="F112" s="1050"/>
      <c r="G112" s="1048">
        <f>$D$55*$T$44</f>
        <v>0</v>
      </c>
      <c r="H112" s="1048">
        <f>B112+E112</f>
        <v>0</v>
      </c>
    </row>
  </sheetData>
  <mergeCells count="13">
    <mergeCell ref="R26:U26"/>
    <mergeCell ref="B2:K3"/>
    <mergeCell ref="AE2:AG3"/>
    <mergeCell ref="AK2:AM2"/>
    <mergeCell ref="AN2:AN3"/>
    <mergeCell ref="R25:U25"/>
    <mergeCell ref="B98:H98"/>
    <mergeCell ref="B35:F35"/>
    <mergeCell ref="B62:H62"/>
    <mergeCell ref="B63:H63"/>
    <mergeCell ref="B79:H79"/>
    <mergeCell ref="B80:H80"/>
    <mergeCell ref="B97:H97"/>
  </mergeCells>
  <printOptions horizontalCentered="1"/>
  <pageMargins left="0.4" right="0.4" top="1" bottom="0.5" header="0.3" footer="0.511811023622047"/>
  <pageSetup paperSize="9" scale="49" orientation="landscape" r:id="rId1"/>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C8B27-7260-44B0-82D7-873B2A97F626}">
  <sheetPr codeName="Sheet72">
    <tabColor rgb="FF333F50"/>
    <pageSetUpPr fitToPage="1"/>
  </sheetPr>
  <dimension ref="A1:AT118"/>
  <sheetViews>
    <sheetView zoomScale="55" zoomScaleNormal="55" workbookViewId="0">
      <selection activeCell="H69" sqref="H69"/>
    </sheetView>
  </sheetViews>
  <sheetFormatPr defaultColWidth="12.5" defaultRowHeight="15" x14ac:dyDescent="0.25"/>
  <cols>
    <col min="1" max="1" width="12.375" style="61" bestFit="1" customWidth="1"/>
    <col min="2" max="2" width="39.375" style="803" bestFit="1" customWidth="1"/>
    <col min="3" max="3" width="16" style="14" bestFit="1" customWidth="1"/>
    <col min="4" max="4" width="15.625" style="14" bestFit="1" customWidth="1"/>
    <col min="5" max="5" width="13.875" style="14" bestFit="1" customWidth="1"/>
    <col min="6" max="6" width="16.625" style="14" bestFit="1" customWidth="1"/>
    <col min="7" max="7" width="20.25" style="14" bestFit="1" customWidth="1"/>
    <col min="8" max="8" width="18.625" style="14" bestFit="1" customWidth="1"/>
    <col min="9" max="9" width="16.5" style="14" bestFit="1" customWidth="1"/>
    <col min="10" max="10" width="13.625" style="14" bestFit="1" customWidth="1"/>
    <col min="11" max="11" width="10.375" style="14" bestFit="1" customWidth="1"/>
    <col min="12" max="12" width="10.25" style="14" bestFit="1" customWidth="1"/>
    <col min="13" max="13" width="11" style="14" customWidth="1"/>
    <col min="14" max="14" width="8.875" style="14" customWidth="1"/>
    <col min="15" max="15" width="14.5" style="14" customWidth="1"/>
    <col min="16" max="16" width="9.5" style="14" bestFit="1" customWidth="1"/>
    <col min="17" max="17" width="14.625" style="14" bestFit="1" customWidth="1"/>
    <col min="18" max="18" width="32.75" style="14" bestFit="1" customWidth="1"/>
    <col min="19" max="19" width="8.5" style="14" bestFit="1" customWidth="1"/>
    <col min="20" max="20" width="38" style="14" bestFit="1" customWidth="1"/>
    <col min="21" max="21" width="9.625" style="14" bestFit="1" customWidth="1"/>
    <col min="22" max="22" width="10.25" style="14" bestFit="1" customWidth="1"/>
    <col min="23" max="23" width="32.125" style="14" bestFit="1" customWidth="1"/>
    <col min="24" max="24" width="8.875" style="14" bestFit="1" customWidth="1"/>
    <col min="25" max="25" width="6.625" style="14" bestFit="1" customWidth="1"/>
    <col min="26" max="26" width="9.5" style="14" bestFit="1" customWidth="1"/>
    <col min="27" max="27" width="10" style="14" bestFit="1" customWidth="1"/>
    <col min="28" max="28" width="11.125" style="14" bestFit="1" customWidth="1"/>
    <col min="29" max="29" width="11.75" style="14" bestFit="1" customWidth="1"/>
    <col min="30" max="30" width="13" style="14" bestFit="1" customWidth="1"/>
    <col min="31" max="31" width="9.875" style="14" bestFit="1" customWidth="1"/>
    <col min="32" max="32" width="6.75" style="14" bestFit="1" customWidth="1"/>
    <col min="33" max="34" width="7.25" style="14" customWidth="1"/>
    <col min="35" max="35" width="10.5" style="14" bestFit="1" customWidth="1"/>
    <col min="36" max="36" width="40.125" style="14" bestFit="1" customWidth="1"/>
    <col min="37" max="37" width="5.375" style="14" bestFit="1" customWidth="1"/>
    <col min="38" max="38" width="13.625" style="14" bestFit="1" customWidth="1"/>
    <col min="39" max="39" width="10.875" style="14" bestFit="1" customWidth="1"/>
    <col min="40" max="40" width="10" style="14" bestFit="1" customWidth="1"/>
    <col min="41" max="41" width="12.5" style="14"/>
    <col min="42" max="42" width="15.125" style="14" bestFit="1" customWidth="1"/>
    <col min="43" max="43" width="11" style="14" bestFit="1" customWidth="1"/>
    <col min="44" max="44" width="11.625" style="14" bestFit="1" customWidth="1"/>
    <col min="45" max="45" width="11.125" style="14" bestFit="1" customWidth="1"/>
    <col min="46" max="46" width="5.25" style="14" bestFit="1" customWidth="1"/>
    <col min="47" max="16384" width="12.5" style="14"/>
  </cols>
  <sheetData>
    <row r="1" spans="1:46" ht="25.5" x14ac:dyDescent="0.25">
      <c r="B1" s="850" t="s">
        <v>231</v>
      </c>
      <c r="C1" s="63">
        <v>1000</v>
      </c>
      <c r="D1" s="64" t="s">
        <v>232</v>
      </c>
      <c r="E1" s="65">
        <f>T32</f>
        <v>8523.5897435897459</v>
      </c>
      <c r="F1" s="62" t="s">
        <v>233</v>
      </c>
      <c r="G1" s="66">
        <f>E1/1000</f>
        <v>8.5235897435897456</v>
      </c>
      <c r="H1" s="62" t="s">
        <v>234</v>
      </c>
      <c r="I1" s="67">
        <f>(G1/K1)</f>
        <v>8.6975405546834139</v>
      </c>
      <c r="J1" s="68" t="s">
        <v>235</v>
      </c>
      <c r="K1" s="67">
        <v>0.98</v>
      </c>
      <c r="L1" s="238"/>
      <c r="M1" s="70"/>
      <c r="N1" s="71"/>
      <c r="O1" s="72" t="s">
        <v>236</v>
      </c>
      <c r="P1" s="73" t="s">
        <v>237</v>
      </c>
      <c r="Q1" s="74" t="s">
        <v>238</v>
      </c>
      <c r="R1" s="73">
        <v>0.59</v>
      </c>
      <c r="U1" s="80"/>
      <c r="Y1" s="72" t="s">
        <v>444</v>
      </c>
      <c r="Z1" s="422">
        <v>14610</v>
      </c>
      <c r="AA1" s="72" t="s">
        <v>544</v>
      </c>
      <c r="AB1" s="422">
        <v>500</v>
      </c>
      <c r="AC1" s="72" t="s">
        <v>537</v>
      </c>
      <c r="AD1" s="422">
        <v>103</v>
      </c>
      <c r="AE1" s="168"/>
      <c r="AF1" s="170"/>
      <c r="AG1" s="73"/>
      <c r="AI1" s="61"/>
      <c r="AJ1" s="75" t="s">
        <v>250</v>
      </c>
      <c r="AK1" s="75">
        <v>10000</v>
      </c>
      <c r="AL1" s="318" t="s">
        <v>474</v>
      </c>
      <c r="AM1" s="319">
        <f>$S$32</f>
        <v>11623.07692307692</v>
      </c>
      <c r="AN1" s="75" t="s">
        <v>239</v>
      </c>
      <c r="AO1" s="212">
        <f>((S32)/$R$1)/$AK$1</f>
        <v>1.9700130378096476</v>
      </c>
      <c r="AP1" s="76"/>
    </row>
    <row r="2" spans="1:46" ht="15.75" x14ac:dyDescent="0.25">
      <c r="A2" s="863"/>
      <c r="B2" s="801"/>
      <c r="C2" s="78"/>
      <c r="D2" s="78"/>
      <c r="E2" s="78"/>
      <c r="F2" s="1828" t="s">
        <v>155</v>
      </c>
      <c r="G2" s="78"/>
      <c r="H2" s="78"/>
      <c r="I2" s="78"/>
      <c r="J2" s="78"/>
      <c r="K2" s="78"/>
      <c r="L2" s="78"/>
      <c r="M2" s="79"/>
      <c r="N2" s="79"/>
      <c r="O2" s="80"/>
      <c r="P2" s="80"/>
      <c r="Q2" s="80"/>
      <c r="R2" s="80"/>
      <c r="S2" s="80"/>
      <c r="T2" s="80"/>
      <c r="U2" s="80"/>
      <c r="AC2" s="79"/>
      <c r="AD2" s="79"/>
      <c r="AE2" s="1795"/>
      <c r="AF2" s="1799"/>
      <c r="AG2" s="1799"/>
      <c r="AI2" s="61"/>
      <c r="AJ2" s="81"/>
      <c r="AK2" s="81"/>
      <c r="AL2" s="1873" t="s">
        <v>458</v>
      </c>
      <c r="AM2" s="1873"/>
      <c r="AN2" s="1873"/>
      <c r="AO2" s="81"/>
      <c r="AP2" s="81"/>
    </row>
    <row r="3" spans="1:46" ht="15.75" x14ac:dyDescent="0.25">
      <c r="A3" s="863"/>
      <c r="B3" s="801"/>
      <c r="C3" s="78"/>
      <c r="D3" s="78"/>
      <c r="E3" s="78"/>
      <c r="F3" s="1796"/>
      <c r="G3" s="78"/>
      <c r="H3" s="78"/>
      <c r="I3" s="78"/>
      <c r="J3" s="78"/>
      <c r="K3" s="78"/>
      <c r="L3" s="78"/>
      <c r="M3" s="79"/>
      <c r="N3" s="79"/>
      <c r="O3" s="80"/>
      <c r="P3" s="80"/>
      <c r="Q3" s="80"/>
      <c r="R3" s="80"/>
      <c r="S3" s="80"/>
      <c r="T3" s="80"/>
      <c r="U3" s="80"/>
      <c r="AC3" s="79"/>
      <c r="AD3" s="79"/>
      <c r="AE3" s="1799"/>
      <c r="AF3" s="1799"/>
      <c r="AG3" s="1799"/>
      <c r="AI3" s="61"/>
      <c r="AJ3" s="81"/>
      <c r="AK3" s="81"/>
      <c r="AL3" s="81"/>
      <c r="AM3" s="81"/>
      <c r="AN3" s="81"/>
      <c r="AO3" s="81"/>
      <c r="AP3" s="81"/>
    </row>
    <row r="4" spans="1:46" ht="38.25" x14ac:dyDescent="0.25">
      <c r="A4" s="1350" t="s">
        <v>864</v>
      </c>
      <c r="B4" s="1724" t="s">
        <v>241</v>
      </c>
      <c r="C4" s="934" t="s">
        <v>242</v>
      </c>
      <c r="D4" s="923" t="s">
        <v>455</v>
      </c>
      <c r="E4" s="1725" t="s">
        <v>234</v>
      </c>
      <c r="F4" s="935" t="s">
        <v>243</v>
      </c>
      <c r="G4" s="923" t="s">
        <v>456</v>
      </c>
      <c r="H4" s="936" t="s">
        <v>334</v>
      </c>
      <c r="I4" s="923" t="s">
        <v>246</v>
      </c>
      <c r="J4" s="923" t="s">
        <v>247</v>
      </c>
      <c r="K4" s="923" t="s">
        <v>248</v>
      </c>
      <c r="L4" s="923" t="s">
        <v>249</v>
      </c>
      <c r="M4" s="235"/>
      <c r="N4" s="235"/>
      <c r="O4" s="80"/>
      <c r="P4" s="80"/>
      <c r="Q4" s="80"/>
      <c r="R4" s="80"/>
      <c r="S4" s="80"/>
      <c r="T4" s="80"/>
      <c r="U4" s="80"/>
      <c r="AC4" s="169"/>
      <c r="AD4" s="171"/>
      <c r="AE4" s="169"/>
      <c r="AF4" s="169"/>
      <c r="AG4" s="169"/>
      <c r="AI4" s="61"/>
      <c r="AJ4" s="926" t="s">
        <v>241</v>
      </c>
      <c r="AK4" s="1169" t="s">
        <v>242</v>
      </c>
      <c r="AL4" s="926" t="s">
        <v>250</v>
      </c>
      <c r="AM4" s="926" t="s">
        <v>234</v>
      </c>
      <c r="AN4" s="926" t="s">
        <v>243</v>
      </c>
      <c r="AO4" s="926" t="s">
        <v>244</v>
      </c>
      <c r="AP4" s="926" t="s">
        <v>334</v>
      </c>
      <c r="AQ4" s="923" t="s">
        <v>246</v>
      </c>
      <c r="AR4" s="923" t="s">
        <v>247</v>
      </c>
      <c r="AS4" s="923" t="s">
        <v>248</v>
      </c>
      <c r="AT4" s="923" t="s">
        <v>249</v>
      </c>
    </row>
    <row r="5" spans="1:46" x14ac:dyDescent="0.25">
      <c r="A5" s="882" t="s">
        <v>872</v>
      </c>
      <c r="B5" s="1614" t="s">
        <v>220</v>
      </c>
      <c r="C5" s="939" t="s">
        <v>14</v>
      </c>
      <c r="D5" s="1116">
        <f>I51/10</f>
        <v>2311.3713405238827</v>
      </c>
      <c r="E5" s="1646">
        <f>H52</f>
        <v>8.523135176380336</v>
      </c>
      <c r="F5" s="1626">
        <v>1</v>
      </c>
      <c r="G5" s="940">
        <f t="shared" ref="G5:G27" si="0">D5*E5</f>
        <v>19700.130378096477</v>
      </c>
      <c r="H5" s="1038">
        <f t="shared" ref="H5:H27" si="1">G5*F5</f>
        <v>19700.130378096477</v>
      </c>
      <c r="I5" s="914">
        <f>VLOOKUP(B5,All_Ingredients!$A$1:$F$161,6,FALSE())</f>
        <v>0.86</v>
      </c>
      <c r="J5" s="940">
        <f>VLOOKUP(B5,All_Ingredients!$A$1:$J$161,10,FALSE())</f>
        <v>17.100000000000001</v>
      </c>
      <c r="K5" s="945">
        <f t="shared" ref="K5" si="2">(H5/I5)/1000</f>
        <v>22.907128346623814</v>
      </c>
      <c r="L5" s="945">
        <f t="shared" ref="L5" si="3">K5*J5</f>
        <v>391.71189472726724</v>
      </c>
      <c r="M5" s="87"/>
      <c r="N5" s="87"/>
      <c r="O5" s="87"/>
      <c r="P5" s="87"/>
      <c r="Q5" s="80"/>
      <c r="R5" s="80"/>
      <c r="S5" s="80"/>
      <c r="T5" s="80"/>
      <c r="U5" s="80"/>
      <c r="AC5" s="73"/>
      <c r="AD5" s="89"/>
      <c r="AE5" s="172"/>
      <c r="AF5" s="90"/>
      <c r="AG5" s="91"/>
      <c r="AI5" s="61"/>
      <c r="AJ5" s="1686" t="s">
        <v>220</v>
      </c>
      <c r="AK5" s="947" t="s">
        <v>227</v>
      </c>
      <c r="AL5" s="1615">
        <v>10</v>
      </c>
      <c r="AM5" s="1646">
        <f t="shared" ref="AM5:AM19" si="4">$AO$1</f>
        <v>1.9700130378096476</v>
      </c>
      <c r="AN5" s="1626">
        <v>1</v>
      </c>
      <c r="AO5" s="940">
        <f t="shared" ref="AO5:AO19" si="5">AL5*AM5</f>
        <v>19.700130378096475</v>
      </c>
      <c r="AP5" s="1038">
        <f t="shared" ref="AP5:AP19" si="6">AO5*AN5</f>
        <v>19.700130378096475</v>
      </c>
      <c r="AQ5" s="952"/>
      <c r="AR5" s="953"/>
      <c r="AS5" s="1020"/>
      <c r="AT5" s="955"/>
    </row>
    <row r="6" spans="1:46" x14ac:dyDescent="0.25">
      <c r="B6" s="1727" t="s">
        <v>108</v>
      </c>
      <c r="C6" s="939" t="s">
        <v>14</v>
      </c>
      <c r="D6" s="1618">
        <v>6</v>
      </c>
      <c r="E6" s="1646">
        <f t="shared" ref="E6:E27" si="7">$I$1</f>
        <v>8.6975405546834139</v>
      </c>
      <c r="F6" s="1626">
        <v>0.95</v>
      </c>
      <c r="G6" s="940">
        <f t="shared" si="0"/>
        <v>52.185243328100483</v>
      </c>
      <c r="H6" s="1038">
        <f t="shared" si="1"/>
        <v>49.575981161695459</v>
      </c>
      <c r="I6" s="914">
        <f>VLOOKUP(B6,All_Ingredients!$A$1:$F$161,6,FALSE())</f>
        <v>1</v>
      </c>
      <c r="J6" s="940">
        <f>VLOOKUP(B6,All_Ingredients!$A$1:$J$161,10,FALSE())</f>
        <v>26.5</v>
      </c>
      <c r="K6" s="945">
        <f t="shared" ref="K6:K27" si="8">(H6/I6)/1000</f>
        <v>4.9575981161695461E-2</v>
      </c>
      <c r="L6" s="945">
        <f t="shared" ref="L6:L27" si="9">K6*J6</f>
        <v>1.3137635007849298</v>
      </c>
      <c r="M6" s="87"/>
      <c r="N6" s="87"/>
      <c r="O6" s="217"/>
      <c r="P6" s="217"/>
      <c r="AI6" s="61" t="s">
        <v>94</v>
      </c>
      <c r="AJ6" s="1252" t="s">
        <v>105</v>
      </c>
      <c r="AK6" s="1400" t="s">
        <v>14</v>
      </c>
      <c r="AL6" s="1615">
        <v>20</v>
      </c>
      <c r="AM6" s="1646">
        <f t="shared" si="4"/>
        <v>1.9700130378096476</v>
      </c>
      <c r="AN6" s="1626">
        <v>1</v>
      </c>
      <c r="AO6" s="940">
        <f t="shared" si="5"/>
        <v>39.400260756192949</v>
      </c>
      <c r="AP6" s="1038">
        <f t="shared" si="6"/>
        <v>39.400260756192949</v>
      </c>
      <c r="AQ6" s="955">
        <f>VLOOKUP(AJ6,Marination_Ordering!$A:$J,6,FALSE)</f>
        <v>1</v>
      </c>
      <c r="AR6" s="955">
        <f>VLOOKUP(AJ6,Marination_Ordering!$A:$J,10,FALSE)</f>
        <v>15</v>
      </c>
      <c r="AS6" s="1020">
        <f>AP6/AQ6</f>
        <v>39.400260756192949</v>
      </c>
      <c r="AT6" s="955">
        <f>AR6*(AS6/1000)</f>
        <v>0.59100391134289421</v>
      </c>
    </row>
    <row r="7" spans="1:46" x14ac:dyDescent="0.25">
      <c r="B7" s="1727" t="s">
        <v>93</v>
      </c>
      <c r="C7" s="939" t="s">
        <v>14</v>
      </c>
      <c r="D7" s="1618">
        <v>11</v>
      </c>
      <c r="E7" s="1646">
        <f t="shared" si="7"/>
        <v>8.6975405546834139</v>
      </c>
      <c r="F7" s="1626">
        <v>0.75</v>
      </c>
      <c r="G7" s="940">
        <f t="shared" si="0"/>
        <v>95.672946101517553</v>
      </c>
      <c r="H7" s="1038">
        <f t="shared" si="1"/>
        <v>71.754709576138168</v>
      </c>
      <c r="I7" s="914">
        <f>VLOOKUP(B7,All_Ingredients!$A$1:$F$161,6,FALSE())</f>
        <v>1</v>
      </c>
      <c r="J7" s="940">
        <f>VLOOKUP(B7,All_Ingredients!$A$1:$J$161,10,FALSE())</f>
        <v>0.74</v>
      </c>
      <c r="K7" s="945">
        <f t="shared" si="8"/>
        <v>7.1754709576138165E-2</v>
      </c>
      <c r="L7" s="945">
        <f t="shared" si="9"/>
        <v>5.309848508634224E-2</v>
      </c>
      <c r="M7" s="87"/>
      <c r="N7" s="87"/>
      <c r="O7" s="217"/>
      <c r="P7" s="217"/>
      <c r="AI7" s="61" t="s">
        <v>94</v>
      </c>
      <c r="AJ7" s="1252" t="s">
        <v>107</v>
      </c>
      <c r="AK7" s="1400" t="s">
        <v>14</v>
      </c>
      <c r="AL7" s="1615">
        <v>10</v>
      </c>
      <c r="AM7" s="1646">
        <f t="shared" si="4"/>
        <v>1.9700130378096476</v>
      </c>
      <c r="AN7" s="1626">
        <v>1</v>
      </c>
      <c r="AO7" s="940">
        <f t="shared" si="5"/>
        <v>19.700130378096475</v>
      </c>
      <c r="AP7" s="1038">
        <f t="shared" si="6"/>
        <v>19.700130378096475</v>
      </c>
      <c r="AQ7" s="955">
        <f>VLOOKUP(AJ7,Marination_Ordering!$A:$J,6,FALSE)</f>
        <v>1</v>
      </c>
      <c r="AR7" s="955">
        <f>VLOOKUP(AJ7,Marination_Ordering!$A:$J,10,FALSE)</f>
        <v>8</v>
      </c>
      <c r="AS7" s="1020">
        <f t="shared" ref="AS7:AS19" si="10">AP7/AQ7</f>
        <v>19.700130378096475</v>
      </c>
      <c r="AT7" s="955">
        <f t="shared" ref="AT7:AT19" si="11">AR7*(AS7/1000)</f>
        <v>0.15760104302477179</v>
      </c>
    </row>
    <row r="8" spans="1:46" x14ac:dyDescent="0.25">
      <c r="B8" s="1727" t="s">
        <v>174</v>
      </c>
      <c r="C8" s="939" t="s">
        <v>160</v>
      </c>
      <c r="D8" s="1618">
        <v>250</v>
      </c>
      <c r="E8" s="1646">
        <f t="shared" si="7"/>
        <v>8.6975405546834139</v>
      </c>
      <c r="F8" s="1626">
        <v>1</v>
      </c>
      <c r="G8" s="940">
        <f t="shared" si="0"/>
        <v>2174.3851386708534</v>
      </c>
      <c r="H8" s="1038">
        <f t="shared" si="1"/>
        <v>2174.3851386708534</v>
      </c>
      <c r="I8" s="914">
        <f>VLOOKUP(B8,All_Ingredients!$A$1:$F$161,6,FALSE())</f>
        <v>1</v>
      </c>
      <c r="J8" s="940">
        <f>VLOOKUP(B8,All_Ingredients!$A$1:$J$161,10,FALSE())</f>
        <v>9.8958333333333339</v>
      </c>
      <c r="K8" s="945">
        <f t="shared" si="8"/>
        <v>2.1743851386708535</v>
      </c>
      <c r="L8" s="945">
        <f t="shared" si="9"/>
        <v>21.517352934763654</v>
      </c>
      <c r="M8" s="87"/>
      <c r="N8" s="87"/>
      <c r="O8" s="217"/>
      <c r="P8" s="217"/>
      <c r="AI8" s="61" t="s">
        <v>153</v>
      </c>
      <c r="AJ8" s="1252" t="s">
        <v>174</v>
      </c>
      <c r="AK8" s="1400" t="s">
        <v>160</v>
      </c>
      <c r="AL8" s="1627">
        <v>100</v>
      </c>
      <c r="AM8" s="1646">
        <f t="shared" si="4"/>
        <v>1.9700130378096476</v>
      </c>
      <c r="AN8" s="1626">
        <v>1</v>
      </c>
      <c r="AO8" s="940">
        <f t="shared" si="5"/>
        <v>197.00130378096478</v>
      </c>
      <c r="AP8" s="1038">
        <f t="shared" si="6"/>
        <v>197.00130378096478</v>
      </c>
      <c r="AQ8" s="955">
        <f>VLOOKUP(AJ8,Marination_Ordering!$A:$J,6,FALSE)</f>
        <v>1</v>
      </c>
      <c r="AR8" s="955">
        <f>VLOOKUP(AJ8,Marination_Ordering!$A:$J,10,FALSE)</f>
        <v>9.8958333333333339</v>
      </c>
      <c r="AS8" s="1020">
        <f t="shared" si="10"/>
        <v>197.00130378096478</v>
      </c>
      <c r="AT8" s="955">
        <f t="shared" si="11"/>
        <v>1.9494920686657975</v>
      </c>
    </row>
    <row r="9" spans="1:46" x14ac:dyDescent="0.25">
      <c r="A9" s="61" t="s">
        <v>947</v>
      </c>
      <c r="B9" s="1727" t="s">
        <v>736</v>
      </c>
      <c r="C9" s="939" t="s">
        <v>14</v>
      </c>
      <c r="D9" s="1618">
        <v>5</v>
      </c>
      <c r="E9" s="1646">
        <f t="shared" si="7"/>
        <v>8.6975405546834139</v>
      </c>
      <c r="F9" s="1626">
        <v>0.9</v>
      </c>
      <c r="G9" s="940">
        <f t="shared" si="0"/>
        <v>43.48770277341707</v>
      </c>
      <c r="H9" s="1038">
        <f t="shared" si="1"/>
        <v>39.138932496075363</v>
      </c>
      <c r="I9" s="914">
        <f>VLOOKUP(B9,All_Ingredients!$A$1:$F$161,6,FALSE())</f>
        <v>0.9</v>
      </c>
      <c r="J9" s="940">
        <f>VLOOKUP(B9,All_Ingredients!$A$1:$J$161,10,FALSE())</f>
        <v>30</v>
      </c>
      <c r="K9" s="945">
        <f t="shared" si="8"/>
        <v>4.348770277341707E-2</v>
      </c>
      <c r="L9" s="945">
        <f t="shared" si="9"/>
        <v>1.3046310832025121</v>
      </c>
      <c r="M9" s="87"/>
      <c r="N9" s="87"/>
      <c r="O9" s="217"/>
      <c r="P9" s="217"/>
      <c r="AI9" s="61" t="s">
        <v>94</v>
      </c>
      <c r="AJ9" s="1252" t="s">
        <v>113</v>
      </c>
      <c r="AK9" s="1400" t="s">
        <v>14</v>
      </c>
      <c r="AL9" s="1615">
        <v>3</v>
      </c>
      <c r="AM9" s="1646">
        <f t="shared" si="4"/>
        <v>1.9700130378096476</v>
      </c>
      <c r="AN9" s="1626">
        <v>1</v>
      </c>
      <c r="AO9" s="940">
        <f t="shared" si="5"/>
        <v>5.9100391134289429</v>
      </c>
      <c r="AP9" s="1038">
        <f t="shared" si="6"/>
        <v>5.9100391134289429</v>
      </c>
      <c r="AQ9" s="955">
        <f>VLOOKUP(AJ9,Marination_Ordering!$A:$J,6,FALSE)</f>
        <v>1</v>
      </c>
      <c r="AR9" s="955">
        <f>VLOOKUP(AJ9,Marination_Ordering!$A:$J,10,FALSE)</f>
        <v>20</v>
      </c>
      <c r="AS9" s="1020">
        <f t="shared" si="10"/>
        <v>5.9100391134289429</v>
      </c>
      <c r="AT9" s="955">
        <f t="shared" si="11"/>
        <v>0.11820078226857886</v>
      </c>
    </row>
    <row r="10" spans="1:46" x14ac:dyDescent="0.25">
      <c r="B10" s="1727" t="s">
        <v>737</v>
      </c>
      <c r="C10" s="939" t="s">
        <v>14</v>
      </c>
      <c r="D10" s="1618">
        <v>3</v>
      </c>
      <c r="E10" s="1646">
        <f t="shared" si="7"/>
        <v>8.6975405546834139</v>
      </c>
      <c r="F10" s="1626">
        <v>0.75</v>
      </c>
      <c r="G10" s="940">
        <f t="shared" si="0"/>
        <v>26.092621664050242</v>
      </c>
      <c r="H10" s="1038">
        <f t="shared" si="1"/>
        <v>19.569466248037681</v>
      </c>
      <c r="I10" s="914">
        <f>VLOOKUP(B10,All_Ingredients!$A$1:$F$161,6,FALSE())</f>
        <v>0.85</v>
      </c>
      <c r="J10" s="940">
        <f>VLOOKUP(B10,All_Ingredients!$A$1:$J$161,10,FALSE())</f>
        <v>30</v>
      </c>
      <c r="K10" s="945">
        <f t="shared" si="8"/>
        <v>2.3022901468279625E-2</v>
      </c>
      <c r="L10" s="945">
        <f t="shared" si="9"/>
        <v>0.69068704404838877</v>
      </c>
      <c r="M10" s="87"/>
      <c r="N10" s="87"/>
      <c r="O10" s="217"/>
      <c r="P10" s="217"/>
      <c r="AI10" s="61" t="s">
        <v>94</v>
      </c>
      <c r="AJ10" s="1252" t="s">
        <v>118</v>
      </c>
      <c r="AK10" s="1400" t="s">
        <v>14</v>
      </c>
      <c r="AL10" s="1615">
        <v>10</v>
      </c>
      <c r="AM10" s="1646">
        <f t="shared" si="4"/>
        <v>1.9700130378096476</v>
      </c>
      <c r="AN10" s="1626">
        <v>1</v>
      </c>
      <c r="AO10" s="940">
        <f t="shared" si="5"/>
        <v>19.700130378096475</v>
      </c>
      <c r="AP10" s="1038">
        <f t="shared" si="6"/>
        <v>19.700130378096475</v>
      </c>
      <c r="AQ10" s="955">
        <f>VLOOKUP(AJ10,Marination_Ordering!$A:$J,6,FALSE)</f>
        <v>1</v>
      </c>
      <c r="AR10" s="955">
        <f>VLOOKUP(AJ10,Marination_Ordering!$A:$J,10,FALSE)</f>
        <v>15</v>
      </c>
      <c r="AS10" s="1020">
        <f t="shared" si="10"/>
        <v>19.700130378096475</v>
      </c>
      <c r="AT10" s="955">
        <f t="shared" si="11"/>
        <v>0.2955019556714471</v>
      </c>
    </row>
    <row r="11" spans="1:46" x14ac:dyDescent="0.25">
      <c r="B11" s="1727" t="s">
        <v>34</v>
      </c>
      <c r="C11" s="939" t="s">
        <v>14</v>
      </c>
      <c r="D11" s="1618">
        <v>2</v>
      </c>
      <c r="E11" s="1646">
        <f t="shared" si="7"/>
        <v>8.6975405546834139</v>
      </c>
      <c r="F11" s="1626">
        <v>0.75</v>
      </c>
      <c r="G11" s="940">
        <f t="shared" si="0"/>
        <v>17.395081109366828</v>
      </c>
      <c r="H11" s="1038">
        <f t="shared" si="1"/>
        <v>13.046310832025121</v>
      </c>
      <c r="I11" s="914">
        <f>VLOOKUP(B11,All_Ingredients!$A$1:$F$161,6,FALSE())</f>
        <v>0.86</v>
      </c>
      <c r="J11" s="940">
        <f>VLOOKUP(B11,All_Ingredients!$A$1:$J$161,10,FALSE())</f>
        <v>14</v>
      </c>
      <c r="K11" s="945">
        <f t="shared" si="8"/>
        <v>1.5170128874447816E-2</v>
      </c>
      <c r="L11" s="945">
        <f t="shared" si="9"/>
        <v>0.21238180424226943</v>
      </c>
      <c r="M11" s="87"/>
      <c r="N11" s="87"/>
      <c r="O11" s="217"/>
      <c r="P11" s="217"/>
      <c r="AI11" s="61" t="s">
        <v>94</v>
      </c>
      <c r="AJ11" s="1252" t="s">
        <v>99</v>
      </c>
      <c r="AK11" s="1400" t="s">
        <v>14</v>
      </c>
      <c r="AL11" s="1615">
        <v>3</v>
      </c>
      <c r="AM11" s="1646">
        <f t="shared" si="4"/>
        <v>1.9700130378096476</v>
      </c>
      <c r="AN11" s="1626">
        <v>1</v>
      </c>
      <c r="AO11" s="940">
        <f t="shared" si="5"/>
        <v>5.9100391134289429</v>
      </c>
      <c r="AP11" s="1038">
        <f t="shared" si="6"/>
        <v>5.9100391134289429</v>
      </c>
      <c r="AQ11" s="955">
        <f>VLOOKUP(AJ11,Marination_Ordering!$A:$J,6,FALSE)</f>
        <v>1</v>
      </c>
      <c r="AR11" s="955">
        <f>VLOOKUP(AJ11,Marination_Ordering!$A:$J,10,FALSE)</f>
        <v>31</v>
      </c>
      <c r="AS11" s="1020">
        <f t="shared" si="10"/>
        <v>5.9100391134289429</v>
      </c>
      <c r="AT11" s="955">
        <f t="shared" si="11"/>
        <v>0.18321121251629724</v>
      </c>
    </row>
    <row r="12" spans="1:46" x14ac:dyDescent="0.25">
      <c r="A12" s="61" t="s">
        <v>869</v>
      </c>
      <c r="B12" s="1727" t="s">
        <v>60</v>
      </c>
      <c r="C12" s="939" t="s">
        <v>14</v>
      </c>
      <c r="D12" s="1618">
        <v>10</v>
      </c>
      <c r="E12" s="1646">
        <f t="shared" si="7"/>
        <v>8.6975405546834139</v>
      </c>
      <c r="F12" s="1626">
        <v>0.9</v>
      </c>
      <c r="G12" s="940">
        <f t="shared" si="0"/>
        <v>86.975405546834139</v>
      </c>
      <c r="H12" s="1038">
        <f t="shared" si="1"/>
        <v>78.277864992150725</v>
      </c>
      <c r="I12" s="914">
        <f>VLOOKUP(B12,All_Ingredients!$A$1:$F$161,6,FALSE())</f>
        <v>0.94</v>
      </c>
      <c r="J12" s="940">
        <f>VLOOKUP(B12,All_Ingredients!$A$1:$J$161,10,FALSE())</f>
        <v>3.6363636363636367</v>
      </c>
      <c r="K12" s="945">
        <f t="shared" si="8"/>
        <v>8.3274324459734816E-2</v>
      </c>
      <c r="L12" s="945">
        <f t="shared" si="9"/>
        <v>0.30281572530812662</v>
      </c>
      <c r="M12" s="87"/>
      <c r="N12" s="87"/>
      <c r="O12" s="217"/>
      <c r="P12" s="217"/>
      <c r="AI12" s="61" t="s">
        <v>94</v>
      </c>
      <c r="AJ12" s="1252" t="s">
        <v>93</v>
      </c>
      <c r="AK12" s="1400" t="s">
        <v>14</v>
      </c>
      <c r="AL12" s="1618">
        <v>5</v>
      </c>
      <c r="AM12" s="1646">
        <f t="shared" si="4"/>
        <v>1.9700130378096476</v>
      </c>
      <c r="AN12" s="1626">
        <v>1</v>
      </c>
      <c r="AO12" s="940">
        <f t="shared" si="5"/>
        <v>9.8500651890482374</v>
      </c>
      <c r="AP12" s="1038">
        <f t="shared" si="6"/>
        <v>9.8500651890482374</v>
      </c>
      <c r="AQ12" s="955">
        <f>VLOOKUP(AJ12,Marination_Ordering!$A:$J,6,FALSE)</f>
        <v>1</v>
      </c>
      <c r="AR12" s="955">
        <f>VLOOKUP(AJ12,Marination_Ordering!$A:$J,10,FALSE)</f>
        <v>0.74</v>
      </c>
      <c r="AS12" s="1020">
        <f t="shared" si="10"/>
        <v>9.8500651890482374</v>
      </c>
      <c r="AT12" s="955">
        <f t="shared" si="11"/>
        <v>7.2890482398956956E-3</v>
      </c>
    </row>
    <row r="13" spans="1:46" x14ac:dyDescent="0.25">
      <c r="B13" s="1727" t="s">
        <v>105</v>
      </c>
      <c r="C13" s="939" t="s">
        <v>14</v>
      </c>
      <c r="D13" s="1618">
        <v>5</v>
      </c>
      <c r="E13" s="1646">
        <f t="shared" si="7"/>
        <v>8.6975405546834139</v>
      </c>
      <c r="F13" s="1626">
        <v>0.75</v>
      </c>
      <c r="G13" s="940">
        <f t="shared" si="0"/>
        <v>43.48770277341707</v>
      </c>
      <c r="H13" s="1038">
        <f t="shared" si="1"/>
        <v>32.615777080062799</v>
      </c>
      <c r="I13" s="914">
        <f>VLOOKUP(B13,All_Ingredients!$A$1:$F$161,6,FALSE())</f>
        <v>1</v>
      </c>
      <c r="J13" s="940">
        <f>VLOOKUP(B13,All_Ingredients!$A$1:$J$161,10,FALSE())</f>
        <v>15</v>
      </c>
      <c r="K13" s="945">
        <f t="shared" si="8"/>
        <v>3.2615777080062795E-2</v>
      </c>
      <c r="L13" s="945">
        <f t="shared" si="9"/>
        <v>0.48923665620094192</v>
      </c>
      <c r="M13" s="87"/>
      <c r="N13" s="87"/>
      <c r="O13" s="217"/>
      <c r="P13" s="217"/>
      <c r="AI13" s="61" t="s">
        <v>213</v>
      </c>
      <c r="AJ13" s="1252" t="s">
        <v>799</v>
      </c>
      <c r="AK13" s="1400" t="s">
        <v>14</v>
      </c>
      <c r="AL13" s="1615">
        <v>5</v>
      </c>
      <c r="AM13" s="1646">
        <f t="shared" si="4"/>
        <v>1.9700130378096476</v>
      </c>
      <c r="AN13" s="1626">
        <v>1</v>
      </c>
      <c r="AO13" s="940">
        <f t="shared" si="5"/>
        <v>9.8500651890482374</v>
      </c>
      <c r="AP13" s="1038">
        <f t="shared" si="6"/>
        <v>9.8500651890482374</v>
      </c>
      <c r="AQ13" s="955">
        <f>VLOOKUP(AJ13,Marination_Ordering!$A:$J,6,FALSE)</f>
        <v>1</v>
      </c>
      <c r="AR13" s="955">
        <f>VLOOKUP(AJ13,Marination_Ordering!$A:$J,10,FALSE)</f>
        <v>22.5</v>
      </c>
      <c r="AS13" s="1020">
        <f t="shared" si="10"/>
        <v>9.8500651890482374</v>
      </c>
      <c r="AT13" s="955">
        <f t="shared" si="11"/>
        <v>0.22162646675358533</v>
      </c>
    </row>
    <row r="14" spans="1:46" x14ac:dyDescent="0.25">
      <c r="B14" s="1727" t="s">
        <v>107</v>
      </c>
      <c r="C14" s="939" t="s">
        <v>14</v>
      </c>
      <c r="D14" s="1618">
        <v>5</v>
      </c>
      <c r="E14" s="1646">
        <f t="shared" si="7"/>
        <v>8.6975405546834139</v>
      </c>
      <c r="F14" s="1626">
        <v>0.75</v>
      </c>
      <c r="G14" s="940">
        <f t="shared" si="0"/>
        <v>43.48770277341707</v>
      </c>
      <c r="H14" s="1038">
        <f t="shared" si="1"/>
        <v>32.615777080062799</v>
      </c>
      <c r="I14" s="914">
        <f>VLOOKUP(B14,All_Ingredients!$A$1:$F$161,6,FALSE())</f>
        <v>1</v>
      </c>
      <c r="J14" s="940">
        <f>VLOOKUP(B14,All_Ingredients!$A$1:$J$161,10,FALSE())</f>
        <v>8</v>
      </c>
      <c r="K14" s="945">
        <f t="shared" si="8"/>
        <v>3.2615777080062795E-2</v>
      </c>
      <c r="L14" s="945">
        <f t="shared" si="9"/>
        <v>0.26092621664050236</v>
      </c>
      <c r="M14" s="87"/>
      <c r="N14" s="87"/>
      <c r="O14" s="217"/>
      <c r="P14" s="217"/>
      <c r="AI14" s="61" t="s">
        <v>94</v>
      </c>
      <c r="AJ14" s="1252" t="s">
        <v>122</v>
      </c>
      <c r="AK14" s="1400" t="s">
        <v>14</v>
      </c>
      <c r="AL14" s="1615">
        <v>2</v>
      </c>
      <c r="AM14" s="1646">
        <f t="shared" si="4"/>
        <v>1.9700130378096476</v>
      </c>
      <c r="AN14" s="1626">
        <v>1</v>
      </c>
      <c r="AO14" s="940">
        <f t="shared" si="5"/>
        <v>3.9400260756192953</v>
      </c>
      <c r="AP14" s="1038">
        <f t="shared" si="6"/>
        <v>3.9400260756192953</v>
      </c>
      <c r="AQ14" s="955">
        <f>VLOOKUP(AJ14,Marination_Ordering!$A:$J,6,FALSE)</f>
        <v>1</v>
      </c>
      <c r="AR14" s="955">
        <f>VLOOKUP(AJ14,Marination_Ordering!$A:$J,10,FALSE)</f>
        <v>14</v>
      </c>
      <c r="AS14" s="1020">
        <f t="shared" si="10"/>
        <v>3.9400260756192953</v>
      </c>
      <c r="AT14" s="955">
        <f t="shared" si="11"/>
        <v>5.5160365058670141E-2</v>
      </c>
    </row>
    <row r="15" spans="1:46" x14ac:dyDescent="0.25">
      <c r="B15" s="1727" t="s">
        <v>99</v>
      </c>
      <c r="C15" s="939" t="s">
        <v>14</v>
      </c>
      <c r="D15" s="1618">
        <v>2</v>
      </c>
      <c r="E15" s="1646">
        <f t="shared" si="7"/>
        <v>8.6975405546834139</v>
      </c>
      <c r="F15" s="1626">
        <v>0.75</v>
      </c>
      <c r="G15" s="940">
        <f t="shared" si="0"/>
        <v>17.395081109366828</v>
      </c>
      <c r="H15" s="1038">
        <f t="shared" si="1"/>
        <v>13.046310832025121</v>
      </c>
      <c r="I15" s="914">
        <f>VLOOKUP(B15,All_Ingredients!$A$1:$F$161,6,FALSE())</f>
        <v>1</v>
      </c>
      <c r="J15" s="940">
        <f>VLOOKUP(B15,All_Ingredients!$A$1:$J$161,10,FALSE())</f>
        <v>31</v>
      </c>
      <c r="K15" s="945">
        <f t="shared" si="8"/>
        <v>1.3046310832025121E-2</v>
      </c>
      <c r="L15" s="945">
        <f t="shared" si="9"/>
        <v>0.40443563579277875</v>
      </c>
      <c r="M15" s="87"/>
      <c r="N15" s="87"/>
      <c r="O15" s="217"/>
      <c r="P15" s="217"/>
      <c r="AI15" s="61" t="s">
        <v>94</v>
      </c>
      <c r="AJ15" s="1252" t="s">
        <v>124</v>
      </c>
      <c r="AK15" s="1400" t="s">
        <v>14</v>
      </c>
      <c r="AL15" s="1615">
        <v>7</v>
      </c>
      <c r="AM15" s="1646">
        <f t="shared" si="4"/>
        <v>1.9700130378096476</v>
      </c>
      <c r="AN15" s="1626">
        <v>1</v>
      </c>
      <c r="AO15" s="940">
        <f t="shared" si="5"/>
        <v>13.790091264667534</v>
      </c>
      <c r="AP15" s="1038">
        <f t="shared" si="6"/>
        <v>13.790091264667534</v>
      </c>
      <c r="AQ15" s="955">
        <f>VLOOKUP(AJ15,Marination_Ordering!$A:$J,6,FALSE)</f>
        <v>1</v>
      </c>
      <c r="AR15" s="955">
        <f>VLOOKUP(AJ15,Marination_Ordering!$A:$J,10,FALSE)</f>
        <v>37</v>
      </c>
      <c r="AS15" s="1020">
        <f t="shared" si="10"/>
        <v>13.790091264667534</v>
      </c>
      <c r="AT15" s="955">
        <f t="shared" si="11"/>
        <v>0.51023337679269876</v>
      </c>
    </row>
    <row r="16" spans="1:46" x14ac:dyDescent="0.25">
      <c r="B16" s="1727" t="s">
        <v>198</v>
      </c>
      <c r="C16" s="1157" t="s">
        <v>160</v>
      </c>
      <c r="D16" s="1618">
        <v>20</v>
      </c>
      <c r="E16" s="1646">
        <f t="shared" si="7"/>
        <v>8.6975405546834139</v>
      </c>
      <c r="F16" s="1626">
        <v>0.9</v>
      </c>
      <c r="G16" s="940">
        <f t="shared" si="0"/>
        <v>173.95081109366828</v>
      </c>
      <c r="H16" s="1038">
        <f t="shared" si="1"/>
        <v>156.55572998430145</v>
      </c>
      <c r="I16" s="914">
        <f>VLOOKUP(B16,All_Ingredients!$A$1:$F$161,6,FALSE())</f>
        <v>1</v>
      </c>
      <c r="J16" s="940">
        <f>VLOOKUP(B16,All_Ingredients!$A$1:$J$161,10,FALSE())</f>
        <v>3.25</v>
      </c>
      <c r="K16" s="945">
        <f t="shared" si="8"/>
        <v>0.15655572998430145</v>
      </c>
      <c r="L16" s="945">
        <f t="shared" si="9"/>
        <v>0.50880612244897971</v>
      </c>
      <c r="M16" s="87"/>
      <c r="N16" s="87"/>
      <c r="O16" s="217"/>
      <c r="P16" s="217"/>
      <c r="AI16" s="61" t="s">
        <v>55</v>
      </c>
      <c r="AJ16" s="1252" t="s">
        <v>54</v>
      </c>
      <c r="AK16" s="1400" t="s">
        <v>14</v>
      </c>
      <c r="AL16" s="1618">
        <v>100</v>
      </c>
      <c r="AM16" s="1646">
        <f t="shared" si="4"/>
        <v>1.9700130378096476</v>
      </c>
      <c r="AN16" s="1626">
        <v>1</v>
      </c>
      <c r="AO16" s="940">
        <f t="shared" si="5"/>
        <v>197.00130378096478</v>
      </c>
      <c r="AP16" s="1038">
        <f t="shared" si="6"/>
        <v>197.00130378096478</v>
      </c>
      <c r="AQ16" s="955">
        <f>VLOOKUP(AJ16,Marination_Ordering!$A:$J,6,FALSE)</f>
        <v>0.87</v>
      </c>
      <c r="AR16" s="955">
        <f>VLOOKUP(AJ16,Marination_Ordering!$A:$J,10,FALSE)</f>
        <v>7</v>
      </c>
      <c r="AS16" s="1020">
        <f t="shared" si="10"/>
        <v>226.43828020800549</v>
      </c>
      <c r="AT16" s="955">
        <f t="shared" si="11"/>
        <v>1.5850679614560383</v>
      </c>
    </row>
    <row r="17" spans="1:46" x14ac:dyDescent="0.25">
      <c r="B17" s="1727" t="s">
        <v>181</v>
      </c>
      <c r="C17" s="939" t="s">
        <v>14</v>
      </c>
      <c r="D17" s="1618">
        <v>10</v>
      </c>
      <c r="E17" s="1646">
        <f t="shared" si="7"/>
        <v>8.6975405546834139</v>
      </c>
      <c r="F17" s="1626">
        <v>1</v>
      </c>
      <c r="G17" s="940">
        <f t="shared" si="0"/>
        <v>86.975405546834139</v>
      </c>
      <c r="H17" s="1038">
        <f t="shared" si="1"/>
        <v>86.975405546834139</v>
      </c>
      <c r="I17" s="914">
        <f>VLOOKUP(B17,All_Ingredients!$A$1:$F$161,6,FALSE())</f>
        <v>1</v>
      </c>
      <c r="J17" s="940">
        <f>VLOOKUP(B17,All_Ingredients!$A$1:$J$161,10,FALSE())</f>
        <v>6.5</v>
      </c>
      <c r="K17" s="945">
        <f t="shared" si="8"/>
        <v>8.6975405546834139E-2</v>
      </c>
      <c r="L17" s="945">
        <f t="shared" si="9"/>
        <v>0.5653401360544219</v>
      </c>
      <c r="M17" s="87"/>
      <c r="N17" s="87"/>
      <c r="O17" s="217"/>
      <c r="P17" s="217"/>
      <c r="AI17" s="61" t="s">
        <v>13</v>
      </c>
      <c r="AJ17" s="1252" t="s">
        <v>706</v>
      </c>
      <c r="AK17" s="1400" t="s">
        <v>14</v>
      </c>
      <c r="AL17" s="1615">
        <v>150</v>
      </c>
      <c r="AM17" s="1646">
        <f t="shared" si="4"/>
        <v>1.9700130378096476</v>
      </c>
      <c r="AN17" s="1626">
        <v>1</v>
      </c>
      <c r="AO17" s="940">
        <f t="shared" si="5"/>
        <v>295.50195567144715</v>
      </c>
      <c r="AP17" s="1038">
        <f t="shared" si="6"/>
        <v>295.50195567144715</v>
      </c>
      <c r="AQ17" s="955">
        <f>VLOOKUP(AJ17,Marination_Ordering!$A:$J,6,FALSE)</f>
        <v>1</v>
      </c>
      <c r="AR17" s="955">
        <f>VLOOKUP(AJ17,Marination_Ordering!$A:$J,10,FALSE)</f>
        <v>10.5</v>
      </c>
      <c r="AS17" s="1020">
        <f t="shared" si="10"/>
        <v>295.50195567144715</v>
      </c>
      <c r="AT17" s="955">
        <f t="shared" si="11"/>
        <v>3.1027705345501952</v>
      </c>
    </row>
    <row r="18" spans="1:46" x14ac:dyDescent="0.25">
      <c r="A18" s="61" t="s">
        <v>881</v>
      </c>
      <c r="B18" s="1727" t="s">
        <v>12</v>
      </c>
      <c r="C18" s="939" t="s">
        <v>14</v>
      </c>
      <c r="D18" s="1618">
        <v>200</v>
      </c>
      <c r="E18" s="1646">
        <f t="shared" si="7"/>
        <v>8.6975405546834139</v>
      </c>
      <c r="F18" s="1626">
        <v>1</v>
      </c>
      <c r="G18" s="940">
        <f t="shared" si="0"/>
        <v>1739.5081109366829</v>
      </c>
      <c r="H18" s="1038">
        <f t="shared" si="1"/>
        <v>1739.5081109366829</v>
      </c>
      <c r="I18" s="914">
        <f>VLOOKUP(B18,All_Ingredients!$A$1:$F$161,6,FALSE())</f>
        <v>0.9</v>
      </c>
      <c r="J18" s="940">
        <f>VLOOKUP(B18,All_Ingredients!$A$1:$J$161,10,FALSE())</f>
        <v>3</v>
      </c>
      <c r="K18" s="945">
        <f t="shared" si="8"/>
        <v>1.9327867899296476</v>
      </c>
      <c r="L18" s="945">
        <f t="shared" si="9"/>
        <v>5.7983603697889432</v>
      </c>
      <c r="M18" s="87"/>
      <c r="N18" s="87"/>
      <c r="O18" s="217"/>
      <c r="P18" s="217"/>
      <c r="AI18" s="61" t="s">
        <v>204</v>
      </c>
      <c r="AJ18" s="1252" t="s">
        <v>212</v>
      </c>
      <c r="AK18" s="1400" t="s">
        <v>160</v>
      </c>
      <c r="AL18" s="1615">
        <v>300</v>
      </c>
      <c r="AM18" s="1646">
        <f t="shared" si="4"/>
        <v>1.9700130378096476</v>
      </c>
      <c r="AN18" s="1626">
        <v>1</v>
      </c>
      <c r="AO18" s="940">
        <f t="shared" si="5"/>
        <v>591.0039113428943</v>
      </c>
      <c r="AP18" s="1038">
        <f t="shared" si="6"/>
        <v>591.0039113428943</v>
      </c>
      <c r="AQ18" s="955">
        <f>VLOOKUP(AJ18,Marination_Ordering!$A:$J,6,FALSE)</f>
        <v>1</v>
      </c>
      <c r="AR18" s="955">
        <f>VLOOKUP(AJ18,Marination_Ordering!$A:$J,10,FALSE)</f>
        <v>5</v>
      </c>
      <c r="AS18" s="1020">
        <f t="shared" si="10"/>
        <v>591.0039113428943</v>
      </c>
      <c r="AT18" s="955">
        <f t="shared" si="11"/>
        <v>2.9550195567144715</v>
      </c>
    </row>
    <row r="19" spans="1:46" x14ac:dyDescent="0.25">
      <c r="A19" s="61" t="s">
        <v>867</v>
      </c>
      <c r="B19" s="1727" t="s">
        <v>54</v>
      </c>
      <c r="C19" s="939" t="s">
        <v>14</v>
      </c>
      <c r="D19" s="1618">
        <v>20</v>
      </c>
      <c r="E19" s="1646">
        <f t="shared" si="7"/>
        <v>8.6975405546834139</v>
      </c>
      <c r="F19" s="1626">
        <v>0.9</v>
      </c>
      <c r="G19" s="940">
        <f t="shared" si="0"/>
        <v>173.95081109366828</v>
      </c>
      <c r="H19" s="1038">
        <f t="shared" si="1"/>
        <v>156.55572998430145</v>
      </c>
      <c r="I19" s="914">
        <f>VLOOKUP(B19,All_Ingredients!$A$1:$F$161,6,FALSE())</f>
        <v>0.87</v>
      </c>
      <c r="J19" s="940">
        <f>VLOOKUP(B19,All_Ingredients!$A$1:$J$161,10,FALSE())</f>
        <v>7</v>
      </c>
      <c r="K19" s="945">
        <f t="shared" si="8"/>
        <v>0.17994911492448443</v>
      </c>
      <c r="L19" s="945">
        <f t="shared" si="9"/>
        <v>1.2596438044713909</v>
      </c>
      <c r="M19" s="87"/>
      <c r="N19" s="87"/>
      <c r="O19" s="217"/>
      <c r="P19" s="217"/>
      <c r="AI19" s="61" t="s">
        <v>204</v>
      </c>
      <c r="AJ19" s="1252" t="s">
        <v>208</v>
      </c>
      <c r="AK19" s="947" t="s">
        <v>160</v>
      </c>
      <c r="AL19" s="1615">
        <v>50</v>
      </c>
      <c r="AM19" s="1646">
        <f t="shared" si="4"/>
        <v>1.9700130378096476</v>
      </c>
      <c r="AN19" s="1626">
        <v>1</v>
      </c>
      <c r="AO19" s="940">
        <f t="shared" si="5"/>
        <v>98.500651890482388</v>
      </c>
      <c r="AP19" s="1038">
        <f t="shared" si="6"/>
        <v>98.500651890482388</v>
      </c>
      <c r="AQ19" s="955">
        <f>VLOOKUP(AJ19,Marination_Ordering!$A:$J,6,FALSE)</f>
        <v>1</v>
      </c>
      <c r="AR19" s="955">
        <f>VLOOKUP(AJ19,Marination_Ordering!$A:$J,10,FALSE)</f>
        <v>2.1621621621621623</v>
      </c>
      <c r="AS19" s="1020">
        <f t="shared" si="10"/>
        <v>98.500651890482388</v>
      </c>
      <c r="AT19" s="955">
        <f t="shared" si="11"/>
        <v>0.21297438246590789</v>
      </c>
    </row>
    <row r="20" spans="1:46" x14ac:dyDescent="0.25">
      <c r="A20" s="61" t="s">
        <v>868</v>
      </c>
      <c r="B20" s="1727" t="s">
        <v>706</v>
      </c>
      <c r="C20" s="939" t="s">
        <v>14</v>
      </c>
      <c r="D20" s="1618">
        <v>20</v>
      </c>
      <c r="E20" s="1646">
        <f t="shared" si="7"/>
        <v>8.6975405546834139</v>
      </c>
      <c r="F20" s="1626">
        <v>0.9</v>
      </c>
      <c r="G20" s="940">
        <f t="shared" si="0"/>
        <v>173.95081109366828</v>
      </c>
      <c r="H20" s="1038">
        <f t="shared" si="1"/>
        <v>156.55572998430145</v>
      </c>
      <c r="I20" s="914">
        <f>VLOOKUP(B20,All_Ingredients!$A$1:$F$161,6,FALSE())</f>
        <v>1</v>
      </c>
      <c r="J20" s="940">
        <f>VLOOKUP(B20,All_Ingredients!$A$1:$J$161,10,FALSE())</f>
        <v>10.5</v>
      </c>
      <c r="K20" s="945">
        <f t="shared" si="8"/>
        <v>0.15655572998430145</v>
      </c>
      <c r="L20" s="945">
        <f t="shared" si="9"/>
        <v>1.6438351648351652</v>
      </c>
      <c r="M20" s="87"/>
      <c r="N20" s="87"/>
      <c r="O20" s="217"/>
      <c r="P20" s="217"/>
    </row>
    <row r="21" spans="1:46" x14ac:dyDescent="0.25">
      <c r="B21" s="1727" t="s">
        <v>212</v>
      </c>
      <c r="C21" s="939" t="s">
        <v>160</v>
      </c>
      <c r="D21" s="1618">
        <v>5</v>
      </c>
      <c r="E21" s="1646">
        <f t="shared" si="7"/>
        <v>8.6975405546834139</v>
      </c>
      <c r="F21" s="1626">
        <v>1</v>
      </c>
      <c r="G21" s="940">
        <f t="shared" si="0"/>
        <v>43.48770277341707</v>
      </c>
      <c r="H21" s="1038">
        <f t="shared" si="1"/>
        <v>43.48770277341707</v>
      </c>
      <c r="I21" s="914">
        <f>VLOOKUP(B21,All_Ingredients!$A$1:$F$161,6,FALSE())</f>
        <v>1</v>
      </c>
      <c r="J21" s="940">
        <f>VLOOKUP(B21,All_Ingredients!$A$1:$J$161,10,FALSE())</f>
        <v>5</v>
      </c>
      <c r="K21" s="945">
        <f t="shared" si="8"/>
        <v>4.348770277341707E-2</v>
      </c>
      <c r="L21" s="945">
        <f t="shared" si="9"/>
        <v>0.21743851386708535</v>
      </c>
      <c r="M21" s="87"/>
      <c r="N21" s="87"/>
      <c r="O21" s="217"/>
      <c r="P21" s="217"/>
    </row>
    <row r="22" spans="1:46" x14ac:dyDescent="0.25">
      <c r="A22" s="61" t="s">
        <v>870</v>
      </c>
      <c r="B22" s="1727" t="s">
        <v>17</v>
      </c>
      <c r="C22" s="939" t="s">
        <v>14</v>
      </c>
      <c r="D22" s="1618">
        <v>350</v>
      </c>
      <c r="E22" s="1646">
        <f t="shared" si="7"/>
        <v>8.6975405546834139</v>
      </c>
      <c r="F22" s="1626">
        <v>0.95</v>
      </c>
      <c r="G22" s="940">
        <f t="shared" si="0"/>
        <v>3044.1391941391948</v>
      </c>
      <c r="H22" s="1038">
        <f t="shared" si="1"/>
        <v>2891.932234432235</v>
      </c>
      <c r="I22" s="914">
        <f>VLOOKUP(B22,All_Ingredients!$A$1:$F$161,6,FALSE())</f>
        <v>0.98</v>
      </c>
      <c r="J22" s="940">
        <f>VLOOKUP(B22,All_Ingredients!$A$1:$J$161,10,FALSE())</f>
        <v>3.5</v>
      </c>
      <c r="K22" s="945">
        <f t="shared" si="8"/>
        <v>2.9509512596247296</v>
      </c>
      <c r="L22" s="945">
        <f t="shared" si="9"/>
        <v>10.328329408686553</v>
      </c>
      <c r="M22" s="87"/>
      <c r="N22" s="87"/>
      <c r="O22" s="217"/>
      <c r="P22" s="217"/>
    </row>
    <row r="23" spans="1:46" x14ac:dyDescent="0.25">
      <c r="B23" s="1727" t="s">
        <v>203</v>
      </c>
      <c r="C23" s="939" t="s">
        <v>160</v>
      </c>
      <c r="D23" s="1618">
        <v>100</v>
      </c>
      <c r="E23" s="1646">
        <f t="shared" si="7"/>
        <v>8.6975405546834139</v>
      </c>
      <c r="F23" s="1626">
        <v>1</v>
      </c>
      <c r="G23" s="940">
        <f t="shared" si="0"/>
        <v>869.75405546834145</v>
      </c>
      <c r="H23" s="1038">
        <f t="shared" si="1"/>
        <v>869.75405546834145</v>
      </c>
      <c r="I23" s="914">
        <f>VLOOKUP(B23,All_Ingredients!$A$1:$F$161,6,FALSE())</f>
        <v>1</v>
      </c>
      <c r="J23" s="940">
        <f>VLOOKUP(B23,All_Ingredients!$A$1:$J$161,10,FALSE())</f>
        <v>0</v>
      </c>
      <c r="K23" s="945">
        <f t="shared" si="8"/>
        <v>0.8697540554683415</v>
      </c>
      <c r="L23" s="945">
        <f t="shared" si="9"/>
        <v>0</v>
      </c>
      <c r="M23" s="87"/>
      <c r="N23" s="87"/>
      <c r="O23" s="217"/>
      <c r="P23" s="217"/>
      <c r="S23" s="180"/>
    </row>
    <row r="24" spans="1:46" x14ac:dyDescent="0.25">
      <c r="B24" s="1727" t="s">
        <v>187</v>
      </c>
      <c r="C24" s="939" t="s">
        <v>14</v>
      </c>
      <c r="D24" s="1618">
        <v>20</v>
      </c>
      <c r="E24" s="1646">
        <f t="shared" si="7"/>
        <v>8.6975405546834139</v>
      </c>
      <c r="F24" s="1626">
        <v>0.75</v>
      </c>
      <c r="G24" s="940">
        <f t="shared" si="0"/>
        <v>173.95081109366828</v>
      </c>
      <c r="H24" s="1038">
        <f t="shared" si="1"/>
        <v>130.46310832025119</v>
      </c>
      <c r="I24" s="914">
        <f>VLOOKUP(B24,All_Ingredients!$A$1:$F$161,6,FALSE())</f>
        <v>0.9</v>
      </c>
      <c r="J24" s="940">
        <f>VLOOKUP(B24,All_Ingredients!$A$1:$J$161,10,FALSE())</f>
        <v>2.3199999999999998</v>
      </c>
      <c r="K24" s="945">
        <f t="shared" si="8"/>
        <v>0.14495900924472355</v>
      </c>
      <c r="L24" s="945">
        <f t="shared" si="9"/>
        <v>0.3363049014477586</v>
      </c>
      <c r="M24" s="87"/>
      <c r="N24" s="87"/>
      <c r="O24" s="217"/>
      <c r="P24" s="217"/>
      <c r="Z24" s="597"/>
    </row>
    <row r="25" spans="1:46" ht="15.75" x14ac:dyDescent="0.25">
      <c r="B25" s="1727" t="s">
        <v>152</v>
      </c>
      <c r="C25" s="939" t="s">
        <v>14</v>
      </c>
      <c r="D25" s="1618">
        <v>30</v>
      </c>
      <c r="E25" s="1646">
        <f t="shared" si="7"/>
        <v>8.6975405546834139</v>
      </c>
      <c r="F25" s="1626">
        <v>1</v>
      </c>
      <c r="G25" s="940">
        <f t="shared" si="0"/>
        <v>260.92621664050239</v>
      </c>
      <c r="H25" s="1038">
        <f t="shared" si="1"/>
        <v>260.92621664050239</v>
      </c>
      <c r="I25" s="914">
        <f>VLOOKUP(B25,All_Ingredients!$A$1:$F$161,6,FALSE())</f>
        <v>1</v>
      </c>
      <c r="J25" s="940">
        <f>VLOOKUP(B25,All_Ingredients!$A$1:$J$161,10,FALSE())</f>
        <v>30</v>
      </c>
      <c r="K25" s="945">
        <f t="shared" si="8"/>
        <v>0.26092621664050236</v>
      </c>
      <c r="L25" s="945">
        <f t="shared" si="9"/>
        <v>7.8277864992150707</v>
      </c>
      <c r="M25" s="87"/>
      <c r="N25" s="87"/>
      <c r="R25" s="1885" t="s">
        <v>458</v>
      </c>
      <c r="S25" s="1850"/>
      <c r="T25" s="1850"/>
      <c r="U25" s="1850"/>
      <c r="V25" s="553"/>
      <c r="Z25" s="96" t="s">
        <v>252</v>
      </c>
      <c r="AA25" s="97">
        <v>1</v>
      </c>
      <c r="AB25" s="96" t="s">
        <v>249</v>
      </c>
      <c r="AC25" s="98">
        <f>(AA25*(4/3))*AF30+(AA30*(AB28/R1))</f>
        <v>3.0781806468066476E-2</v>
      </c>
    </row>
    <row r="26" spans="1:46" x14ac:dyDescent="0.25">
      <c r="B26" s="1727" t="s">
        <v>163</v>
      </c>
      <c r="C26" s="939" t="s">
        <v>14</v>
      </c>
      <c r="D26" s="939">
        <v>100</v>
      </c>
      <c r="E26" s="1646">
        <f t="shared" si="7"/>
        <v>8.6975405546834139</v>
      </c>
      <c r="F26" s="1626">
        <v>1</v>
      </c>
      <c r="G26" s="940">
        <f t="shared" si="0"/>
        <v>869.75405546834145</v>
      </c>
      <c r="H26" s="1038">
        <f t="shared" si="1"/>
        <v>869.75405546834145</v>
      </c>
      <c r="I26" s="914">
        <f>VLOOKUP(B26,All_Ingredients!$A$1:$F$161,6,FALSE())</f>
        <v>1</v>
      </c>
      <c r="J26" s="940">
        <f>VLOOKUP(B26,All_Ingredients!$A$1:$J$161,10,FALSE())</f>
        <v>6.6959999999999997</v>
      </c>
      <c r="K26" s="945">
        <f t="shared" si="8"/>
        <v>0.8697540554683415</v>
      </c>
      <c r="L26" s="945">
        <f t="shared" si="9"/>
        <v>5.8238731554160141</v>
      </c>
      <c r="M26" s="87"/>
      <c r="N26" s="87"/>
      <c r="R26" s="1881" t="s">
        <v>253</v>
      </c>
      <c r="S26" s="1867"/>
      <c r="T26" s="1867"/>
      <c r="U26" s="1867"/>
      <c r="V26" s="553"/>
    </row>
    <row r="27" spans="1:46" ht="15.75" thickBot="1" x14ac:dyDescent="0.3">
      <c r="B27" s="1727" t="s">
        <v>799</v>
      </c>
      <c r="C27" s="939" t="s">
        <v>14</v>
      </c>
      <c r="D27" s="939">
        <v>0.5</v>
      </c>
      <c r="E27" s="1646">
        <f t="shared" si="7"/>
        <v>8.6975405546834139</v>
      </c>
      <c r="F27" s="1626">
        <v>1</v>
      </c>
      <c r="G27" s="940">
        <f t="shared" si="0"/>
        <v>4.348770277341707</v>
      </c>
      <c r="H27" s="1038">
        <f t="shared" si="1"/>
        <v>4.348770277341707</v>
      </c>
      <c r="I27" s="914">
        <f>VLOOKUP(B27,All_Ingredients!$A$1:$F$161,6,FALSE())</f>
        <v>1</v>
      </c>
      <c r="J27" s="940">
        <f>VLOOKUP(B27,All_Ingredients!$A$1:$J$161,10,FALSE())</f>
        <v>22.5</v>
      </c>
      <c r="K27" s="945">
        <f t="shared" si="8"/>
        <v>4.348770277341707E-3</v>
      </c>
      <c r="L27" s="945">
        <f t="shared" si="9"/>
        <v>9.7847331240188407E-2</v>
      </c>
      <c r="M27" s="87"/>
      <c r="N27" s="87"/>
      <c r="R27" s="100" t="s">
        <v>254</v>
      </c>
      <c r="S27" s="101" t="s">
        <v>255</v>
      </c>
      <c r="T27" s="101" t="s">
        <v>256</v>
      </c>
      <c r="U27" s="101" t="s">
        <v>257</v>
      </c>
      <c r="V27" s="101" t="s">
        <v>746</v>
      </c>
      <c r="W27" s="101" t="s">
        <v>753</v>
      </c>
      <c r="Z27" s="96" t="s">
        <v>258</v>
      </c>
      <c r="AA27" s="580" t="s">
        <v>311</v>
      </c>
      <c r="AB27" s="102" t="s">
        <v>259</v>
      </c>
      <c r="AC27" s="102" t="s">
        <v>260</v>
      </c>
      <c r="AD27" s="102" t="s">
        <v>261</v>
      </c>
      <c r="AE27" s="581" t="s">
        <v>753</v>
      </c>
      <c r="AF27" s="102" t="s">
        <v>262</v>
      </c>
    </row>
    <row r="28" spans="1:46" ht="15.75" thickBot="1" x14ac:dyDescent="0.3">
      <c r="B28" s="802"/>
      <c r="E28" s="80"/>
      <c r="F28" s="290"/>
      <c r="L28" s="190"/>
      <c r="R28" s="103" t="s">
        <v>263</v>
      </c>
      <c r="S28" s="380">
        <f>U28*S40</f>
        <v>11238.461538461535</v>
      </c>
      <c r="T28" s="380">
        <f>U28*U40</f>
        <v>3371.5384615384651</v>
      </c>
      <c r="U28" s="385">
        <f>$Z$1</f>
        <v>14610</v>
      </c>
      <c r="V28" s="104">
        <f>SUM(AP5:AP13)</f>
        <v>327.0221642764015</v>
      </c>
      <c r="W28" s="104">
        <f>H37</f>
        <v>7.2100000000000009</v>
      </c>
      <c r="Z28" s="105"/>
      <c r="AA28" s="582"/>
      <c r="AB28" s="106">
        <f>AA25*$S$40</f>
        <v>0.76923076923076905</v>
      </c>
      <c r="AC28" s="106">
        <f>AA25*$U$40</f>
        <v>0.230769230769231</v>
      </c>
      <c r="AD28" s="107">
        <f>AA25*(1/3)</f>
        <v>0.33333333333333331</v>
      </c>
      <c r="AE28" s="582"/>
      <c r="AF28" s="108">
        <f>SUM(AB28:AD28)</f>
        <v>1.3333333333333333</v>
      </c>
    </row>
    <row r="29" spans="1:46" ht="15.75" thickBot="1" x14ac:dyDescent="0.3">
      <c r="N29" s="191"/>
      <c r="R29" s="103" t="s">
        <v>264</v>
      </c>
      <c r="S29" s="109"/>
      <c r="T29" s="104">
        <f>U28*(1/3)</f>
        <v>4870</v>
      </c>
      <c r="U29" s="380">
        <f>T29</f>
        <v>4870</v>
      </c>
      <c r="V29" s="104"/>
      <c r="W29" s="104"/>
      <c r="Z29" s="105"/>
      <c r="AA29" s="583"/>
      <c r="AB29" s="110">
        <f>AB28/$AF$28</f>
        <v>0.57692307692307687</v>
      </c>
      <c r="AC29" s="110">
        <f>AC28/$AF$28</f>
        <v>0.17307692307692327</v>
      </c>
      <c r="AD29" s="110">
        <f>AD28/$AF$28</f>
        <v>0.25</v>
      </c>
      <c r="AE29" s="583"/>
      <c r="AF29" s="110">
        <f>AF28/$AF$28</f>
        <v>1</v>
      </c>
    </row>
    <row r="30" spans="1:46" ht="15.75" thickBot="1" x14ac:dyDescent="0.3">
      <c r="R30" s="103" t="s">
        <v>265</v>
      </c>
      <c r="S30" s="654">
        <f>U30*S40</f>
        <v>384.61538461538453</v>
      </c>
      <c r="T30" s="380">
        <f>(U30*U40)+(U30*(1/3))</f>
        <v>282.05128205128216</v>
      </c>
      <c r="U30" s="385">
        <f>$AB$1</f>
        <v>500</v>
      </c>
      <c r="V30" s="547"/>
      <c r="W30" s="547"/>
      <c r="Z30" s="96" t="s">
        <v>266</v>
      </c>
      <c r="AA30" s="584">
        <f>V35/(S32/R1)</f>
        <v>6.0634891425908677E-4</v>
      </c>
      <c r="AB30" s="111">
        <f>S35/(S32)</f>
        <v>3.3701221915648415E-2</v>
      </c>
      <c r="AC30" s="112">
        <f>T35/T32</f>
        <v>7.1515519079722589E-3</v>
      </c>
      <c r="AD30" s="112">
        <f>T35/T32</f>
        <v>7.1515519079722589E-3</v>
      </c>
      <c r="AE30" s="585">
        <f>W35/U32</f>
        <v>2.4776001629079065E-5</v>
      </c>
      <c r="AF30" s="587">
        <f>SUMPRODUCT(AB30:AD30,AB29:AD29)+AE30</f>
        <v>2.2493445221722197E-2</v>
      </c>
    </row>
    <row r="31" spans="1:46" ht="15.75" thickBot="1" x14ac:dyDescent="0.3">
      <c r="R31" s="103" t="s">
        <v>267</v>
      </c>
      <c r="S31" s="109"/>
      <c r="T31" s="104"/>
      <c r="U31" s="104"/>
      <c r="V31" s="104"/>
      <c r="W31" s="104"/>
    </row>
    <row r="32" spans="1:46" ht="15.75" thickBot="1" x14ac:dyDescent="0.3">
      <c r="R32" s="114" t="s">
        <v>257</v>
      </c>
      <c r="S32" s="104">
        <f>SUM(S28:S30)</f>
        <v>11623.07692307692</v>
      </c>
      <c r="T32" s="104">
        <f>SUM(T28:T30)</f>
        <v>8523.5897435897459</v>
      </c>
      <c r="U32" s="104">
        <f>SUM(S32:T32)</f>
        <v>20146.666666666664</v>
      </c>
      <c r="V32" s="104"/>
      <c r="W32" s="104">
        <f>SUM(W28:W30)</f>
        <v>7.2100000000000009</v>
      </c>
    </row>
    <row r="33" spans="2:23" ht="15.75" thickBot="1" x14ac:dyDescent="0.3">
      <c r="R33" s="804" t="s">
        <v>268</v>
      </c>
      <c r="S33" s="109"/>
      <c r="T33" s="109"/>
      <c r="U33" s="109"/>
      <c r="V33" s="109"/>
      <c r="W33" s="109"/>
    </row>
    <row r="34" spans="2:23" ht="15.75" thickBot="1" x14ac:dyDescent="0.3">
      <c r="R34" s="116" t="s">
        <v>269</v>
      </c>
      <c r="S34" s="109"/>
      <c r="T34" s="104"/>
      <c r="U34" s="109"/>
      <c r="V34" s="109"/>
      <c r="W34" s="109"/>
    </row>
    <row r="35" spans="2:23" ht="16.5" thickBot="1" x14ac:dyDescent="0.3">
      <c r="B35" s="1892" t="s">
        <v>660</v>
      </c>
      <c r="C35" s="1892"/>
      <c r="D35" s="1892"/>
      <c r="E35" s="1892"/>
      <c r="F35" s="1892"/>
      <c r="G35" s="444"/>
      <c r="H35" s="444"/>
      <c r="I35" s="444"/>
      <c r="J35" s="444"/>
      <c r="K35" s="444"/>
      <c r="L35" s="444"/>
      <c r="R35" s="117" t="s">
        <v>249</v>
      </c>
      <c r="S35" s="548">
        <f>$L$5</f>
        <v>391.71189472726724</v>
      </c>
      <c r="T35" s="548">
        <f>SUM(L6:L27)</f>
        <v>60.956894493542023</v>
      </c>
      <c r="U35" s="589">
        <f>S35+T35+V35+W35</f>
        <v>465.11309573248434</v>
      </c>
      <c r="V35" s="548">
        <f>SUM(AT6:AT19)</f>
        <v>11.945152665521253</v>
      </c>
      <c r="W35" s="548">
        <f>L37</f>
        <v>0.49915384615384617</v>
      </c>
    </row>
    <row r="36" spans="2:23" ht="47.25" x14ac:dyDescent="0.25">
      <c r="B36" s="1004" t="s">
        <v>241</v>
      </c>
      <c r="C36" s="1004" t="s">
        <v>316</v>
      </c>
      <c r="D36" s="1002" t="s">
        <v>610</v>
      </c>
      <c r="E36" s="1003" t="s">
        <v>611</v>
      </c>
      <c r="F36" s="1002" t="s">
        <v>612</v>
      </c>
      <c r="G36" s="1001"/>
      <c r="H36" s="427" t="s">
        <v>612</v>
      </c>
      <c r="I36" s="427" t="s">
        <v>246</v>
      </c>
      <c r="J36" s="427" t="s">
        <v>247</v>
      </c>
      <c r="K36" s="427" t="s">
        <v>248</v>
      </c>
      <c r="L36" s="427" t="s">
        <v>249</v>
      </c>
    </row>
    <row r="37" spans="2:23" x14ac:dyDescent="0.25">
      <c r="B37" s="1005" t="s">
        <v>666</v>
      </c>
      <c r="C37" s="1006" t="s">
        <v>14</v>
      </c>
      <c r="D37" s="1645">
        <v>7.0000000000000007E-2</v>
      </c>
      <c r="E37" s="1005">
        <f>$AD$1</f>
        <v>103</v>
      </c>
      <c r="F37" s="1005">
        <f>D37*E37</f>
        <v>7.2100000000000009</v>
      </c>
      <c r="G37" s="437"/>
      <c r="H37" s="425">
        <f>F37</f>
        <v>7.2100000000000009</v>
      </c>
      <c r="I37" s="425">
        <f>VLOOKUP(B37,All_Ingredients!$A$1:$F$161,6,FALSE())</f>
        <v>0.65</v>
      </c>
      <c r="J37" s="425">
        <f>VLOOKUP(B37,All_Ingredients!$A$1:$J$161,10,FALSE())</f>
        <v>45</v>
      </c>
      <c r="K37" s="425">
        <f t="shared" ref="K37" si="12">(H37/I37)/1000</f>
        <v>1.1092307692307693E-2</v>
      </c>
      <c r="L37" s="425">
        <f t="shared" ref="L37" si="13">K37*J37</f>
        <v>0.49915384615384617</v>
      </c>
      <c r="R37" s="208"/>
      <c r="S37" s="217"/>
    </row>
    <row r="38" spans="2:23" x14ac:dyDescent="0.25">
      <c r="R38" s="208"/>
      <c r="S38" s="217"/>
    </row>
    <row r="39" spans="2:23" x14ac:dyDescent="0.25">
      <c r="U39" s="217"/>
    </row>
    <row r="40" spans="2:23" ht="26.25" x14ac:dyDescent="0.25">
      <c r="R40" s="119" t="s">
        <v>270</v>
      </c>
      <c r="S40" s="120">
        <v>0.76923076923076905</v>
      </c>
      <c r="T40" s="119" t="s">
        <v>271</v>
      </c>
      <c r="U40" s="121">
        <v>0.230769230769231</v>
      </c>
      <c r="V40" s="122">
        <f>S40+U40</f>
        <v>1</v>
      </c>
    </row>
    <row r="41" spans="2:23" x14ac:dyDescent="0.25">
      <c r="U41" s="123"/>
    </row>
    <row r="43" spans="2:23" ht="15.75" thickBot="1" x14ac:dyDescent="0.3">
      <c r="Q43" s="124" t="s">
        <v>272</v>
      </c>
      <c r="R43" s="124" t="s">
        <v>273</v>
      </c>
      <c r="S43" s="124" t="s">
        <v>274</v>
      </c>
      <c r="T43" s="124" t="s">
        <v>275</v>
      </c>
      <c r="U43" s="124" t="s">
        <v>276</v>
      </c>
      <c r="V43" s="124" t="s">
        <v>277</v>
      </c>
      <c r="W43" s="124" t="s">
        <v>278</v>
      </c>
    </row>
    <row r="44" spans="2:23" ht="15.75" thickBot="1" x14ac:dyDescent="0.3">
      <c r="Q44" s="663">
        <v>17728</v>
      </c>
      <c r="R44" s="127">
        <f>D51</f>
        <v>10000</v>
      </c>
      <c r="S44" s="664">
        <v>0.40909090909090912</v>
      </c>
      <c r="T44" s="664">
        <v>0.59090909090909094</v>
      </c>
      <c r="U44" s="165">
        <f>R44*S44</f>
        <v>4090.909090909091</v>
      </c>
      <c r="V44" s="129">
        <f>R44*T44</f>
        <v>5909.090909090909</v>
      </c>
      <c r="W44" s="129">
        <f>Q44-U44</f>
        <v>13637.090909090908</v>
      </c>
    </row>
    <row r="50" spans="1:10" x14ac:dyDescent="0.25">
      <c r="B50" s="851"/>
      <c r="C50" s="100" t="s">
        <v>233</v>
      </c>
      <c r="D50" s="100" t="s">
        <v>279</v>
      </c>
      <c r="F50" s="80"/>
      <c r="G50" s="100" t="s">
        <v>280</v>
      </c>
      <c r="H50" s="100" t="s">
        <v>233</v>
      </c>
      <c r="I50" s="100" t="s">
        <v>281</v>
      </c>
      <c r="J50" s="100" t="s">
        <v>282</v>
      </c>
    </row>
    <row r="51" spans="1:10" x14ac:dyDescent="0.25">
      <c r="B51" s="844" t="s">
        <v>283</v>
      </c>
      <c r="C51" s="133">
        <f>10/$K$1</f>
        <v>10.204081632653061</v>
      </c>
      <c r="D51" s="134">
        <f>$C$1*10</f>
        <v>10000</v>
      </c>
      <c r="E51" s="135"/>
      <c r="F51" s="80"/>
      <c r="G51" s="132" t="s">
        <v>283</v>
      </c>
      <c r="H51" s="182">
        <f>I51/$D$5</f>
        <v>10</v>
      </c>
      <c r="I51" s="133">
        <f>J51/$R$1</f>
        <v>23113.713405238828</v>
      </c>
      <c r="J51" s="133">
        <f>$W$44</f>
        <v>13637.090909090908</v>
      </c>
    </row>
    <row r="52" spans="1:10" x14ac:dyDescent="0.25">
      <c r="B52" s="846" t="s">
        <v>262</v>
      </c>
      <c r="C52" s="156">
        <f>$I$1</f>
        <v>8.6975405546834139</v>
      </c>
      <c r="D52" s="157">
        <f>$E$1</f>
        <v>8523.5897435897459</v>
      </c>
      <c r="E52" s="80"/>
      <c r="F52" s="80"/>
      <c r="G52" s="103" t="s">
        <v>262</v>
      </c>
      <c r="H52" s="145">
        <f>I52/$D$5</f>
        <v>8.523135176380336</v>
      </c>
      <c r="I52" s="129">
        <f>J52/$R$1</f>
        <v>19700.130378096477</v>
      </c>
      <c r="J52" s="136">
        <f>$S$32</f>
        <v>11623.07692307692</v>
      </c>
    </row>
    <row r="53" spans="1:10" x14ac:dyDescent="0.25">
      <c r="B53" s="846" t="s">
        <v>284</v>
      </c>
      <c r="C53" s="158">
        <f>MIN(C52, C51)</f>
        <v>8.6975405546834139</v>
      </c>
      <c r="D53" s="157">
        <f>(C53*$K$1)*$C$1</f>
        <v>8523.5897435897459</v>
      </c>
      <c r="E53" s="80"/>
      <c r="F53" s="80"/>
      <c r="G53" s="103" t="s">
        <v>284</v>
      </c>
      <c r="H53" s="139">
        <f>MIN(H52,H51)</f>
        <v>8.523135176380336</v>
      </c>
      <c r="I53" s="129">
        <f>J53/$R$1</f>
        <v>19700.130378096477</v>
      </c>
      <c r="J53" s="129">
        <f>MIN(J52,J51)</f>
        <v>11623.07692307692</v>
      </c>
    </row>
    <row r="54" spans="1:10" x14ac:dyDescent="0.25">
      <c r="B54" s="846" t="s">
        <v>285</v>
      </c>
      <c r="C54" s="158">
        <f>MIN(MAX(C52-C53,0),C51)</f>
        <v>0</v>
      </c>
      <c r="D54" s="157">
        <f>(C54*$K$1)*$C$1</f>
        <v>0</v>
      </c>
      <c r="E54" s="80"/>
      <c r="F54" s="80"/>
      <c r="G54" s="103" t="s">
        <v>285</v>
      </c>
      <c r="H54" s="139">
        <f>MIN(MAX(H52-H53),H51)</f>
        <v>0</v>
      </c>
      <c r="I54" s="129">
        <f>J54/$R$1</f>
        <v>0</v>
      </c>
      <c r="J54" s="129">
        <f>MIN(MAX(J52-J53),J51)</f>
        <v>0</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62" spans="1:10" x14ac:dyDescent="0.25">
      <c r="A62" s="864"/>
      <c r="B62" s="1871" t="str">
        <f>"دجاج سنغافورى  1 / " &amp; COUNTIF($C$53:$C$55, "&gt;0")</f>
        <v>دجاج سنغافورى  1 / 1</v>
      </c>
      <c r="C62" s="1880"/>
      <c r="D62" s="1880"/>
      <c r="E62" s="1880"/>
      <c r="F62" s="1880"/>
      <c r="G62" s="1880"/>
      <c r="H62" s="1880"/>
    </row>
    <row r="63" spans="1:10" x14ac:dyDescent="0.25">
      <c r="A63" s="864"/>
      <c r="B63" s="1872" t="str">
        <f>"Singapore Chicken  1 / " &amp; COUNTIF($C$53:$C$55, "&gt;0")</f>
        <v>Singapore Chicken  1 / 1</v>
      </c>
      <c r="C63" s="1883"/>
      <c r="D63" s="1883"/>
      <c r="E63" s="1883"/>
      <c r="F63" s="1883"/>
      <c r="G63" s="1883"/>
      <c r="H63" s="1883"/>
    </row>
    <row r="64" spans="1:10" ht="51" x14ac:dyDescent="0.2">
      <c r="A64" s="1350" t="s">
        <v>864</v>
      </c>
      <c r="B64" s="1103" t="s">
        <v>241</v>
      </c>
      <c r="C64" s="934" t="s">
        <v>242</v>
      </c>
      <c r="D64" s="1104" t="s">
        <v>231</v>
      </c>
      <c r="E64" s="936" t="s">
        <v>234</v>
      </c>
      <c r="F64" s="936" t="s">
        <v>243</v>
      </c>
      <c r="G64" s="1104" t="s">
        <v>244</v>
      </c>
      <c r="H64" s="936" t="s">
        <v>245</v>
      </c>
    </row>
    <row r="65" spans="1:8" x14ac:dyDescent="0.2">
      <c r="A65" s="882" t="s">
        <v>872</v>
      </c>
      <c r="B65" s="1727" t="str">
        <f t="shared" ref="B65:D80" si="14">B5</f>
        <v>Chicken - دجاج</v>
      </c>
      <c r="C65" s="1727" t="str">
        <f t="shared" si="14"/>
        <v>gm</v>
      </c>
      <c r="D65" s="1728">
        <f t="shared" si="14"/>
        <v>2311.3713405238827</v>
      </c>
      <c r="E65" s="1646">
        <f>H53</f>
        <v>8.523135176380336</v>
      </c>
      <c r="F65" s="1626">
        <f t="shared" ref="F65:F87" si="15">F5</f>
        <v>1</v>
      </c>
      <c r="G65" s="940">
        <f t="shared" ref="G65:G87" si="16">D65*E65</f>
        <v>19700.130378096477</v>
      </c>
      <c r="H65" s="1038">
        <f t="shared" ref="H65:H87" si="17">G65*F65</f>
        <v>19700.130378096477</v>
      </c>
    </row>
    <row r="66" spans="1:8" x14ac:dyDescent="0.25">
      <c r="B66" s="1727" t="str">
        <f t="shared" si="14"/>
        <v>Curry Powder - كاري بودرة</v>
      </c>
      <c r="C66" s="1727" t="str">
        <f t="shared" si="14"/>
        <v>gm</v>
      </c>
      <c r="D66" s="1727">
        <f t="shared" si="14"/>
        <v>6</v>
      </c>
      <c r="E66" s="1687">
        <f>$C$53</f>
        <v>8.6975405546834139</v>
      </c>
      <c r="F66" s="1626">
        <f t="shared" si="15"/>
        <v>0.95</v>
      </c>
      <c r="G66" s="940">
        <f t="shared" si="16"/>
        <v>52.185243328100483</v>
      </c>
      <c r="H66" s="1038">
        <f t="shared" si="17"/>
        <v>49.575981161695459</v>
      </c>
    </row>
    <row r="67" spans="1:8" x14ac:dyDescent="0.25">
      <c r="B67" s="1727" t="str">
        <f t="shared" si="14"/>
        <v>Salt - ملح</v>
      </c>
      <c r="C67" s="1727" t="str">
        <f t="shared" si="14"/>
        <v>gm</v>
      </c>
      <c r="D67" s="1727">
        <f t="shared" si="14"/>
        <v>11</v>
      </c>
      <c r="E67" s="1687">
        <f t="shared" ref="E67:E87" si="18">$C$53</f>
        <v>8.6975405546834139</v>
      </c>
      <c r="F67" s="1626">
        <f t="shared" si="15"/>
        <v>0.75</v>
      </c>
      <c r="G67" s="940">
        <f t="shared" si="16"/>
        <v>95.672946101517553</v>
      </c>
      <c r="H67" s="1038">
        <f t="shared" si="17"/>
        <v>71.754709576138168</v>
      </c>
    </row>
    <row r="68" spans="1:8" x14ac:dyDescent="0.25">
      <c r="B68" s="1727" t="str">
        <f t="shared" si="14"/>
        <v>Coconut Milk - حليب جوز الهند</v>
      </c>
      <c r="C68" s="1727" t="str">
        <f t="shared" si="14"/>
        <v>ml</v>
      </c>
      <c r="D68" s="1727">
        <f t="shared" si="14"/>
        <v>250</v>
      </c>
      <c r="E68" s="1687">
        <f t="shared" si="18"/>
        <v>8.6975405546834139</v>
      </c>
      <c r="F68" s="1626">
        <f t="shared" si="15"/>
        <v>1</v>
      </c>
      <c r="G68" s="940">
        <f t="shared" si="16"/>
        <v>2174.3851386708534</v>
      </c>
      <c r="H68" s="1038">
        <f t="shared" si="17"/>
        <v>2174.3851386708534</v>
      </c>
    </row>
    <row r="69" spans="1:8" x14ac:dyDescent="0.25">
      <c r="A69" s="61" t="s">
        <v>947</v>
      </c>
      <c r="B69" s="1727" t="str">
        <f t="shared" si="14"/>
        <v xml:space="preserve">Lemon Grass - ليمون جراس </v>
      </c>
      <c r="C69" s="1727" t="str">
        <f t="shared" si="14"/>
        <v>gm</v>
      </c>
      <c r="D69" s="1727">
        <f t="shared" si="14"/>
        <v>5</v>
      </c>
      <c r="E69" s="1687">
        <f t="shared" si="18"/>
        <v>8.6975405546834139</v>
      </c>
      <c r="F69" s="1626">
        <f t="shared" si="15"/>
        <v>0.9</v>
      </c>
      <c r="G69" s="940">
        <f t="shared" si="16"/>
        <v>43.48770277341707</v>
      </c>
      <c r="H69" s="1038">
        <f t="shared" si="17"/>
        <v>39.138932496075363</v>
      </c>
    </row>
    <row r="70" spans="1:8" x14ac:dyDescent="0.25">
      <c r="B70" s="1727" t="str">
        <f t="shared" si="14"/>
        <v xml:space="preserve">Kaffir Lime Leaves - ورق الليمون  </v>
      </c>
      <c r="C70" s="1727" t="str">
        <f t="shared" si="14"/>
        <v>gm</v>
      </c>
      <c r="D70" s="1727">
        <f t="shared" si="14"/>
        <v>3</v>
      </c>
      <c r="E70" s="1687">
        <f t="shared" si="18"/>
        <v>8.6975405546834139</v>
      </c>
      <c r="F70" s="1626">
        <f t="shared" si="15"/>
        <v>0.75</v>
      </c>
      <c r="G70" s="940">
        <f t="shared" si="16"/>
        <v>26.092621664050242</v>
      </c>
      <c r="H70" s="1038">
        <f t="shared" si="17"/>
        <v>19.569466248037681</v>
      </c>
    </row>
    <row r="71" spans="1:8" x14ac:dyDescent="0.25">
      <c r="B71" s="1727" t="str">
        <f t="shared" si="14"/>
        <v>Green Chilli Pepper - فلفل أخضر حار</v>
      </c>
      <c r="C71" s="1727" t="str">
        <f t="shared" si="14"/>
        <v>gm</v>
      </c>
      <c r="D71" s="1727">
        <f t="shared" si="14"/>
        <v>2</v>
      </c>
      <c r="E71" s="1687">
        <f t="shared" si="18"/>
        <v>8.6975405546834139</v>
      </c>
      <c r="F71" s="1626">
        <f t="shared" si="15"/>
        <v>0.75</v>
      </c>
      <c r="G71" s="940">
        <f t="shared" si="16"/>
        <v>17.395081109366828</v>
      </c>
      <c r="H71" s="1038">
        <f t="shared" si="17"/>
        <v>13.046310832025121</v>
      </c>
    </row>
    <row r="72" spans="1:8" x14ac:dyDescent="0.25">
      <c r="A72" s="61" t="s">
        <v>869</v>
      </c>
      <c r="B72" s="1727" t="str">
        <f t="shared" si="14"/>
        <v>Coriander Leaves - كزبرة خضراء</v>
      </c>
      <c r="C72" s="1727" t="str">
        <f t="shared" si="14"/>
        <v>gm</v>
      </c>
      <c r="D72" s="1727">
        <f t="shared" si="14"/>
        <v>10</v>
      </c>
      <c r="E72" s="1687">
        <f t="shared" si="18"/>
        <v>8.6975405546834139</v>
      </c>
      <c r="F72" s="1626">
        <f t="shared" si="15"/>
        <v>0.9</v>
      </c>
      <c r="G72" s="940">
        <f t="shared" si="16"/>
        <v>86.975405546834139</v>
      </c>
      <c r="H72" s="1038">
        <f t="shared" si="17"/>
        <v>78.277864992150725</v>
      </c>
    </row>
    <row r="73" spans="1:8" x14ac:dyDescent="0.25">
      <c r="B73" s="1727" t="str">
        <f t="shared" si="14"/>
        <v>Cumin Powder - كمون مطحون</v>
      </c>
      <c r="C73" s="1727" t="str">
        <f t="shared" si="14"/>
        <v>gm</v>
      </c>
      <c r="D73" s="1727">
        <f t="shared" si="14"/>
        <v>5</v>
      </c>
      <c r="E73" s="1687">
        <f t="shared" si="18"/>
        <v>8.6975405546834139</v>
      </c>
      <c r="F73" s="1626">
        <f t="shared" si="15"/>
        <v>0.75</v>
      </c>
      <c r="G73" s="940">
        <f t="shared" si="16"/>
        <v>43.48770277341707</v>
      </c>
      <c r="H73" s="1038">
        <f t="shared" si="17"/>
        <v>32.615777080062799</v>
      </c>
    </row>
    <row r="74" spans="1:8" x14ac:dyDescent="0.25">
      <c r="B74" s="1727" t="str">
        <f t="shared" si="14"/>
        <v>Coriander Powder - كزبرة مطحونة</v>
      </c>
      <c r="C74" s="1727" t="str">
        <f t="shared" si="14"/>
        <v>gm</v>
      </c>
      <c r="D74" s="1727">
        <f t="shared" si="14"/>
        <v>5</v>
      </c>
      <c r="E74" s="1687">
        <f t="shared" si="18"/>
        <v>8.6975405546834139</v>
      </c>
      <c r="F74" s="1626">
        <f t="shared" si="15"/>
        <v>0.75</v>
      </c>
      <c r="G74" s="940">
        <f t="shared" si="16"/>
        <v>43.48770277341707</v>
      </c>
      <c r="H74" s="1038">
        <f t="shared" si="17"/>
        <v>32.615777080062799</v>
      </c>
    </row>
    <row r="75" spans="1:8" x14ac:dyDescent="0.25">
      <c r="B75" s="1727" t="str">
        <f t="shared" si="14"/>
        <v>Black Pepper Powder - فلفل أسود مطحون</v>
      </c>
      <c r="C75" s="1727" t="str">
        <f t="shared" si="14"/>
        <v>gm</v>
      </c>
      <c r="D75" s="1727">
        <f t="shared" si="14"/>
        <v>2</v>
      </c>
      <c r="E75" s="1687">
        <f t="shared" si="18"/>
        <v>8.6975405546834139</v>
      </c>
      <c r="F75" s="1626">
        <f t="shared" si="15"/>
        <v>0.75</v>
      </c>
      <c r="G75" s="940">
        <f t="shared" si="16"/>
        <v>17.395081109366828</v>
      </c>
      <c r="H75" s="1038">
        <f t="shared" si="17"/>
        <v>13.046310832025121</v>
      </c>
    </row>
    <row r="76" spans="1:8" x14ac:dyDescent="0.25">
      <c r="B76" s="1727" t="str">
        <f t="shared" si="14"/>
        <v>Tomato Ketchup - كاتشب طماطم</v>
      </c>
      <c r="C76" s="1727" t="str">
        <f t="shared" si="14"/>
        <v>ml</v>
      </c>
      <c r="D76" s="1727">
        <f t="shared" si="14"/>
        <v>20</v>
      </c>
      <c r="E76" s="1687">
        <f t="shared" si="18"/>
        <v>8.6975405546834139</v>
      </c>
      <c r="F76" s="1626">
        <f t="shared" si="15"/>
        <v>0.9</v>
      </c>
      <c r="G76" s="940">
        <f t="shared" si="16"/>
        <v>173.95081109366828</v>
      </c>
      <c r="H76" s="1038">
        <f t="shared" si="17"/>
        <v>156.55572998430145</v>
      </c>
    </row>
    <row r="77" spans="1:8" x14ac:dyDescent="0.25">
      <c r="B77" s="1727" t="str">
        <f t="shared" si="14"/>
        <v>Brown Sugar - سكر بني</v>
      </c>
      <c r="C77" s="1727" t="str">
        <f t="shared" si="14"/>
        <v>gm</v>
      </c>
      <c r="D77" s="1727">
        <f t="shared" si="14"/>
        <v>10</v>
      </c>
      <c r="E77" s="1687">
        <f t="shared" si="18"/>
        <v>8.6975405546834139</v>
      </c>
      <c r="F77" s="1626">
        <f t="shared" si="15"/>
        <v>1</v>
      </c>
      <c r="G77" s="940">
        <f t="shared" si="16"/>
        <v>86.975405546834139</v>
      </c>
      <c r="H77" s="1038">
        <f t="shared" si="17"/>
        <v>86.975405546834139</v>
      </c>
    </row>
    <row r="78" spans="1:8" x14ac:dyDescent="0.25">
      <c r="A78" s="61" t="s">
        <v>881</v>
      </c>
      <c r="B78" s="1727" t="str">
        <f t="shared" si="14"/>
        <v>Onion - بصل</v>
      </c>
      <c r="C78" s="1727" t="str">
        <f t="shared" si="14"/>
        <v>gm</v>
      </c>
      <c r="D78" s="1727">
        <f t="shared" si="14"/>
        <v>200</v>
      </c>
      <c r="E78" s="1687">
        <f t="shared" si="18"/>
        <v>8.6975405546834139</v>
      </c>
      <c r="F78" s="1626">
        <f t="shared" si="15"/>
        <v>1</v>
      </c>
      <c r="G78" s="940">
        <f t="shared" si="16"/>
        <v>1739.5081109366829</v>
      </c>
      <c r="H78" s="1038">
        <f t="shared" si="17"/>
        <v>1739.5081109366829</v>
      </c>
    </row>
    <row r="79" spans="1:8" x14ac:dyDescent="0.25">
      <c r="A79" s="61" t="s">
        <v>867</v>
      </c>
      <c r="B79" s="1727" t="str">
        <f t="shared" si="14"/>
        <v>Ginger - زنجبيل</v>
      </c>
      <c r="C79" s="1727" t="str">
        <f t="shared" si="14"/>
        <v>gm</v>
      </c>
      <c r="D79" s="1727">
        <f t="shared" si="14"/>
        <v>20</v>
      </c>
      <c r="E79" s="1687">
        <f t="shared" si="18"/>
        <v>8.6975405546834139</v>
      </c>
      <c r="F79" s="1626">
        <f t="shared" si="15"/>
        <v>0.9</v>
      </c>
      <c r="G79" s="940">
        <f t="shared" si="16"/>
        <v>173.95081109366828</v>
      </c>
      <c r="H79" s="1038">
        <f t="shared" si="17"/>
        <v>156.55572998430145</v>
      </c>
    </row>
    <row r="80" spans="1:8" x14ac:dyDescent="0.25">
      <c r="A80" s="61" t="s">
        <v>868</v>
      </c>
      <c r="B80" s="1727" t="str">
        <f t="shared" si="14"/>
        <v>Garlic - ثوم مقشر</v>
      </c>
      <c r="C80" s="1727" t="str">
        <f t="shared" si="14"/>
        <v>gm</v>
      </c>
      <c r="D80" s="1727">
        <f t="shared" si="14"/>
        <v>20</v>
      </c>
      <c r="E80" s="1687">
        <f t="shared" si="18"/>
        <v>8.6975405546834139</v>
      </c>
      <c r="F80" s="1626">
        <f t="shared" si="15"/>
        <v>0.9</v>
      </c>
      <c r="G80" s="940">
        <f t="shared" si="16"/>
        <v>173.95081109366828</v>
      </c>
      <c r="H80" s="1038">
        <f t="shared" si="17"/>
        <v>156.55572998430145</v>
      </c>
    </row>
    <row r="81" spans="1:8" x14ac:dyDescent="0.25">
      <c r="B81" s="1727" t="str">
        <f t="shared" ref="B81:D87" si="19">B21</f>
        <v>Lemon Juice - عصير ليمون</v>
      </c>
      <c r="C81" s="1727" t="str">
        <f t="shared" si="19"/>
        <v>ml</v>
      </c>
      <c r="D81" s="1727">
        <f t="shared" si="19"/>
        <v>5</v>
      </c>
      <c r="E81" s="1687">
        <f t="shared" si="18"/>
        <v>8.6975405546834139</v>
      </c>
      <c r="F81" s="1626">
        <f t="shared" si="15"/>
        <v>1</v>
      </c>
      <c r="G81" s="940">
        <f t="shared" si="16"/>
        <v>43.48770277341707</v>
      </c>
      <c r="H81" s="1038">
        <f t="shared" si="17"/>
        <v>43.48770277341707</v>
      </c>
    </row>
    <row r="82" spans="1:8" x14ac:dyDescent="0.25">
      <c r="A82" s="61" t="s">
        <v>870</v>
      </c>
      <c r="B82" s="1727" t="str">
        <f t="shared" si="19"/>
        <v>Tomato - طماطم</v>
      </c>
      <c r="C82" s="1727" t="str">
        <f t="shared" si="19"/>
        <v>gm</v>
      </c>
      <c r="D82" s="1727">
        <f t="shared" si="19"/>
        <v>350</v>
      </c>
      <c r="E82" s="1687">
        <f t="shared" si="18"/>
        <v>8.6975405546834139</v>
      </c>
      <c r="F82" s="1626">
        <f t="shared" si="15"/>
        <v>0.95</v>
      </c>
      <c r="G82" s="940">
        <f t="shared" si="16"/>
        <v>3044.1391941391948</v>
      </c>
      <c r="H82" s="1038">
        <f t="shared" si="17"/>
        <v>2891.932234432235</v>
      </c>
    </row>
    <row r="83" spans="1:8" x14ac:dyDescent="0.25">
      <c r="B83" s="1727" t="str">
        <f t="shared" si="19"/>
        <v>Water - ماء</v>
      </c>
      <c r="C83" s="1727" t="str">
        <f t="shared" si="19"/>
        <v>ml</v>
      </c>
      <c r="D83" s="1727">
        <f t="shared" si="19"/>
        <v>100</v>
      </c>
      <c r="E83" s="1687">
        <f t="shared" si="18"/>
        <v>8.6975405546834139</v>
      </c>
      <c r="F83" s="1626">
        <f t="shared" si="15"/>
        <v>1</v>
      </c>
      <c r="G83" s="940">
        <f t="shared" si="16"/>
        <v>869.75405546834145</v>
      </c>
      <c r="H83" s="1038">
        <f t="shared" si="17"/>
        <v>869.75405546834145</v>
      </c>
    </row>
    <row r="84" spans="1:8" x14ac:dyDescent="0.25">
      <c r="B84" s="1727" t="str">
        <f t="shared" si="19"/>
        <v>Corn Starch - نشا ذرة</v>
      </c>
      <c r="C84" s="1727" t="str">
        <f t="shared" si="19"/>
        <v>gm</v>
      </c>
      <c r="D84" s="1727">
        <f t="shared" si="19"/>
        <v>20</v>
      </c>
      <c r="E84" s="1687">
        <f t="shared" si="18"/>
        <v>8.6975405546834139</v>
      </c>
      <c r="F84" s="1626">
        <f t="shared" si="15"/>
        <v>0.75</v>
      </c>
      <c r="G84" s="940">
        <f t="shared" si="16"/>
        <v>173.95081109366828</v>
      </c>
      <c r="H84" s="1038">
        <f t="shared" si="17"/>
        <v>130.46310832025119</v>
      </c>
    </row>
    <row r="85" spans="1:8" x14ac:dyDescent="0.25">
      <c r="B85" s="1727" t="str">
        <f t="shared" si="19"/>
        <v>Butter - زبدة</v>
      </c>
      <c r="C85" s="1727" t="str">
        <f t="shared" si="19"/>
        <v>gm</v>
      </c>
      <c r="D85" s="1727">
        <f t="shared" si="19"/>
        <v>30</v>
      </c>
      <c r="E85" s="1687">
        <f t="shared" si="18"/>
        <v>8.6975405546834139</v>
      </c>
      <c r="F85" s="1626">
        <f t="shared" si="15"/>
        <v>1</v>
      </c>
      <c r="G85" s="940">
        <f t="shared" si="16"/>
        <v>260.92621664050239</v>
      </c>
      <c r="H85" s="1038">
        <f t="shared" si="17"/>
        <v>260.92621664050239</v>
      </c>
    </row>
    <row r="86" spans="1:8" x14ac:dyDescent="0.25">
      <c r="B86" s="1727" t="str">
        <f t="shared" si="19"/>
        <v>Yogurt - زبادي</v>
      </c>
      <c r="C86" s="1727" t="str">
        <f t="shared" si="19"/>
        <v>gm</v>
      </c>
      <c r="D86" s="1727">
        <f t="shared" si="19"/>
        <v>100</v>
      </c>
      <c r="E86" s="1687">
        <f t="shared" si="18"/>
        <v>8.6975405546834139</v>
      </c>
      <c r="F86" s="1626">
        <f t="shared" si="15"/>
        <v>1</v>
      </c>
      <c r="G86" s="940">
        <f t="shared" si="16"/>
        <v>869.75405546834145</v>
      </c>
      <c r="H86" s="1038">
        <f t="shared" si="17"/>
        <v>869.75405546834145</v>
      </c>
    </row>
    <row r="87" spans="1:8" x14ac:dyDescent="0.25">
      <c r="B87" s="1727" t="str">
        <f t="shared" si="19"/>
        <v>Saffron yellow color powder - لون صفار زعفران بودر</v>
      </c>
      <c r="C87" s="1727" t="str">
        <f t="shared" si="19"/>
        <v>gm</v>
      </c>
      <c r="D87" s="1727">
        <f t="shared" si="19"/>
        <v>0.5</v>
      </c>
      <c r="E87" s="1687">
        <f t="shared" si="18"/>
        <v>8.6975405546834139</v>
      </c>
      <c r="F87" s="1626">
        <f t="shared" si="15"/>
        <v>1</v>
      </c>
      <c r="G87" s="940">
        <f t="shared" si="16"/>
        <v>4.348770277341707</v>
      </c>
      <c r="H87" s="1038">
        <f t="shared" si="17"/>
        <v>4.348770277341707</v>
      </c>
    </row>
    <row r="88" spans="1:8" ht="18" x14ac:dyDescent="0.25">
      <c r="A88" s="861"/>
      <c r="B88" s="1622" t="s">
        <v>287</v>
      </c>
      <c r="C88" s="1042" t="s">
        <v>273</v>
      </c>
      <c r="D88" s="952"/>
      <c r="E88" s="1042" t="s">
        <v>288</v>
      </c>
      <c r="F88" s="952"/>
      <c r="G88" s="1045" t="s">
        <v>264</v>
      </c>
      <c r="H88" s="1045" t="s">
        <v>661</v>
      </c>
    </row>
    <row r="89" spans="1:8" ht="20.25" x14ac:dyDescent="0.3">
      <c r="A89" s="861"/>
      <c r="B89" s="1048">
        <f>$J$53</f>
        <v>11623.07692307692</v>
      </c>
      <c r="C89" s="1048">
        <f>E89+G89</f>
        <v>8523.5897435897459</v>
      </c>
      <c r="D89" s="1629"/>
      <c r="E89" s="1048">
        <f>$D$53*$S$44</f>
        <v>3486.923076923078</v>
      </c>
      <c r="F89" s="1050"/>
      <c r="G89" s="1048">
        <f>$D$53*$T$44</f>
        <v>5036.6666666666679</v>
      </c>
      <c r="H89" s="1048">
        <f>B89+E89</f>
        <v>15109.999999999998</v>
      </c>
    </row>
    <row r="90" spans="1:8" x14ac:dyDescent="0.25">
      <c r="B90" s="1729"/>
      <c r="C90" s="952"/>
      <c r="D90" s="952"/>
      <c r="E90" s="1208"/>
      <c r="F90" s="1208"/>
      <c r="G90" s="952"/>
      <c r="H90" s="952"/>
    </row>
    <row r="91" spans="1:8" x14ac:dyDescent="0.25">
      <c r="A91" s="864"/>
      <c r="B91" s="1776" t="str">
        <f>"دجاج سنغافورى  2 / " &amp; COUNTIF($C$53:$C$55, "&gt;0")</f>
        <v>دجاج سنغافورى  2 / 1</v>
      </c>
      <c r="C91" s="1777"/>
      <c r="D91" s="1777"/>
      <c r="E91" s="1777"/>
      <c r="F91" s="1777"/>
      <c r="G91" s="1777"/>
      <c r="H91" s="1777"/>
    </row>
    <row r="92" spans="1:8" x14ac:dyDescent="0.25">
      <c r="A92" s="864"/>
      <c r="B92" s="1842" t="str">
        <f>"Singapore Chicken 2 / " &amp; COUNTIF($C$53:$C$55, "&gt;0")</f>
        <v>Singapore Chicken 2 / 1</v>
      </c>
      <c r="C92" s="1843"/>
      <c r="D92" s="1843"/>
      <c r="E92" s="1843"/>
      <c r="F92" s="1843"/>
      <c r="G92" s="1843"/>
      <c r="H92" s="1843"/>
    </row>
    <row r="93" spans="1:8" ht="51" x14ac:dyDescent="0.2">
      <c r="A93" s="1350" t="s">
        <v>864</v>
      </c>
      <c r="B93" s="1103" t="s">
        <v>241</v>
      </c>
      <c r="C93" s="934" t="s">
        <v>242</v>
      </c>
      <c r="D93" s="1104" t="s">
        <v>231</v>
      </c>
      <c r="E93" s="936" t="s">
        <v>234</v>
      </c>
      <c r="F93" s="936" t="s">
        <v>243</v>
      </c>
      <c r="G93" s="1104" t="s">
        <v>244</v>
      </c>
      <c r="H93" s="936" t="s">
        <v>245</v>
      </c>
    </row>
    <row r="94" spans="1:8" x14ac:dyDescent="0.2">
      <c r="A94" s="882" t="s">
        <v>872</v>
      </c>
      <c r="B94" s="1727" t="str">
        <f t="shared" ref="B94:D109" si="20">B5</f>
        <v>Chicken - دجاج</v>
      </c>
      <c r="C94" s="1727" t="str">
        <f t="shared" si="20"/>
        <v>gm</v>
      </c>
      <c r="D94" s="1728">
        <f t="shared" si="20"/>
        <v>2311.3713405238827</v>
      </c>
      <c r="E94" s="1621">
        <f>H54</f>
        <v>0</v>
      </c>
      <c r="F94" s="1626">
        <f t="shared" ref="F94:F116" si="21">F5</f>
        <v>1</v>
      </c>
      <c r="G94" s="940">
        <f t="shared" ref="G94:G116" si="22">D94*E94</f>
        <v>0</v>
      </c>
      <c r="H94" s="1038">
        <f t="shared" ref="H94:H116" si="23">G94*F94</f>
        <v>0</v>
      </c>
    </row>
    <row r="95" spans="1:8" x14ac:dyDescent="0.25">
      <c r="B95" s="1727" t="str">
        <f t="shared" si="20"/>
        <v>Curry Powder - كاري بودرة</v>
      </c>
      <c r="C95" s="1727" t="str">
        <f t="shared" si="20"/>
        <v>gm</v>
      </c>
      <c r="D95" s="1727">
        <f t="shared" si="20"/>
        <v>6</v>
      </c>
      <c r="E95" s="1621">
        <f t="shared" ref="E95:E116" si="24">$C$54</f>
        <v>0</v>
      </c>
      <c r="F95" s="1626">
        <f t="shared" si="21"/>
        <v>0.95</v>
      </c>
      <c r="G95" s="940">
        <f t="shared" si="22"/>
        <v>0</v>
      </c>
      <c r="H95" s="1038">
        <f t="shared" si="23"/>
        <v>0</v>
      </c>
    </row>
    <row r="96" spans="1:8" x14ac:dyDescent="0.25">
      <c r="B96" s="1727" t="str">
        <f t="shared" si="20"/>
        <v>Salt - ملح</v>
      </c>
      <c r="C96" s="1727" t="str">
        <f t="shared" si="20"/>
        <v>gm</v>
      </c>
      <c r="D96" s="1727">
        <f t="shared" si="20"/>
        <v>11</v>
      </c>
      <c r="E96" s="1621">
        <f t="shared" si="24"/>
        <v>0</v>
      </c>
      <c r="F96" s="1626">
        <f t="shared" si="21"/>
        <v>0.75</v>
      </c>
      <c r="G96" s="940">
        <f t="shared" si="22"/>
        <v>0</v>
      </c>
      <c r="H96" s="1038">
        <f t="shared" si="23"/>
        <v>0</v>
      </c>
    </row>
    <row r="97" spans="1:8" x14ac:dyDescent="0.25">
      <c r="B97" s="1727" t="str">
        <f t="shared" si="20"/>
        <v>Coconut Milk - حليب جوز الهند</v>
      </c>
      <c r="C97" s="1727" t="str">
        <f t="shared" si="20"/>
        <v>ml</v>
      </c>
      <c r="D97" s="1727">
        <f t="shared" si="20"/>
        <v>250</v>
      </c>
      <c r="E97" s="1621">
        <f t="shared" si="24"/>
        <v>0</v>
      </c>
      <c r="F97" s="1626">
        <f t="shared" si="21"/>
        <v>1</v>
      </c>
      <c r="G97" s="940">
        <f t="shared" si="22"/>
        <v>0</v>
      </c>
      <c r="H97" s="1038">
        <f t="shared" si="23"/>
        <v>0</v>
      </c>
    </row>
    <row r="98" spans="1:8" x14ac:dyDescent="0.25">
      <c r="A98" s="61" t="s">
        <v>947</v>
      </c>
      <c r="B98" s="1727" t="str">
        <f t="shared" si="20"/>
        <v xml:space="preserve">Lemon Grass - ليمون جراس </v>
      </c>
      <c r="C98" s="1727" t="str">
        <f t="shared" si="20"/>
        <v>gm</v>
      </c>
      <c r="D98" s="1727">
        <f t="shared" si="20"/>
        <v>5</v>
      </c>
      <c r="E98" s="1621">
        <f t="shared" si="24"/>
        <v>0</v>
      </c>
      <c r="F98" s="1626">
        <f t="shared" si="21"/>
        <v>0.9</v>
      </c>
      <c r="G98" s="940">
        <f t="shared" si="22"/>
        <v>0</v>
      </c>
      <c r="H98" s="1038">
        <f t="shared" si="23"/>
        <v>0</v>
      </c>
    </row>
    <row r="99" spans="1:8" x14ac:dyDescent="0.25">
      <c r="B99" s="1727" t="str">
        <f t="shared" si="20"/>
        <v xml:space="preserve">Kaffir Lime Leaves - ورق الليمون  </v>
      </c>
      <c r="C99" s="1727" t="str">
        <f t="shared" si="20"/>
        <v>gm</v>
      </c>
      <c r="D99" s="1727">
        <f t="shared" si="20"/>
        <v>3</v>
      </c>
      <c r="E99" s="1621">
        <f t="shared" si="24"/>
        <v>0</v>
      </c>
      <c r="F99" s="1626">
        <f t="shared" si="21"/>
        <v>0.75</v>
      </c>
      <c r="G99" s="940">
        <f t="shared" si="22"/>
        <v>0</v>
      </c>
      <c r="H99" s="1038">
        <f t="shared" si="23"/>
        <v>0</v>
      </c>
    </row>
    <row r="100" spans="1:8" x14ac:dyDescent="0.25">
      <c r="B100" s="1727" t="str">
        <f t="shared" si="20"/>
        <v>Green Chilli Pepper - فلفل أخضر حار</v>
      </c>
      <c r="C100" s="1727" t="str">
        <f t="shared" si="20"/>
        <v>gm</v>
      </c>
      <c r="D100" s="1727">
        <f t="shared" si="20"/>
        <v>2</v>
      </c>
      <c r="E100" s="1621">
        <f t="shared" si="24"/>
        <v>0</v>
      </c>
      <c r="F100" s="1626">
        <f t="shared" si="21"/>
        <v>0.75</v>
      </c>
      <c r="G100" s="940">
        <f t="shared" si="22"/>
        <v>0</v>
      </c>
      <c r="H100" s="1038">
        <f t="shared" si="23"/>
        <v>0</v>
      </c>
    </row>
    <row r="101" spans="1:8" x14ac:dyDescent="0.25">
      <c r="A101" s="61" t="s">
        <v>869</v>
      </c>
      <c r="B101" s="1727" t="str">
        <f t="shared" si="20"/>
        <v>Coriander Leaves - كزبرة خضراء</v>
      </c>
      <c r="C101" s="1727" t="str">
        <f t="shared" si="20"/>
        <v>gm</v>
      </c>
      <c r="D101" s="1727">
        <f t="shared" si="20"/>
        <v>10</v>
      </c>
      <c r="E101" s="1621">
        <f t="shared" si="24"/>
        <v>0</v>
      </c>
      <c r="F101" s="1626">
        <f t="shared" si="21"/>
        <v>0.9</v>
      </c>
      <c r="G101" s="940">
        <f t="shared" si="22"/>
        <v>0</v>
      </c>
      <c r="H101" s="1038">
        <f t="shared" si="23"/>
        <v>0</v>
      </c>
    </row>
    <row r="102" spans="1:8" x14ac:dyDescent="0.25">
      <c r="B102" s="1727" t="str">
        <f t="shared" si="20"/>
        <v>Cumin Powder - كمون مطحون</v>
      </c>
      <c r="C102" s="1727" t="str">
        <f t="shared" si="20"/>
        <v>gm</v>
      </c>
      <c r="D102" s="1727">
        <f t="shared" si="20"/>
        <v>5</v>
      </c>
      <c r="E102" s="1621">
        <f t="shared" si="24"/>
        <v>0</v>
      </c>
      <c r="F102" s="1626">
        <f t="shared" si="21"/>
        <v>0.75</v>
      </c>
      <c r="G102" s="940">
        <f t="shared" si="22"/>
        <v>0</v>
      </c>
      <c r="H102" s="1038">
        <f t="shared" si="23"/>
        <v>0</v>
      </c>
    </row>
    <row r="103" spans="1:8" x14ac:dyDescent="0.25">
      <c r="B103" s="1727" t="str">
        <f t="shared" si="20"/>
        <v>Coriander Powder - كزبرة مطحونة</v>
      </c>
      <c r="C103" s="1727" t="str">
        <f t="shared" si="20"/>
        <v>gm</v>
      </c>
      <c r="D103" s="1727">
        <f t="shared" si="20"/>
        <v>5</v>
      </c>
      <c r="E103" s="1621">
        <f t="shared" si="24"/>
        <v>0</v>
      </c>
      <c r="F103" s="1626">
        <f t="shared" si="21"/>
        <v>0.75</v>
      </c>
      <c r="G103" s="940">
        <f t="shared" si="22"/>
        <v>0</v>
      </c>
      <c r="H103" s="1038">
        <f t="shared" si="23"/>
        <v>0</v>
      </c>
    </row>
    <row r="104" spans="1:8" x14ac:dyDescent="0.25">
      <c r="B104" s="1727" t="str">
        <f t="shared" si="20"/>
        <v>Black Pepper Powder - فلفل أسود مطحون</v>
      </c>
      <c r="C104" s="1727" t="str">
        <f t="shared" si="20"/>
        <v>gm</v>
      </c>
      <c r="D104" s="1727">
        <f t="shared" si="20"/>
        <v>2</v>
      </c>
      <c r="E104" s="1621">
        <f t="shared" si="24"/>
        <v>0</v>
      </c>
      <c r="F104" s="1626">
        <f t="shared" si="21"/>
        <v>0.75</v>
      </c>
      <c r="G104" s="940">
        <f t="shared" si="22"/>
        <v>0</v>
      </c>
      <c r="H104" s="1038">
        <f t="shared" si="23"/>
        <v>0</v>
      </c>
    </row>
    <row r="105" spans="1:8" x14ac:dyDescent="0.25">
      <c r="B105" s="1727" t="str">
        <f t="shared" si="20"/>
        <v>Tomato Ketchup - كاتشب طماطم</v>
      </c>
      <c r="C105" s="1727" t="str">
        <f t="shared" si="20"/>
        <v>ml</v>
      </c>
      <c r="D105" s="1727">
        <f t="shared" si="20"/>
        <v>20</v>
      </c>
      <c r="E105" s="1621">
        <f t="shared" si="24"/>
        <v>0</v>
      </c>
      <c r="F105" s="1626">
        <f t="shared" si="21"/>
        <v>0.9</v>
      </c>
      <c r="G105" s="940">
        <f t="shared" si="22"/>
        <v>0</v>
      </c>
      <c r="H105" s="1038">
        <f t="shared" si="23"/>
        <v>0</v>
      </c>
    </row>
    <row r="106" spans="1:8" x14ac:dyDescent="0.25">
      <c r="B106" s="1727" t="str">
        <f t="shared" si="20"/>
        <v>Brown Sugar - سكر بني</v>
      </c>
      <c r="C106" s="1727" t="str">
        <f t="shared" si="20"/>
        <v>gm</v>
      </c>
      <c r="D106" s="1727">
        <f t="shared" si="20"/>
        <v>10</v>
      </c>
      <c r="E106" s="1621">
        <f t="shared" si="24"/>
        <v>0</v>
      </c>
      <c r="F106" s="1626">
        <f t="shared" si="21"/>
        <v>1</v>
      </c>
      <c r="G106" s="940">
        <f t="shared" si="22"/>
        <v>0</v>
      </c>
      <c r="H106" s="1038">
        <f t="shared" si="23"/>
        <v>0</v>
      </c>
    </row>
    <row r="107" spans="1:8" x14ac:dyDescent="0.25">
      <c r="A107" s="61" t="s">
        <v>881</v>
      </c>
      <c r="B107" s="1727" t="str">
        <f t="shared" si="20"/>
        <v>Onion - بصل</v>
      </c>
      <c r="C107" s="1727" t="str">
        <f t="shared" si="20"/>
        <v>gm</v>
      </c>
      <c r="D107" s="1727">
        <f t="shared" si="20"/>
        <v>200</v>
      </c>
      <c r="E107" s="1621">
        <f t="shared" si="24"/>
        <v>0</v>
      </c>
      <c r="F107" s="1626">
        <f t="shared" si="21"/>
        <v>1</v>
      </c>
      <c r="G107" s="940">
        <f t="shared" si="22"/>
        <v>0</v>
      </c>
      <c r="H107" s="1038">
        <f t="shared" si="23"/>
        <v>0</v>
      </c>
    </row>
    <row r="108" spans="1:8" x14ac:dyDescent="0.25">
      <c r="A108" s="61" t="s">
        <v>867</v>
      </c>
      <c r="B108" s="1727" t="str">
        <f t="shared" si="20"/>
        <v>Ginger - زنجبيل</v>
      </c>
      <c r="C108" s="1727" t="str">
        <f t="shared" si="20"/>
        <v>gm</v>
      </c>
      <c r="D108" s="1727">
        <f t="shared" si="20"/>
        <v>20</v>
      </c>
      <c r="E108" s="1621">
        <f t="shared" si="24"/>
        <v>0</v>
      </c>
      <c r="F108" s="1626">
        <f t="shared" si="21"/>
        <v>0.9</v>
      </c>
      <c r="G108" s="940">
        <f t="shared" si="22"/>
        <v>0</v>
      </c>
      <c r="H108" s="1038">
        <f t="shared" si="23"/>
        <v>0</v>
      </c>
    </row>
    <row r="109" spans="1:8" x14ac:dyDescent="0.25">
      <c r="A109" s="61" t="s">
        <v>868</v>
      </c>
      <c r="B109" s="1727" t="str">
        <f t="shared" si="20"/>
        <v>Garlic - ثوم مقشر</v>
      </c>
      <c r="C109" s="1727" t="str">
        <f t="shared" si="20"/>
        <v>gm</v>
      </c>
      <c r="D109" s="1727">
        <f t="shared" si="20"/>
        <v>20</v>
      </c>
      <c r="E109" s="1621">
        <f t="shared" si="24"/>
        <v>0</v>
      </c>
      <c r="F109" s="1626">
        <f t="shared" si="21"/>
        <v>0.9</v>
      </c>
      <c r="G109" s="940">
        <f t="shared" si="22"/>
        <v>0</v>
      </c>
      <c r="H109" s="1038">
        <f t="shared" si="23"/>
        <v>0</v>
      </c>
    </row>
    <row r="110" spans="1:8" x14ac:dyDescent="0.25">
      <c r="B110" s="1727" t="str">
        <f t="shared" ref="B110:D116" si="25">B21</f>
        <v>Lemon Juice - عصير ليمون</v>
      </c>
      <c r="C110" s="1727" t="str">
        <f t="shared" si="25"/>
        <v>ml</v>
      </c>
      <c r="D110" s="1727">
        <f t="shared" si="25"/>
        <v>5</v>
      </c>
      <c r="E110" s="1621">
        <f t="shared" si="24"/>
        <v>0</v>
      </c>
      <c r="F110" s="1626">
        <f t="shared" si="21"/>
        <v>1</v>
      </c>
      <c r="G110" s="940">
        <f t="shared" si="22"/>
        <v>0</v>
      </c>
      <c r="H110" s="1038">
        <f t="shared" si="23"/>
        <v>0</v>
      </c>
    </row>
    <row r="111" spans="1:8" x14ac:dyDescent="0.25">
      <c r="A111" s="61" t="s">
        <v>870</v>
      </c>
      <c r="B111" s="1727" t="str">
        <f t="shared" si="25"/>
        <v>Tomato - طماطم</v>
      </c>
      <c r="C111" s="1727" t="str">
        <f t="shared" si="25"/>
        <v>gm</v>
      </c>
      <c r="D111" s="1727">
        <f t="shared" si="25"/>
        <v>350</v>
      </c>
      <c r="E111" s="1621">
        <f t="shared" si="24"/>
        <v>0</v>
      </c>
      <c r="F111" s="1626">
        <f t="shared" si="21"/>
        <v>0.95</v>
      </c>
      <c r="G111" s="940">
        <f t="shared" si="22"/>
        <v>0</v>
      </c>
      <c r="H111" s="1038">
        <f t="shared" si="23"/>
        <v>0</v>
      </c>
    </row>
    <row r="112" spans="1:8" x14ac:dyDescent="0.25">
      <c r="B112" s="1727" t="str">
        <f t="shared" si="25"/>
        <v>Water - ماء</v>
      </c>
      <c r="C112" s="1727" t="str">
        <f t="shared" si="25"/>
        <v>ml</v>
      </c>
      <c r="D112" s="1727">
        <f t="shared" si="25"/>
        <v>100</v>
      </c>
      <c r="E112" s="1621">
        <f t="shared" si="24"/>
        <v>0</v>
      </c>
      <c r="F112" s="1626">
        <f t="shared" si="21"/>
        <v>1</v>
      </c>
      <c r="G112" s="940">
        <f t="shared" si="22"/>
        <v>0</v>
      </c>
      <c r="H112" s="1038">
        <f t="shared" si="23"/>
        <v>0</v>
      </c>
    </row>
    <row r="113" spans="1:10" x14ac:dyDescent="0.25">
      <c r="B113" s="1727" t="str">
        <f t="shared" si="25"/>
        <v>Corn Starch - نشا ذرة</v>
      </c>
      <c r="C113" s="1727" t="str">
        <f t="shared" si="25"/>
        <v>gm</v>
      </c>
      <c r="D113" s="1727">
        <f t="shared" si="25"/>
        <v>20</v>
      </c>
      <c r="E113" s="1621">
        <f t="shared" si="24"/>
        <v>0</v>
      </c>
      <c r="F113" s="1626">
        <f t="shared" si="21"/>
        <v>0.75</v>
      </c>
      <c r="G113" s="940">
        <f t="shared" si="22"/>
        <v>0</v>
      </c>
      <c r="H113" s="1038">
        <f t="shared" si="23"/>
        <v>0</v>
      </c>
    </row>
    <row r="114" spans="1:10" x14ac:dyDescent="0.25">
      <c r="B114" s="1727" t="str">
        <f t="shared" si="25"/>
        <v>Butter - زبدة</v>
      </c>
      <c r="C114" s="1727" t="str">
        <f t="shared" si="25"/>
        <v>gm</v>
      </c>
      <c r="D114" s="1727">
        <f t="shared" si="25"/>
        <v>30</v>
      </c>
      <c r="E114" s="1621">
        <f t="shared" si="24"/>
        <v>0</v>
      </c>
      <c r="F114" s="1626">
        <f t="shared" si="21"/>
        <v>1</v>
      </c>
      <c r="G114" s="940">
        <f t="shared" si="22"/>
        <v>0</v>
      </c>
      <c r="H114" s="1038">
        <f t="shared" si="23"/>
        <v>0</v>
      </c>
    </row>
    <row r="115" spans="1:10" x14ac:dyDescent="0.25">
      <c r="B115" s="1727" t="str">
        <f t="shared" si="25"/>
        <v>Yogurt - زبادي</v>
      </c>
      <c r="C115" s="1727" t="str">
        <f t="shared" si="25"/>
        <v>gm</v>
      </c>
      <c r="D115" s="1727">
        <f t="shared" si="25"/>
        <v>100</v>
      </c>
      <c r="E115" s="1621">
        <f t="shared" si="24"/>
        <v>0</v>
      </c>
      <c r="F115" s="1626">
        <f t="shared" si="21"/>
        <v>1</v>
      </c>
      <c r="G115" s="940">
        <f t="shared" si="22"/>
        <v>0</v>
      </c>
      <c r="H115" s="1038">
        <f t="shared" si="23"/>
        <v>0</v>
      </c>
    </row>
    <row r="116" spans="1:10" x14ac:dyDescent="0.25">
      <c r="B116" s="1727" t="str">
        <f t="shared" si="25"/>
        <v>Saffron yellow color powder - لون صفار زعفران بودر</v>
      </c>
      <c r="C116" s="1727" t="str">
        <f t="shared" si="25"/>
        <v>gm</v>
      </c>
      <c r="D116" s="1727">
        <f t="shared" si="25"/>
        <v>0.5</v>
      </c>
      <c r="E116" s="1621">
        <f t="shared" si="24"/>
        <v>0</v>
      </c>
      <c r="F116" s="1626">
        <f t="shared" si="21"/>
        <v>1</v>
      </c>
      <c r="G116" s="940">
        <f t="shared" si="22"/>
        <v>0</v>
      </c>
      <c r="H116" s="1038">
        <f t="shared" si="23"/>
        <v>0</v>
      </c>
    </row>
    <row r="117" spans="1:10" ht="20.25" x14ac:dyDescent="0.3">
      <c r="A117" s="861"/>
      <c r="B117" s="1622" t="s">
        <v>287</v>
      </c>
      <c r="C117" s="1042" t="s">
        <v>273</v>
      </c>
      <c r="D117" s="952"/>
      <c r="E117" s="1042" t="s">
        <v>288</v>
      </c>
      <c r="F117" s="952"/>
      <c r="G117" s="1045" t="s">
        <v>264</v>
      </c>
      <c r="H117" s="1045" t="s">
        <v>661</v>
      </c>
      <c r="I117" s="142"/>
      <c r="J117" s="141"/>
    </row>
    <row r="118" spans="1:10" ht="20.25" x14ac:dyDescent="0.3">
      <c r="A118" s="861"/>
      <c r="B118" s="1048">
        <f>$J$54</f>
        <v>0</v>
      </c>
      <c r="C118" s="1048">
        <f>E118+G118</f>
        <v>0</v>
      </c>
      <c r="D118" s="1629"/>
      <c r="E118" s="1048">
        <f>$D$54*$S$44</f>
        <v>0</v>
      </c>
      <c r="F118" s="1050"/>
      <c r="G118" s="1048">
        <f>$D$54*$T$44</f>
        <v>0</v>
      </c>
      <c r="H118" s="1048">
        <f>B118+E118</f>
        <v>0</v>
      </c>
    </row>
  </sheetData>
  <mergeCells count="10">
    <mergeCell ref="AE2:AG3"/>
    <mergeCell ref="AL2:AN2"/>
    <mergeCell ref="R25:U25"/>
    <mergeCell ref="R26:U26"/>
    <mergeCell ref="B35:F35"/>
    <mergeCell ref="B62:H62"/>
    <mergeCell ref="B63:H63"/>
    <mergeCell ref="B91:H91"/>
    <mergeCell ref="B92:H92"/>
    <mergeCell ref="F2:F3"/>
  </mergeCells>
  <printOptions horizontalCentered="1"/>
  <pageMargins left="0.4" right="0.4" top="1" bottom="0.5" header="0.3" footer="0.511811023622047"/>
  <pageSetup paperSize="9" scale="51" orientation="landscape" r:id="rId1"/>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0972A-5123-4EEF-B115-D0821605F477}">
  <sheetPr codeName="Sheet73">
    <tabColor rgb="FF333F50"/>
    <pageSetUpPr fitToPage="1"/>
  </sheetPr>
  <dimension ref="A1:AT72"/>
  <sheetViews>
    <sheetView zoomScale="70" zoomScaleNormal="70" workbookViewId="0">
      <selection activeCell="H69" sqref="H69"/>
    </sheetView>
  </sheetViews>
  <sheetFormatPr defaultColWidth="12.5" defaultRowHeight="15" x14ac:dyDescent="0.25"/>
  <cols>
    <col min="1" max="1" width="13.625" style="1" customWidth="1"/>
    <col min="2" max="2" width="28.875" bestFit="1" customWidth="1"/>
    <col min="3" max="3" width="16.375" bestFit="1" customWidth="1"/>
    <col min="4" max="4" width="17.75" bestFit="1" customWidth="1"/>
    <col min="5" max="5" width="19" bestFit="1" customWidth="1"/>
    <col min="6" max="6" width="15.5" bestFit="1" customWidth="1"/>
    <col min="7" max="7" width="21.75" bestFit="1" customWidth="1"/>
    <col min="8" max="8" width="39" bestFit="1" customWidth="1"/>
    <col min="9" max="9" width="16.75" bestFit="1" customWidth="1"/>
    <col min="10" max="10" width="13.875" bestFit="1" customWidth="1"/>
    <col min="11" max="11" width="11.125" bestFit="1" customWidth="1"/>
    <col min="12" max="12" width="8.125" bestFit="1" customWidth="1"/>
    <col min="13" max="14" width="4.75" customWidth="1"/>
    <col min="15" max="15" width="16.875" bestFit="1" customWidth="1"/>
    <col min="16" max="16" width="5.125" bestFit="1" customWidth="1"/>
    <col min="17" max="17" width="14.375" bestFit="1" customWidth="1"/>
    <col min="18" max="18" width="38.375" bestFit="1" customWidth="1"/>
    <col min="19" max="19" width="10.125" bestFit="1" customWidth="1"/>
    <col min="20" max="20" width="43.75" bestFit="1" customWidth="1"/>
    <col min="21" max="21" width="11.25" bestFit="1" customWidth="1"/>
    <col min="22" max="22" width="12.125" bestFit="1" customWidth="1"/>
    <col min="23" max="23" width="37.75" bestFit="1" customWidth="1"/>
    <col min="25" max="25" width="7.75" bestFit="1" customWidth="1"/>
    <col min="26" max="26" width="11.25" bestFit="1" customWidth="1"/>
    <col min="27" max="27" width="11.875" bestFit="1" customWidth="1"/>
    <col min="28" max="28" width="13.125" bestFit="1" customWidth="1"/>
    <col min="29" max="29" width="15.125" bestFit="1" customWidth="1"/>
    <col min="30" max="30" width="11.25" bestFit="1" customWidth="1"/>
    <col min="31" max="31" width="12.25" bestFit="1" customWidth="1"/>
    <col min="32" max="32" width="11.75" bestFit="1" customWidth="1"/>
    <col min="33" max="34" width="6.25" customWidth="1"/>
    <col min="35" max="35" width="12.75" bestFit="1" customWidth="1"/>
    <col min="36" max="36" width="31.5" bestFit="1" customWidth="1"/>
    <col min="37" max="37" width="6.5" bestFit="1" customWidth="1"/>
    <col min="38" max="38" width="12.25" bestFit="1" customWidth="1"/>
    <col min="39" max="39" width="12.625" bestFit="1" customWidth="1"/>
    <col min="40" max="40" width="11.875" bestFit="1" customWidth="1"/>
    <col min="42" max="42" width="17.75" bestFit="1" customWidth="1"/>
    <col min="44" max="44" width="11.625" bestFit="1" customWidth="1"/>
    <col min="45" max="45" width="11.125" bestFit="1" customWidth="1"/>
    <col min="46" max="46" width="6.25" bestFit="1" customWidth="1"/>
  </cols>
  <sheetData>
    <row r="1" spans="1:46" ht="25.5" x14ac:dyDescent="0.25">
      <c r="B1" s="843" t="s">
        <v>231</v>
      </c>
      <c r="C1" s="63">
        <v>1000</v>
      </c>
      <c r="D1" s="64" t="s">
        <v>232</v>
      </c>
      <c r="E1" s="84">
        <f>T32</f>
        <v>5313</v>
      </c>
      <c r="F1" s="62" t="s">
        <v>233</v>
      </c>
      <c r="G1" s="63">
        <f>E1/C1</f>
        <v>5.3129999999999997</v>
      </c>
      <c r="H1" s="62" t="s">
        <v>234</v>
      </c>
      <c r="I1" s="167">
        <f>(G1/K1)</f>
        <v>5.3129999999999997</v>
      </c>
      <c r="J1" s="68" t="s">
        <v>235</v>
      </c>
      <c r="K1" s="63">
        <v>1</v>
      </c>
      <c r="L1" s="80"/>
      <c r="M1" s="70"/>
      <c r="N1" s="71"/>
      <c r="O1" s="72" t="s">
        <v>236</v>
      </c>
      <c r="P1" s="73" t="s">
        <v>298</v>
      </c>
      <c r="Q1" s="74" t="s">
        <v>238</v>
      </c>
      <c r="R1" s="73">
        <v>0.54</v>
      </c>
      <c r="S1" s="80"/>
      <c r="T1" s="80"/>
      <c r="Y1" s="72" t="s">
        <v>444</v>
      </c>
      <c r="Z1" s="422">
        <v>34420</v>
      </c>
      <c r="AA1" s="72" t="s">
        <v>544</v>
      </c>
      <c r="AB1" s="422">
        <v>1000</v>
      </c>
      <c r="AC1" s="72" t="s">
        <v>537</v>
      </c>
      <c r="AD1" s="422">
        <v>250</v>
      </c>
      <c r="AE1" s="168"/>
      <c r="AF1" s="170"/>
      <c r="AG1" s="73"/>
      <c r="AI1" s="1"/>
      <c r="AJ1" s="75" t="s">
        <v>250</v>
      </c>
      <c r="AK1" s="75">
        <v>10000</v>
      </c>
      <c r="AL1" s="318" t="s">
        <v>494</v>
      </c>
      <c r="AM1" s="319">
        <f>$S$32</f>
        <v>35420</v>
      </c>
      <c r="AN1" s="75" t="s">
        <v>239</v>
      </c>
      <c r="AO1" s="212">
        <f>((S32)/$R$1)/$AK$1</f>
        <v>6.5592592592592585</v>
      </c>
      <c r="AP1" s="76"/>
    </row>
    <row r="2" spans="1:46" ht="15.75" x14ac:dyDescent="0.25">
      <c r="A2" s="860"/>
      <c r="B2" s="78"/>
      <c r="C2" s="78"/>
      <c r="D2" s="78"/>
      <c r="E2" s="78"/>
      <c r="F2" s="1828" t="s">
        <v>158</v>
      </c>
      <c r="G2" s="1865"/>
      <c r="H2" s="78"/>
      <c r="I2" s="78"/>
      <c r="J2" s="78"/>
      <c r="K2" s="78"/>
      <c r="L2" s="78"/>
      <c r="M2" s="87"/>
      <c r="N2" s="87"/>
      <c r="O2" s="80"/>
      <c r="P2" s="80"/>
      <c r="Q2" s="80"/>
      <c r="R2" s="80"/>
      <c r="S2" s="80"/>
      <c r="T2" s="80"/>
      <c r="U2" s="80"/>
      <c r="AC2" s="79"/>
      <c r="AD2" s="79"/>
      <c r="AE2" s="1795"/>
      <c r="AF2" s="1796"/>
      <c r="AG2" s="1796"/>
      <c r="AI2" s="1"/>
      <c r="AJ2" s="81"/>
      <c r="AK2" s="1873" t="s">
        <v>459</v>
      </c>
      <c r="AL2" s="1873"/>
      <c r="AM2" s="1873"/>
      <c r="AN2" s="1873"/>
      <c r="AO2" s="81"/>
      <c r="AP2" s="81"/>
    </row>
    <row r="3" spans="1:46" ht="15.75" x14ac:dyDescent="0.25">
      <c r="A3" s="860"/>
      <c r="B3" s="78"/>
      <c r="C3" s="78"/>
      <c r="D3" s="78"/>
      <c r="E3" s="78"/>
      <c r="F3" s="1796"/>
      <c r="G3" s="1796"/>
      <c r="H3" s="78"/>
      <c r="I3" s="78"/>
      <c r="J3" s="78"/>
      <c r="K3" s="78"/>
      <c r="L3" s="78"/>
      <c r="M3" s="87"/>
      <c r="N3" s="87"/>
      <c r="O3" s="80"/>
      <c r="P3" s="80"/>
      <c r="Q3" s="80"/>
      <c r="R3" s="80"/>
      <c r="S3" s="80"/>
      <c r="T3" s="80"/>
      <c r="U3" s="80"/>
      <c r="AC3" s="79"/>
      <c r="AD3" s="79"/>
      <c r="AE3" s="1796"/>
      <c r="AF3" s="1796"/>
      <c r="AG3" s="1796"/>
      <c r="AI3" s="1"/>
      <c r="AJ3" s="81"/>
      <c r="AK3" s="1873"/>
      <c r="AL3" s="1873"/>
      <c r="AM3" s="1873"/>
      <c r="AN3" s="1873"/>
      <c r="AO3" s="81"/>
      <c r="AP3" s="81"/>
    </row>
    <row r="4" spans="1:46" ht="38.25" x14ac:dyDescent="0.25">
      <c r="A4" s="1350" t="s">
        <v>864</v>
      </c>
      <c r="B4" s="923" t="s">
        <v>241</v>
      </c>
      <c r="C4" s="934" t="s">
        <v>242</v>
      </c>
      <c r="D4" s="923" t="s">
        <v>231</v>
      </c>
      <c r="E4" s="935" t="s">
        <v>234</v>
      </c>
      <c r="F4" s="935" t="s">
        <v>243</v>
      </c>
      <c r="G4" s="923" t="s">
        <v>244</v>
      </c>
      <c r="H4" s="1635" t="s">
        <v>334</v>
      </c>
      <c r="I4" s="923" t="s">
        <v>246</v>
      </c>
      <c r="J4" s="923" t="s">
        <v>247</v>
      </c>
      <c r="K4" s="923" t="s">
        <v>248</v>
      </c>
      <c r="L4" s="923" t="s">
        <v>249</v>
      </c>
      <c r="M4" s="87"/>
      <c r="N4" s="87"/>
      <c r="O4" s="80"/>
      <c r="P4" s="80"/>
      <c r="Q4" s="80"/>
      <c r="R4" s="80"/>
      <c r="S4" s="80"/>
      <c r="T4" s="80"/>
      <c r="U4" s="80"/>
      <c r="AC4" s="169"/>
      <c r="AD4" s="171"/>
      <c r="AE4" s="169"/>
      <c r="AF4" s="169"/>
      <c r="AG4" s="169"/>
      <c r="AI4" s="1"/>
      <c r="AJ4" s="926" t="s">
        <v>241</v>
      </c>
      <c r="AK4" s="1169" t="s">
        <v>242</v>
      </c>
      <c r="AL4" s="926" t="s">
        <v>250</v>
      </c>
      <c r="AM4" s="926" t="s">
        <v>234</v>
      </c>
      <c r="AN4" s="926" t="s">
        <v>243</v>
      </c>
      <c r="AO4" s="926" t="s">
        <v>244</v>
      </c>
      <c r="AP4" s="926" t="s">
        <v>334</v>
      </c>
      <c r="AQ4" s="923" t="s">
        <v>246</v>
      </c>
      <c r="AR4" s="923" t="s">
        <v>247</v>
      </c>
      <c r="AS4" s="923" t="s">
        <v>248</v>
      </c>
      <c r="AT4" s="923" t="s">
        <v>249</v>
      </c>
    </row>
    <row r="5" spans="1:46" x14ac:dyDescent="0.25">
      <c r="A5" s="873" t="s">
        <v>875</v>
      </c>
      <c r="B5" s="1115" t="s">
        <v>225</v>
      </c>
      <c r="C5" s="939" t="s">
        <v>14</v>
      </c>
      <c r="D5" s="1116">
        <f>I51/10</f>
        <v>12345.740740740741</v>
      </c>
      <c r="E5" s="1646">
        <f>H52</f>
        <v>5.3129734351328235</v>
      </c>
      <c r="F5" s="1616">
        <v>1</v>
      </c>
      <c r="G5" s="940">
        <f t="shared" ref="G5:G10" si="0">D5*E5</f>
        <v>65592.592592592584</v>
      </c>
      <c r="H5" s="1617">
        <f t="shared" ref="H5:H10" si="1">G5*F5</f>
        <v>65592.592592592584</v>
      </c>
      <c r="I5" s="914">
        <f>VLOOKUP(B5,All_Ingredients!$A$1:$F$161,6,FALSE())</f>
        <v>0.47</v>
      </c>
      <c r="J5" s="940">
        <f>VLOOKUP(B5,All_Ingredients!$A$1:$J$161,10,FALSE())</f>
        <v>12</v>
      </c>
      <c r="K5" s="945">
        <f t="shared" ref="K5" si="2">(H5/I5)/1000</f>
        <v>139.55870764381402</v>
      </c>
      <c r="L5" s="945">
        <f t="shared" ref="L5" si="3">K5*J5</f>
        <v>1674.7044917257681</v>
      </c>
      <c r="M5" s="87"/>
      <c r="N5" s="87"/>
      <c r="O5" s="80"/>
      <c r="P5" s="80"/>
      <c r="Q5" s="80"/>
      <c r="R5" s="80"/>
      <c r="S5" s="80"/>
      <c r="T5" s="80"/>
      <c r="U5" s="80"/>
      <c r="AC5" s="73"/>
      <c r="AD5" s="89"/>
      <c r="AE5" s="172"/>
      <c r="AF5" s="90"/>
      <c r="AG5" s="91"/>
      <c r="AI5" s="1"/>
      <c r="AJ5" s="1118" t="s">
        <v>225</v>
      </c>
      <c r="AK5" s="947" t="s">
        <v>227</v>
      </c>
      <c r="AL5" s="1615">
        <v>10</v>
      </c>
      <c r="AM5" s="1627">
        <f t="shared" ref="AM5:AM13" si="4">$AO$1</f>
        <v>6.5592592592592585</v>
      </c>
      <c r="AN5" s="1616">
        <v>1</v>
      </c>
      <c r="AO5" s="940">
        <f t="shared" ref="AO5:AO13" si="5">AL5*AM5</f>
        <v>65.592592592592581</v>
      </c>
      <c r="AP5" s="1617">
        <f t="shared" ref="AP5:AP13" si="6">AO5*AN5</f>
        <v>65.592592592592581</v>
      </c>
      <c r="AQ5" s="952"/>
      <c r="AR5" s="953"/>
      <c r="AS5" s="1020"/>
      <c r="AT5" s="955"/>
    </row>
    <row r="6" spans="1:46" x14ac:dyDescent="0.25">
      <c r="A6" s="1" t="s">
        <v>869</v>
      </c>
      <c r="B6" s="1115" t="s">
        <v>70</v>
      </c>
      <c r="C6" s="947" t="s">
        <v>14</v>
      </c>
      <c r="D6" s="1618">
        <v>75</v>
      </c>
      <c r="E6" s="1627">
        <f>$I$1</f>
        <v>5.3129999999999997</v>
      </c>
      <c r="F6" s="1616">
        <v>1</v>
      </c>
      <c r="G6" s="940">
        <f t="shared" si="0"/>
        <v>398.47499999999997</v>
      </c>
      <c r="H6" s="1617">
        <f t="shared" si="1"/>
        <v>398.47499999999997</v>
      </c>
      <c r="I6" s="914">
        <f>VLOOKUP(B6,All_Ingredients!$A$1:$F$161,6,FALSE())</f>
        <v>0.71</v>
      </c>
      <c r="J6" s="940">
        <f>VLOOKUP(B6,All_Ingredients!$A$1:$J$161,10,FALSE())</f>
        <v>3</v>
      </c>
      <c r="K6" s="945">
        <f t="shared" ref="K6:K10" si="7">(H6/I6)/1000</f>
        <v>0.5612323943661971</v>
      </c>
      <c r="L6" s="945">
        <f t="shared" ref="L6:L10" si="8">K6*J6</f>
        <v>1.6836971830985914</v>
      </c>
      <c r="M6" s="87"/>
      <c r="N6" s="87"/>
      <c r="AI6" s="1" t="s">
        <v>55</v>
      </c>
      <c r="AJ6" s="1686" t="s">
        <v>54</v>
      </c>
      <c r="AK6" s="1400" t="s">
        <v>14</v>
      </c>
      <c r="AL6" s="1615">
        <v>100</v>
      </c>
      <c r="AM6" s="1627">
        <f t="shared" si="4"/>
        <v>6.5592592592592585</v>
      </c>
      <c r="AN6" s="1616">
        <v>1</v>
      </c>
      <c r="AO6" s="940">
        <f t="shared" si="5"/>
        <v>655.92592592592587</v>
      </c>
      <c r="AP6" s="1617">
        <f t="shared" si="6"/>
        <v>655.92592592592587</v>
      </c>
      <c r="AQ6" s="955">
        <f>VLOOKUP(AJ6,Marination_Ordering!$A:$J,6,FALSE)</f>
        <v>0.87</v>
      </c>
      <c r="AR6" s="955">
        <f>VLOOKUP(AJ6,Marination_Ordering!$A:$J,10,FALSE)</f>
        <v>7</v>
      </c>
      <c r="AS6" s="1020">
        <f>AP6/AQ6</f>
        <v>753.93784589186885</v>
      </c>
      <c r="AT6" s="955">
        <f>AR6*(AS6/1000)</f>
        <v>5.2775649212430817</v>
      </c>
    </row>
    <row r="7" spans="1:46" x14ac:dyDescent="0.25">
      <c r="B7" s="1115" t="s">
        <v>212</v>
      </c>
      <c r="C7" s="947" t="s">
        <v>160</v>
      </c>
      <c r="D7" s="1618">
        <v>1000</v>
      </c>
      <c r="E7" s="1627">
        <f>$I$1</f>
        <v>5.3129999999999997</v>
      </c>
      <c r="F7" s="1616">
        <v>1</v>
      </c>
      <c r="G7" s="940">
        <f t="shared" si="0"/>
        <v>5313</v>
      </c>
      <c r="H7" s="1617">
        <f t="shared" si="1"/>
        <v>5313</v>
      </c>
      <c r="I7" s="914">
        <f>VLOOKUP(B7,All_Ingredients!$A$1:$F$161,6,FALSE())</f>
        <v>1</v>
      </c>
      <c r="J7" s="940">
        <f>VLOOKUP(B7,All_Ingredients!$A$1:$J$161,10,FALSE())</f>
        <v>5</v>
      </c>
      <c r="K7" s="945">
        <f t="shared" si="7"/>
        <v>5.3129999999999997</v>
      </c>
      <c r="L7" s="945">
        <f t="shared" si="8"/>
        <v>26.564999999999998</v>
      </c>
      <c r="M7" s="87"/>
      <c r="N7" s="87"/>
      <c r="AI7" s="1" t="s">
        <v>13</v>
      </c>
      <c r="AJ7" s="1686" t="s">
        <v>706</v>
      </c>
      <c r="AK7" s="1400" t="s">
        <v>14</v>
      </c>
      <c r="AL7" s="1615">
        <v>200</v>
      </c>
      <c r="AM7" s="1627">
        <f t="shared" si="4"/>
        <v>6.5592592592592585</v>
      </c>
      <c r="AN7" s="1616">
        <v>1</v>
      </c>
      <c r="AO7" s="940">
        <f t="shared" si="5"/>
        <v>1311.8518518518517</v>
      </c>
      <c r="AP7" s="1617">
        <f t="shared" si="6"/>
        <v>1311.8518518518517</v>
      </c>
      <c r="AQ7" s="955">
        <f>VLOOKUP(AJ7,Marination_Ordering!$A:$J,6,FALSE)</f>
        <v>1</v>
      </c>
      <c r="AR7" s="955">
        <f>VLOOKUP(AJ7,Marination_Ordering!$A:$J,10,FALSE)</f>
        <v>10.5</v>
      </c>
      <c r="AS7" s="1020">
        <f t="shared" ref="AS7:AS13" si="9">AP7/AQ7</f>
        <v>1311.8518518518517</v>
      </c>
      <c r="AT7" s="955">
        <f t="shared" ref="AT7:AT13" si="10">AR7*(AS7/1000)</f>
        <v>13.774444444444445</v>
      </c>
    </row>
    <row r="8" spans="1:46" x14ac:dyDescent="0.25">
      <c r="B8" s="1115" t="s">
        <v>99</v>
      </c>
      <c r="C8" s="947" t="s">
        <v>14</v>
      </c>
      <c r="D8" s="1618">
        <v>2.5</v>
      </c>
      <c r="E8" s="1627">
        <f>$I$1</f>
        <v>5.3129999999999997</v>
      </c>
      <c r="F8" s="1616">
        <v>1</v>
      </c>
      <c r="G8" s="940">
        <f t="shared" si="0"/>
        <v>13.282499999999999</v>
      </c>
      <c r="H8" s="1617">
        <f t="shared" si="1"/>
        <v>13.282499999999999</v>
      </c>
      <c r="I8" s="914">
        <f>VLOOKUP(B8,All_Ingredients!$A$1:$F$161,6,FALSE())</f>
        <v>1</v>
      </c>
      <c r="J8" s="940">
        <f>VLOOKUP(B8,All_Ingredients!$A$1:$J$161,10,FALSE())</f>
        <v>31</v>
      </c>
      <c r="K8" s="945">
        <f t="shared" si="7"/>
        <v>1.3282499999999999E-2</v>
      </c>
      <c r="L8" s="945">
        <f t="shared" si="8"/>
        <v>0.4117575</v>
      </c>
      <c r="AI8" s="1" t="s">
        <v>204</v>
      </c>
      <c r="AJ8" s="1686" t="s">
        <v>212</v>
      </c>
      <c r="AK8" s="1400" t="s">
        <v>160</v>
      </c>
      <c r="AL8" s="1615">
        <v>450</v>
      </c>
      <c r="AM8" s="1627">
        <f t="shared" si="4"/>
        <v>6.5592592592592585</v>
      </c>
      <c r="AN8" s="1616">
        <v>1</v>
      </c>
      <c r="AO8" s="940">
        <f t="shared" si="5"/>
        <v>2951.6666666666665</v>
      </c>
      <c r="AP8" s="1617">
        <f t="shared" si="6"/>
        <v>2951.6666666666665</v>
      </c>
      <c r="AQ8" s="955">
        <f>VLOOKUP(AJ8,Marination_Ordering!$A:$J,6,FALSE)</f>
        <v>1</v>
      </c>
      <c r="AR8" s="955">
        <f>VLOOKUP(AJ8,Marination_Ordering!$A:$J,10,FALSE)</f>
        <v>5</v>
      </c>
      <c r="AS8" s="1020">
        <f t="shared" si="9"/>
        <v>2951.6666666666665</v>
      </c>
      <c r="AT8" s="955">
        <f t="shared" si="10"/>
        <v>14.758333333333333</v>
      </c>
    </row>
    <row r="9" spans="1:46" x14ac:dyDescent="0.25">
      <c r="B9" s="1115" t="s">
        <v>93</v>
      </c>
      <c r="C9" s="947" t="s">
        <v>14</v>
      </c>
      <c r="D9" s="1618">
        <v>12.5</v>
      </c>
      <c r="E9" s="1627">
        <f>$I$1</f>
        <v>5.3129999999999997</v>
      </c>
      <c r="F9" s="1616">
        <v>1</v>
      </c>
      <c r="G9" s="940">
        <f t="shared" si="0"/>
        <v>66.412499999999994</v>
      </c>
      <c r="H9" s="1617">
        <f t="shared" si="1"/>
        <v>66.412499999999994</v>
      </c>
      <c r="I9" s="914">
        <f>VLOOKUP(B9,All_Ingredients!$A$1:$F$161,6,FALSE())</f>
        <v>1</v>
      </c>
      <c r="J9" s="940">
        <f>VLOOKUP(B9,All_Ingredients!$A$1:$J$161,10,FALSE())</f>
        <v>0.74</v>
      </c>
      <c r="K9" s="945">
        <f t="shared" si="7"/>
        <v>6.6412499999999999E-2</v>
      </c>
      <c r="L9" s="945">
        <f t="shared" si="8"/>
        <v>4.9145250000000001E-2</v>
      </c>
      <c r="AI9" s="1" t="s">
        <v>204</v>
      </c>
      <c r="AJ9" s="1686" t="s">
        <v>208</v>
      </c>
      <c r="AK9" s="947" t="s">
        <v>160</v>
      </c>
      <c r="AL9" s="1627">
        <v>100</v>
      </c>
      <c r="AM9" s="1627">
        <f t="shared" si="4"/>
        <v>6.5592592592592585</v>
      </c>
      <c r="AN9" s="1616">
        <v>1</v>
      </c>
      <c r="AO9" s="940">
        <f t="shared" si="5"/>
        <v>655.92592592592587</v>
      </c>
      <c r="AP9" s="1617">
        <f t="shared" si="6"/>
        <v>655.92592592592587</v>
      </c>
      <c r="AQ9" s="955">
        <f>VLOOKUP(AJ9,Marination_Ordering!$A:$J,6,FALSE)</f>
        <v>1</v>
      </c>
      <c r="AR9" s="955">
        <f>VLOOKUP(AJ9,Marination_Ordering!$A:$J,10,FALSE)</f>
        <v>2.1621621621621623</v>
      </c>
      <c r="AS9" s="1020">
        <f t="shared" si="9"/>
        <v>655.92592592592587</v>
      </c>
      <c r="AT9" s="955">
        <f t="shared" si="10"/>
        <v>1.4182182182182184</v>
      </c>
    </row>
    <row r="10" spans="1:46" x14ac:dyDescent="0.25">
      <c r="B10" s="1115" t="s">
        <v>105</v>
      </c>
      <c r="C10" s="947" t="s">
        <v>14</v>
      </c>
      <c r="D10" s="1618">
        <v>2.5</v>
      </c>
      <c r="E10" s="1627">
        <f>$I$1</f>
        <v>5.3129999999999997</v>
      </c>
      <c r="F10" s="1616">
        <v>1</v>
      </c>
      <c r="G10" s="940">
        <f t="shared" si="0"/>
        <v>13.282499999999999</v>
      </c>
      <c r="H10" s="1617">
        <f t="shared" si="1"/>
        <v>13.282499999999999</v>
      </c>
      <c r="I10" s="914">
        <f>VLOOKUP(B10,All_Ingredients!$A$1:$F$161,6,FALSE())</f>
        <v>1</v>
      </c>
      <c r="J10" s="940">
        <f>VLOOKUP(B10,All_Ingredients!$A$1:$J$161,10,FALSE())</f>
        <v>15</v>
      </c>
      <c r="K10" s="945">
        <f t="shared" si="7"/>
        <v>1.3282499999999999E-2</v>
      </c>
      <c r="L10" s="945">
        <f t="shared" si="8"/>
        <v>0.19923749999999998</v>
      </c>
      <c r="AI10" s="1" t="s">
        <v>94</v>
      </c>
      <c r="AJ10" s="1252" t="s">
        <v>93</v>
      </c>
      <c r="AK10" s="1400" t="s">
        <v>14</v>
      </c>
      <c r="AL10" s="1615">
        <v>2</v>
      </c>
      <c r="AM10" s="1627">
        <f t="shared" si="4"/>
        <v>6.5592592592592585</v>
      </c>
      <c r="AN10" s="1616">
        <v>1</v>
      </c>
      <c r="AO10" s="940">
        <f t="shared" si="5"/>
        <v>13.118518518518517</v>
      </c>
      <c r="AP10" s="1617">
        <f t="shared" si="6"/>
        <v>13.118518518518517</v>
      </c>
      <c r="AQ10" s="955">
        <f>VLOOKUP(AJ10,Marination_Ordering!$A:$J,6,FALSE)</f>
        <v>1</v>
      </c>
      <c r="AR10" s="955">
        <f>VLOOKUP(AJ10,Marination_Ordering!$A:$J,10,FALSE)</f>
        <v>0.74</v>
      </c>
      <c r="AS10" s="1020">
        <f t="shared" si="9"/>
        <v>13.118518518518517</v>
      </c>
      <c r="AT10" s="955">
        <f t="shared" si="10"/>
        <v>9.7077037037037028E-3</v>
      </c>
    </row>
    <row r="11" spans="1:46" x14ac:dyDescent="0.25">
      <c r="B11" s="80"/>
      <c r="E11" s="80"/>
      <c r="F11" s="80"/>
      <c r="L11" s="144"/>
      <c r="AI11" s="1" t="s">
        <v>94</v>
      </c>
      <c r="AJ11" s="1686" t="s">
        <v>99</v>
      </c>
      <c r="AK11" s="1400" t="s">
        <v>14</v>
      </c>
      <c r="AL11" s="1615">
        <v>2</v>
      </c>
      <c r="AM11" s="1627">
        <f t="shared" si="4"/>
        <v>6.5592592592592585</v>
      </c>
      <c r="AN11" s="1616">
        <v>1</v>
      </c>
      <c r="AO11" s="940">
        <f t="shared" si="5"/>
        <v>13.118518518518517</v>
      </c>
      <c r="AP11" s="1617">
        <f t="shared" si="6"/>
        <v>13.118518518518517</v>
      </c>
      <c r="AQ11" s="955">
        <f>VLOOKUP(AJ11,Marination_Ordering!$A:$J,6,FALSE)</f>
        <v>1</v>
      </c>
      <c r="AR11" s="955">
        <f>VLOOKUP(AJ11,Marination_Ordering!$A:$J,10,FALSE)</f>
        <v>31</v>
      </c>
      <c r="AS11" s="1020">
        <f t="shared" si="9"/>
        <v>13.118518518518517</v>
      </c>
      <c r="AT11" s="955">
        <f t="shared" si="10"/>
        <v>0.40667407407407402</v>
      </c>
    </row>
    <row r="12" spans="1:46" x14ac:dyDescent="0.25">
      <c r="B12" s="80"/>
      <c r="E12" s="80"/>
      <c r="F12" s="80"/>
      <c r="L12" s="144"/>
      <c r="AI12" s="1" t="s">
        <v>94</v>
      </c>
      <c r="AJ12" s="1252" t="s">
        <v>105</v>
      </c>
      <c r="AK12" s="1400" t="s">
        <v>14</v>
      </c>
      <c r="AL12" s="1615">
        <v>25</v>
      </c>
      <c r="AM12" s="1627">
        <f t="shared" si="4"/>
        <v>6.5592592592592585</v>
      </c>
      <c r="AN12" s="1616">
        <v>1</v>
      </c>
      <c r="AO12" s="940">
        <f t="shared" si="5"/>
        <v>163.98148148148147</v>
      </c>
      <c r="AP12" s="1617">
        <f t="shared" si="6"/>
        <v>163.98148148148147</v>
      </c>
      <c r="AQ12" s="955">
        <f>VLOOKUP(AJ12,Marination_Ordering!$A:$J,6,FALSE)</f>
        <v>1</v>
      </c>
      <c r="AR12" s="955">
        <f>VLOOKUP(AJ12,Marination_Ordering!$A:$J,10,FALSE)</f>
        <v>15</v>
      </c>
      <c r="AS12" s="1020">
        <f t="shared" si="9"/>
        <v>163.98148148148147</v>
      </c>
      <c r="AT12" s="955">
        <f t="shared" si="10"/>
        <v>2.4597222222222221</v>
      </c>
    </row>
    <row r="13" spans="1:46" x14ac:dyDescent="0.25">
      <c r="L13" s="144"/>
      <c r="AI13" s="1" t="s">
        <v>190</v>
      </c>
      <c r="AJ13" s="1691" t="s">
        <v>202</v>
      </c>
      <c r="AK13" s="1400" t="s">
        <v>14</v>
      </c>
      <c r="AL13" s="1618">
        <v>300</v>
      </c>
      <c r="AM13" s="1627">
        <f t="shared" si="4"/>
        <v>6.5592592592592585</v>
      </c>
      <c r="AN13" s="1616">
        <v>1</v>
      </c>
      <c r="AO13" s="940">
        <f t="shared" si="5"/>
        <v>1967.7777777777776</v>
      </c>
      <c r="AP13" s="1617">
        <f t="shared" si="6"/>
        <v>1967.7777777777776</v>
      </c>
      <c r="AQ13" s="955">
        <f>VLOOKUP(AJ13,Marination_Ordering!$A:$J,6,FALSE)</f>
        <v>1</v>
      </c>
      <c r="AR13" s="955">
        <f>VLOOKUP(AJ13,Marination_Ordering!$A:$J,10,FALSE)</f>
        <v>11.243386243386244</v>
      </c>
      <c r="AS13" s="1020">
        <f t="shared" si="9"/>
        <v>1967.7777777777776</v>
      </c>
      <c r="AT13" s="955">
        <f t="shared" si="10"/>
        <v>22.124485596707817</v>
      </c>
    </row>
    <row r="25" spans="18:31" ht="15.75" x14ac:dyDescent="0.25">
      <c r="R25" s="1885" t="s">
        <v>459</v>
      </c>
      <c r="S25" s="1850"/>
      <c r="T25" s="1850"/>
      <c r="U25" s="1850"/>
      <c r="V25" s="553"/>
      <c r="Z25" s="96" t="s">
        <v>252</v>
      </c>
      <c r="AA25" s="97">
        <v>1</v>
      </c>
      <c r="AB25" s="96" t="s">
        <v>249</v>
      </c>
      <c r="AC25" s="98">
        <f>(AA25*(1.15))*AE30+(AA30*(AB28/R1))</f>
        <v>4.9797924327295684E-2</v>
      </c>
      <c r="AD25" s="14"/>
    </row>
    <row r="26" spans="18:31" x14ac:dyDescent="0.25">
      <c r="R26" s="1897" t="s">
        <v>253</v>
      </c>
      <c r="S26" s="1850"/>
      <c r="T26" s="1850"/>
      <c r="U26" s="1850"/>
      <c r="V26" s="553"/>
      <c r="Z26" s="14"/>
      <c r="AA26" s="14"/>
      <c r="AB26" s="14"/>
      <c r="AC26" s="14"/>
      <c r="AD26" s="14"/>
    </row>
    <row r="27" spans="18:31" ht="15.75" thickBot="1" x14ac:dyDescent="0.3">
      <c r="R27" s="100" t="s">
        <v>254</v>
      </c>
      <c r="S27" s="101" t="s">
        <v>460</v>
      </c>
      <c r="T27" s="101" t="s">
        <v>256</v>
      </c>
      <c r="U27" s="101" t="s">
        <v>257</v>
      </c>
      <c r="V27" s="101" t="s">
        <v>746</v>
      </c>
      <c r="W27" s="101" t="s">
        <v>753</v>
      </c>
      <c r="Z27" s="96" t="s">
        <v>258</v>
      </c>
      <c r="AA27" s="580" t="s">
        <v>311</v>
      </c>
      <c r="AB27" s="102" t="s">
        <v>259</v>
      </c>
      <c r="AC27" s="102" t="s">
        <v>261</v>
      </c>
      <c r="AD27" s="581" t="s">
        <v>753</v>
      </c>
      <c r="AE27" s="102" t="s">
        <v>262</v>
      </c>
    </row>
    <row r="28" spans="18:31" ht="15.75" thickBot="1" x14ac:dyDescent="0.3">
      <c r="R28" s="103" t="s">
        <v>263</v>
      </c>
      <c r="S28" s="385">
        <f>$Z$1</f>
        <v>34420</v>
      </c>
      <c r="T28" s="194"/>
      <c r="U28" s="380">
        <f>S28/S40</f>
        <v>34420</v>
      </c>
      <c r="V28" s="104">
        <f>SUM(AP5:AP13)</f>
        <v>7798.9592592592589</v>
      </c>
      <c r="W28" s="104">
        <f>H37</f>
        <v>0</v>
      </c>
      <c r="Z28" s="105"/>
      <c r="AA28" s="582"/>
      <c r="AB28" s="106">
        <f>AA25*$S$40</f>
        <v>1</v>
      </c>
      <c r="AC28" s="107">
        <f>AA25*0.15</f>
        <v>0.15</v>
      </c>
      <c r="AD28" s="582"/>
      <c r="AE28" s="640">
        <f>SUM(AB28:AC28)</f>
        <v>1.1499999999999999</v>
      </c>
    </row>
    <row r="29" spans="18:31" ht="15.75" thickBot="1" x14ac:dyDescent="0.3">
      <c r="R29" s="103" t="s">
        <v>264</v>
      </c>
      <c r="S29" s="109"/>
      <c r="T29" s="104">
        <f>S28*0.15</f>
        <v>5163</v>
      </c>
      <c r="U29" s="380">
        <f>T29</f>
        <v>5163</v>
      </c>
      <c r="V29" s="104"/>
      <c r="W29" s="104"/>
      <c r="Z29" s="105"/>
      <c r="AA29" s="583"/>
      <c r="AB29" s="110">
        <f>AB28/$AE$28</f>
        <v>0.86956521739130443</v>
      </c>
      <c r="AC29" s="110">
        <f>AC28/$AE$28</f>
        <v>0.13043478260869565</v>
      </c>
      <c r="AD29" s="583"/>
      <c r="AE29" s="110">
        <f>AE28/$AE$28</f>
        <v>1</v>
      </c>
    </row>
    <row r="30" spans="18:31" ht="15.75" thickBot="1" x14ac:dyDescent="0.3">
      <c r="R30" s="103" t="s">
        <v>265</v>
      </c>
      <c r="S30" s="657">
        <f>$AB$1</f>
        <v>1000</v>
      </c>
      <c r="T30" s="382">
        <f>S30*0.15</f>
        <v>150</v>
      </c>
      <c r="U30" s="382">
        <f>S30/S40</f>
        <v>1000</v>
      </c>
      <c r="V30" s="547"/>
      <c r="W30" s="547"/>
      <c r="Z30" s="96" t="s">
        <v>266</v>
      </c>
      <c r="AA30" s="584">
        <f>V35/(S32/R1)</f>
        <v>9.1823097903815146E-4</v>
      </c>
      <c r="AB30" s="111">
        <f>S35/(S32)</f>
        <v>4.728132387706855E-2</v>
      </c>
      <c r="AC30" s="111">
        <f>T35/(T32)</f>
        <v>5.4411514084507029E-3</v>
      </c>
      <c r="AD30" s="585">
        <f>W35/U32</f>
        <v>0</v>
      </c>
      <c r="AE30" s="113">
        <f>SUMPRODUCT(AB30:AC30,AB29:AC29)</f>
        <v>4.1823910076814047E-2</v>
      </c>
    </row>
    <row r="31" spans="18:31" ht="15.75" thickBot="1" x14ac:dyDescent="0.3">
      <c r="R31" s="103" t="s">
        <v>267</v>
      </c>
      <c r="S31" s="109"/>
      <c r="T31" s="104"/>
      <c r="U31" s="104"/>
      <c r="V31" s="104"/>
      <c r="W31" s="104"/>
    </row>
    <row r="32" spans="18:31" ht="15.75" thickBot="1" x14ac:dyDescent="0.3">
      <c r="R32" s="114" t="s">
        <v>257</v>
      </c>
      <c r="S32" s="104">
        <f>SUM(S28:S30)</f>
        <v>35420</v>
      </c>
      <c r="T32" s="104">
        <f>SUM(T28:T30)</f>
        <v>5313</v>
      </c>
      <c r="U32" s="104">
        <f>SUM(S32:T32)</f>
        <v>40733</v>
      </c>
      <c r="V32" s="104"/>
      <c r="W32" s="104">
        <f>SUM(W28:W30)</f>
        <v>0</v>
      </c>
    </row>
    <row r="33" spans="17:23" ht="15.75" thickBot="1" x14ac:dyDescent="0.3">
      <c r="R33" s="115" t="s">
        <v>268</v>
      </c>
      <c r="S33" s="109"/>
      <c r="T33" s="109">
        <f>F45</f>
        <v>0</v>
      </c>
      <c r="U33" s="109"/>
      <c r="V33" s="109"/>
      <c r="W33" s="109"/>
    </row>
    <row r="34" spans="17:23" ht="15.75" thickBot="1" x14ac:dyDescent="0.3">
      <c r="R34" s="116" t="s">
        <v>269</v>
      </c>
      <c r="S34" s="109"/>
      <c r="T34" s="104">
        <f>T33-(T28+T29)</f>
        <v>-5163</v>
      </c>
      <c r="U34" s="109"/>
      <c r="V34" s="109"/>
      <c r="W34" s="109"/>
    </row>
    <row r="35" spans="17:23" ht="15.75" thickBot="1" x14ac:dyDescent="0.3">
      <c r="R35" s="117" t="s">
        <v>249</v>
      </c>
      <c r="S35" s="548">
        <f>$L$5</f>
        <v>1674.7044917257681</v>
      </c>
      <c r="T35" s="548">
        <f>SUM(L6:L10)</f>
        <v>28.908837433098586</v>
      </c>
      <c r="U35" s="548">
        <f>S35+T35+V35+W35</f>
        <v>1763.8424796728136</v>
      </c>
      <c r="V35" s="548">
        <f>SUM(AT6:AT13)</f>
        <v>60.229150513946891</v>
      </c>
      <c r="W35" s="548">
        <f>L37</f>
        <v>0</v>
      </c>
    </row>
    <row r="40" spans="17:23" x14ac:dyDescent="0.25">
      <c r="Q40" s="14"/>
      <c r="R40" s="119" t="s">
        <v>270</v>
      </c>
      <c r="S40" s="163">
        <v>1</v>
      </c>
      <c r="T40" s="119" t="s">
        <v>271</v>
      </c>
      <c r="U40" s="163">
        <v>0</v>
      </c>
      <c r="V40" s="122">
        <f>S40+U40</f>
        <v>1</v>
      </c>
      <c r="W40" s="14"/>
    </row>
    <row r="41" spans="17:23" x14ac:dyDescent="0.25">
      <c r="Q41" s="14"/>
      <c r="R41" s="14"/>
      <c r="S41" s="14"/>
      <c r="T41" s="14"/>
      <c r="U41" s="123"/>
      <c r="V41" s="14"/>
      <c r="W41" s="14"/>
    </row>
    <row r="42" spans="17:23" x14ac:dyDescent="0.25">
      <c r="Q42" s="14"/>
      <c r="R42" s="14"/>
      <c r="S42" s="14"/>
      <c r="T42" s="14"/>
      <c r="U42" s="14"/>
      <c r="V42" s="14"/>
      <c r="W42" s="14"/>
    </row>
    <row r="43" spans="17:23" x14ac:dyDescent="0.25">
      <c r="Q43" s="124" t="s">
        <v>272</v>
      </c>
      <c r="R43" s="124" t="s">
        <v>273</v>
      </c>
      <c r="S43" s="124" t="s">
        <v>274</v>
      </c>
      <c r="T43" s="124" t="s">
        <v>275</v>
      </c>
      <c r="U43" s="124" t="s">
        <v>276</v>
      </c>
      <c r="V43" s="124" t="s">
        <v>277</v>
      </c>
      <c r="W43" s="124" t="s">
        <v>278</v>
      </c>
    </row>
    <row r="44" spans="17:23" x14ac:dyDescent="0.25">
      <c r="Q44" s="126">
        <v>66667</v>
      </c>
      <c r="R44" s="127">
        <f>D51</f>
        <v>10000</v>
      </c>
      <c r="S44" s="128">
        <v>0</v>
      </c>
      <c r="T44" s="128">
        <v>1</v>
      </c>
      <c r="U44" s="165">
        <f>R44*S44</f>
        <v>0</v>
      </c>
      <c r="V44" s="129">
        <f>R44*T44</f>
        <v>10000</v>
      </c>
      <c r="W44" s="129">
        <f>Q44-U44</f>
        <v>66667</v>
      </c>
    </row>
    <row r="50" spans="1:10" x14ac:dyDescent="0.25">
      <c r="B50" s="181"/>
      <c r="C50" s="100" t="s">
        <v>233</v>
      </c>
      <c r="D50" s="100" t="s">
        <v>279</v>
      </c>
      <c r="F50" s="80"/>
      <c r="G50" s="100" t="s">
        <v>280</v>
      </c>
      <c r="H50" s="100" t="s">
        <v>233</v>
      </c>
      <c r="I50" s="100" t="s">
        <v>281</v>
      </c>
      <c r="J50" s="100" t="s">
        <v>282</v>
      </c>
    </row>
    <row r="51" spans="1:10" x14ac:dyDescent="0.25">
      <c r="B51" s="844" t="s">
        <v>283</v>
      </c>
      <c r="C51" s="133">
        <f>10/$K$1</f>
        <v>10</v>
      </c>
      <c r="D51" s="134">
        <f>$C$1*10</f>
        <v>10000</v>
      </c>
      <c r="E51" s="135"/>
      <c r="F51" s="80"/>
      <c r="G51" s="132" t="s">
        <v>283</v>
      </c>
      <c r="H51" s="182">
        <f>I51/$D$5</f>
        <v>10</v>
      </c>
      <c r="I51" s="133">
        <f>J51/$R$1</f>
        <v>123457.4074074074</v>
      </c>
      <c r="J51" s="133">
        <f>$W$44</f>
        <v>66667</v>
      </c>
    </row>
    <row r="52" spans="1:10" x14ac:dyDescent="0.25">
      <c r="B52" s="846" t="s">
        <v>262</v>
      </c>
      <c r="C52" s="156">
        <f>$I$1</f>
        <v>5.3129999999999997</v>
      </c>
      <c r="D52" s="157">
        <f>$E$1</f>
        <v>5313</v>
      </c>
      <c r="E52" s="80"/>
      <c r="F52" s="80"/>
      <c r="G52" s="103" t="s">
        <v>262</v>
      </c>
      <c r="H52" s="145">
        <f>I52/$D$5</f>
        <v>5.3129734351328235</v>
      </c>
      <c r="I52" s="129">
        <f>J52/$R$1</f>
        <v>65592.592592592584</v>
      </c>
      <c r="J52" s="136">
        <f>$S$32</f>
        <v>35420</v>
      </c>
    </row>
    <row r="53" spans="1:10" x14ac:dyDescent="0.25">
      <c r="B53" s="846" t="s">
        <v>284</v>
      </c>
      <c r="C53" s="158">
        <f>MIN(C52, C51)</f>
        <v>5.3129999999999997</v>
      </c>
      <c r="D53" s="157">
        <f>(C53*$K$1)*$C$1</f>
        <v>5313</v>
      </c>
      <c r="E53" s="80"/>
      <c r="F53" s="80"/>
      <c r="G53" s="103" t="s">
        <v>284</v>
      </c>
      <c r="H53" s="139">
        <f>MIN(H52,H51)</f>
        <v>5.3129734351328235</v>
      </c>
      <c r="I53" s="129">
        <f>J53/$R$1</f>
        <v>65592.592592592584</v>
      </c>
      <c r="J53" s="129">
        <f>MIN(J52,J51)</f>
        <v>35420</v>
      </c>
    </row>
    <row r="54" spans="1:10" x14ac:dyDescent="0.25">
      <c r="B54" s="846" t="s">
        <v>285</v>
      </c>
      <c r="C54" s="158">
        <f>MIN(MAX(C52-C53,0),C51)</f>
        <v>0</v>
      </c>
      <c r="D54" s="157">
        <f>(C54*$K$1)*$C$1</f>
        <v>0</v>
      </c>
      <c r="E54" s="80"/>
      <c r="F54" s="80"/>
      <c r="G54" s="103" t="s">
        <v>285</v>
      </c>
      <c r="H54" s="139">
        <f>MIN(MAX(H52-H53),H51)</f>
        <v>0</v>
      </c>
      <c r="I54" s="129">
        <f>J54/$R$1</f>
        <v>0</v>
      </c>
      <c r="J54" s="129">
        <f>MIN(MAX(J52-J53),J51)</f>
        <v>0</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62" spans="1:10" x14ac:dyDescent="0.25">
      <c r="A62" s="862"/>
      <c r="B62" s="1871" t="str">
        <f>"سمك بالشبت و الليمون  1 / " &amp; COUNTIF($C$53:$C$54, "&gt;0")</f>
        <v>سمك بالشبت و الليمون  1 / 1</v>
      </c>
      <c r="C62" s="1880"/>
      <c r="D62" s="1880"/>
      <c r="E62" s="1880"/>
      <c r="F62" s="1880"/>
      <c r="G62" s="1880"/>
      <c r="H62" s="1880"/>
    </row>
    <row r="63" spans="1:10" x14ac:dyDescent="0.25">
      <c r="A63" s="862"/>
      <c r="B63" s="1872" t="str">
        <f>"Fish with Shabat and Lemon   1 / " &amp; COUNTIF($C$53:$C$54, "&gt;0")</f>
        <v>Fish with Shabat and Lemon   1 / 1</v>
      </c>
      <c r="C63" s="1883"/>
      <c r="D63" s="1883"/>
      <c r="E63" s="1883"/>
      <c r="F63" s="1883"/>
      <c r="G63" s="1883"/>
      <c r="H63" s="1883"/>
    </row>
    <row r="64" spans="1:10" ht="30" x14ac:dyDescent="0.2">
      <c r="A64" s="1350" t="s">
        <v>864</v>
      </c>
      <c r="B64" s="1104" t="s">
        <v>241</v>
      </c>
      <c r="C64" s="934" t="s">
        <v>242</v>
      </c>
      <c r="D64" s="1104" t="s">
        <v>231</v>
      </c>
      <c r="E64" s="936" t="s">
        <v>234</v>
      </c>
      <c r="F64" s="936" t="s">
        <v>243</v>
      </c>
      <c r="G64" s="1104" t="s">
        <v>244</v>
      </c>
      <c r="H64" s="936" t="s">
        <v>245</v>
      </c>
    </row>
    <row r="65" spans="1:10" x14ac:dyDescent="0.2">
      <c r="A65" s="876" t="s">
        <v>875</v>
      </c>
      <c r="B65" s="938" t="str">
        <f t="shared" ref="B65:D70" si="11">B5</f>
        <v>Fillet Fish - سمك فيليه</v>
      </c>
      <c r="C65" s="938" t="str">
        <f t="shared" si="11"/>
        <v>gm</v>
      </c>
      <c r="D65" s="1530">
        <f t="shared" si="11"/>
        <v>12345.740740740741</v>
      </c>
      <c r="E65" s="1730">
        <f>H53</f>
        <v>5.3129734351328235</v>
      </c>
      <c r="F65" s="1616">
        <f>F5</f>
        <v>1</v>
      </c>
      <c r="G65" s="940">
        <f>G5</f>
        <v>65592.592592592584</v>
      </c>
      <c r="H65" s="1617">
        <f>H5</f>
        <v>65592.592592592584</v>
      </c>
    </row>
    <row r="66" spans="1:10" x14ac:dyDescent="0.25">
      <c r="A66" s="1" t="s">
        <v>869</v>
      </c>
      <c r="B66" s="938" t="str">
        <f t="shared" si="11"/>
        <v>Dill Leaves - شبت</v>
      </c>
      <c r="C66" s="938" t="str">
        <f t="shared" si="11"/>
        <v>gm</v>
      </c>
      <c r="D66" s="938">
        <f t="shared" si="11"/>
        <v>75</v>
      </c>
      <c r="E66" s="1690">
        <f>$C$53</f>
        <v>5.3129999999999997</v>
      </c>
      <c r="F66" s="1616">
        <f>F6</f>
        <v>1</v>
      </c>
      <c r="G66" s="940">
        <f>D66*E66</f>
        <v>398.47499999999997</v>
      </c>
      <c r="H66" s="1617">
        <f>G66*F66</f>
        <v>398.47499999999997</v>
      </c>
    </row>
    <row r="67" spans="1:10" x14ac:dyDescent="0.25">
      <c r="B67" s="938" t="str">
        <f t="shared" si="11"/>
        <v>Lemon Juice - عصير ليمون</v>
      </c>
      <c r="C67" s="938" t="str">
        <f t="shared" si="11"/>
        <v>ml</v>
      </c>
      <c r="D67" s="938">
        <f t="shared" si="11"/>
        <v>1000</v>
      </c>
      <c r="E67" s="1618">
        <f>$C$53</f>
        <v>5.3129999999999997</v>
      </c>
      <c r="F67" s="1616">
        <f>F7</f>
        <v>1</v>
      </c>
      <c r="G67" s="940">
        <f>D67*E67</f>
        <v>5313</v>
      </c>
      <c r="H67" s="1617">
        <f>G67*F67</f>
        <v>5313</v>
      </c>
    </row>
    <row r="68" spans="1:10" x14ac:dyDescent="0.25">
      <c r="B68" s="938" t="str">
        <f t="shared" si="11"/>
        <v>Black Pepper Powder - فلفل أسود مطحون</v>
      </c>
      <c r="C68" s="938" t="str">
        <f t="shared" si="11"/>
        <v>gm</v>
      </c>
      <c r="D68" s="938">
        <f t="shared" si="11"/>
        <v>2.5</v>
      </c>
      <c r="E68" s="1618">
        <f>$C$53</f>
        <v>5.3129999999999997</v>
      </c>
      <c r="F68" s="1616">
        <f>F8</f>
        <v>1</v>
      </c>
      <c r="G68" s="940">
        <f>D68*E68</f>
        <v>13.282499999999999</v>
      </c>
      <c r="H68" s="1617">
        <f>G68*F68</f>
        <v>13.282499999999999</v>
      </c>
    </row>
    <row r="69" spans="1:10" x14ac:dyDescent="0.25">
      <c r="B69" s="938" t="str">
        <f t="shared" si="11"/>
        <v>Salt - ملح</v>
      </c>
      <c r="C69" s="938" t="str">
        <f t="shared" si="11"/>
        <v>gm</v>
      </c>
      <c r="D69" s="938">
        <f t="shared" si="11"/>
        <v>12.5</v>
      </c>
      <c r="E69" s="1618">
        <f>$C$53</f>
        <v>5.3129999999999997</v>
      </c>
      <c r="F69" s="1616">
        <f>F9</f>
        <v>1</v>
      </c>
      <c r="G69" s="940">
        <f>D69*E69</f>
        <v>66.412499999999994</v>
      </c>
      <c r="H69" s="1617">
        <f>G69*F69</f>
        <v>66.412499999999994</v>
      </c>
    </row>
    <row r="70" spans="1:10" x14ac:dyDescent="0.25">
      <c r="B70" s="938" t="str">
        <f t="shared" si="11"/>
        <v>Cumin Powder - كمون مطحون</v>
      </c>
      <c r="C70" s="938" t="str">
        <f t="shared" si="11"/>
        <v>gm</v>
      </c>
      <c r="D70" s="938">
        <f t="shared" si="11"/>
        <v>2.5</v>
      </c>
      <c r="E70" s="1618">
        <f>$C$53</f>
        <v>5.3129999999999997</v>
      </c>
      <c r="F70" s="1616">
        <f>F10</f>
        <v>1</v>
      </c>
      <c r="G70" s="940">
        <f>D70*E70</f>
        <v>13.282499999999999</v>
      </c>
      <c r="H70" s="1617">
        <f>G70*F70</f>
        <v>13.282499999999999</v>
      </c>
    </row>
    <row r="71" spans="1:10" ht="20.25" x14ac:dyDescent="0.3">
      <c r="A71" s="861"/>
      <c r="B71" s="1622" t="s">
        <v>287</v>
      </c>
      <c r="C71" s="1042" t="s">
        <v>273</v>
      </c>
      <c r="D71" s="952"/>
      <c r="E71" s="1042" t="s">
        <v>288</v>
      </c>
      <c r="F71" s="952"/>
      <c r="G71" s="1045" t="s">
        <v>264</v>
      </c>
      <c r="H71" s="1045" t="s">
        <v>661</v>
      </c>
      <c r="I71" s="142"/>
      <c r="J71" s="141"/>
    </row>
    <row r="72" spans="1:10" ht="20.25" x14ac:dyDescent="0.3">
      <c r="A72" s="861"/>
      <c r="B72" s="1048">
        <f>$J$53</f>
        <v>35420</v>
      </c>
      <c r="C72" s="1048">
        <f>E72+G72</f>
        <v>5313</v>
      </c>
      <c r="D72" s="1629"/>
      <c r="E72" s="1048">
        <f>$D$53*$S$44</f>
        <v>0</v>
      </c>
      <c r="F72" s="1050"/>
      <c r="G72" s="1048">
        <f>$D$53*$T$44</f>
        <v>5313</v>
      </c>
      <c r="H72" s="1048">
        <f>B72+E72</f>
        <v>35420</v>
      </c>
    </row>
  </sheetData>
  <mergeCells count="7">
    <mergeCell ref="B63:H63"/>
    <mergeCell ref="F2:G3"/>
    <mergeCell ref="AE2:AG3"/>
    <mergeCell ref="AK2:AN3"/>
    <mergeCell ref="R25:U25"/>
    <mergeCell ref="R26:U26"/>
    <mergeCell ref="B62:H62"/>
  </mergeCells>
  <printOptions horizontalCentered="1"/>
  <pageMargins left="0.4" right="0.4" top="1" bottom="0.5" header="0.3" footer="0.511811023622047"/>
  <pageSetup paperSize="9" scale="50" orientation="landscape"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DD857-5819-4DC3-934F-5B98D264A9EC}">
  <sheetPr codeName="Sheet74">
    <tabColor rgb="FF333F50"/>
    <pageSetUpPr fitToPage="1"/>
  </sheetPr>
  <dimension ref="A1:AE131"/>
  <sheetViews>
    <sheetView topLeftCell="A97" zoomScale="55" zoomScaleNormal="55" workbookViewId="0">
      <selection activeCell="A112" sqref="A112"/>
    </sheetView>
  </sheetViews>
  <sheetFormatPr defaultColWidth="12.5" defaultRowHeight="15" x14ac:dyDescent="0.25"/>
  <cols>
    <col min="1" max="1" width="14.875" style="1" customWidth="1"/>
    <col min="2" max="2" width="32" bestFit="1" customWidth="1"/>
    <col min="3" max="3" width="17.375" bestFit="1" customWidth="1"/>
    <col min="4" max="4" width="18.75" bestFit="1" customWidth="1"/>
    <col min="5" max="5" width="19.625" bestFit="1" customWidth="1"/>
    <col min="6" max="6" width="16.75" bestFit="1" customWidth="1"/>
    <col min="7" max="7" width="23.25" bestFit="1" customWidth="1"/>
    <col min="8" max="8" width="40.375" bestFit="1" customWidth="1"/>
    <col min="9" max="9" width="17.375" bestFit="1" customWidth="1"/>
    <col min="10" max="10" width="14.5" bestFit="1" customWidth="1"/>
    <col min="11" max="11" width="19.5" bestFit="1" customWidth="1"/>
    <col min="12" max="12" width="6.75" bestFit="1" customWidth="1"/>
    <col min="13" max="14" width="6.25" customWidth="1"/>
    <col min="15" max="15" width="17.375" bestFit="1" customWidth="1"/>
    <col min="16" max="16" width="4" bestFit="1" customWidth="1"/>
    <col min="17" max="17" width="14.875" bestFit="1" customWidth="1"/>
    <col min="18" max="18" width="41.25" bestFit="1" customWidth="1"/>
    <col min="19" max="19" width="10.625" bestFit="1" customWidth="1"/>
    <col min="20" max="20" width="47" bestFit="1" customWidth="1"/>
    <col min="21" max="21" width="12" bestFit="1" customWidth="1"/>
    <col min="22" max="22" width="12.625" bestFit="1" customWidth="1"/>
    <col min="23" max="23" width="39.625" bestFit="1" customWidth="1"/>
    <col min="25" max="25" width="8.75" bestFit="1" customWidth="1"/>
    <col min="26" max="26" width="12" bestFit="1" customWidth="1"/>
    <col min="27" max="27" width="14.25" bestFit="1" customWidth="1"/>
    <col min="28" max="28" width="16" bestFit="1" customWidth="1"/>
    <col min="29" max="29" width="12.125" bestFit="1" customWidth="1"/>
    <col min="30" max="30" width="9.5" style="806" bestFit="1" customWidth="1"/>
    <col min="31" max="31" width="12.5" style="806"/>
  </cols>
  <sheetData>
    <row r="1" spans="1:30" ht="25.5" x14ac:dyDescent="0.25">
      <c r="B1" s="843" t="s">
        <v>231</v>
      </c>
      <c r="C1" s="63">
        <v>1000</v>
      </c>
      <c r="D1" s="64" t="s">
        <v>232</v>
      </c>
      <c r="E1" s="84">
        <f>T32</f>
        <v>14693</v>
      </c>
      <c r="F1" s="62" t="s">
        <v>233</v>
      </c>
      <c r="G1" s="85">
        <f>E1/C1</f>
        <v>14.693</v>
      </c>
      <c r="H1" s="62" t="s">
        <v>234</v>
      </c>
      <c r="I1" s="805">
        <f>G1/K1</f>
        <v>15.147422680412371</v>
      </c>
      <c r="J1" s="68" t="s">
        <v>235</v>
      </c>
      <c r="K1" s="80">
        <f>9.7/10</f>
        <v>0.97</v>
      </c>
      <c r="M1" s="70"/>
      <c r="N1" s="71"/>
      <c r="O1" s="72" t="s">
        <v>236</v>
      </c>
      <c r="P1" s="73" t="s">
        <v>289</v>
      </c>
      <c r="Q1" s="74" t="s">
        <v>238</v>
      </c>
      <c r="R1" s="73">
        <v>0.5</v>
      </c>
      <c r="Y1" s="72" t="s">
        <v>444</v>
      </c>
      <c r="Z1" s="422">
        <v>19990</v>
      </c>
      <c r="AA1" s="72" t="s">
        <v>544</v>
      </c>
      <c r="AB1" s="422">
        <v>1000</v>
      </c>
      <c r="AC1" s="72" t="s">
        <v>537</v>
      </c>
      <c r="AD1" s="422">
        <v>141</v>
      </c>
    </row>
    <row r="2" spans="1:30" ht="15.75" x14ac:dyDescent="0.25">
      <c r="A2" s="860"/>
      <c r="B2" s="1851" t="s">
        <v>162</v>
      </c>
      <c r="C2" s="1796"/>
      <c r="D2" s="1796"/>
      <c r="E2" s="1796"/>
      <c r="F2" s="1796"/>
      <c r="G2" s="1796"/>
      <c r="H2" s="1796"/>
      <c r="I2" s="1796"/>
      <c r="J2" s="1796"/>
      <c r="K2" s="1796"/>
      <c r="L2" s="187"/>
      <c r="M2" s="80"/>
      <c r="N2" s="80"/>
      <c r="O2" s="80"/>
      <c r="P2" s="80"/>
      <c r="Q2" s="80"/>
      <c r="R2" s="80"/>
      <c r="AC2" s="79"/>
      <c r="AD2" s="407"/>
    </row>
    <row r="3" spans="1:30" ht="15.75" x14ac:dyDescent="0.25">
      <c r="A3" s="860"/>
      <c r="B3" s="1796"/>
      <c r="C3" s="1796"/>
      <c r="D3" s="1796"/>
      <c r="E3" s="1796"/>
      <c r="F3" s="1796"/>
      <c r="G3" s="1796"/>
      <c r="H3" s="1796"/>
      <c r="I3" s="1796"/>
      <c r="J3" s="1796"/>
      <c r="K3" s="1796"/>
      <c r="L3" s="187"/>
      <c r="M3" s="80"/>
      <c r="N3" s="80"/>
      <c r="O3" s="80"/>
      <c r="P3" s="80"/>
      <c r="Q3" s="80"/>
      <c r="R3" s="80"/>
      <c r="AC3" s="79"/>
      <c r="AD3" s="407"/>
    </row>
    <row r="4" spans="1:30" ht="30" x14ac:dyDescent="0.2">
      <c r="A4" s="1350" t="s">
        <v>864</v>
      </c>
      <c r="B4" s="923" t="s">
        <v>241</v>
      </c>
      <c r="C4" s="934" t="s">
        <v>242</v>
      </c>
      <c r="D4" s="923" t="s">
        <v>231</v>
      </c>
      <c r="E4" s="935" t="s">
        <v>234</v>
      </c>
      <c r="F4" s="935" t="s">
        <v>243</v>
      </c>
      <c r="G4" s="923" t="s">
        <v>244</v>
      </c>
      <c r="H4" s="1635" t="s">
        <v>334</v>
      </c>
      <c r="I4" s="923" t="s">
        <v>246</v>
      </c>
      <c r="J4" s="923" t="s">
        <v>247</v>
      </c>
      <c r="K4" s="923" t="s">
        <v>248</v>
      </c>
      <c r="L4" s="923" t="s">
        <v>249</v>
      </c>
      <c r="M4" s="80"/>
      <c r="N4" s="80"/>
      <c r="O4" s="80"/>
      <c r="P4" s="80"/>
      <c r="AA4" s="169"/>
      <c r="AB4" s="171"/>
      <c r="AC4" s="169"/>
      <c r="AD4" s="405"/>
    </row>
    <row r="5" spans="1:30" x14ac:dyDescent="0.25">
      <c r="A5" s="1" t="s">
        <v>872</v>
      </c>
      <c r="B5" s="1614" t="s">
        <v>220</v>
      </c>
      <c r="C5" s="939" t="s">
        <v>14</v>
      </c>
      <c r="D5" s="1116">
        <f>I51/10</f>
        <v>2857.2</v>
      </c>
      <c r="E5" s="1646">
        <f>H52</f>
        <v>14.692706145877084</v>
      </c>
      <c r="F5" s="1616">
        <v>1</v>
      </c>
      <c r="G5" s="940">
        <f t="shared" ref="G5:G21" si="0">D5*E5</f>
        <v>41980</v>
      </c>
      <c r="H5" s="1617">
        <f t="shared" ref="H5:H21" si="1">G5*F5</f>
        <v>41980</v>
      </c>
      <c r="I5" s="914">
        <f>VLOOKUP(B5,All_Ingredients!$A$1:$F$161,6,FALSE())</f>
        <v>0.86</v>
      </c>
      <c r="J5" s="940">
        <f>VLOOKUP(B5,All_Ingredients!$A$1:$J$161,10,FALSE())</f>
        <v>17.100000000000001</v>
      </c>
      <c r="K5" s="945">
        <f t="shared" ref="K5" si="2">(H5/I5)/1000</f>
        <v>48.813953488372093</v>
      </c>
      <c r="L5" s="945">
        <f t="shared" ref="L5" si="3">K5*J5</f>
        <v>834.71860465116288</v>
      </c>
      <c r="M5" s="80"/>
      <c r="N5" s="80"/>
      <c r="O5" s="80"/>
      <c r="P5" s="80"/>
      <c r="AA5" s="73"/>
      <c r="AB5" s="89"/>
      <c r="AC5" s="172"/>
      <c r="AD5" s="408"/>
    </row>
    <row r="6" spans="1:30" x14ac:dyDescent="0.25">
      <c r="B6" s="1252" t="s">
        <v>679</v>
      </c>
      <c r="C6" s="947" t="s">
        <v>14</v>
      </c>
      <c r="D6" s="1618">
        <v>520</v>
      </c>
      <c r="E6" s="1621">
        <f t="shared" ref="E6:E21" si="4">$I$1</f>
        <v>15.147422680412371</v>
      </c>
      <c r="F6" s="1616">
        <v>1</v>
      </c>
      <c r="G6" s="940">
        <f t="shared" si="0"/>
        <v>7876.6597938144323</v>
      </c>
      <c r="H6" s="1617">
        <f t="shared" si="1"/>
        <v>7876.6597938144323</v>
      </c>
      <c r="I6" s="914">
        <f>VLOOKUP(B6,All_Ingredients!$A$1:$F$161,6,FALSE())</f>
        <v>1</v>
      </c>
      <c r="J6" s="940">
        <f>VLOOKUP(B6,All_Ingredients!$A$1:$J$161,10,FALSE())</f>
        <v>4.125</v>
      </c>
      <c r="K6" s="945">
        <f t="shared" ref="K6:K10" si="5">(H6/I6)/1000</f>
        <v>7.876659793814432</v>
      </c>
      <c r="L6" s="945">
        <f t="shared" ref="L6:L10" si="6">K6*J6</f>
        <v>32.49122164948453</v>
      </c>
    </row>
    <row r="7" spans="1:30" x14ac:dyDescent="0.25">
      <c r="B7" s="1252" t="s">
        <v>523</v>
      </c>
      <c r="C7" s="947" t="s">
        <v>160</v>
      </c>
      <c r="D7" s="1618">
        <v>600</v>
      </c>
      <c r="E7" s="1621">
        <f t="shared" si="4"/>
        <v>15.147422680412371</v>
      </c>
      <c r="F7" s="1616">
        <v>0.95</v>
      </c>
      <c r="G7" s="940">
        <f t="shared" si="0"/>
        <v>9088.4536082474224</v>
      </c>
      <c r="H7" s="1617">
        <f t="shared" si="1"/>
        <v>8634.0309278350505</v>
      </c>
      <c r="I7" s="914">
        <f>VLOOKUP(B7,All_Ingredients!$A$1:$F$161,6,FALSE())</f>
        <v>1</v>
      </c>
      <c r="J7" s="940">
        <f>VLOOKUP(B7,All_Ingredients!$A$1:$J$161,10,FALSE())</f>
        <v>0</v>
      </c>
      <c r="K7" s="945">
        <f t="shared" si="5"/>
        <v>8.6340309278350507</v>
      </c>
      <c r="L7" s="945">
        <f t="shared" si="6"/>
        <v>0</v>
      </c>
    </row>
    <row r="8" spans="1:30" x14ac:dyDescent="0.25">
      <c r="B8" s="1252" t="s">
        <v>105</v>
      </c>
      <c r="C8" s="947" t="s">
        <v>14</v>
      </c>
      <c r="D8" s="1618">
        <v>4</v>
      </c>
      <c r="E8" s="1621">
        <f t="shared" si="4"/>
        <v>15.147422680412371</v>
      </c>
      <c r="F8" s="1616">
        <v>0.75</v>
      </c>
      <c r="G8" s="940">
        <f t="shared" si="0"/>
        <v>60.589690721649482</v>
      </c>
      <c r="H8" s="1617">
        <f t="shared" si="1"/>
        <v>45.442268041237114</v>
      </c>
      <c r="I8" s="914">
        <f>VLOOKUP(B8,All_Ingredients!$A$1:$F$161,6,FALSE())</f>
        <v>1</v>
      </c>
      <c r="J8" s="940">
        <f>VLOOKUP(B8,All_Ingredients!$A$1:$J$161,10,FALSE())</f>
        <v>15</v>
      </c>
      <c r="K8" s="945">
        <f t="shared" si="5"/>
        <v>4.5442268041237112E-2</v>
      </c>
      <c r="L8" s="945">
        <f t="shared" si="6"/>
        <v>0.68163402061855671</v>
      </c>
    </row>
    <row r="9" spans="1:30" x14ac:dyDescent="0.25">
      <c r="B9" s="1252" t="s">
        <v>107</v>
      </c>
      <c r="C9" s="947" t="s">
        <v>14</v>
      </c>
      <c r="D9" s="1618">
        <v>4</v>
      </c>
      <c r="E9" s="1621">
        <f t="shared" si="4"/>
        <v>15.147422680412371</v>
      </c>
      <c r="F9" s="1616">
        <v>0.75</v>
      </c>
      <c r="G9" s="940">
        <f t="shared" si="0"/>
        <v>60.589690721649482</v>
      </c>
      <c r="H9" s="1617">
        <f t="shared" si="1"/>
        <v>45.442268041237114</v>
      </c>
      <c r="I9" s="914">
        <f>VLOOKUP(B9,All_Ingredients!$A$1:$F$161,6,FALSE())</f>
        <v>1</v>
      </c>
      <c r="J9" s="940">
        <f>VLOOKUP(B9,All_Ingredients!$A$1:$J$161,10,FALSE())</f>
        <v>8</v>
      </c>
      <c r="K9" s="945">
        <f t="shared" si="5"/>
        <v>4.5442268041237112E-2</v>
      </c>
      <c r="L9" s="945">
        <f t="shared" si="6"/>
        <v>0.3635381443298969</v>
      </c>
    </row>
    <row r="10" spans="1:30" x14ac:dyDescent="0.25">
      <c r="B10" s="1252" t="s">
        <v>122</v>
      </c>
      <c r="C10" s="947" t="s">
        <v>14</v>
      </c>
      <c r="D10" s="1618">
        <v>4</v>
      </c>
      <c r="E10" s="1621">
        <f t="shared" si="4"/>
        <v>15.147422680412371</v>
      </c>
      <c r="F10" s="1616">
        <v>0.9</v>
      </c>
      <c r="G10" s="940">
        <f t="shared" si="0"/>
        <v>60.589690721649482</v>
      </c>
      <c r="H10" s="1617">
        <f t="shared" si="1"/>
        <v>54.530721649484533</v>
      </c>
      <c r="I10" s="914">
        <f>VLOOKUP(B10,All_Ingredients!$A$1:$F$161,6,FALSE())</f>
        <v>1</v>
      </c>
      <c r="J10" s="940">
        <f>VLOOKUP(B10,All_Ingredients!$A$1:$J$161,10,FALSE())</f>
        <v>14</v>
      </c>
      <c r="K10" s="945">
        <f t="shared" si="5"/>
        <v>5.4530721649484533E-2</v>
      </c>
      <c r="L10" s="945">
        <f t="shared" si="6"/>
        <v>0.76343010309278347</v>
      </c>
    </row>
    <row r="11" spans="1:30" x14ac:dyDescent="0.25">
      <c r="B11" s="1252" t="s">
        <v>99</v>
      </c>
      <c r="C11" s="947" t="s">
        <v>14</v>
      </c>
      <c r="D11" s="1618">
        <v>4</v>
      </c>
      <c r="E11" s="1621">
        <f t="shared" si="4"/>
        <v>15.147422680412371</v>
      </c>
      <c r="F11" s="1616">
        <v>0.9</v>
      </c>
      <c r="G11" s="940">
        <f t="shared" si="0"/>
        <v>60.589690721649482</v>
      </c>
      <c r="H11" s="1617">
        <f t="shared" si="1"/>
        <v>54.530721649484533</v>
      </c>
      <c r="I11" s="914">
        <f>VLOOKUP(B11,All_Ingredients!$A$1:$F$161,6,FALSE())</f>
        <v>1</v>
      </c>
      <c r="J11" s="940">
        <f>VLOOKUP(B11,All_Ingredients!$A$1:$J$161,10,FALSE())</f>
        <v>31</v>
      </c>
      <c r="K11" s="945">
        <f t="shared" ref="K11:K21" si="7">(H11/I11)/1000</f>
        <v>5.4530721649484533E-2</v>
      </c>
      <c r="L11" s="945">
        <f t="shared" ref="L11:L21" si="8">K11*J11</f>
        <v>1.6904523711340205</v>
      </c>
    </row>
    <row r="12" spans="1:30" x14ac:dyDescent="0.25">
      <c r="B12" s="1252" t="s">
        <v>93</v>
      </c>
      <c r="C12" s="947" t="s">
        <v>14</v>
      </c>
      <c r="D12" s="1618">
        <v>11</v>
      </c>
      <c r="E12" s="1621">
        <f t="shared" si="4"/>
        <v>15.147422680412371</v>
      </c>
      <c r="F12" s="1616">
        <v>0.75</v>
      </c>
      <c r="G12" s="940">
        <f t="shared" si="0"/>
        <v>166.62164948453608</v>
      </c>
      <c r="H12" s="1617">
        <f t="shared" si="1"/>
        <v>124.96623711340206</v>
      </c>
      <c r="I12" s="914">
        <f>VLOOKUP(B12,All_Ingredients!$A$1:$F$161,6,FALSE())</f>
        <v>1</v>
      </c>
      <c r="J12" s="940">
        <f>VLOOKUP(B12,All_Ingredients!$A$1:$J$161,10,FALSE())</f>
        <v>0.74</v>
      </c>
      <c r="K12" s="945">
        <f t="shared" si="7"/>
        <v>0.12496623711340206</v>
      </c>
      <c r="L12" s="945">
        <f t="shared" si="8"/>
        <v>9.2475015463917523E-2</v>
      </c>
    </row>
    <row r="13" spans="1:30" x14ac:dyDescent="0.2">
      <c r="A13" s="177" t="s">
        <v>868</v>
      </c>
      <c r="B13" s="1252" t="s">
        <v>706</v>
      </c>
      <c r="C13" s="947" t="s">
        <v>14</v>
      </c>
      <c r="D13" s="1618">
        <v>25</v>
      </c>
      <c r="E13" s="1621">
        <f t="shared" si="4"/>
        <v>15.147422680412371</v>
      </c>
      <c r="F13" s="1616">
        <v>1</v>
      </c>
      <c r="G13" s="940">
        <f t="shared" si="0"/>
        <v>378.68556701030928</v>
      </c>
      <c r="H13" s="1617">
        <f t="shared" si="1"/>
        <v>378.68556701030928</v>
      </c>
      <c r="I13" s="914">
        <f>VLOOKUP(B13,All_Ingredients!$A$1:$F$161,6,FALSE())</f>
        <v>1</v>
      </c>
      <c r="J13" s="940">
        <f>VLOOKUP(B13,All_Ingredients!$A$1:$J$161,10,FALSE())</f>
        <v>10.5</v>
      </c>
      <c r="K13" s="945">
        <f t="shared" si="7"/>
        <v>0.37868556701030931</v>
      </c>
      <c r="L13" s="945">
        <f t="shared" si="8"/>
        <v>3.976198453608248</v>
      </c>
    </row>
    <row r="14" spans="1:30" x14ac:dyDescent="0.25">
      <c r="B14" s="1252" t="s">
        <v>156</v>
      </c>
      <c r="C14" s="947" t="s">
        <v>14</v>
      </c>
      <c r="D14" s="1618">
        <v>38</v>
      </c>
      <c r="E14" s="1621">
        <f t="shared" si="4"/>
        <v>15.147422680412371</v>
      </c>
      <c r="F14" s="1616">
        <v>1</v>
      </c>
      <c r="G14" s="940">
        <f t="shared" si="0"/>
        <v>575.60206185567006</v>
      </c>
      <c r="H14" s="1617">
        <f t="shared" si="1"/>
        <v>575.60206185567006</v>
      </c>
      <c r="I14" s="914">
        <f>VLOOKUP(B14,All_Ingredients!$A$1:$F$161,6,FALSE())</f>
        <v>1</v>
      </c>
      <c r="J14" s="940">
        <f>VLOOKUP(B14,All_Ingredients!$A$1:$J$161,10,FALSE())</f>
        <v>46.193749999999994</v>
      </c>
      <c r="K14" s="945">
        <f t="shared" si="7"/>
        <v>0.57560206185567009</v>
      </c>
      <c r="L14" s="945">
        <f t="shared" si="8"/>
        <v>26.589217744845357</v>
      </c>
    </row>
    <row r="15" spans="1:30" x14ac:dyDescent="0.25">
      <c r="B15" s="1252" t="s">
        <v>216</v>
      </c>
      <c r="C15" s="947" t="s">
        <v>14</v>
      </c>
      <c r="D15" s="1618">
        <v>11</v>
      </c>
      <c r="E15" s="1621">
        <f t="shared" si="4"/>
        <v>15.147422680412371</v>
      </c>
      <c r="F15" s="1616">
        <v>1</v>
      </c>
      <c r="G15" s="940">
        <f t="shared" si="0"/>
        <v>166.62164948453608</v>
      </c>
      <c r="H15" s="1617">
        <f t="shared" si="1"/>
        <v>166.62164948453608</v>
      </c>
      <c r="I15" s="914">
        <f>VLOOKUP(B15,All_Ingredients!$A$1:$F$161,6,FALSE())</f>
        <v>1</v>
      </c>
      <c r="J15" s="940">
        <f>VLOOKUP(B15,All_Ingredients!$A$1:$J$161,10,FALSE())</f>
        <v>5</v>
      </c>
      <c r="K15" s="945">
        <f t="shared" si="7"/>
        <v>0.16662164948453609</v>
      </c>
      <c r="L15" s="945">
        <f t="shared" si="8"/>
        <v>0.83310824742268041</v>
      </c>
    </row>
    <row r="16" spans="1:30" x14ac:dyDescent="0.25">
      <c r="B16" s="1252" t="s">
        <v>139</v>
      </c>
      <c r="C16" s="947" t="s">
        <v>14</v>
      </c>
      <c r="D16" s="1618">
        <v>10</v>
      </c>
      <c r="E16" s="1621">
        <f t="shared" si="4"/>
        <v>15.147422680412371</v>
      </c>
      <c r="F16" s="1616">
        <v>1</v>
      </c>
      <c r="G16" s="940">
        <f t="shared" si="0"/>
        <v>151.4742268041237</v>
      </c>
      <c r="H16" s="1617">
        <f t="shared" si="1"/>
        <v>151.4742268041237</v>
      </c>
      <c r="I16" s="914">
        <f>VLOOKUP(B16,All_Ingredients!$A$1:$F$161,6,FALSE())</f>
        <v>1</v>
      </c>
      <c r="J16" s="940">
        <f>VLOOKUP(B16,All_Ingredients!$A$1:$J$161,10,FALSE())</f>
        <v>15.277777777777779</v>
      </c>
      <c r="K16" s="945">
        <f t="shared" si="7"/>
        <v>0.1514742268041237</v>
      </c>
      <c r="L16" s="945">
        <f t="shared" si="8"/>
        <v>2.3141895761741123</v>
      </c>
    </row>
    <row r="17" spans="2:30" x14ac:dyDescent="0.25">
      <c r="B17" s="1252" t="s">
        <v>97</v>
      </c>
      <c r="C17" s="947" t="s">
        <v>14</v>
      </c>
      <c r="D17" s="1618">
        <v>3</v>
      </c>
      <c r="E17" s="1621">
        <f t="shared" si="4"/>
        <v>15.147422680412371</v>
      </c>
      <c r="F17" s="1616">
        <v>1</v>
      </c>
      <c r="G17" s="940">
        <f t="shared" si="0"/>
        <v>45.442268041237114</v>
      </c>
      <c r="H17" s="1617">
        <f t="shared" si="1"/>
        <v>45.442268041237114</v>
      </c>
      <c r="I17" s="914">
        <f>VLOOKUP(B17,All_Ingredients!$A$1:$F$161,6,FALSE())</f>
        <v>1</v>
      </c>
      <c r="J17" s="940">
        <f>VLOOKUP(B17,All_Ingredients!$A$1:$J$161,10,FALSE())</f>
        <v>38</v>
      </c>
      <c r="K17" s="945">
        <f t="shared" si="7"/>
        <v>4.5442268041237112E-2</v>
      </c>
      <c r="L17" s="945">
        <f t="shared" si="8"/>
        <v>1.7268061855670103</v>
      </c>
    </row>
    <row r="18" spans="2:30" x14ac:dyDescent="0.25">
      <c r="B18" s="1252" t="s">
        <v>103</v>
      </c>
      <c r="C18" s="947" t="s">
        <v>14</v>
      </c>
      <c r="D18" s="1618">
        <v>3</v>
      </c>
      <c r="E18" s="1621">
        <f t="shared" si="4"/>
        <v>15.147422680412371</v>
      </c>
      <c r="F18" s="1616">
        <v>1</v>
      </c>
      <c r="G18" s="940">
        <f t="shared" si="0"/>
        <v>45.442268041237114</v>
      </c>
      <c r="H18" s="1617">
        <f t="shared" si="1"/>
        <v>45.442268041237114</v>
      </c>
      <c r="I18" s="914">
        <f>VLOOKUP(B18,All_Ingredients!$A$1:$F$161,6,FALSE())</f>
        <v>1</v>
      </c>
      <c r="J18" s="940">
        <f>VLOOKUP(B18,All_Ingredients!$A$1:$J$161,10,FALSE())</f>
        <v>19</v>
      </c>
      <c r="K18" s="945">
        <f t="shared" si="7"/>
        <v>4.5442268041237112E-2</v>
      </c>
      <c r="L18" s="945">
        <f t="shared" si="8"/>
        <v>0.86340309278350513</v>
      </c>
    </row>
    <row r="19" spans="2:30" x14ac:dyDescent="0.25">
      <c r="B19" s="1252" t="s">
        <v>124</v>
      </c>
      <c r="C19" s="947" t="s">
        <v>14</v>
      </c>
      <c r="D19" s="1618">
        <v>3</v>
      </c>
      <c r="E19" s="1621">
        <f t="shared" si="4"/>
        <v>15.147422680412371</v>
      </c>
      <c r="F19" s="1616">
        <v>1</v>
      </c>
      <c r="G19" s="940">
        <f t="shared" si="0"/>
        <v>45.442268041237114</v>
      </c>
      <c r="H19" s="1617">
        <f t="shared" si="1"/>
        <v>45.442268041237114</v>
      </c>
      <c r="I19" s="914">
        <f>VLOOKUP(B19,All_Ingredients!$A$1:$F$161,6,FALSE())</f>
        <v>1</v>
      </c>
      <c r="J19" s="940">
        <f>VLOOKUP(B19,All_Ingredients!$A$1:$J$161,10,FALSE())</f>
        <v>37</v>
      </c>
      <c r="K19" s="945">
        <f t="shared" si="7"/>
        <v>4.5442268041237112E-2</v>
      </c>
      <c r="L19" s="945">
        <f t="shared" si="8"/>
        <v>1.6813639175257731</v>
      </c>
    </row>
    <row r="20" spans="2:30" x14ac:dyDescent="0.25">
      <c r="B20" s="1252" t="s">
        <v>903</v>
      </c>
      <c r="C20" s="947" t="s">
        <v>14</v>
      </c>
      <c r="D20" s="1618">
        <v>3</v>
      </c>
      <c r="E20" s="1621">
        <f t="shared" si="4"/>
        <v>15.147422680412371</v>
      </c>
      <c r="F20" s="1616">
        <v>1</v>
      </c>
      <c r="G20" s="940">
        <f t="shared" si="0"/>
        <v>45.442268041237114</v>
      </c>
      <c r="H20" s="1617">
        <f t="shared" si="1"/>
        <v>45.442268041237114</v>
      </c>
      <c r="I20" s="914">
        <f>VLOOKUP(B20,All_Ingredients!$A$1:$F$161,6,FALSE())</f>
        <v>1</v>
      </c>
      <c r="J20" s="940">
        <f>VLOOKUP(B20,All_Ingredients!$A$1:$J$161,10,FALSE())</f>
        <v>15</v>
      </c>
      <c r="K20" s="945">
        <f t="shared" si="7"/>
        <v>4.5442268041237112E-2</v>
      </c>
      <c r="L20" s="945">
        <f t="shared" si="8"/>
        <v>0.68163402061855671</v>
      </c>
    </row>
    <row r="21" spans="2:30" x14ac:dyDescent="0.25">
      <c r="B21" s="1252" t="s">
        <v>126</v>
      </c>
      <c r="C21" s="947" t="s">
        <v>14</v>
      </c>
      <c r="D21" s="1618">
        <v>3</v>
      </c>
      <c r="E21" s="1621">
        <f t="shared" si="4"/>
        <v>15.147422680412371</v>
      </c>
      <c r="F21" s="1616">
        <v>1</v>
      </c>
      <c r="G21" s="940">
        <f t="shared" si="0"/>
        <v>45.442268041237114</v>
      </c>
      <c r="H21" s="1617">
        <f t="shared" si="1"/>
        <v>45.442268041237114</v>
      </c>
      <c r="I21" s="914">
        <f>VLOOKUP(B21,All_Ingredients!$A$1:$F$161,6,FALSE())</f>
        <v>1</v>
      </c>
      <c r="J21" s="940">
        <f>VLOOKUP(B21,All_Ingredients!$A$1:$J$161,10,FALSE())</f>
        <v>125</v>
      </c>
      <c r="K21" s="945">
        <f t="shared" si="7"/>
        <v>4.5442268041237112E-2</v>
      </c>
      <c r="L21" s="945">
        <f t="shared" si="8"/>
        <v>5.6802835051546392</v>
      </c>
    </row>
    <row r="22" spans="2:30" x14ac:dyDescent="0.25">
      <c r="B22" s="80"/>
      <c r="E22" s="80"/>
      <c r="F22" s="80"/>
      <c r="L22" s="144"/>
    </row>
    <row r="23" spans="2:30" x14ac:dyDescent="0.25">
      <c r="L23" s="144"/>
    </row>
    <row r="24" spans="2:30" x14ac:dyDescent="0.25">
      <c r="L24" s="144"/>
      <c r="Z24" s="630"/>
    </row>
    <row r="25" spans="2:30" ht="15.75" x14ac:dyDescent="0.25">
      <c r="L25" s="144"/>
      <c r="R25" s="1885" t="s">
        <v>461</v>
      </c>
      <c r="S25" s="1850"/>
      <c r="T25" s="1850"/>
      <c r="U25" s="1850"/>
      <c r="Z25" s="96" t="s">
        <v>252</v>
      </c>
      <c r="AA25" s="97">
        <v>1</v>
      </c>
      <c r="AB25" s="96" t="s">
        <v>249</v>
      </c>
      <c r="AC25" s="596">
        <f>(AA25*(1.7))*AD30</f>
        <v>4.3599216803191357E-2</v>
      </c>
      <c r="AD25"/>
    </row>
    <row r="26" spans="2:30" x14ac:dyDescent="0.25">
      <c r="L26" s="144"/>
      <c r="R26" s="1881" t="s">
        <v>413</v>
      </c>
      <c r="S26" s="1867"/>
      <c r="T26" s="1867"/>
      <c r="U26" s="1867"/>
      <c r="AB26" s="14"/>
      <c r="AC26" s="14"/>
      <c r="AD26" s="14"/>
    </row>
    <row r="27" spans="2:30" ht="15.75" thickBot="1" x14ac:dyDescent="0.3">
      <c r="R27" s="100" t="s">
        <v>254</v>
      </c>
      <c r="S27" s="101" t="s">
        <v>255</v>
      </c>
      <c r="T27" s="101" t="s">
        <v>256</v>
      </c>
      <c r="U27" s="101" t="s">
        <v>257</v>
      </c>
      <c r="V27" s="101" t="s">
        <v>753</v>
      </c>
      <c r="Z27" s="96" t="s">
        <v>258</v>
      </c>
      <c r="AA27" s="102" t="s">
        <v>259</v>
      </c>
      <c r="AB27" s="102" t="s">
        <v>261</v>
      </c>
      <c r="AC27" s="581" t="s">
        <v>753</v>
      </c>
      <c r="AD27" s="102" t="s">
        <v>262</v>
      </c>
    </row>
    <row r="28" spans="2:30" ht="15.75" thickBot="1" x14ac:dyDescent="0.3">
      <c r="R28" s="103" t="s">
        <v>263</v>
      </c>
      <c r="S28" s="385">
        <f>Z1</f>
        <v>19990</v>
      </c>
      <c r="T28" s="104"/>
      <c r="U28" s="380">
        <f>S28/S40</f>
        <v>19990</v>
      </c>
      <c r="V28" s="104">
        <f>G37</f>
        <v>0</v>
      </c>
      <c r="Z28" s="105"/>
      <c r="AA28" s="106">
        <f>AA25*$S$40</f>
        <v>1</v>
      </c>
      <c r="AB28" s="107">
        <f>AA25*0.7</f>
        <v>0.7</v>
      </c>
      <c r="AC28" s="582"/>
      <c r="AD28" s="640">
        <f>SUM(AA28:AB28)</f>
        <v>1.7</v>
      </c>
    </row>
    <row r="29" spans="2:30" ht="15.75" thickBot="1" x14ac:dyDescent="0.3">
      <c r="B29" s="80"/>
      <c r="E29" s="80"/>
      <c r="F29" s="80"/>
      <c r="R29" s="103" t="s">
        <v>264</v>
      </c>
      <c r="S29" s="109"/>
      <c r="T29" s="104">
        <f>S28*0.7</f>
        <v>13993</v>
      </c>
      <c r="U29" s="380">
        <f>T29</f>
        <v>13993</v>
      </c>
      <c r="V29" s="104"/>
      <c r="Z29" s="105"/>
      <c r="AA29" s="110">
        <f>AA28/$AD$28</f>
        <v>0.58823529411764708</v>
      </c>
      <c r="AB29" s="110">
        <f>AB28/$AD$28</f>
        <v>0.41176470588235292</v>
      </c>
      <c r="AC29" s="583"/>
      <c r="AD29" s="110">
        <f>AD28/$AD$28</f>
        <v>1</v>
      </c>
    </row>
    <row r="30" spans="2:30" ht="15.75" thickBot="1" x14ac:dyDescent="0.3">
      <c r="B30" s="80"/>
      <c r="E30" s="80"/>
      <c r="F30" s="80"/>
      <c r="R30" s="103" t="s">
        <v>265</v>
      </c>
      <c r="S30" s="657">
        <f>AB1</f>
        <v>1000</v>
      </c>
      <c r="T30" s="382">
        <f>S30*0.7</f>
        <v>700</v>
      </c>
      <c r="U30" s="382">
        <f>S30/S40</f>
        <v>1000</v>
      </c>
      <c r="V30" s="547"/>
      <c r="Z30" s="96" t="s">
        <v>266</v>
      </c>
      <c r="AA30" s="111">
        <f>S35/(S32)</f>
        <v>3.9767441860465123E-2</v>
      </c>
      <c r="AB30" s="112">
        <f>T35/T32</f>
        <v>5.473964203894616E-3</v>
      </c>
      <c r="AC30" s="585">
        <f>V35/U32</f>
        <v>0</v>
      </c>
      <c r="AD30" s="587">
        <f>SUMPRODUCT(AA30:AB30,AA29:AB29)+AC30</f>
        <v>2.5646598119524328E-2</v>
      </c>
    </row>
    <row r="31" spans="2:30" ht="15.75" thickBot="1" x14ac:dyDescent="0.3">
      <c r="B31" s="80"/>
      <c r="E31" s="80"/>
      <c r="F31" s="80"/>
      <c r="R31" s="103" t="s">
        <v>267</v>
      </c>
      <c r="S31" s="109"/>
      <c r="T31" s="104"/>
      <c r="U31" s="104"/>
      <c r="V31" s="104"/>
    </row>
    <row r="32" spans="2:30" ht="15.75" thickBot="1" x14ac:dyDescent="0.3">
      <c r="B32" s="80"/>
      <c r="E32" s="80"/>
      <c r="F32" s="80"/>
      <c r="R32" s="114" t="s">
        <v>257</v>
      </c>
      <c r="S32" s="104">
        <f>SUM(S28:S30)</f>
        <v>20990</v>
      </c>
      <c r="T32" s="104">
        <f>SUM(T28:T30)</f>
        <v>14693</v>
      </c>
      <c r="U32" s="104">
        <f>SUM(S32:T32)</f>
        <v>35683</v>
      </c>
      <c r="V32" s="104">
        <f>SUM(V28:V30)</f>
        <v>0</v>
      </c>
    </row>
    <row r="33" spans="17:23" ht="15.75" thickBot="1" x14ac:dyDescent="0.3">
      <c r="R33" s="115" t="s">
        <v>268</v>
      </c>
      <c r="S33" s="109"/>
      <c r="T33" s="109"/>
      <c r="U33" s="109"/>
      <c r="V33" s="109"/>
    </row>
    <row r="34" spans="17:23" ht="15.75" thickBot="1" x14ac:dyDescent="0.3">
      <c r="R34" s="116" t="s">
        <v>269</v>
      </c>
      <c r="S34" s="109"/>
      <c r="T34" s="104"/>
      <c r="U34" s="109"/>
      <c r="V34" s="109"/>
    </row>
    <row r="35" spans="17:23" ht="15.75" thickBot="1" x14ac:dyDescent="0.3">
      <c r="R35" s="117" t="s">
        <v>249</v>
      </c>
      <c r="S35" s="548">
        <f>$L$5</f>
        <v>834.71860465116288</v>
      </c>
      <c r="T35" s="548">
        <f>SUM(L6:L21)</f>
        <v>80.42895604782359</v>
      </c>
      <c r="U35" s="548">
        <f>S35+T35+V35</f>
        <v>915.14756069898647</v>
      </c>
      <c r="V35" s="548">
        <f>K37</f>
        <v>0</v>
      </c>
    </row>
    <row r="40" spans="17:23" x14ac:dyDescent="0.25">
      <c r="Q40" s="14"/>
      <c r="R40" s="119" t="s">
        <v>270</v>
      </c>
      <c r="S40" s="163">
        <v>1</v>
      </c>
      <c r="T40" s="119" t="s">
        <v>271</v>
      </c>
      <c r="U40" s="163">
        <v>0</v>
      </c>
      <c r="V40" s="122">
        <f>S40+U40</f>
        <v>1</v>
      </c>
      <c r="W40" s="14"/>
    </row>
    <row r="41" spans="17:23" x14ac:dyDescent="0.25">
      <c r="Q41" s="14"/>
      <c r="R41" s="14"/>
      <c r="S41" s="14"/>
      <c r="T41" s="14"/>
      <c r="U41" s="123"/>
      <c r="V41" s="14"/>
      <c r="W41" s="14"/>
    </row>
    <row r="42" spans="17:23" x14ac:dyDescent="0.25">
      <c r="Q42" s="14"/>
      <c r="R42" s="14"/>
      <c r="S42" s="14"/>
      <c r="T42" s="14"/>
      <c r="U42" s="14"/>
      <c r="V42" s="14"/>
      <c r="W42" s="14"/>
    </row>
    <row r="43" spans="17:23" x14ac:dyDescent="0.25">
      <c r="Q43" s="124" t="s">
        <v>272</v>
      </c>
      <c r="R43" s="124" t="s">
        <v>273</v>
      </c>
      <c r="S43" s="124" t="s">
        <v>274</v>
      </c>
      <c r="T43" s="124" t="s">
        <v>275</v>
      </c>
      <c r="U43" s="124" t="s">
        <v>276</v>
      </c>
      <c r="V43" s="124" t="s">
        <v>277</v>
      </c>
      <c r="W43" s="124" t="s">
        <v>278</v>
      </c>
    </row>
    <row r="44" spans="17:23" x14ac:dyDescent="0.25">
      <c r="Q44" s="126">
        <v>14286</v>
      </c>
      <c r="R44" s="127">
        <f>D51</f>
        <v>10000</v>
      </c>
      <c r="S44" s="128">
        <v>0</v>
      </c>
      <c r="T44" s="128">
        <v>1</v>
      </c>
      <c r="U44" s="165">
        <f>R44*S44</f>
        <v>0</v>
      </c>
      <c r="V44" s="129">
        <f>R44*T44</f>
        <v>10000</v>
      </c>
      <c r="W44" s="129">
        <f>Q44-U44</f>
        <v>14286</v>
      </c>
    </row>
    <row r="50" spans="1:10" x14ac:dyDescent="0.25">
      <c r="B50" s="181"/>
      <c r="C50" s="100" t="s">
        <v>233</v>
      </c>
      <c r="D50" s="100" t="s">
        <v>279</v>
      </c>
      <c r="E50" s="80"/>
      <c r="F50" s="80"/>
      <c r="G50" s="100" t="s">
        <v>280</v>
      </c>
      <c r="H50" s="100" t="s">
        <v>233</v>
      </c>
      <c r="I50" s="100" t="s">
        <v>281</v>
      </c>
      <c r="J50" s="100" t="s">
        <v>282</v>
      </c>
    </row>
    <row r="51" spans="1:10" x14ac:dyDescent="0.25">
      <c r="B51" s="844" t="s">
        <v>283</v>
      </c>
      <c r="C51" s="133">
        <f>10/$K$1</f>
        <v>10.309278350515465</v>
      </c>
      <c r="D51" s="134">
        <f>$C$1*10</f>
        <v>10000</v>
      </c>
      <c r="E51" s="135"/>
      <c r="F51" s="80"/>
      <c r="G51" s="132" t="s">
        <v>283</v>
      </c>
      <c r="H51" s="182">
        <f>I51/$D$5</f>
        <v>10</v>
      </c>
      <c r="I51" s="133">
        <f>J51/$R$1</f>
        <v>28572</v>
      </c>
      <c r="J51" s="133">
        <f>$W$44</f>
        <v>14286</v>
      </c>
    </row>
    <row r="52" spans="1:10" x14ac:dyDescent="0.25">
      <c r="B52" s="846" t="s">
        <v>262</v>
      </c>
      <c r="C52" s="156">
        <f>$I$1</f>
        <v>15.147422680412371</v>
      </c>
      <c r="D52" s="157">
        <f>$E$1</f>
        <v>14693</v>
      </c>
      <c r="E52" s="80"/>
      <c r="F52" s="80"/>
      <c r="G52" s="103" t="s">
        <v>262</v>
      </c>
      <c r="H52" s="145">
        <f>I52/$D$5</f>
        <v>14.692706145877084</v>
      </c>
      <c r="I52" s="129">
        <f>J52/$R$1</f>
        <v>41980</v>
      </c>
      <c r="J52" s="136">
        <f>$S$32</f>
        <v>20990</v>
      </c>
    </row>
    <row r="53" spans="1:10" x14ac:dyDescent="0.25">
      <c r="B53" s="846" t="s">
        <v>284</v>
      </c>
      <c r="C53" s="158">
        <f>MIN(C52, C51)</f>
        <v>10.309278350515465</v>
      </c>
      <c r="D53" s="157">
        <f>(C53*$K$1)*$C$1</f>
        <v>10000</v>
      </c>
      <c r="E53" s="80"/>
      <c r="F53" s="80"/>
      <c r="G53" s="103" t="s">
        <v>284</v>
      </c>
      <c r="H53" s="139">
        <f>MIN(H52,H51)</f>
        <v>10</v>
      </c>
      <c r="I53" s="129">
        <f>J53/$R$1</f>
        <v>28572</v>
      </c>
      <c r="J53" s="129">
        <f>MIN(J52,J51)</f>
        <v>14286</v>
      </c>
    </row>
    <row r="54" spans="1:10" x14ac:dyDescent="0.25">
      <c r="B54" s="846" t="s">
        <v>285</v>
      </c>
      <c r="C54" s="158">
        <f>MIN(MAX(C52-C53,0),C51)</f>
        <v>4.838144329896906</v>
      </c>
      <c r="D54" s="157">
        <f>(C54*$K$1)*$C$1</f>
        <v>4692.9999999999991</v>
      </c>
      <c r="E54" s="80"/>
      <c r="F54" s="80"/>
      <c r="G54" s="103" t="s">
        <v>285</v>
      </c>
      <c r="H54" s="139">
        <f>MIN(MAX(H52-H53),H51)</f>
        <v>4.692706145877084</v>
      </c>
      <c r="I54" s="129">
        <f>J54/$R$1</f>
        <v>13408</v>
      </c>
      <c r="J54" s="129">
        <f>MIN(MAX(J52-J53),J51)</f>
        <v>6704</v>
      </c>
    </row>
    <row r="55" spans="1:10" x14ac:dyDescent="0.25">
      <c r="B55" s="846" t="s">
        <v>286</v>
      </c>
      <c r="C55" s="158">
        <f>MIN(MAX(C52-C53-C54,0),C51)</f>
        <v>0</v>
      </c>
      <c r="D55" s="157">
        <f>(C55*$K$1)*$C$1</f>
        <v>0</v>
      </c>
      <c r="E55" s="80"/>
      <c r="F55" s="80"/>
      <c r="G55" s="100" t="s">
        <v>286</v>
      </c>
      <c r="H55" s="139">
        <f>MIN(MAX(H52-H53-H54),H51)</f>
        <v>0</v>
      </c>
      <c r="I55" s="129">
        <f>J55/$R$1</f>
        <v>0</v>
      </c>
      <c r="J55" s="129">
        <f>MIN(MAX(J52-J53-J54),J51)</f>
        <v>0</v>
      </c>
    </row>
    <row r="62" spans="1:10" x14ac:dyDescent="0.25">
      <c r="A62" s="862"/>
      <c r="B62" s="1871" t="str">
        <f>"ملوخية دجاج  1 / " &amp; COUNTIF($C$53:$C$55, "&gt;0")</f>
        <v>ملوخية دجاج  1 / 2</v>
      </c>
      <c r="C62" s="1880"/>
      <c r="D62" s="1880"/>
      <c r="E62" s="1880"/>
      <c r="F62" s="1880"/>
      <c r="G62" s="1880"/>
      <c r="H62" s="1880"/>
    </row>
    <row r="63" spans="1:10" x14ac:dyDescent="0.25">
      <c r="A63" s="862"/>
      <c r="B63" s="1872" t="str">
        <f>"Chicken Molokeya  1 / " &amp; COUNTIF($C$53:$C$55, "&gt;0")</f>
        <v>Chicken Molokeya  1 / 2</v>
      </c>
      <c r="C63" s="1883"/>
      <c r="D63" s="1883"/>
      <c r="E63" s="1883"/>
      <c r="F63" s="1883"/>
      <c r="G63" s="1883"/>
      <c r="H63" s="1883"/>
    </row>
    <row r="64" spans="1:10" ht="30" x14ac:dyDescent="0.2">
      <c r="A64" s="1350" t="s">
        <v>864</v>
      </c>
      <c r="B64" s="923" t="s">
        <v>241</v>
      </c>
      <c r="C64" s="934" t="s">
        <v>242</v>
      </c>
      <c r="D64" s="923" t="s">
        <v>231</v>
      </c>
      <c r="E64" s="936" t="s">
        <v>234</v>
      </c>
      <c r="F64" s="935" t="s">
        <v>243</v>
      </c>
      <c r="G64" s="923" t="s">
        <v>244</v>
      </c>
      <c r="H64" s="936" t="s">
        <v>245</v>
      </c>
    </row>
    <row r="65" spans="1:8" x14ac:dyDescent="0.25">
      <c r="A65" s="1" t="s">
        <v>872</v>
      </c>
      <c r="B65" s="1252" t="str">
        <f t="shared" ref="B65:D80" si="9">B5</f>
        <v>Chicken - دجاج</v>
      </c>
      <c r="C65" s="1252" t="str">
        <f t="shared" si="9"/>
        <v>gm</v>
      </c>
      <c r="D65" s="1252">
        <f t="shared" si="9"/>
        <v>2857.2</v>
      </c>
      <c r="E65" s="1621">
        <f>H53</f>
        <v>10</v>
      </c>
      <c r="F65" s="1616">
        <f t="shared" ref="F65:F81" si="10">F5</f>
        <v>1</v>
      </c>
      <c r="G65" s="940">
        <f t="shared" ref="G65:G81" si="11">D65*E65</f>
        <v>28572</v>
      </c>
      <c r="H65" s="1617">
        <f t="shared" ref="H65:H81" si="12">G65*F65</f>
        <v>28572</v>
      </c>
    </row>
    <row r="66" spans="1:8" x14ac:dyDescent="0.25">
      <c r="B66" s="1252" t="str">
        <f>B6</f>
        <v>Frozen Molokeya - ملوخية مجمدة</v>
      </c>
      <c r="C66" s="1252" t="str">
        <f t="shared" si="9"/>
        <v>gm</v>
      </c>
      <c r="D66" s="1252">
        <f t="shared" si="9"/>
        <v>520</v>
      </c>
      <c r="E66" s="1621">
        <f>$C$53</f>
        <v>10.309278350515465</v>
      </c>
      <c r="F66" s="1616">
        <f t="shared" si="10"/>
        <v>1</v>
      </c>
      <c r="G66" s="940">
        <f t="shared" si="11"/>
        <v>5360.8247422680415</v>
      </c>
      <c r="H66" s="1617">
        <f t="shared" si="12"/>
        <v>5360.8247422680415</v>
      </c>
    </row>
    <row r="67" spans="1:8" x14ac:dyDescent="0.25">
      <c r="B67" s="1252" t="str">
        <f t="shared" si="9"/>
        <v>Chicken Stock - مرق دجاج</v>
      </c>
      <c r="C67" s="1252" t="str">
        <f t="shared" si="9"/>
        <v>ml</v>
      </c>
      <c r="D67" s="1252">
        <f t="shared" si="9"/>
        <v>600</v>
      </c>
      <c r="E67" s="1621">
        <f t="shared" ref="E67:E81" si="13">$C$53</f>
        <v>10.309278350515465</v>
      </c>
      <c r="F67" s="1616">
        <f t="shared" si="10"/>
        <v>0.95</v>
      </c>
      <c r="G67" s="940">
        <f t="shared" si="11"/>
        <v>6185.5670103092789</v>
      </c>
      <c r="H67" s="1617">
        <f t="shared" si="12"/>
        <v>5876.288659793815</v>
      </c>
    </row>
    <row r="68" spans="1:8" x14ac:dyDescent="0.25">
      <c r="B68" s="1252" t="str">
        <f t="shared" si="9"/>
        <v>Cumin Powder - كمون مطحون</v>
      </c>
      <c r="C68" s="1252" t="str">
        <f t="shared" si="9"/>
        <v>gm</v>
      </c>
      <c r="D68" s="1252">
        <f t="shared" si="9"/>
        <v>4</v>
      </c>
      <c r="E68" s="1621">
        <f t="shared" si="13"/>
        <v>10.309278350515465</v>
      </c>
      <c r="F68" s="1616">
        <f t="shared" si="10"/>
        <v>0.75</v>
      </c>
      <c r="G68" s="940">
        <f t="shared" si="11"/>
        <v>41.237113402061858</v>
      </c>
      <c r="H68" s="1617">
        <f t="shared" si="12"/>
        <v>30.927835051546396</v>
      </c>
    </row>
    <row r="69" spans="1:8" x14ac:dyDescent="0.25">
      <c r="B69" s="1252" t="str">
        <f t="shared" si="9"/>
        <v>Coriander Powder - كزبرة مطحونة</v>
      </c>
      <c r="C69" s="1252" t="str">
        <f t="shared" si="9"/>
        <v>gm</v>
      </c>
      <c r="D69" s="1252">
        <f t="shared" si="9"/>
        <v>4</v>
      </c>
      <c r="E69" s="1621">
        <f t="shared" si="13"/>
        <v>10.309278350515465</v>
      </c>
      <c r="F69" s="1616">
        <f t="shared" si="10"/>
        <v>0.75</v>
      </c>
      <c r="G69" s="940">
        <f t="shared" si="11"/>
        <v>41.237113402061858</v>
      </c>
      <c r="H69" s="1617">
        <f t="shared" si="12"/>
        <v>30.927835051546396</v>
      </c>
    </row>
    <row r="70" spans="1:8" x14ac:dyDescent="0.25">
      <c r="B70" s="1252" t="str">
        <f t="shared" si="9"/>
        <v>Cinnamon Powder - قرفة مطحونة</v>
      </c>
      <c r="C70" s="1252" t="str">
        <f t="shared" si="9"/>
        <v>gm</v>
      </c>
      <c r="D70" s="1252">
        <f t="shared" si="9"/>
        <v>4</v>
      </c>
      <c r="E70" s="1621">
        <f t="shared" si="13"/>
        <v>10.309278350515465</v>
      </c>
      <c r="F70" s="1616">
        <f t="shared" si="10"/>
        <v>0.9</v>
      </c>
      <c r="G70" s="940">
        <f t="shared" si="11"/>
        <v>41.237113402061858</v>
      </c>
      <c r="H70" s="1617">
        <f t="shared" si="12"/>
        <v>37.113402061855673</v>
      </c>
    </row>
    <row r="71" spans="1:8" x14ac:dyDescent="0.25">
      <c r="B71" s="1252" t="str">
        <f t="shared" si="9"/>
        <v>Black Pepper Powder - فلفل أسود مطحون</v>
      </c>
      <c r="C71" s="1252" t="str">
        <f t="shared" si="9"/>
        <v>gm</v>
      </c>
      <c r="D71" s="1252">
        <f t="shared" si="9"/>
        <v>4</v>
      </c>
      <c r="E71" s="1621">
        <f t="shared" si="13"/>
        <v>10.309278350515465</v>
      </c>
      <c r="F71" s="1616">
        <f t="shared" si="10"/>
        <v>0.9</v>
      </c>
      <c r="G71" s="940">
        <f t="shared" si="11"/>
        <v>41.237113402061858</v>
      </c>
      <c r="H71" s="1617">
        <f t="shared" si="12"/>
        <v>37.113402061855673</v>
      </c>
    </row>
    <row r="72" spans="1:8" x14ac:dyDescent="0.25">
      <c r="B72" s="1252" t="str">
        <f t="shared" si="9"/>
        <v>Salt - ملح</v>
      </c>
      <c r="C72" s="1252" t="str">
        <f t="shared" si="9"/>
        <v>gm</v>
      </c>
      <c r="D72" s="1252">
        <f t="shared" si="9"/>
        <v>11</v>
      </c>
      <c r="E72" s="1621">
        <f t="shared" si="13"/>
        <v>10.309278350515465</v>
      </c>
      <c r="F72" s="1616">
        <f t="shared" si="10"/>
        <v>0.75</v>
      </c>
      <c r="G72" s="940">
        <f t="shared" si="11"/>
        <v>113.40206185567011</v>
      </c>
      <c r="H72" s="1617">
        <f t="shared" si="12"/>
        <v>85.051546391752581</v>
      </c>
    </row>
    <row r="73" spans="1:8" x14ac:dyDescent="0.2">
      <c r="A73" s="177" t="s">
        <v>868</v>
      </c>
      <c r="B73" s="1252" t="str">
        <f t="shared" si="9"/>
        <v>Garlic - ثوم مقشر</v>
      </c>
      <c r="C73" s="1252" t="str">
        <f t="shared" si="9"/>
        <v>gm</v>
      </c>
      <c r="D73" s="1252">
        <f t="shared" si="9"/>
        <v>25</v>
      </c>
      <c r="E73" s="1621">
        <f t="shared" si="13"/>
        <v>10.309278350515465</v>
      </c>
      <c r="F73" s="1616">
        <f t="shared" si="10"/>
        <v>1</v>
      </c>
      <c r="G73" s="940">
        <f t="shared" si="11"/>
        <v>257.73195876288662</v>
      </c>
      <c r="H73" s="1617">
        <f t="shared" si="12"/>
        <v>257.73195876288662</v>
      </c>
    </row>
    <row r="74" spans="1:8" x14ac:dyDescent="0.25">
      <c r="B74" s="1252" t="str">
        <f t="shared" si="9"/>
        <v>Ghee - سمن</v>
      </c>
      <c r="C74" s="1252" t="str">
        <f t="shared" si="9"/>
        <v>gm</v>
      </c>
      <c r="D74" s="1252">
        <f t="shared" si="9"/>
        <v>38</v>
      </c>
      <c r="E74" s="1621">
        <f t="shared" si="13"/>
        <v>10.309278350515465</v>
      </c>
      <c r="F74" s="1616">
        <f t="shared" si="10"/>
        <v>1</v>
      </c>
      <c r="G74" s="940">
        <f t="shared" si="11"/>
        <v>391.75257731958766</v>
      </c>
      <c r="H74" s="1617">
        <f t="shared" si="12"/>
        <v>391.75257731958766</v>
      </c>
    </row>
    <row r="75" spans="1:8" x14ac:dyDescent="0.25">
      <c r="B75" s="1252" t="str">
        <f t="shared" si="9"/>
        <v>Soda Bi Carb - بيكربونات الصوديوم</v>
      </c>
      <c r="C75" s="1252" t="str">
        <f t="shared" si="9"/>
        <v>gm</v>
      </c>
      <c r="D75" s="1252">
        <f t="shared" si="9"/>
        <v>11</v>
      </c>
      <c r="E75" s="1621">
        <f t="shared" si="13"/>
        <v>10.309278350515465</v>
      </c>
      <c r="F75" s="1616">
        <f t="shared" si="10"/>
        <v>1</v>
      </c>
      <c r="G75" s="940">
        <f t="shared" si="11"/>
        <v>113.40206185567011</v>
      </c>
      <c r="H75" s="1617">
        <f t="shared" si="12"/>
        <v>113.40206185567011</v>
      </c>
    </row>
    <row r="76" spans="1:8" x14ac:dyDescent="0.25">
      <c r="B76" s="1252" t="str">
        <f t="shared" si="9"/>
        <v>Maggi Cubes - مكعبات ماجي</v>
      </c>
      <c r="C76" s="1252" t="str">
        <f t="shared" si="9"/>
        <v>gm</v>
      </c>
      <c r="D76" s="1252">
        <f t="shared" si="9"/>
        <v>10</v>
      </c>
      <c r="E76" s="1621">
        <f t="shared" si="13"/>
        <v>10.309278350515465</v>
      </c>
      <c r="F76" s="1616">
        <f t="shared" si="10"/>
        <v>1</v>
      </c>
      <c r="G76" s="940">
        <f t="shared" si="11"/>
        <v>103.09278350515464</v>
      </c>
      <c r="H76" s="1617">
        <f t="shared" si="12"/>
        <v>103.09278350515464</v>
      </c>
    </row>
    <row r="77" spans="1:8" x14ac:dyDescent="0.25">
      <c r="B77" s="1252" t="str">
        <f t="shared" si="9"/>
        <v>Black Pepper Whole - فلفل أسود حب</v>
      </c>
      <c r="C77" s="1252" t="str">
        <f t="shared" si="9"/>
        <v>gm</v>
      </c>
      <c r="D77" s="1252">
        <f t="shared" si="9"/>
        <v>3</v>
      </c>
      <c r="E77" s="1621">
        <f t="shared" si="13"/>
        <v>10.309278350515465</v>
      </c>
      <c r="F77" s="1616">
        <f t="shared" si="10"/>
        <v>1</v>
      </c>
      <c r="G77" s="940">
        <f t="shared" si="11"/>
        <v>30.927835051546396</v>
      </c>
      <c r="H77" s="1617">
        <f t="shared" si="12"/>
        <v>30.927835051546396</v>
      </c>
    </row>
    <row r="78" spans="1:8" x14ac:dyDescent="0.25">
      <c r="B78" s="1252" t="str">
        <f t="shared" si="9"/>
        <v>Cumin Whole - كمون حب</v>
      </c>
      <c r="C78" s="1252" t="str">
        <f t="shared" si="9"/>
        <v>gm</v>
      </c>
      <c r="D78" s="1252">
        <f t="shared" si="9"/>
        <v>3</v>
      </c>
      <c r="E78" s="1621">
        <f t="shared" si="13"/>
        <v>10.309278350515465</v>
      </c>
      <c r="F78" s="1616">
        <f t="shared" si="10"/>
        <v>1</v>
      </c>
      <c r="G78" s="940">
        <f t="shared" si="11"/>
        <v>30.927835051546396</v>
      </c>
      <c r="H78" s="1617">
        <f t="shared" si="12"/>
        <v>30.927835051546396</v>
      </c>
    </row>
    <row r="79" spans="1:8" x14ac:dyDescent="0.25">
      <c r="B79" s="1252" t="str">
        <f t="shared" si="9"/>
        <v>Cloves Whole - قرنفل حب</v>
      </c>
      <c r="C79" s="1252" t="str">
        <f t="shared" si="9"/>
        <v>gm</v>
      </c>
      <c r="D79" s="1252">
        <f t="shared" si="9"/>
        <v>3</v>
      </c>
      <c r="E79" s="1621">
        <f t="shared" si="13"/>
        <v>10.309278350515465</v>
      </c>
      <c r="F79" s="1616">
        <f t="shared" si="10"/>
        <v>1</v>
      </c>
      <c r="G79" s="940">
        <f t="shared" si="11"/>
        <v>30.927835051546396</v>
      </c>
      <c r="H79" s="1617">
        <f t="shared" si="12"/>
        <v>30.927835051546396</v>
      </c>
    </row>
    <row r="80" spans="1:8" x14ac:dyDescent="0.25">
      <c r="B80" s="1252" t="str">
        <f t="shared" si="9"/>
        <v>Cinnamon whole - قرفة أعواد</v>
      </c>
      <c r="C80" s="1252" t="str">
        <f t="shared" si="9"/>
        <v>gm</v>
      </c>
      <c r="D80" s="1252">
        <f t="shared" si="9"/>
        <v>3</v>
      </c>
      <c r="E80" s="1621">
        <f t="shared" si="13"/>
        <v>10.309278350515465</v>
      </c>
      <c r="F80" s="1616">
        <f t="shared" si="10"/>
        <v>1</v>
      </c>
      <c r="G80" s="940">
        <f t="shared" si="11"/>
        <v>30.927835051546396</v>
      </c>
      <c r="H80" s="1617">
        <f t="shared" si="12"/>
        <v>30.927835051546396</v>
      </c>
    </row>
    <row r="81" spans="1:8" x14ac:dyDescent="0.25">
      <c r="B81" s="1252" t="str">
        <f t="shared" ref="B81:D81" si="14">B21</f>
        <v>Cardamom Whole - هيل حب</v>
      </c>
      <c r="C81" s="1252" t="str">
        <f t="shared" si="14"/>
        <v>gm</v>
      </c>
      <c r="D81" s="1252">
        <f t="shared" si="14"/>
        <v>3</v>
      </c>
      <c r="E81" s="1621">
        <f t="shared" si="13"/>
        <v>10.309278350515465</v>
      </c>
      <c r="F81" s="1616">
        <f t="shared" si="10"/>
        <v>1</v>
      </c>
      <c r="G81" s="940">
        <f t="shared" si="11"/>
        <v>30.927835051546396</v>
      </c>
      <c r="H81" s="1617">
        <f t="shared" si="12"/>
        <v>30.927835051546396</v>
      </c>
    </row>
    <row r="82" spans="1:8" ht="18" x14ac:dyDescent="0.25">
      <c r="A82" s="861"/>
      <c r="B82" s="1622" t="s">
        <v>287</v>
      </c>
      <c r="C82" s="1042" t="s">
        <v>273</v>
      </c>
      <c r="D82" s="952"/>
      <c r="E82" s="1042" t="s">
        <v>288</v>
      </c>
      <c r="F82" s="952"/>
      <c r="G82" s="1045" t="s">
        <v>264</v>
      </c>
      <c r="H82" s="1045" t="s">
        <v>661</v>
      </c>
    </row>
    <row r="83" spans="1:8" ht="20.25" x14ac:dyDescent="0.3">
      <c r="A83" s="861"/>
      <c r="B83" s="1048">
        <f>$J$53</f>
        <v>14286</v>
      </c>
      <c r="C83" s="1048">
        <f>E83+G83</f>
        <v>10000</v>
      </c>
      <c r="D83" s="1629"/>
      <c r="E83" s="1048">
        <f>$D$53*$S$44</f>
        <v>0</v>
      </c>
      <c r="F83" s="1050"/>
      <c r="G83" s="1048">
        <f>$D$53*$T$44</f>
        <v>10000</v>
      </c>
      <c r="H83" s="1048">
        <f>B83+E83</f>
        <v>14286</v>
      </c>
    </row>
    <row r="84" spans="1:8" x14ac:dyDescent="0.25">
      <c r="B84" s="1208"/>
      <c r="C84" s="959"/>
      <c r="D84" s="959"/>
      <c r="E84" s="1208"/>
      <c r="F84" s="1208"/>
      <c r="G84" s="959"/>
      <c r="H84" s="959"/>
    </row>
    <row r="85" spans="1:8" x14ac:dyDescent="0.25">
      <c r="A85" s="862"/>
      <c r="B85" s="1776" t="str">
        <f>"ملوخية دجاج  2 / " &amp; COUNTIF($C$53:$C$55, "&gt;0")</f>
        <v>ملوخية دجاج  2 / 2</v>
      </c>
      <c r="C85" s="1777"/>
      <c r="D85" s="1777"/>
      <c r="E85" s="1777"/>
      <c r="F85" s="1777"/>
      <c r="G85" s="1777"/>
      <c r="H85" s="1777"/>
    </row>
    <row r="86" spans="1:8" x14ac:dyDescent="0.25">
      <c r="A86" s="862"/>
      <c r="B86" s="1842" t="str">
        <f>"Chicken Molokeya  2 / " &amp; COUNTIF($C$53:$C$55, "&gt;0")</f>
        <v>Chicken Molokeya  2 / 2</v>
      </c>
      <c r="C86" s="1843"/>
      <c r="D86" s="1843"/>
      <c r="E86" s="1843"/>
      <c r="F86" s="1843"/>
      <c r="G86" s="1843"/>
      <c r="H86" s="1843"/>
    </row>
    <row r="87" spans="1:8" ht="30" x14ac:dyDescent="0.2">
      <c r="A87" s="1350" t="s">
        <v>864</v>
      </c>
      <c r="B87" s="923" t="s">
        <v>241</v>
      </c>
      <c r="C87" s="934" t="s">
        <v>242</v>
      </c>
      <c r="D87" s="923" t="s">
        <v>231</v>
      </c>
      <c r="E87" s="936" t="s">
        <v>234</v>
      </c>
      <c r="F87" s="935" t="s">
        <v>243</v>
      </c>
      <c r="G87" s="923" t="s">
        <v>244</v>
      </c>
      <c r="H87" s="936" t="s">
        <v>245</v>
      </c>
    </row>
    <row r="88" spans="1:8" x14ac:dyDescent="0.25">
      <c r="A88" s="1" t="s">
        <v>872</v>
      </c>
      <c r="B88" s="1252" t="str">
        <f t="shared" ref="B88:D103" si="15">B5</f>
        <v>Chicken - دجاج</v>
      </c>
      <c r="C88" s="1252" t="str">
        <f t="shared" si="15"/>
        <v>gm</v>
      </c>
      <c r="D88" s="1252">
        <f t="shared" si="15"/>
        <v>2857.2</v>
      </c>
      <c r="E88" s="1627">
        <f>H54</f>
        <v>4.692706145877084</v>
      </c>
      <c r="F88" s="1616">
        <f t="shared" ref="F88:F104" si="16">F5</f>
        <v>1</v>
      </c>
      <c r="G88" s="940">
        <f t="shared" ref="G88:G104" si="17">D88*E88</f>
        <v>13408.000000000004</v>
      </c>
      <c r="H88" s="1617">
        <f t="shared" ref="H88:H104" si="18">G88*F88</f>
        <v>13408.000000000004</v>
      </c>
    </row>
    <row r="89" spans="1:8" x14ac:dyDescent="0.25">
      <c r="B89" s="1252" t="str">
        <f t="shared" si="15"/>
        <v>Frozen Molokeya - ملوخية مجمدة</v>
      </c>
      <c r="C89" s="1252" t="str">
        <f t="shared" si="15"/>
        <v>gm</v>
      </c>
      <c r="D89" s="1252">
        <f t="shared" si="15"/>
        <v>520</v>
      </c>
      <c r="E89" s="1627">
        <f t="shared" ref="E89:E104" si="19">$C$54</f>
        <v>4.838144329896906</v>
      </c>
      <c r="F89" s="1616">
        <f t="shared" si="16"/>
        <v>1</v>
      </c>
      <c r="G89" s="940">
        <f t="shared" si="17"/>
        <v>2515.8350515463912</v>
      </c>
      <c r="H89" s="1617">
        <f t="shared" si="18"/>
        <v>2515.8350515463912</v>
      </c>
    </row>
    <row r="90" spans="1:8" x14ac:dyDescent="0.25">
      <c r="B90" s="1252" t="str">
        <f t="shared" si="15"/>
        <v>Chicken Stock - مرق دجاج</v>
      </c>
      <c r="C90" s="1252" t="str">
        <f t="shared" si="15"/>
        <v>ml</v>
      </c>
      <c r="D90" s="1252">
        <f t="shared" si="15"/>
        <v>600</v>
      </c>
      <c r="E90" s="1627">
        <f>$C$54</f>
        <v>4.838144329896906</v>
      </c>
      <c r="F90" s="1616">
        <f t="shared" si="16"/>
        <v>0.95</v>
      </c>
      <c r="G90" s="940">
        <f t="shared" si="17"/>
        <v>2902.8865979381435</v>
      </c>
      <c r="H90" s="1617">
        <f t="shared" si="18"/>
        <v>2757.742268041236</v>
      </c>
    </row>
    <row r="91" spans="1:8" x14ac:dyDescent="0.25">
      <c r="B91" s="1252" t="str">
        <f t="shared" si="15"/>
        <v>Cumin Powder - كمون مطحون</v>
      </c>
      <c r="C91" s="1252" t="str">
        <f t="shared" si="15"/>
        <v>gm</v>
      </c>
      <c r="D91" s="1252">
        <f t="shared" si="15"/>
        <v>4</v>
      </c>
      <c r="E91" s="1627">
        <f t="shared" si="19"/>
        <v>4.838144329896906</v>
      </c>
      <c r="F91" s="1616">
        <f t="shared" si="16"/>
        <v>0.75</v>
      </c>
      <c r="G91" s="940">
        <f t="shared" si="17"/>
        <v>19.352577319587624</v>
      </c>
      <c r="H91" s="1617">
        <f t="shared" si="18"/>
        <v>14.514432989690718</v>
      </c>
    </row>
    <row r="92" spans="1:8" x14ac:dyDescent="0.25">
      <c r="B92" s="1252" t="str">
        <f t="shared" si="15"/>
        <v>Coriander Powder - كزبرة مطحونة</v>
      </c>
      <c r="C92" s="1252" t="str">
        <f t="shared" si="15"/>
        <v>gm</v>
      </c>
      <c r="D92" s="1252">
        <f t="shared" si="15"/>
        <v>4</v>
      </c>
      <c r="E92" s="1627">
        <f t="shared" si="19"/>
        <v>4.838144329896906</v>
      </c>
      <c r="F92" s="1616">
        <f t="shared" si="16"/>
        <v>0.75</v>
      </c>
      <c r="G92" s="940">
        <f t="shared" si="17"/>
        <v>19.352577319587624</v>
      </c>
      <c r="H92" s="1617">
        <f t="shared" si="18"/>
        <v>14.514432989690718</v>
      </c>
    </row>
    <row r="93" spans="1:8" x14ac:dyDescent="0.25">
      <c r="B93" s="1252" t="str">
        <f t="shared" si="15"/>
        <v>Cinnamon Powder - قرفة مطحونة</v>
      </c>
      <c r="C93" s="1252" t="str">
        <f t="shared" si="15"/>
        <v>gm</v>
      </c>
      <c r="D93" s="1252">
        <f t="shared" si="15"/>
        <v>4</v>
      </c>
      <c r="E93" s="1627">
        <f t="shared" si="19"/>
        <v>4.838144329896906</v>
      </c>
      <c r="F93" s="1616">
        <f t="shared" si="16"/>
        <v>0.9</v>
      </c>
      <c r="G93" s="940">
        <f t="shared" si="17"/>
        <v>19.352577319587624</v>
      </c>
      <c r="H93" s="1617">
        <f t="shared" si="18"/>
        <v>17.417319587628864</v>
      </c>
    </row>
    <row r="94" spans="1:8" x14ac:dyDescent="0.25">
      <c r="B94" s="1252" t="str">
        <f t="shared" si="15"/>
        <v>Black Pepper Powder - فلفل أسود مطحون</v>
      </c>
      <c r="C94" s="1252" t="str">
        <f t="shared" si="15"/>
        <v>gm</v>
      </c>
      <c r="D94" s="1252">
        <f t="shared" si="15"/>
        <v>4</v>
      </c>
      <c r="E94" s="1627">
        <f t="shared" si="19"/>
        <v>4.838144329896906</v>
      </c>
      <c r="F94" s="1616">
        <f t="shared" si="16"/>
        <v>0.9</v>
      </c>
      <c r="G94" s="940">
        <f t="shared" si="17"/>
        <v>19.352577319587624</v>
      </c>
      <c r="H94" s="1617">
        <f t="shared" si="18"/>
        <v>17.417319587628864</v>
      </c>
    </row>
    <row r="95" spans="1:8" x14ac:dyDescent="0.25">
      <c r="B95" s="1252" t="str">
        <f t="shared" si="15"/>
        <v>Salt - ملح</v>
      </c>
      <c r="C95" s="1252" t="str">
        <f t="shared" si="15"/>
        <v>gm</v>
      </c>
      <c r="D95" s="1252">
        <f t="shared" si="15"/>
        <v>11</v>
      </c>
      <c r="E95" s="1627">
        <f t="shared" si="19"/>
        <v>4.838144329896906</v>
      </c>
      <c r="F95" s="1616">
        <f t="shared" si="16"/>
        <v>0.75</v>
      </c>
      <c r="G95" s="940">
        <f t="shared" si="17"/>
        <v>53.219587628865966</v>
      </c>
      <c r="H95" s="1617">
        <f t="shared" si="18"/>
        <v>39.914690721649478</v>
      </c>
    </row>
    <row r="96" spans="1:8" x14ac:dyDescent="0.2">
      <c r="A96" s="177" t="s">
        <v>868</v>
      </c>
      <c r="B96" s="1252" t="str">
        <f t="shared" si="15"/>
        <v>Garlic - ثوم مقشر</v>
      </c>
      <c r="C96" s="1252" t="str">
        <f t="shared" si="15"/>
        <v>gm</v>
      </c>
      <c r="D96" s="1252">
        <f t="shared" si="15"/>
        <v>25</v>
      </c>
      <c r="E96" s="1627">
        <f t="shared" si="19"/>
        <v>4.838144329896906</v>
      </c>
      <c r="F96" s="1616">
        <f t="shared" si="16"/>
        <v>1</v>
      </c>
      <c r="G96" s="940">
        <f t="shared" si="17"/>
        <v>120.95360824742265</v>
      </c>
      <c r="H96" s="1617">
        <f t="shared" si="18"/>
        <v>120.95360824742265</v>
      </c>
    </row>
    <row r="97" spans="1:8" x14ac:dyDescent="0.25">
      <c r="B97" s="1252" t="str">
        <f t="shared" si="15"/>
        <v>Ghee - سمن</v>
      </c>
      <c r="C97" s="1252" t="str">
        <f t="shared" si="15"/>
        <v>gm</v>
      </c>
      <c r="D97" s="1252">
        <f t="shared" si="15"/>
        <v>38</v>
      </c>
      <c r="E97" s="1627">
        <f t="shared" si="19"/>
        <v>4.838144329896906</v>
      </c>
      <c r="F97" s="1616">
        <f t="shared" si="16"/>
        <v>1</v>
      </c>
      <c r="G97" s="940">
        <f t="shared" si="17"/>
        <v>183.84948453608243</v>
      </c>
      <c r="H97" s="1617">
        <f t="shared" si="18"/>
        <v>183.84948453608243</v>
      </c>
    </row>
    <row r="98" spans="1:8" x14ac:dyDescent="0.25">
      <c r="B98" s="1252" t="str">
        <f t="shared" si="15"/>
        <v>Soda Bi Carb - بيكربونات الصوديوم</v>
      </c>
      <c r="C98" s="1252" t="str">
        <f t="shared" si="15"/>
        <v>gm</v>
      </c>
      <c r="D98" s="1252">
        <f t="shared" si="15"/>
        <v>11</v>
      </c>
      <c r="E98" s="1627">
        <f t="shared" si="19"/>
        <v>4.838144329896906</v>
      </c>
      <c r="F98" s="1616">
        <f t="shared" si="16"/>
        <v>1</v>
      </c>
      <c r="G98" s="940">
        <f t="shared" si="17"/>
        <v>53.219587628865966</v>
      </c>
      <c r="H98" s="1617">
        <f t="shared" si="18"/>
        <v>53.219587628865966</v>
      </c>
    </row>
    <row r="99" spans="1:8" x14ac:dyDescent="0.25">
      <c r="B99" s="1252" t="str">
        <f t="shared" si="15"/>
        <v>Maggi Cubes - مكعبات ماجي</v>
      </c>
      <c r="C99" s="1252" t="str">
        <f t="shared" si="15"/>
        <v>gm</v>
      </c>
      <c r="D99" s="1252">
        <f t="shared" si="15"/>
        <v>10</v>
      </c>
      <c r="E99" s="1627">
        <f t="shared" si="19"/>
        <v>4.838144329896906</v>
      </c>
      <c r="F99" s="1616">
        <f t="shared" si="16"/>
        <v>1</v>
      </c>
      <c r="G99" s="940">
        <f t="shared" si="17"/>
        <v>48.38144329896906</v>
      </c>
      <c r="H99" s="1617">
        <f t="shared" si="18"/>
        <v>48.38144329896906</v>
      </c>
    </row>
    <row r="100" spans="1:8" x14ac:dyDescent="0.25">
      <c r="B100" s="1252" t="str">
        <f t="shared" si="15"/>
        <v>Black Pepper Whole - فلفل أسود حب</v>
      </c>
      <c r="C100" s="1252" t="str">
        <f t="shared" si="15"/>
        <v>gm</v>
      </c>
      <c r="D100" s="1252">
        <f t="shared" si="15"/>
        <v>3</v>
      </c>
      <c r="E100" s="1627">
        <f t="shared" si="19"/>
        <v>4.838144329896906</v>
      </c>
      <c r="F100" s="1616">
        <f t="shared" si="16"/>
        <v>1</v>
      </c>
      <c r="G100" s="940">
        <f t="shared" si="17"/>
        <v>14.514432989690718</v>
      </c>
      <c r="H100" s="1617">
        <f t="shared" si="18"/>
        <v>14.514432989690718</v>
      </c>
    </row>
    <row r="101" spans="1:8" x14ac:dyDescent="0.25">
      <c r="B101" s="1252" t="str">
        <f t="shared" si="15"/>
        <v>Cumin Whole - كمون حب</v>
      </c>
      <c r="C101" s="1252" t="str">
        <f t="shared" si="15"/>
        <v>gm</v>
      </c>
      <c r="D101" s="1252">
        <f t="shared" si="15"/>
        <v>3</v>
      </c>
      <c r="E101" s="1627">
        <f t="shared" si="19"/>
        <v>4.838144329896906</v>
      </c>
      <c r="F101" s="1616">
        <f t="shared" si="16"/>
        <v>1</v>
      </c>
      <c r="G101" s="940">
        <f t="shared" si="17"/>
        <v>14.514432989690718</v>
      </c>
      <c r="H101" s="1617">
        <f t="shared" si="18"/>
        <v>14.514432989690718</v>
      </c>
    </row>
    <row r="102" spans="1:8" x14ac:dyDescent="0.25">
      <c r="B102" s="1252" t="str">
        <f t="shared" si="15"/>
        <v>Cloves Whole - قرنفل حب</v>
      </c>
      <c r="C102" s="1252" t="str">
        <f t="shared" si="15"/>
        <v>gm</v>
      </c>
      <c r="D102" s="1252">
        <f t="shared" si="15"/>
        <v>3</v>
      </c>
      <c r="E102" s="1627">
        <f t="shared" si="19"/>
        <v>4.838144329896906</v>
      </c>
      <c r="F102" s="1616">
        <f t="shared" si="16"/>
        <v>1</v>
      </c>
      <c r="G102" s="940">
        <f t="shared" si="17"/>
        <v>14.514432989690718</v>
      </c>
      <c r="H102" s="1617">
        <f t="shared" si="18"/>
        <v>14.514432989690718</v>
      </c>
    </row>
    <row r="103" spans="1:8" x14ac:dyDescent="0.25">
      <c r="B103" s="1252" t="str">
        <f t="shared" si="15"/>
        <v>Cinnamon whole - قرفة أعواد</v>
      </c>
      <c r="C103" s="1252" t="str">
        <f t="shared" si="15"/>
        <v>gm</v>
      </c>
      <c r="D103" s="1252">
        <f t="shared" si="15"/>
        <v>3</v>
      </c>
      <c r="E103" s="1627">
        <f t="shared" si="19"/>
        <v>4.838144329896906</v>
      </c>
      <c r="F103" s="1616">
        <f t="shared" si="16"/>
        <v>1</v>
      </c>
      <c r="G103" s="940">
        <f t="shared" si="17"/>
        <v>14.514432989690718</v>
      </c>
      <c r="H103" s="1617">
        <f t="shared" si="18"/>
        <v>14.514432989690718</v>
      </c>
    </row>
    <row r="104" spans="1:8" x14ac:dyDescent="0.25">
      <c r="B104" s="1252" t="str">
        <f t="shared" ref="B104:D104" si="20">B21</f>
        <v>Cardamom Whole - هيل حب</v>
      </c>
      <c r="C104" s="1252" t="str">
        <f t="shared" si="20"/>
        <v>gm</v>
      </c>
      <c r="D104" s="1252">
        <f t="shared" si="20"/>
        <v>3</v>
      </c>
      <c r="E104" s="1627">
        <f t="shared" si="19"/>
        <v>4.838144329896906</v>
      </c>
      <c r="F104" s="1616">
        <f t="shared" si="16"/>
        <v>1</v>
      </c>
      <c r="G104" s="940">
        <f t="shared" si="17"/>
        <v>14.514432989690718</v>
      </c>
      <c r="H104" s="1617">
        <f t="shared" si="18"/>
        <v>14.514432989690718</v>
      </c>
    </row>
    <row r="105" spans="1:8" ht="18" x14ac:dyDescent="0.25">
      <c r="A105" s="861"/>
      <c r="B105" s="1622" t="s">
        <v>287</v>
      </c>
      <c r="C105" s="1042" t="s">
        <v>273</v>
      </c>
      <c r="D105" s="952"/>
      <c r="E105" s="1042" t="s">
        <v>288</v>
      </c>
      <c r="F105" s="952"/>
      <c r="G105" s="1045" t="s">
        <v>264</v>
      </c>
      <c r="H105" s="1045" t="s">
        <v>661</v>
      </c>
    </row>
    <row r="106" spans="1:8" ht="20.25" x14ac:dyDescent="0.3">
      <c r="A106" s="861"/>
      <c r="B106" s="1048">
        <f>$J$54</f>
        <v>6704</v>
      </c>
      <c r="C106" s="1048">
        <f>E106+G106</f>
        <v>4692.9999999999991</v>
      </c>
      <c r="D106" s="1629"/>
      <c r="E106" s="1048">
        <f>$D$54*$S$44</f>
        <v>0</v>
      </c>
      <c r="F106" s="1050"/>
      <c r="G106" s="1048">
        <f>$D$54*$T$44</f>
        <v>4692.9999999999991</v>
      </c>
      <c r="H106" s="1048">
        <f>B106+E106</f>
        <v>6704</v>
      </c>
    </row>
    <row r="110" spans="1:8" x14ac:dyDescent="0.25">
      <c r="A110" s="862"/>
      <c r="B110" s="1871" t="str">
        <f>"ملوخية دجاج  3 / " &amp; COUNTIF($C$53:$C$55, "&gt;0")</f>
        <v>ملوخية دجاج  3 / 2</v>
      </c>
      <c r="C110" s="1880"/>
      <c r="D110" s="1880"/>
      <c r="E110" s="1880"/>
      <c r="F110" s="1880"/>
      <c r="G110" s="1880"/>
      <c r="H110" s="1880"/>
    </row>
    <row r="111" spans="1:8" x14ac:dyDescent="0.25">
      <c r="A111" s="862"/>
      <c r="B111" s="1872" t="str">
        <f>"Chicken Molokeya  3 / " &amp; COUNTIF($C$53:$C$55, "&gt;0")</f>
        <v>Chicken Molokeya  3 / 2</v>
      </c>
      <c r="C111" s="1883"/>
      <c r="D111" s="1883"/>
      <c r="E111" s="1883"/>
      <c r="F111" s="1883"/>
      <c r="G111" s="1883"/>
      <c r="H111" s="1883"/>
    </row>
    <row r="112" spans="1:8" ht="30" x14ac:dyDescent="0.2">
      <c r="A112" s="1350" t="s">
        <v>864</v>
      </c>
      <c r="B112" s="923" t="s">
        <v>241</v>
      </c>
      <c r="C112" s="934" t="s">
        <v>242</v>
      </c>
      <c r="D112" s="923" t="s">
        <v>231</v>
      </c>
      <c r="E112" s="936" t="s">
        <v>234</v>
      </c>
      <c r="F112" s="935" t="s">
        <v>243</v>
      </c>
      <c r="G112" s="923" t="s">
        <v>244</v>
      </c>
      <c r="H112" s="936" t="s">
        <v>245</v>
      </c>
    </row>
    <row r="113" spans="1:8" x14ac:dyDescent="0.25">
      <c r="A113" s="1" t="s">
        <v>872</v>
      </c>
      <c r="B113" s="947" t="str">
        <f t="shared" ref="B113:D128" si="21">B5</f>
        <v>Chicken - دجاج</v>
      </c>
      <c r="C113" s="947" t="str">
        <f t="shared" si="21"/>
        <v>gm</v>
      </c>
      <c r="D113" s="947">
        <f t="shared" si="21"/>
        <v>2857.2</v>
      </c>
      <c r="E113" s="1627">
        <f>H$55</f>
        <v>0</v>
      </c>
      <c r="F113" s="1616">
        <f>F30</f>
        <v>0</v>
      </c>
      <c r="G113" s="940">
        <f t="shared" ref="G113:G129" si="22">D113*E113</f>
        <v>0</v>
      </c>
      <c r="H113" s="1617">
        <f t="shared" ref="H113:H129" si="23">G113*F113</f>
        <v>0</v>
      </c>
    </row>
    <row r="114" spans="1:8" x14ac:dyDescent="0.25">
      <c r="B114" s="947" t="str">
        <f t="shared" si="21"/>
        <v>Frozen Molokeya - ملوخية مجمدة</v>
      </c>
      <c r="C114" s="947" t="str">
        <f t="shared" si="21"/>
        <v>gm</v>
      </c>
      <c r="D114" s="947">
        <f t="shared" si="21"/>
        <v>520</v>
      </c>
      <c r="E114" s="1627">
        <f t="shared" ref="E114:E129" si="24">$C$55</f>
        <v>0</v>
      </c>
      <c r="F114" s="1616">
        <f t="shared" ref="F114:F129" si="25">F6</f>
        <v>1</v>
      </c>
      <c r="G114" s="940">
        <f t="shared" si="22"/>
        <v>0</v>
      </c>
      <c r="H114" s="1617">
        <f t="shared" si="23"/>
        <v>0</v>
      </c>
    </row>
    <row r="115" spans="1:8" x14ac:dyDescent="0.25">
      <c r="B115" s="947" t="str">
        <f t="shared" si="21"/>
        <v>Chicken Stock - مرق دجاج</v>
      </c>
      <c r="C115" s="947" t="str">
        <f t="shared" si="21"/>
        <v>ml</v>
      </c>
      <c r="D115" s="947">
        <f t="shared" si="21"/>
        <v>600</v>
      </c>
      <c r="E115" s="1627">
        <f t="shared" si="24"/>
        <v>0</v>
      </c>
      <c r="F115" s="1616">
        <f t="shared" si="25"/>
        <v>0.95</v>
      </c>
      <c r="G115" s="940">
        <f t="shared" si="22"/>
        <v>0</v>
      </c>
      <c r="H115" s="1617">
        <f t="shared" si="23"/>
        <v>0</v>
      </c>
    </row>
    <row r="116" spans="1:8" x14ac:dyDescent="0.25">
      <c r="B116" s="947" t="str">
        <f t="shared" si="21"/>
        <v>Cumin Powder - كمون مطحون</v>
      </c>
      <c r="C116" s="947" t="str">
        <f t="shared" si="21"/>
        <v>gm</v>
      </c>
      <c r="D116" s="947">
        <f t="shared" si="21"/>
        <v>4</v>
      </c>
      <c r="E116" s="1627">
        <f t="shared" si="24"/>
        <v>0</v>
      </c>
      <c r="F116" s="1616">
        <f t="shared" si="25"/>
        <v>0.75</v>
      </c>
      <c r="G116" s="940">
        <f t="shared" si="22"/>
        <v>0</v>
      </c>
      <c r="H116" s="1617">
        <f t="shared" si="23"/>
        <v>0</v>
      </c>
    </row>
    <row r="117" spans="1:8" x14ac:dyDescent="0.25">
      <c r="B117" s="947" t="str">
        <f t="shared" si="21"/>
        <v>Coriander Powder - كزبرة مطحونة</v>
      </c>
      <c r="C117" s="947" t="str">
        <f t="shared" si="21"/>
        <v>gm</v>
      </c>
      <c r="D117" s="947">
        <f t="shared" si="21"/>
        <v>4</v>
      </c>
      <c r="E117" s="1627">
        <f t="shared" si="24"/>
        <v>0</v>
      </c>
      <c r="F117" s="1616">
        <f t="shared" si="25"/>
        <v>0.75</v>
      </c>
      <c r="G117" s="940">
        <f t="shared" si="22"/>
        <v>0</v>
      </c>
      <c r="H117" s="1617">
        <f t="shared" si="23"/>
        <v>0</v>
      </c>
    </row>
    <row r="118" spans="1:8" x14ac:dyDescent="0.25">
      <c r="B118" s="947" t="str">
        <f t="shared" si="21"/>
        <v>Cinnamon Powder - قرفة مطحونة</v>
      </c>
      <c r="C118" s="947" t="str">
        <f t="shared" si="21"/>
        <v>gm</v>
      </c>
      <c r="D118" s="947">
        <f t="shared" si="21"/>
        <v>4</v>
      </c>
      <c r="E118" s="1627">
        <f t="shared" si="24"/>
        <v>0</v>
      </c>
      <c r="F118" s="1616">
        <f t="shared" si="25"/>
        <v>0.9</v>
      </c>
      <c r="G118" s="940">
        <f t="shared" si="22"/>
        <v>0</v>
      </c>
      <c r="H118" s="1617">
        <f t="shared" si="23"/>
        <v>0</v>
      </c>
    </row>
    <row r="119" spans="1:8" x14ac:dyDescent="0.25">
      <c r="B119" s="947" t="str">
        <f t="shared" si="21"/>
        <v>Black Pepper Powder - فلفل أسود مطحون</v>
      </c>
      <c r="C119" s="947" t="str">
        <f t="shared" si="21"/>
        <v>gm</v>
      </c>
      <c r="D119" s="947">
        <f t="shared" si="21"/>
        <v>4</v>
      </c>
      <c r="E119" s="1627">
        <f t="shared" si="24"/>
        <v>0</v>
      </c>
      <c r="F119" s="1616">
        <f t="shared" si="25"/>
        <v>0.9</v>
      </c>
      <c r="G119" s="940">
        <f t="shared" si="22"/>
        <v>0</v>
      </c>
      <c r="H119" s="1617">
        <f t="shared" si="23"/>
        <v>0</v>
      </c>
    </row>
    <row r="120" spans="1:8" x14ac:dyDescent="0.25">
      <c r="B120" s="947" t="str">
        <f t="shared" si="21"/>
        <v>Salt - ملح</v>
      </c>
      <c r="C120" s="947" t="str">
        <f t="shared" si="21"/>
        <v>gm</v>
      </c>
      <c r="D120" s="947">
        <f t="shared" si="21"/>
        <v>11</v>
      </c>
      <c r="E120" s="1627">
        <f t="shared" si="24"/>
        <v>0</v>
      </c>
      <c r="F120" s="1616">
        <f t="shared" si="25"/>
        <v>0.75</v>
      </c>
      <c r="G120" s="940">
        <f t="shared" si="22"/>
        <v>0</v>
      </c>
      <c r="H120" s="1617">
        <f t="shared" si="23"/>
        <v>0</v>
      </c>
    </row>
    <row r="121" spans="1:8" x14ac:dyDescent="0.2">
      <c r="A121" s="177" t="s">
        <v>868</v>
      </c>
      <c r="B121" s="947" t="str">
        <f t="shared" si="21"/>
        <v>Garlic - ثوم مقشر</v>
      </c>
      <c r="C121" s="947" t="str">
        <f t="shared" si="21"/>
        <v>gm</v>
      </c>
      <c r="D121" s="947">
        <f t="shared" si="21"/>
        <v>25</v>
      </c>
      <c r="E121" s="1627">
        <f t="shared" si="24"/>
        <v>0</v>
      </c>
      <c r="F121" s="1616">
        <f t="shared" si="25"/>
        <v>1</v>
      </c>
      <c r="G121" s="940">
        <f t="shared" si="22"/>
        <v>0</v>
      </c>
      <c r="H121" s="1617">
        <f t="shared" si="23"/>
        <v>0</v>
      </c>
    </row>
    <row r="122" spans="1:8" x14ac:dyDescent="0.25">
      <c r="B122" s="947" t="str">
        <f t="shared" si="21"/>
        <v>Ghee - سمن</v>
      </c>
      <c r="C122" s="947" t="str">
        <f t="shared" si="21"/>
        <v>gm</v>
      </c>
      <c r="D122" s="947">
        <f t="shared" si="21"/>
        <v>38</v>
      </c>
      <c r="E122" s="1627">
        <f t="shared" si="24"/>
        <v>0</v>
      </c>
      <c r="F122" s="1616">
        <f t="shared" si="25"/>
        <v>1</v>
      </c>
      <c r="G122" s="940">
        <f t="shared" si="22"/>
        <v>0</v>
      </c>
      <c r="H122" s="1617">
        <f t="shared" si="23"/>
        <v>0</v>
      </c>
    </row>
    <row r="123" spans="1:8" x14ac:dyDescent="0.25">
      <c r="B123" s="947" t="str">
        <f t="shared" si="21"/>
        <v>Soda Bi Carb - بيكربونات الصوديوم</v>
      </c>
      <c r="C123" s="947" t="str">
        <f t="shared" si="21"/>
        <v>gm</v>
      </c>
      <c r="D123" s="947">
        <f t="shared" si="21"/>
        <v>11</v>
      </c>
      <c r="E123" s="1627">
        <f t="shared" si="24"/>
        <v>0</v>
      </c>
      <c r="F123" s="1616">
        <f t="shared" si="25"/>
        <v>1</v>
      </c>
      <c r="G123" s="940">
        <f t="shared" si="22"/>
        <v>0</v>
      </c>
      <c r="H123" s="1617">
        <f t="shared" si="23"/>
        <v>0</v>
      </c>
    </row>
    <row r="124" spans="1:8" x14ac:dyDescent="0.25">
      <c r="B124" s="947" t="str">
        <f t="shared" si="21"/>
        <v>Maggi Cubes - مكعبات ماجي</v>
      </c>
      <c r="C124" s="947" t="str">
        <f t="shared" si="21"/>
        <v>gm</v>
      </c>
      <c r="D124" s="947">
        <f t="shared" si="21"/>
        <v>10</v>
      </c>
      <c r="E124" s="1627">
        <f t="shared" si="24"/>
        <v>0</v>
      </c>
      <c r="F124" s="1616">
        <f t="shared" si="25"/>
        <v>1</v>
      </c>
      <c r="G124" s="940">
        <f t="shared" si="22"/>
        <v>0</v>
      </c>
      <c r="H124" s="1617">
        <f t="shared" si="23"/>
        <v>0</v>
      </c>
    </row>
    <row r="125" spans="1:8" x14ac:dyDescent="0.25">
      <c r="B125" s="947" t="str">
        <f t="shared" si="21"/>
        <v>Black Pepper Whole - فلفل أسود حب</v>
      </c>
      <c r="C125" s="947" t="str">
        <f t="shared" si="21"/>
        <v>gm</v>
      </c>
      <c r="D125" s="947">
        <f t="shared" si="21"/>
        <v>3</v>
      </c>
      <c r="E125" s="1627">
        <f t="shared" si="24"/>
        <v>0</v>
      </c>
      <c r="F125" s="1616">
        <f t="shared" si="25"/>
        <v>1</v>
      </c>
      <c r="G125" s="940">
        <f t="shared" si="22"/>
        <v>0</v>
      </c>
      <c r="H125" s="1617">
        <f t="shared" si="23"/>
        <v>0</v>
      </c>
    </row>
    <row r="126" spans="1:8" x14ac:dyDescent="0.25">
      <c r="B126" s="947" t="str">
        <f t="shared" si="21"/>
        <v>Cumin Whole - كمون حب</v>
      </c>
      <c r="C126" s="947" t="str">
        <f t="shared" si="21"/>
        <v>gm</v>
      </c>
      <c r="D126" s="947">
        <f t="shared" si="21"/>
        <v>3</v>
      </c>
      <c r="E126" s="1627">
        <f t="shared" si="24"/>
        <v>0</v>
      </c>
      <c r="F126" s="1616">
        <f t="shared" si="25"/>
        <v>1</v>
      </c>
      <c r="G126" s="940">
        <f t="shared" si="22"/>
        <v>0</v>
      </c>
      <c r="H126" s="1617">
        <f t="shared" si="23"/>
        <v>0</v>
      </c>
    </row>
    <row r="127" spans="1:8" x14ac:dyDescent="0.25">
      <c r="B127" s="947" t="str">
        <f t="shared" si="21"/>
        <v>Cloves Whole - قرنفل حب</v>
      </c>
      <c r="C127" s="947" t="str">
        <f t="shared" si="21"/>
        <v>gm</v>
      </c>
      <c r="D127" s="947">
        <f t="shared" si="21"/>
        <v>3</v>
      </c>
      <c r="E127" s="1627">
        <f t="shared" si="24"/>
        <v>0</v>
      </c>
      <c r="F127" s="1616">
        <f t="shared" si="25"/>
        <v>1</v>
      </c>
      <c r="G127" s="940">
        <f t="shared" si="22"/>
        <v>0</v>
      </c>
      <c r="H127" s="1617">
        <f t="shared" si="23"/>
        <v>0</v>
      </c>
    </row>
    <row r="128" spans="1:8" x14ac:dyDescent="0.25">
      <c r="B128" s="947" t="str">
        <f t="shared" si="21"/>
        <v>Cinnamon whole - قرفة أعواد</v>
      </c>
      <c r="C128" s="947" t="str">
        <f t="shared" si="21"/>
        <v>gm</v>
      </c>
      <c r="D128" s="947">
        <f t="shared" si="21"/>
        <v>3</v>
      </c>
      <c r="E128" s="1627">
        <f t="shared" si="24"/>
        <v>0</v>
      </c>
      <c r="F128" s="1616">
        <f t="shared" si="25"/>
        <v>1</v>
      </c>
      <c r="G128" s="940">
        <f t="shared" si="22"/>
        <v>0</v>
      </c>
      <c r="H128" s="1617">
        <f t="shared" si="23"/>
        <v>0</v>
      </c>
    </row>
    <row r="129" spans="1:10" ht="20.25" x14ac:dyDescent="0.3">
      <c r="B129" s="947" t="str">
        <f t="shared" ref="B129:D129" si="26">B21</f>
        <v>Cardamom Whole - هيل حب</v>
      </c>
      <c r="C129" s="947" t="str">
        <f t="shared" si="26"/>
        <v>gm</v>
      </c>
      <c r="D129" s="947">
        <f t="shared" si="26"/>
        <v>3</v>
      </c>
      <c r="E129" s="1627">
        <f t="shared" si="24"/>
        <v>0</v>
      </c>
      <c r="F129" s="1616">
        <f t="shared" si="25"/>
        <v>1</v>
      </c>
      <c r="G129" s="940">
        <f t="shared" si="22"/>
        <v>0</v>
      </c>
      <c r="H129" s="1617">
        <f t="shared" si="23"/>
        <v>0</v>
      </c>
      <c r="I129" s="142"/>
      <c r="J129" s="141"/>
    </row>
    <row r="130" spans="1:10" ht="18" x14ac:dyDescent="0.25">
      <c r="A130" s="861"/>
      <c r="B130" s="1622" t="s">
        <v>287</v>
      </c>
      <c r="C130" s="1042" t="s">
        <v>273</v>
      </c>
      <c r="D130" s="952"/>
      <c r="E130" s="1042" t="s">
        <v>288</v>
      </c>
      <c r="F130" s="952"/>
      <c r="G130" s="1045" t="s">
        <v>264</v>
      </c>
      <c r="H130" s="1045" t="s">
        <v>661</v>
      </c>
    </row>
    <row r="131" spans="1:10" ht="20.25" x14ac:dyDescent="0.3">
      <c r="A131" s="861"/>
      <c r="B131" s="1048">
        <f>$J$55</f>
        <v>0</v>
      </c>
      <c r="C131" s="1048">
        <f>E131+G131</f>
        <v>0</v>
      </c>
      <c r="D131" s="1629"/>
      <c r="E131" s="1048">
        <f>$D$55*$S$44</f>
        <v>0</v>
      </c>
      <c r="F131" s="1050"/>
      <c r="G131" s="1048">
        <f>$D$55*$T$44</f>
        <v>0</v>
      </c>
      <c r="H131" s="1048">
        <f>B131+E131</f>
        <v>0</v>
      </c>
    </row>
  </sheetData>
  <mergeCells count="9">
    <mergeCell ref="B86:H86"/>
    <mergeCell ref="B110:H110"/>
    <mergeCell ref="B111:H111"/>
    <mergeCell ref="B2:K3"/>
    <mergeCell ref="R25:U25"/>
    <mergeCell ref="R26:U26"/>
    <mergeCell ref="B62:H62"/>
    <mergeCell ref="B63:H63"/>
    <mergeCell ref="B85:H85"/>
  </mergeCells>
  <printOptions horizontalCentered="1"/>
  <pageMargins left="0.5" right="0.5" top="1" bottom="0.5" header="0.3" footer="0.511811023622047"/>
  <pageSetup paperSize="9" scale="32" orientation="portrait" r:id="rId1"/>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500A9-8C03-49EC-AA6C-D6285B4457D0}">
  <sheetPr codeName="Sheet75">
    <tabColor theme="3" tint="-0.249977111117893"/>
    <pageSetUpPr fitToPage="1"/>
  </sheetPr>
  <dimension ref="A1:AF91"/>
  <sheetViews>
    <sheetView zoomScale="85" zoomScaleNormal="85" workbookViewId="0">
      <selection activeCell="I75" sqref="I75"/>
    </sheetView>
  </sheetViews>
  <sheetFormatPr defaultColWidth="12.5" defaultRowHeight="15" x14ac:dyDescent="0.25"/>
  <cols>
    <col min="1" max="1" width="20.125" style="61" customWidth="1"/>
    <col min="2" max="2" width="36.5" style="14" bestFit="1" customWidth="1"/>
    <col min="3" max="3" width="10.375" style="14" bestFit="1" customWidth="1"/>
    <col min="4" max="4" width="26" style="14" bestFit="1" customWidth="1"/>
    <col min="5" max="5" width="30.625" style="14" bestFit="1" customWidth="1"/>
    <col min="6" max="6" width="22.625" style="14" bestFit="1" customWidth="1"/>
    <col min="7" max="7" width="23.25" style="14" bestFit="1" customWidth="1"/>
    <col min="8" max="8" width="40.375" style="14" bestFit="1" customWidth="1"/>
    <col min="9" max="10" width="18.5" style="14" bestFit="1" customWidth="1"/>
    <col min="11" max="11" width="28.75" style="14" bestFit="1" customWidth="1"/>
    <col min="12" max="12" width="13.5" style="14" bestFit="1" customWidth="1"/>
    <col min="13" max="14" width="3.875" style="14" customWidth="1"/>
    <col min="15" max="15" width="17.375" style="14" bestFit="1" customWidth="1"/>
    <col min="16" max="16" width="10.75" style="14" bestFit="1" customWidth="1"/>
    <col min="17" max="17" width="14.875" style="14" bestFit="1" customWidth="1"/>
    <col min="18" max="18" width="22.375" style="14" bestFit="1" customWidth="1"/>
    <col min="19" max="19" width="10.75" style="14" bestFit="1" customWidth="1"/>
    <col min="20" max="20" width="17.375" style="14" bestFit="1" customWidth="1"/>
    <col min="21" max="21" width="12" style="14" bestFit="1" customWidth="1"/>
    <col min="22" max="22" width="12.625" style="14" bestFit="1" customWidth="1"/>
    <col min="23" max="23" width="39.625" style="14" bestFit="1" customWidth="1"/>
    <col min="24" max="24" width="12.5" style="14" customWidth="1"/>
    <col min="25" max="25" width="8.75" style="14" bestFit="1" customWidth="1"/>
    <col min="26" max="26" width="12" style="14" bestFit="1" customWidth="1"/>
    <col min="27" max="27" width="12.375" style="14" bestFit="1" customWidth="1"/>
    <col min="28" max="28" width="14.25" style="14" bestFit="1" customWidth="1"/>
    <col min="29" max="29" width="15.625" style="14" bestFit="1" customWidth="1"/>
    <col min="30" max="30" width="7.625" style="14" bestFit="1" customWidth="1"/>
    <col min="31" max="31" width="8.25" style="410" bestFit="1" customWidth="1"/>
    <col min="32" max="32" width="5.375" style="410" bestFit="1" customWidth="1"/>
    <col min="33" max="35" width="6.25" style="14" customWidth="1"/>
    <col min="36" max="36" width="36.875" style="14" customWidth="1"/>
    <col min="37" max="37" width="12.5" style="14" customWidth="1"/>
    <col min="38" max="16384" width="12.5" style="14"/>
  </cols>
  <sheetData>
    <row r="1" spans="1:32" ht="25.5" x14ac:dyDescent="0.25">
      <c r="B1" s="843" t="s">
        <v>330</v>
      </c>
      <c r="C1" s="63">
        <v>1</v>
      </c>
      <c r="D1" s="64" t="s">
        <v>232</v>
      </c>
      <c r="E1" s="84">
        <f>156</f>
        <v>156</v>
      </c>
      <c r="F1" s="62" t="s">
        <v>233</v>
      </c>
      <c r="G1" s="84">
        <f>E1/C1</f>
        <v>156</v>
      </c>
      <c r="H1" s="62" t="s">
        <v>234</v>
      </c>
      <c r="I1" s="84"/>
      <c r="J1" s="209" t="s">
        <v>235</v>
      </c>
      <c r="K1" s="210">
        <v>1</v>
      </c>
      <c r="L1" s="80"/>
      <c r="M1" s="80"/>
      <c r="N1" s="80"/>
      <c r="O1" s="72" t="s">
        <v>236</v>
      </c>
      <c r="P1" s="73" t="s">
        <v>462</v>
      </c>
      <c r="Q1" s="74" t="s">
        <v>238</v>
      </c>
      <c r="R1" s="807">
        <v>0.5</v>
      </c>
      <c r="S1" s="74" t="s">
        <v>332</v>
      </c>
      <c r="T1" s="808">
        <v>65</v>
      </c>
      <c r="U1" s="80"/>
      <c r="V1" s="80"/>
      <c r="Y1" s="72" t="s">
        <v>444</v>
      </c>
      <c r="Z1" s="422">
        <v>95</v>
      </c>
      <c r="AA1" s="72" t="s">
        <v>544</v>
      </c>
      <c r="AB1" s="422">
        <v>5</v>
      </c>
      <c r="AC1" s="72" t="s">
        <v>537</v>
      </c>
      <c r="AD1" s="422">
        <v>95</v>
      </c>
      <c r="AE1" s="72" t="s">
        <v>529</v>
      </c>
      <c r="AF1" s="422">
        <f>Z1+AB1</f>
        <v>100</v>
      </c>
    </row>
    <row r="2" spans="1:32" x14ac:dyDescent="0.25">
      <c r="A2" s="863"/>
      <c r="B2" s="1828" t="s">
        <v>463</v>
      </c>
      <c r="C2" s="1865"/>
      <c r="D2" s="1865"/>
      <c r="E2" s="1865"/>
      <c r="F2" s="1865"/>
      <c r="G2" s="1865"/>
      <c r="H2" s="1865"/>
      <c r="I2" s="213"/>
      <c r="J2" s="213"/>
      <c r="K2" s="213"/>
      <c r="L2" s="187"/>
      <c r="M2" s="80"/>
      <c r="N2" s="80"/>
      <c r="O2" s="80"/>
      <c r="P2" s="80"/>
      <c r="Q2" s="80"/>
      <c r="R2" s="80"/>
      <c r="S2" s="80"/>
      <c r="T2" s="80"/>
      <c r="U2" s="80"/>
    </row>
    <row r="3" spans="1:32" x14ac:dyDescent="0.25">
      <c r="A3" s="863"/>
      <c r="B3" s="1796"/>
      <c r="C3" s="1796"/>
      <c r="D3" s="1796"/>
      <c r="E3" s="1796"/>
      <c r="F3" s="1796"/>
      <c r="G3" s="1796"/>
      <c r="H3" s="1796"/>
      <c r="I3" s="1731"/>
      <c r="J3" s="1731"/>
      <c r="K3" s="1731"/>
      <c r="L3" s="187"/>
      <c r="M3" s="80"/>
      <c r="N3" s="80"/>
      <c r="O3" s="80"/>
      <c r="P3" s="80"/>
      <c r="Q3" s="80"/>
      <c r="R3" s="80"/>
      <c r="S3" s="80"/>
      <c r="T3" s="80"/>
      <c r="U3" s="80"/>
    </row>
    <row r="4" spans="1:32" ht="33.75" customHeight="1" x14ac:dyDescent="0.2">
      <c r="A4" s="1350" t="s">
        <v>864</v>
      </c>
      <c r="B4" s="923" t="s">
        <v>241</v>
      </c>
      <c r="C4" s="934" t="s">
        <v>242</v>
      </c>
      <c r="D4" s="923" t="s">
        <v>473</v>
      </c>
      <c r="E4" s="935" t="s">
        <v>234</v>
      </c>
      <c r="F4" s="935" t="s">
        <v>243</v>
      </c>
      <c r="G4" s="923" t="s">
        <v>244</v>
      </c>
      <c r="H4" s="1635" t="s">
        <v>334</v>
      </c>
      <c r="I4" s="923" t="s">
        <v>246</v>
      </c>
      <c r="J4" s="923" t="s">
        <v>247</v>
      </c>
      <c r="K4" s="923" t="s">
        <v>248</v>
      </c>
      <c r="L4" s="923" t="s">
        <v>249</v>
      </c>
      <c r="M4" s="235"/>
      <c r="N4" s="80"/>
      <c r="O4" s="80"/>
      <c r="P4" s="80"/>
      <c r="Q4" s="80"/>
      <c r="R4" s="80"/>
      <c r="S4" s="80"/>
    </row>
    <row r="5" spans="1:32" x14ac:dyDescent="0.25">
      <c r="A5" s="949" t="s">
        <v>892</v>
      </c>
      <c r="B5" s="1252" t="s">
        <v>226</v>
      </c>
      <c r="C5" s="947" t="s">
        <v>14</v>
      </c>
      <c r="D5" s="944">
        <f>$T$1/$R$1</f>
        <v>130</v>
      </c>
      <c r="E5" s="1621">
        <f>H53</f>
        <v>80</v>
      </c>
      <c r="F5" s="1616">
        <v>1</v>
      </c>
      <c r="G5" s="1040">
        <f>D5*E5</f>
        <v>10400</v>
      </c>
      <c r="H5" s="1617">
        <f>G5*F5</f>
        <v>10400</v>
      </c>
      <c r="I5" s="914">
        <f>VLOOKUP(B5,All_Ingredients!$A$1:$F$161,6,FALSE())</f>
        <v>0.99</v>
      </c>
      <c r="J5" s="940">
        <f>VLOOKUP(B5,All_Ingredients!$A$1:$J$161,10,FALSE())</f>
        <v>11.75</v>
      </c>
      <c r="K5" s="945">
        <f t="shared" ref="K5" si="0">(H5/I5)/1000</f>
        <v>10.505050505050505</v>
      </c>
      <c r="L5" s="945">
        <f t="shared" ref="L5" si="1">K5*J5</f>
        <v>123.43434343434343</v>
      </c>
      <c r="M5" s="87"/>
      <c r="P5" s="289" t="s">
        <v>802</v>
      </c>
      <c r="R5" s="289"/>
    </row>
    <row r="6" spans="1:32" x14ac:dyDescent="0.25">
      <c r="A6" s="949"/>
      <c r="B6" s="1252" t="s">
        <v>222</v>
      </c>
      <c r="C6" s="1400" t="s">
        <v>14</v>
      </c>
      <c r="D6" s="944">
        <f>20/$R$1</f>
        <v>40</v>
      </c>
      <c r="E6" s="1621">
        <f>H54</f>
        <v>80</v>
      </c>
      <c r="F6" s="1616">
        <v>1</v>
      </c>
      <c r="G6" s="944">
        <f>D6*E6</f>
        <v>3200</v>
      </c>
      <c r="H6" s="1617">
        <f>G6*F6</f>
        <v>3200</v>
      </c>
      <c r="I6" s="914">
        <f>VLOOKUP(B6,All_Ingredients!$A$1:$F$161,6,FALSE())</f>
        <v>1</v>
      </c>
      <c r="J6" s="940">
        <f>VLOOKUP(B6,All_Ingredients!$A$1:$J$161,10,FALSE())</f>
        <v>30</v>
      </c>
      <c r="K6" s="945">
        <f t="shared" ref="K6:K7" si="2">(H6/I6)/1000</f>
        <v>3.2</v>
      </c>
      <c r="L6" s="945">
        <f t="shared" ref="L6:L7" si="3">K6*J6</f>
        <v>96</v>
      </c>
      <c r="M6" s="87"/>
      <c r="P6" s="289" t="s">
        <v>803</v>
      </c>
    </row>
    <row r="7" spans="1:32" x14ac:dyDescent="0.25">
      <c r="A7" s="949"/>
      <c r="B7" s="1733" t="s">
        <v>801</v>
      </c>
      <c r="C7" s="947" t="s">
        <v>230</v>
      </c>
      <c r="D7" s="1615">
        <v>1</v>
      </c>
      <c r="E7" s="1615">
        <f>$Z$1+$AB$1</f>
        <v>100</v>
      </c>
      <c r="F7" s="1616">
        <v>1</v>
      </c>
      <c r="G7" s="944">
        <f>D7*($Z$1+$AB$1)</f>
        <v>100</v>
      </c>
      <c r="H7" s="1617">
        <f>G7*F7</f>
        <v>100</v>
      </c>
      <c r="I7" s="914">
        <f>VLOOKUP(B7,All_Ingredients!$A$1:$F$161,6,FALSE())</f>
        <v>1</v>
      </c>
      <c r="J7" s="940">
        <f>VLOOKUP(B7,All_Ingredients!$A$1:$J$161,10,FALSE())</f>
        <v>1</v>
      </c>
      <c r="K7" s="945">
        <f t="shared" si="2"/>
        <v>0.1</v>
      </c>
      <c r="L7" s="945">
        <f t="shared" si="3"/>
        <v>0.1</v>
      </c>
      <c r="M7" s="87"/>
      <c r="R7" s="289"/>
    </row>
    <row r="8" spans="1:32" x14ac:dyDescent="0.25">
      <c r="A8" s="949"/>
      <c r="B8" s="1252"/>
      <c r="C8" s="947"/>
      <c r="D8" s="1615"/>
      <c r="E8" s="1615"/>
      <c r="F8" s="1616"/>
      <c r="G8" s="944"/>
      <c r="H8" s="1617"/>
      <c r="I8" s="914"/>
      <c r="J8" s="940"/>
      <c r="K8" s="945"/>
      <c r="L8" s="945"/>
      <c r="M8" s="87"/>
    </row>
    <row r="9" spans="1:32" x14ac:dyDescent="0.25">
      <c r="A9" s="949"/>
      <c r="B9" s="926" t="s">
        <v>250</v>
      </c>
      <c r="C9" s="926">
        <v>10000</v>
      </c>
      <c r="D9" s="927" t="s">
        <v>493</v>
      </c>
      <c r="E9" s="928">
        <f>$S$30*$T$1</f>
        <v>6500</v>
      </c>
      <c r="F9" s="926" t="s">
        <v>239</v>
      </c>
      <c r="G9" s="929">
        <f>(($S$30*$T$1)/$R$1)/$C$9</f>
        <v>1.3</v>
      </c>
      <c r="H9" s="1207"/>
      <c r="I9" s="1207"/>
      <c r="J9" s="1207"/>
      <c r="K9" s="1207"/>
      <c r="L9" s="1207"/>
      <c r="M9" s="87"/>
    </row>
    <row r="10" spans="1:32" ht="15.75" x14ac:dyDescent="0.25">
      <c r="A10" s="949"/>
      <c r="B10" s="930"/>
      <c r="C10" s="1783" t="s">
        <v>463</v>
      </c>
      <c r="D10" s="1783"/>
      <c r="E10" s="1783"/>
      <c r="F10" s="930"/>
      <c r="G10" s="930"/>
      <c r="H10" s="930"/>
      <c r="I10" s="930"/>
      <c r="J10" s="930"/>
      <c r="K10" s="930"/>
      <c r="L10" s="930"/>
      <c r="M10" s="87"/>
    </row>
    <row r="11" spans="1:32" ht="15.75" x14ac:dyDescent="0.25">
      <c r="A11" s="949"/>
      <c r="B11" s="1734"/>
      <c r="C11" s="1735"/>
      <c r="D11" s="1735"/>
      <c r="E11" s="1735"/>
      <c r="F11" s="1735"/>
      <c r="G11" s="1735"/>
      <c r="H11" s="1735"/>
      <c r="I11" s="1735"/>
      <c r="J11" s="1735"/>
      <c r="K11" s="1735"/>
      <c r="L11" s="1735"/>
      <c r="M11" s="87"/>
    </row>
    <row r="12" spans="1:32" ht="25.5" x14ac:dyDescent="0.25">
      <c r="A12" s="932"/>
      <c r="B12" s="926" t="s">
        <v>241</v>
      </c>
      <c r="C12" s="1169" t="s">
        <v>242</v>
      </c>
      <c r="D12" s="926" t="s">
        <v>250</v>
      </c>
      <c r="E12" s="926" t="s">
        <v>234</v>
      </c>
      <c r="F12" s="926" t="s">
        <v>243</v>
      </c>
      <c r="G12" s="926" t="s">
        <v>244</v>
      </c>
      <c r="H12" s="926" t="s">
        <v>334</v>
      </c>
      <c r="I12" s="923" t="s">
        <v>246</v>
      </c>
      <c r="J12" s="923" t="s">
        <v>247</v>
      </c>
      <c r="K12" s="923" t="s">
        <v>248</v>
      </c>
      <c r="L12" s="923" t="s">
        <v>249</v>
      </c>
      <c r="M12" s="87"/>
    </row>
    <row r="13" spans="1:32" x14ac:dyDescent="0.2">
      <c r="A13" s="1571" t="s">
        <v>867</v>
      </c>
      <c r="B13" s="1252" t="s">
        <v>54</v>
      </c>
      <c r="C13" s="1400" t="s">
        <v>14</v>
      </c>
      <c r="D13" s="1615">
        <v>200</v>
      </c>
      <c r="E13" s="1646">
        <f>$G$9</f>
        <v>1.3</v>
      </c>
      <c r="F13" s="1626">
        <v>1</v>
      </c>
      <c r="G13" s="940">
        <f t="shared" ref="G13:G21" si="4">D13*E13</f>
        <v>260</v>
      </c>
      <c r="H13" s="1038">
        <f t="shared" ref="H13:H24" si="5">G13*F13</f>
        <v>260</v>
      </c>
      <c r="I13" s="914">
        <f>VLOOKUP(B13,All_Ingredients!$A$1:$F$161,6,FALSE())</f>
        <v>0.87</v>
      </c>
      <c r="J13" s="940">
        <f>VLOOKUP(B13,All_Ingredients!$A$1:$J$161,10,FALSE())</f>
        <v>7</v>
      </c>
      <c r="K13" s="945">
        <f t="shared" ref="K13" si="6">(H13/I13)/1000</f>
        <v>0.29885057471264365</v>
      </c>
      <c r="L13" s="945">
        <f t="shared" ref="L13" si="7">K13*J13</f>
        <v>2.0919540229885056</v>
      </c>
      <c r="M13" s="87"/>
    </row>
    <row r="14" spans="1:32" x14ac:dyDescent="0.2">
      <c r="A14" s="1571" t="s">
        <v>868</v>
      </c>
      <c r="B14" s="1252" t="s">
        <v>706</v>
      </c>
      <c r="C14" s="1400" t="s">
        <v>14</v>
      </c>
      <c r="D14" s="1615">
        <v>200</v>
      </c>
      <c r="E14" s="1646">
        <f t="shared" ref="E14:E24" si="8">$G$9</f>
        <v>1.3</v>
      </c>
      <c r="F14" s="1626">
        <v>1</v>
      </c>
      <c r="G14" s="940">
        <f t="shared" si="4"/>
        <v>260</v>
      </c>
      <c r="H14" s="1038">
        <f t="shared" si="5"/>
        <v>260</v>
      </c>
      <c r="I14" s="914">
        <f>VLOOKUP(B14,All_Ingredients!$A$1:$F$161,6,FALSE())</f>
        <v>1</v>
      </c>
      <c r="J14" s="940">
        <f>VLOOKUP(B14,All_Ingredients!$A$1:$J$161,10,FALSE())</f>
        <v>10.5</v>
      </c>
      <c r="K14" s="945">
        <f t="shared" ref="K14:K24" si="9">(H14/I14)/1000</f>
        <v>0.26</v>
      </c>
      <c r="L14" s="945">
        <f t="shared" ref="L14:L24" si="10">K14*J14</f>
        <v>2.73</v>
      </c>
      <c r="M14" s="87"/>
      <c r="R14" s="217"/>
    </row>
    <row r="15" spans="1:32" s="298" customFormat="1" x14ac:dyDescent="0.2">
      <c r="A15" s="1571" t="s">
        <v>881</v>
      </c>
      <c r="B15" s="1252" t="s">
        <v>12</v>
      </c>
      <c r="C15" s="1400" t="s">
        <v>14</v>
      </c>
      <c r="D15" s="1615">
        <v>1000</v>
      </c>
      <c r="E15" s="1646">
        <f t="shared" si="8"/>
        <v>1.3</v>
      </c>
      <c r="F15" s="1626">
        <v>1</v>
      </c>
      <c r="G15" s="940">
        <f t="shared" si="4"/>
        <v>1300</v>
      </c>
      <c r="H15" s="1038">
        <f t="shared" si="5"/>
        <v>1300</v>
      </c>
      <c r="I15" s="914">
        <f>VLOOKUP(B15,All_Ingredients!$A$1:$F$161,6,FALSE())</f>
        <v>0.9</v>
      </c>
      <c r="J15" s="940">
        <f>VLOOKUP(B15,All_Ingredients!$A$1:$J$161,10,FALSE())</f>
        <v>3</v>
      </c>
      <c r="K15" s="945">
        <f t="shared" si="9"/>
        <v>1.4444444444444444</v>
      </c>
      <c r="L15" s="945">
        <f t="shared" si="10"/>
        <v>4.333333333333333</v>
      </c>
      <c r="M15" s="257"/>
      <c r="N15" s="809"/>
      <c r="O15" s="809"/>
      <c r="R15" s="14"/>
      <c r="S15" s="14"/>
      <c r="T15" s="14"/>
      <c r="AE15" s="810"/>
      <c r="AF15" s="810"/>
    </row>
    <row r="16" spans="1:32" x14ac:dyDescent="0.2">
      <c r="A16" s="1571" t="s">
        <v>1005</v>
      </c>
      <c r="B16" s="1252" t="s">
        <v>60</v>
      </c>
      <c r="C16" s="1400" t="s">
        <v>14</v>
      </c>
      <c r="D16" s="1615">
        <v>100</v>
      </c>
      <c r="E16" s="1646">
        <f t="shared" si="8"/>
        <v>1.3</v>
      </c>
      <c r="F16" s="1626">
        <v>1</v>
      </c>
      <c r="G16" s="940">
        <f t="shared" si="4"/>
        <v>130</v>
      </c>
      <c r="H16" s="1038">
        <f t="shared" si="5"/>
        <v>130</v>
      </c>
      <c r="I16" s="914">
        <f>VLOOKUP(B16,All_Ingredients!$A$1:$F$161,6,FALSE())</f>
        <v>0.94</v>
      </c>
      <c r="J16" s="940">
        <f>VLOOKUP(B16,All_Ingredients!$A$1:$J$161,10,FALSE())</f>
        <v>3.6363636363636367</v>
      </c>
      <c r="K16" s="945">
        <f t="shared" si="9"/>
        <v>0.13829787234042554</v>
      </c>
      <c r="L16" s="945">
        <f t="shared" si="10"/>
        <v>0.50290135396518376</v>
      </c>
      <c r="M16" s="92"/>
      <c r="N16" s="87"/>
      <c r="O16" s="87"/>
      <c r="R16" s="298"/>
      <c r="S16" s="298"/>
      <c r="T16" s="298"/>
    </row>
    <row r="17" spans="1:31" x14ac:dyDescent="0.25">
      <c r="A17" s="1732"/>
      <c r="B17" s="1252" t="s">
        <v>93</v>
      </c>
      <c r="C17" s="1400" t="s">
        <v>14</v>
      </c>
      <c r="D17" s="1615">
        <v>150</v>
      </c>
      <c r="E17" s="1646">
        <f t="shared" si="8"/>
        <v>1.3</v>
      </c>
      <c r="F17" s="1626">
        <v>1</v>
      </c>
      <c r="G17" s="940">
        <f t="shared" si="4"/>
        <v>195</v>
      </c>
      <c r="H17" s="1038">
        <f t="shared" si="5"/>
        <v>195</v>
      </c>
      <c r="I17" s="914">
        <f>VLOOKUP(B17,All_Ingredients!$A$1:$F$161,6,FALSE())</f>
        <v>1</v>
      </c>
      <c r="J17" s="940">
        <f>VLOOKUP(B17,All_Ingredients!$A$1:$J$161,10,FALSE())</f>
        <v>0.74</v>
      </c>
      <c r="K17" s="945">
        <f t="shared" si="9"/>
        <v>0.19500000000000001</v>
      </c>
      <c r="L17" s="945">
        <f t="shared" si="10"/>
        <v>0.14430000000000001</v>
      </c>
      <c r="M17" s="92"/>
      <c r="N17" s="87"/>
      <c r="O17" s="87"/>
    </row>
    <row r="18" spans="1:31" x14ac:dyDescent="0.25">
      <c r="A18" s="1732"/>
      <c r="B18" s="1252" t="s">
        <v>704</v>
      </c>
      <c r="C18" s="1400" t="s">
        <v>14</v>
      </c>
      <c r="D18" s="1615">
        <v>100</v>
      </c>
      <c r="E18" s="1646">
        <f t="shared" si="8"/>
        <v>1.3</v>
      </c>
      <c r="F18" s="1626">
        <v>1</v>
      </c>
      <c r="G18" s="940">
        <f t="shared" si="4"/>
        <v>130</v>
      </c>
      <c r="H18" s="1038">
        <f t="shared" si="5"/>
        <v>130</v>
      </c>
      <c r="I18" s="914">
        <f>VLOOKUP(B18,All_Ingredients!$A$1:$F$161,6,FALSE())</f>
        <v>1</v>
      </c>
      <c r="J18" s="940">
        <f>VLOOKUP(B18,All_Ingredients!$A$1:$J$161,10,FALSE())</f>
        <v>43.333333333333336</v>
      </c>
      <c r="K18" s="945">
        <f t="shared" si="9"/>
        <v>0.13</v>
      </c>
      <c r="L18" s="945">
        <f t="shared" si="10"/>
        <v>5.6333333333333337</v>
      </c>
      <c r="M18" s="92"/>
      <c r="N18" s="87"/>
      <c r="O18" s="87"/>
    </row>
    <row r="19" spans="1:31" x14ac:dyDescent="0.25">
      <c r="A19" s="932"/>
      <c r="B19" s="1252" t="s">
        <v>34</v>
      </c>
      <c r="C19" s="1400" t="s">
        <v>14</v>
      </c>
      <c r="D19" s="1615">
        <v>200</v>
      </c>
      <c r="E19" s="1646">
        <f t="shared" si="8"/>
        <v>1.3</v>
      </c>
      <c r="F19" s="1626">
        <v>1</v>
      </c>
      <c r="G19" s="940">
        <f t="shared" si="4"/>
        <v>260</v>
      </c>
      <c r="H19" s="1038">
        <f t="shared" si="5"/>
        <v>260</v>
      </c>
      <c r="I19" s="914">
        <f>VLOOKUP(B19,All_Ingredients!$A$1:$F$161,6,FALSE())</f>
        <v>0.86</v>
      </c>
      <c r="J19" s="940">
        <f>VLOOKUP(B19,All_Ingredients!$A$1:$J$161,10,FALSE())</f>
        <v>14</v>
      </c>
      <c r="K19" s="945">
        <f t="shared" si="9"/>
        <v>0.30232558139534882</v>
      </c>
      <c r="L19" s="945">
        <f t="shared" si="10"/>
        <v>4.2325581395348832</v>
      </c>
      <c r="M19" s="92"/>
      <c r="N19" s="87"/>
      <c r="O19" s="87"/>
    </row>
    <row r="20" spans="1:31" x14ac:dyDescent="0.25">
      <c r="A20" s="1732"/>
      <c r="B20" s="1252" t="s">
        <v>118</v>
      </c>
      <c r="C20" s="1400" t="s">
        <v>14</v>
      </c>
      <c r="D20" s="1615">
        <v>30</v>
      </c>
      <c r="E20" s="1646">
        <f t="shared" si="8"/>
        <v>1.3</v>
      </c>
      <c r="F20" s="1626">
        <v>1</v>
      </c>
      <c r="G20" s="940">
        <f t="shared" si="4"/>
        <v>39</v>
      </c>
      <c r="H20" s="1038">
        <f t="shared" si="5"/>
        <v>39</v>
      </c>
      <c r="I20" s="914">
        <f>VLOOKUP(B20,All_Ingredients!$A$1:$F$161,6,FALSE())</f>
        <v>1</v>
      </c>
      <c r="J20" s="940">
        <f>VLOOKUP(B20,All_Ingredients!$A$1:$J$161,10,FALSE())</f>
        <v>15</v>
      </c>
      <c r="K20" s="945">
        <f t="shared" si="9"/>
        <v>3.9E-2</v>
      </c>
      <c r="L20" s="945">
        <f t="shared" si="10"/>
        <v>0.58499999999999996</v>
      </c>
      <c r="M20" s="92"/>
      <c r="N20" s="87"/>
      <c r="O20" s="87"/>
    </row>
    <row r="21" spans="1:31" x14ac:dyDescent="0.25">
      <c r="A21" s="932"/>
      <c r="B21" s="1252" t="s">
        <v>113</v>
      </c>
      <c r="C21" s="1400" t="s">
        <v>14</v>
      </c>
      <c r="D21" s="1615">
        <v>50</v>
      </c>
      <c r="E21" s="1646">
        <f t="shared" si="8"/>
        <v>1.3</v>
      </c>
      <c r="F21" s="1626">
        <v>1</v>
      </c>
      <c r="G21" s="940">
        <f t="shared" si="4"/>
        <v>65</v>
      </c>
      <c r="H21" s="1038">
        <f t="shared" si="5"/>
        <v>65</v>
      </c>
      <c r="I21" s="914">
        <f>VLOOKUP(B21,All_Ingredients!$A$1:$F$161,6,FALSE())</f>
        <v>1</v>
      </c>
      <c r="J21" s="940">
        <f>VLOOKUP(B21,All_Ingredients!$A$1:$J$161,10,FALSE())</f>
        <v>20</v>
      </c>
      <c r="K21" s="945">
        <f t="shared" si="9"/>
        <v>6.5000000000000002E-2</v>
      </c>
      <c r="L21" s="945">
        <f t="shared" si="10"/>
        <v>1.3</v>
      </c>
      <c r="M21" s="92"/>
      <c r="N21" s="87"/>
      <c r="O21" s="87"/>
    </row>
    <row r="22" spans="1:31" x14ac:dyDescent="0.25">
      <c r="A22" s="932"/>
      <c r="B22" s="1252" t="s">
        <v>107</v>
      </c>
      <c r="C22" s="1400" t="s">
        <v>14</v>
      </c>
      <c r="D22" s="1615">
        <v>55</v>
      </c>
      <c r="E22" s="1646">
        <f t="shared" si="8"/>
        <v>1.3</v>
      </c>
      <c r="F22" s="1626">
        <v>1</v>
      </c>
      <c r="G22" s="940">
        <f>D22*E22</f>
        <v>71.5</v>
      </c>
      <c r="H22" s="1038">
        <f t="shared" si="5"/>
        <v>71.5</v>
      </c>
      <c r="I22" s="914">
        <f>VLOOKUP(B22,All_Ingredients!$A$1:$F$161,6,FALSE())</f>
        <v>1</v>
      </c>
      <c r="J22" s="940">
        <f>VLOOKUP(B22,All_Ingredients!$A$1:$J$161,10,FALSE())</f>
        <v>8</v>
      </c>
      <c r="K22" s="945">
        <f t="shared" si="9"/>
        <v>7.1499999999999994E-2</v>
      </c>
      <c r="L22" s="945">
        <f t="shared" si="10"/>
        <v>0.57199999999999995</v>
      </c>
      <c r="M22" s="92"/>
      <c r="N22" s="87"/>
      <c r="O22" s="87"/>
    </row>
    <row r="23" spans="1:31" x14ac:dyDescent="0.25">
      <c r="A23" s="932"/>
      <c r="B23" s="1252" t="s">
        <v>105</v>
      </c>
      <c r="C23" s="1400" t="s">
        <v>14</v>
      </c>
      <c r="D23" s="1615">
        <v>55</v>
      </c>
      <c r="E23" s="1646">
        <f t="shared" si="8"/>
        <v>1.3</v>
      </c>
      <c r="F23" s="1626">
        <v>1</v>
      </c>
      <c r="G23" s="940">
        <f>D23*E23</f>
        <v>71.5</v>
      </c>
      <c r="H23" s="1038">
        <f t="shared" si="5"/>
        <v>71.5</v>
      </c>
      <c r="I23" s="914">
        <f>VLOOKUP(B23,All_Ingredients!$A$1:$F$161,6,FALSE())</f>
        <v>1</v>
      </c>
      <c r="J23" s="940">
        <f>VLOOKUP(B23,All_Ingredients!$A$1:$J$161,10,FALSE())</f>
        <v>15</v>
      </c>
      <c r="K23" s="945">
        <f t="shared" si="9"/>
        <v>7.1499999999999994E-2</v>
      </c>
      <c r="L23" s="945">
        <f t="shared" si="10"/>
        <v>1.0725</v>
      </c>
    </row>
    <row r="24" spans="1:31" x14ac:dyDescent="0.25">
      <c r="A24" s="932"/>
      <c r="B24" s="1252" t="s">
        <v>216</v>
      </c>
      <c r="C24" s="1400" t="s">
        <v>14</v>
      </c>
      <c r="D24" s="1615">
        <v>30</v>
      </c>
      <c r="E24" s="1646">
        <f t="shared" si="8"/>
        <v>1.3</v>
      </c>
      <c r="F24" s="1626">
        <v>1</v>
      </c>
      <c r="G24" s="940">
        <f>D24*E24</f>
        <v>39</v>
      </c>
      <c r="H24" s="1038">
        <f t="shared" si="5"/>
        <v>39</v>
      </c>
      <c r="I24" s="914">
        <f>VLOOKUP(B24,All_Ingredients!$A$1:$F$161,6,FALSE())</f>
        <v>1</v>
      </c>
      <c r="J24" s="940">
        <f>VLOOKUP(B24,All_Ingredients!$A$1:$J$161,10,FALSE())</f>
        <v>5</v>
      </c>
      <c r="K24" s="945">
        <f t="shared" si="9"/>
        <v>3.9E-2</v>
      </c>
      <c r="L24" s="945">
        <f t="shared" si="10"/>
        <v>0.19500000000000001</v>
      </c>
      <c r="Z24" s="597"/>
    </row>
    <row r="25" spans="1:31" ht="15.75" x14ac:dyDescent="0.25">
      <c r="A25" s="932"/>
      <c r="B25" s="1622" t="s">
        <v>287</v>
      </c>
      <c r="C25" s="952"/>
      <c r="D25" s="952"/>
      <c r="E25" s="952"/>
      <c r="F25" s="952"/>
      <c r="G25" s="952"/>
      <c r="H25" s="952"/>
      <c r="I25" s="952"/>
      <c r="J25" s="952"/>
      <c r="K25" s="952"/>
      <c r="L25" s="952"/>
      <c r="R25" s="1886" t="s">
        <v>463</v>
      </c>
      <c r="S25" s="1886"/>
      <c r="T25"/>
      <c r="U25"/>
      <c r="V25"/>
      <c r="Z25" s="96" t="s">
        <v>758</v>
      </c>
      <c r="AA25" s="97">
        <v>1</v>
      </c>
      <c r="AB25" s="96" t="s">
        <v>249</v>
      </c>
      <c r="AC25" s="98">
        <f>AE30*AA25</f>
        <v>2.4292722361749863</v>
      </c>
    </row>
    <row r="26" spans="1:31" ht="20.25" x14ac:dyDescent="0.3">
      <c r="A26" s="932"/>
      <c r="B26" s="1048">
        <f>$J$53</f>
        <v>5200</v>
      </c>
      <c r="C26" s="952"/>
      <c r="D26" s="952"/>
      <c r="E26" s="952"/>
      <c r="F26" s="952"/>
      <c r="G26" s="952"/>
      <c r="H26" s="952"/>
      <c r="I26" s="952"/>
      <c r="J26" s="952"/>
      <c r="K26" s="952"/>
      <c r="L26" s="952"/>
      <c r="R26" s="811" t="s">
        <v>291</v>
      </c>
      <c r="S26" s="811"/>
    </row>
    <row r="27" spans="1:31" x14ac:dyDescent="0.25">
      <c r="J27" s="228"/>
      <c r="K27" s="193"/>
      <c r="L27" s="95"/>
      <c r="R27" s="100" t="s">
        <v>254</v>
      </c>
      <c r="S27" s="100" t="s">
        <v>464</v>
      </c>
      <c r="T27" s="100" t="s">
        <v>257</v>
      </c>
      <c r="U27" s="101" t="s">
        <v>746</v>
      </c>
      <c r="V27" s="101" t="s">
        <v>759</v>
      </c>
      <c r="W27" s="101" t="s">
        <v>754</v>
      </c>
      <c r="Z27" s="102" t="s">
        <v>258</v>
      </c>
      <c r="AA27" s="102" t="s">
        <v>746</v>
      </c>
      <c r="AB27" s="102" t="s">
        <v>259</v>
      </c>
      <c r="AC27" s="102" t="s">
        <v>757</v>
      </c>
      <c r="AD27" s="102" t="s">
        <v>754</v>
      </c>
      <c r="AE27" s="102" t="s">
        <v>262</v>
      </c>
    </row>
    <row r="28" spans="1:31" x14ac:dyDescent="0.25">
      <c r="J28" s="228"/>
      <c r="K28" s="193"/>
      <c r="L28" s="215"/>
      <c r="R28" s="100" t="s">
        <v>263</v>
      </c>
      <c r="S28" s="677">
        <f>Z1</f>
        <v>95</v>
      </c>
      <c r="T28" s="812"/>
      <c r="U28" s="812">
        <f>SUM(H13:H24)</f>
        <v>2821</v>
      </c>
      <c r="V28" s="812"/>
      <c r="W28" s="812">
        <f>G7</f>
        <v>100</v>
      </c>
      <c r="Z28" s="813"/>
      <c r="AA28" s="814"/>
      <c r="AB28" s="106">
        <f>AA25*$S$40</f>
        <v>1</v>
      </c>
      <c r="AC28" s="814"/>
      <c r="AD28" s="814"/>
      <c r="AE28" s="108">
        <f>SUM(AB28:AD28)</f>
        <v>1</v>
      </c>
    </row>
    <row r="29" spans="1:31" x14ac:dyDescent="0.25">
      <c r="J29" s="228"/>
      <c r="K29" s="193"/>
      <c r="L29" s="215"/>
      <c r="R29" s="100" t="s">
        <v>265</v>
      </c>
      <c r="S29" s="678">
        <f>AB1</f>
        <v>5</v>
      </c>
      <c r="T29" s="815"/>
      <c r="U29" s="815"/>
      <c r="V29" s="815"/>
      <c r="W29" s="815"/>
      <c r="Z29" s="813"/>
      <c r="AA29" s="814"/>
      <c r="AB29" s="110">
        <f>AB28/$AE$28</f>
        <v>1</v>
      </c>
      <c r="AC29" s="814"/>
      <c r="AD29" s="814"/>
      <c r="AE29" s="110">
        <f>AE28/$AE$28</f>
        <v>1</v>
      </c>
    </row>
    <row r="30" spans="1:31" ht="15.75" thickBot="1" x14ac:dyDescent="0.3">
      <c r="D30" s="215"/>
      <c r="E30" s="91"/>
      <c r="F30" s="92"/>
      <c r="J30" s="228"/>
      <c r="K30" s="193"/>
      <c r="L30" s="215"/>
      <c r="R30" s="101" t="s">
        <v>257</v>
      </c>
      <c r="S30" s="219">
        <f>S28+S29</f>
        <v>100</v>
      </c>
      <c r="T30" s="816"/>
      <c r="U30" s="816"/>
      <c r="V30" s="816"/>
      <c r="W30" s="816"/>
      <c r="Z30" s="102" t="s">
        <v>266</v>
      </c>
      <c r="AA30" s="572">
        <f>U33/$AF$1</f>
        <v>0.23392880183155243</v>
      </c>
      <c r="AB30" s="111">
        <f>S33/(AF1)</f>
        <v>2.194343434343434</v>
      </c>
      <c r="AC30" s="129">
        <f>V33/AF1</f>
        <v>0</v>
      </c>
      <c r="AD30" s="572">
        <f>W33/$AF$1</f>
        <v>1E-3</v>
      </c>
      <c r="AE30" s="552">
        <f>AA30+AB30+AC30+AD30</f>
        <v>2.4292722361749863</v>
      </c>
    </row>
    <row r="31" spans="1:31" ht="15.75" thickBot="1" x14ac:dyDescent="0.3">
      <c r="D31" s="215"/>
      <c r="E31" s="91"/>
      <c r="F31" s="92"/>
      <c r="J31" s="228"/>
      <c r="K31" s="193"/>
      <c r="L31" s="215"/>
      <c r="R31" s="220" t="s">
        <v>254</v>
      </c>
      <c r="S31" s="221"/>
      <c r="T31" s="817"/>
      <c r="U31" s="817"/>
      <c r="V31" s="817"/>
      <c r="W31" s="817"/>
    </row>
    <row r="32" spans="1:31" ht="15.75" thickBot="1" x14ac:dyDescent="0.3">
      <c r="D32" s="215"/>
      <c r="E32" s="91"/>
      <c r="F32" s="92"/>
      <c r="J32" s="228"/>
      <c r="K32" s="193"/>
      <c r="L32" s="215"/>
      <c r="R32" s="130" t="s">
        <v>269</v>
      </c>
      <c r="S32" s="223"/>
      <c r="T32" s="818"/>
      <c r="U32" s="818"/>
      <c r="V32" s="818"/>
      <c r="W32" s="818"/>
    </row>
    <row r="33" spans="1:23" ht="15.75" thickBot="1" x14ac:dyDescent="0.3">
      <c r="D33" s="80"/>
      <c r="E33" s="80"/>
      <c r="J33" s="228"/>
      <c r="K33" s="193"/>
      <c r="L33" s="215"/>
      <c r="R33" s="117" t="s">
        <v>249</v>
      </c>
      <c r="S33" s="548">
        <f>$L$5+L6</f>
        <v>219.43434343434342</v>
      </c>
      <c r="T33" s="819">
        <f>S33+U33+V33+W33</f>
        <v>242.92722361749864</v>
      </c>
      <c r="U33" s="820">
        <f>SUM(L13:L24)</f>
        <v>23.392880183155242</v>
      </c>
      <c r="V33" s="820">
        <v>0</v>
      </c>
      <c r="W33" s="820">
        <f>L7</f>
        <v>0.1</v>
      </c>
    </row>
    <row r="34" spans="1:23" x14ac:dyDescent="0.25">
      <c r="D34" s="80"/>
      <c r="E34" s="80"/>
      <c r="J34" s="228"/>
      <c r="K34" s="193"/>
      <c r="L34" s="215"/>
      <c r="S34" s="288"/>
    </row>
    <row r="35" spans="1:23" ht="15.75" x14ac:dyDescent="0.2">
      <c r="A35" s="444"/>
      <c r="B35" s="1892" t="s">
        <v>772</v>
      </c>
      <c r="C35" s="1892"/>
      <c r="D35" s="1892"/>
      <c r="E35" s="1892"/>
      <c r="F35" s="1892"/>
      <c r="G35" s="444"/>
      <c r="H35" s="444"/>
      <c r="I35" s="444"/>
      <c r="J35" s="444"/>
      <c r="K35" s="444"/>
      <c r="L35" s="444"/>
      <c r="S35" s="288"/>
    </row>
    <row r="36" spans="1:23" ht="47.25" x14ac:dyDescent="0.2">
      <c r="A36" s="1001" t="s">
        <v>864</v>
      </c>
      <c r="B36" s="1004" t="s">
        <v>241</v>
      </c>
      <c r="C36" s="1004" t="s">
        <v>316</v>
      </c>
      <c r="D36" s="1002" t="s">
        <v>610</v>
      </c>
      <c r="E36" s="1003" t="s">
        <v>611</v>
      </c>
      <c r="F36" s="1002" t="s">
        <v>612</v>
      </c>
      <c r="G36" s="1001"/>
      <c r="H36" s="427" t="s">
        <v>612</v>
      </c>
      <c r="I36" s="427" t="s">
        <v>246</v>
      </c>
      <c r="J36" s="427" t="s">
        <v>247</v>
      </c>
      <c r="K36" s="427" t="s">
        <v>248</v>
      </c>
      <c r="L36" s="427" t="s">
        <v>249</v>
      </c>
    </row>
    <row r="37" spans="1:23" x14ac:dyDescent="0.2">
      <c r="A37" s="1005" t="s">
        <v>1005</v>
      </c>
      <c r="B37" s="1005" t="s">
        <v>64</v>
      </c>
      <c r="C37" s="1006" t="s">
        <v>14</v>
      </c>
      <c r="D37" s="1645">
        <v>0.2</v>
      </c>
      <c r="E37" s="1005">
        <f>$AD$1</f>
        <v>95</v>
      </c>
      <c r="F37" s="1005">
        <f>D37*E37</f>
        <v>19</v>
      </c>
      <c r="G37" s="437"/>
      <c r="H37" s="425">
        <f>F37</f>
        <v>19</v>
      </c>
      <c r="I37" s="425">
        <f>VLOOKUP(B37,All_Ingredients!$A$1:$F$161,6,FALSE())</f>
        <v>0.65</v>
      </c>
      <c r="J37" s="425">
        <f>VLOOKUP(B37,All_Ingredients!$A$1:$J$161,10,FALSE())</f>
        <v>3.5</v>
      </c>
      <c r="K37" s="425">
        <f t="shared" ref="K37" si="11">(H37/I37)/1000</f>
        <v>2.923076923076923E-2</v>
      </c>
      <c r="L37" s="425">
        <f t="shared" ref="L37" si="12">K37*J37</f>
        <v>0.10230769230769231</v>
      </c>
    </row>
    <row r="38" spans="1:23" x14ac:dyDescent="0.25">
      <c r="J38" s="228"/>
      <c r="L38" s="232"/>
    </row>
    <row r="39" spans="1:23" x14ac:dyDescent="0.25">
      <c r="B39" s="80"/>
      <c r="J39" s="228"/>
      <c r="L39" s="232"/>
    </row>
    <row r="40" spans="1:23" ht="39" x14ac:dyDescent="0.25">
      <c r="B40" s="80"/>
      <c r="C40" s="80"/>
      <c r="D40" s="225"/>
      <c r="E40" s="80"/>
      <c r="F40" s="80"/>
      <c r="G40" s="80"/>
      <c r="H40" s="80"/>
      <c r="I40" s="80"/>
      <c r="J40" s="228"/>
      <c r="L40" s="232"/>
      <c r="R40" s="119" t="s">
        <v>270</v>
      </c>
      <c r="S40" s="120">
        <v>1</v>
      </c>
      <c r="T40" s="119" t="s">
        <v>271</v>
      </c>
      <c r="U40" s="121">
        <v>0</v>
      </c>
      <c r="V40" s="122">
        <f>S40+U40</f>
        <v>1</v>
      </c>
    </row>
    <row r="41" spans="1:23" x14ac:dyDescent="0.25">
      <c r="B41" s="80"/>
      <c r="C41" s="80"/>
      <c r="D41" s="80"/>
      <c r="E41" s="80"/>
      <c r="F41" s="80"/>
      <c r="G41" s="80"/>
      <c r="H41" s="80"/>
      <c r="I41" s="80"/>
      <c r="J41" s="80"/>
      <c r="U41" s="123"/>
    </row>
    <row r="42" spans="1:23" ht="18" x14ac:dyDescent="0.25">
      <c r="B42" s="1815"/>
      <c r="C42" s="1815"/>
      <c r="D42" s="1815"/>
      <c r="E42" s="1815"/>
      <c r="F42" s="1815"/>
      <c r="G42" s="1815"/>
      <c r="H42" s="1815"/>
      <c r="I42" s="1815"/>
      <c r="J42" s="1815"/>
    </row>
    <row r="43" spans="1:23" ht="18" x14ac:dyDescent="0.25">
      <c r="B43" s="1803"/>
      <c r="C43" s="1803"/>
      <c r="D43" s="1803"/>
      <c r="E43" s="1803"/>
      <c r="F43" s="1803"/>
      <c r="G43" s="1803"/>
      <c r="H43" s="1803"/>
      <c r="I43" s="1803"/>
      <c r="J43" s="1803"/>
      <c r="Q43" s="124" t="s">
        <v>272</v>
      </c>
      <c r="R43" s="124" t="s">
        <v>273</v>
      </c>
      <c r="S43" s="124" t="s">
        <v>274</v>
      </c>
      <c r="T43" s="124" t="s">
        <v>275</v>
      </c>
      <c r="U43" s="124" t="s">
        <v>276</v>
      </c>
      <c r="V43" s="124" t="s">
        <v>277</v>
      </c>
      <c r="W43" s="124" t="s">
        <v>278</v>
      </c>
    </row>
    <row r="44" spans="1:23" x14ac:dyDescent="0.25">
      <c r="B44" s="226"/>
      <c r="C44" s="227"/>
      <c r="D44" s="226"/>
      <c r="E44" s="226"/>
      <c r="F44" s="226"/>
      <c r="G44" s="226"/>
      <c r="H44" s="226"/>
      <c r="I44" s="226"/>
      <c r="J44" s="226"/>
      <c r="Q44" s="126">
        <v>18841</v>
      </c>
      <c r="R44" s="127">
        <f>E52</f>
        <v>0</v>
      </c>
      <c r="S44" s="128">
        <v>0</v>
      </c>
      <c r="T44" s="128">
        <v>0</v>
      </c>
      <c r="U44" s="165">
        <f>R44*S44</f>
        <v>0</v>
      </c>
      <c r="V44" s="129">
        <f>R44*T44</f>
        <v>0</v>
      </c>
      <c r="W44" s="129">
        <f>Q44-U44</f>
        <v>18841</v>
      </c>
    </row>
    <row r="51" spans="1:10" x14ac:dyDescent="0.25">
      <c r="B51" s="131"/>
      <c r="C51" s="131"/>
      <c r="D51" s="131"/>
      <c r="E51" s="80"/>
      <c r="F51" s="80"/>
      <c r="G51" s="100" t="s">
        <v>280</v>
      </c>
      <c r="H51" s="100" t="s">
        <v>233</v>
      </c>
      <c r="I51" s="130" t="s">
        <v>281</v>
      </c>
      <c r="J51" s="130" t="s">
        <v>282</v>
      </c>
    </row>
    <row r="52" spans="1:10" x14ac:dyDescent="0.25">
      <c r="B52" s="131"/>
      <c r="C52" s="451"/>
      <c r="D52" s="258"/>
      <c r="E52" s="135"/>
      <c r="F52" s="80"/>
      <c r="G52" s="132" t="s">
        <v>283</v>
      </c>
      <c r="H52" s="182">
        <f>I52/$D$5</f>
        <v>289.86153846153849</v>
      </c>
      <c r="I52" s="133">
        <f>J52/$R$1</f>
        <v>37682</v>
      </c>
      <c r="J52" s="133">
        <f>$W$44</f>
        <v>18841</v>
      </c>
    </row>
    <row r="53" spans="1:10" x14ac:dyDescent="0.25">
      <c r="B53" s="11"/>
      <c r="C53" s="216"/>
      <c r="D53" s="259"/>
      <c r="E53" s="80"/>
      <c r="F53" s="80"/>
      <c r="G53" s="103" t="s">
        <v>262</v>
      </c>
      <c r="H53" s="821">
        <f>I53/$D$5</f>
        <v>80</v>
      </c>
      <c r="I53" s="129">
        <f>J53/$R$1</f>
        <v>10400</v>
      </c>
      <c r="J53" s="136">
        <f>$S$30*$T$1*0.8</f>
        <v>5200</v>
      </c>
    </row>
    <row r="54" spans="1:10" x14ac:dyDescent="0.25">
      <c r="B54" s="11"/>
      <c r="C54" s="216"/>
      <c r="D54" s="259"/>
      <c r="E54" s="80"/>
      <c r="F54" s="80"/>
      <c r="G54" s="103" t="s">
        <v>284</v>
      </c>
      <c r="H54" s="139">
        <f>MIN(H53,H52)</f>
        <v>80</v>
      </c>
      <c r="I54" s="129">
        <f>J54/$R$1</f>
        <v>10400</v>
      </c>
      <c r="J54" s="129">
        <f>MIN(J53,J52)</f>
        <v>5200</v>
      </c>
    </row>
    <row r="55" spans="1:10" x14ac:dyDescent="0.25">
      <c r="B55" s="11"/>
      <c r="C55" s="216"/>
      <c r="D55" s="259"/>
      <c r="E55" s="80"/>
      <c r="F55" s="80"/>
      <c r="G55" s="103" t="s">
        <v>285</v>
      </c>
      <c r="H55" s="139">
        <f>MIN(MAX(H53-H54),H52)</f>
        <v>0</v>
      </c>
      <c r="I55" s="129">
        <f>J55/$R$1</f>
        <v>0</v>
      </c>
      <c r="J55" s="129">
        <f>MIN(MAX(J53-J54),J52)</f>
        <v>0</v>
      </c>
    </row>
    <row r="56" spans="1:10" x14ac:dyDescent="0.25">
      <c r="B56" s="11"/>
      <c r="C56" s="216"/>
      <c r="D56" s="259"/>
      <c r="E56" s="80"/>
      <c r="F56" s="80"/>
      <c r="G56" s="100" t="s">
        <v>286</v>
      </c>
      <c r="H56" s="139">
        <f>MIN(MAX(H53-H54-H55),H52)</f>
        <v>0</v>
      </c>
      <c r="I56" s="129">
        <f>J56/$R$1</f>
        <v>0</v>
      </c>
      <c r="J56" s="129">
        <f>MIN(MAX(J53-J54-J55),J52)</f>
        <v>0</v>
      </c>
    </row>
    <row r="58" spans="1:10" ht="18" x14ac:dyDescent="0.25">
      <c r="B58" s="1803"/>
      <c r="C58" s="1803"/>
      <c r="D58" s="1803"/>
      <c r="E58" s="1803"/>
      <c r="F58" s="1803"/>
      <c r="G58" s="1803"/>
      <c r="H58" s="1803"/>
      <c r="I58" s="1803"/>
      <c r="J58" s="1803"/>
    </row>
    <row r="59" spans="1:10" x14ac:dyDescent="0.25">
      <c r="B59" s="226"/>
      <c r="C59" s="227"/>
      <c r="D59" s="226"/>
      <c r="E59" s="226"/>
      <c r="F59" s="226"/>
      <c r="G59" s="226"/>
      <c r="H59" s="226"/>
      <c r="I59" s="226"/>
      <c r="J59" s="226"/>
    </row>
    <row r="60" spans="1:10" x14ac:dyDescent="0.25">
      <c r="B60" s="228"/>
      <c r="C60" s="228"/>
      <c r="D60" s="228"/>
      <c r="E60" s="215"/>
      <c r="F60" s="91"/>
      <c r="G60" s="92"/>
      <c r="H60" s="93"/>
      <c r="I60" s="73"/>
      <c r="J60" s="94"/>
    </row>
    <row r="61" spans="1:10" x14ac:dyDescent="0.25">
      <c r="B61" s="228"/>
      <c r="C61" s="228"/>
      <c r="D61" s="228"/>
      <c r="E61" s="215"/>
      <c r="F61" s="91"/>
      <c r="G61" s="92"/>
      <c r="H61" s="93"/>
      <c r="I61" s="73"/>
      <c r="J61" s="94"/>
    </row>
    <row r="62" spans="1:10" x14ac:dyDescent="0.25">
      <c r="A62" s="863"/>
      <c r="B62" s="1828" t="s">
        <v>463</v>
      </c>
      <c r="C62" s="1865"/>
      <c r="D62" s="1865"/>
      <c r="E62" s="1865"/>
      <c r="F62" s="1865"/>
      <c r="G62" s="1865"/>
      <c r="H62" s="1865"/>
      <c r="I62" s="73"/>
      <c r="J62" s="94"/>
    </row>
    <row r="63" spans="1:10" x14ac:dyDescent="0.25">
      <c r="A63" s="863"/>
      <c r="B63" s="1796"/>
      <c r="C63" s="1796"/>
      <c r="D63" s="1796"/>
      <c r="E63" s="1796"/>
      <c r="F63" s="1796"/>
      <c r="G63" s="1796"/>
      <c r="H63" s="1796"/>
      <c r="I63" s="73"/>
      <c r="J63" s="94"/>
    </row>
    <row r="64" spans="1:10" ht="39" customHeight="1" x14ac:dyDescent="0.2">
      <c r="A64" s="1350" t="s">
        <v>864</v>
      </c>
      <c r="B64" s="923" t="s">
        <v>241</v>
      </c>
      <c r="C64" s="934" t="s">
        <v>242</v>
      </c>
      <c r="D64" s="923" t="s">
        <v>473</v>
      </c>
      <c r="E64" s="935" t="s">
        <v>234</v>
      </c>
      <c r="F64" s="935" t="s">
        <v>243</v>
      </c>
      <c r="G64" s="923" t="s">
        <v>244</v>
      </c>
      <c r="H64" s="1635" t="s">
        <v>334</v>
      </c>
    </row>
    <row r="65" spans="1:14" x14ac:dyDescent="0.25">
      <c r="A65" s="949" t="s">
        <v>892</v>
      </c>
      <c r="B65" s="1252" t="s">
        <v>226</v>
      </c>
      <c r="C65" s="947" t="s">
        <v>14</v>
      </c>
      <c r="D65" s="944">
        <f>D5</f>
        <v>130</v>
      </c>
      <c r="E65" s="1621">
        <f>E5</f>
        <v>80</v>
      </c>
      <c r="F65" s="1616">
        <f>F5</f>
        <v>1</v>
      </c>
      <c r="G65" s="1040">
        <f>D65*E65</f>
        <v>10400</v>
      </c>
      <c r="H65" s="1617">
        <f>G65*F65</f>
        <v>10400</v>
      </c>
      <c r="M65" s="87"/>
      <c r="N65" s="87"/>
    </row>
    <row r="66" spans="1:14" x14ac:dyDescent="0.25">
      <c r="A66" s="949"/>
      <c r="B66" s="1252" t="s">
        <v>222</v>
      </c>
      <c r="C66" s="1400" t="s">
        <v>14</v>
      </c>
      <c r="D66" s="944">
        <f t="shared" ref="D66:D67" si="13">D6</f>
        <v>40</v>
      </c>
      <c r="E66" s="1621">
        <f t="shared" ref="E66:F67" si="14">E6</f>
        <v>80</v>
      </c>
      <c r="F66" s="1616">
        <f t="shared" si="14"/>
        <v>1</v>
      </c>
      <c r="G66" s="944">
        <f>D66*E66</f>
        <v>3200</v>
      </c>
      <c r="H66" s="1617">
        <f>G66*F66</f>
        <v>3200</v>
      </c>
      <c r="I66" s="73"/>
      <c r="J66" s="92"/>
      <c r="K66" s="73"/>
      <c r="L66" s="92"/>
    </row>
    <row r="67" spans="1:14" x14ac:dyDescent="0.25">
      <c r="A67" s="949"/>
      <c r="B67" s="1733" t="s">
        <v>801</v>
      </c>
      <c r="C67" s="947" t="s">
        <v>230</v>
      </c>
      <c r="D67" s="944">
        <f t="shared" si="13"/>
        <v>1</v>
      </c>
      <c r="E67" s="1621">
        <f t="shared" si="14"/>
        <v>100</v>
      </c>
      <c r="F67" s="1616">
        <f t="shared" si="14"/>
        <v>1</v>
      </c>
      <c r="G67" s="944">
        <f>D67*($Z$1+$AB$1)</f>
        <v>100</v>
      </c>
      <c r="H67" s="1617">
        <f>G67*F67</f>
        <v>100</v>
      </c>
    </row>
    <row r="68" spans="1:14" ht="15.75" x14ac:dyDescent="0.25">
      <c r="A68" s="949"/>
      <c r="B68" s="1622" t="s">
        <v>287</v>
      </c>
      <c r="C68" s="947"/>
      <c r="D68" s="1041" t="s">
        <v>537</v>
      </c>
      <c r="E68" s="1615"/>
      <c r="F68" s="1616"/>
      <c r="G68" s="944"/>
      <c r="H68" s="1617"/>
    </row>
    <row r="69" spans="1:14" ht="20.25" x14ac:dyDescent="0.3">
      <c r="A69" s="949"/>
      <c r="B69" s="1048">
        <f>$J$53</f>
        <v>5200</v>
      </c>
      <c r="C69" s="947"/>
      <c r="D69" s="1047">
        <f>$AF$1</f>
        <v>100</v>
      </c>
      <c r="E69" s="1615"/>
      <c r="F69" s="1616"/>
      <c r="G69" s="944"/>
      <c r="H69" s="1617"/>
    </row>
    <row r="70" spans="1:14" x14ac:dyDescent="0.25">
      <c r="A70" s="949"/>
    </row>
    <row r="71" spans="1:14" ht="15.75" customHeight="1" x14ac:dyDescent="0.25">
      <c r="A71" s="949"/>
      <c r="B71" s="1734" t="s">
        <v>1015</v>
      </c>
      <c r="C71" s="1909" t="s">
        <v>463</v>
      </c>
      <c r="D71" s="1909"/>
      <c r="E71" s="1909"/>
      <c r="F71" s="1909"/>
      <c r="G71" s="1909"/>
      <c r="H71" s="1910"/>
    </row>
    <row r="72" spans="1:14" x14ac:dyDescent="0.25">
      <c r="A72" s="949"/>
      <c r="B72" s="926" t="s">
        <v>250</v>
      </c>
      <c r="C72" s="926">
        <v>10000</v>
      </c>
      <c r="D72" s="927" t="s">
        <v>493</v>
      </c>
      <c r="E72" s="928">
        <f>$S$30*$T$1</f>
        <v>6500</v>
      </c>
      <c r="F72" s="926" t="s">
        <v>239</v>
      </c>
      <c r="G72" s="929">
        <f>(($S$30*$T$1)/$R$1)/$C$9</f>
        <v>1.3</v>
      </c>
      <c r="H72" s="1207"/>
    </row>
    <row r="73" spans="1:14" ht="25.5" x14ac:dyDescent="0.25">
      <c r="A73" s="932"/>
      <c r="B73" s="926" t="s">
        <v>241</v>
      </c>
      <c r="C73" s="1169" t="s">
        <v>242</v>
      </c>
      <c r="D73" s="926" t="s">
        <v>250</v>
      </c>
      <c r="E73" s="926" t="s">
        <v>234</v>
      </c>
      <c r="F73" s="926" t="s">
        <v>243</v>
      </c>
      <c r="G73" s="926" t="s">
        <v>244</v>
      </c>
      <c r="H73" s="926" t="s">
        <v>334</v>
      </c>
    </row>
    <row r="74" spans="1:14" x14ac:dyDescent="0.2">
      <c r="A74" s="1571" t="s">
        <v>867</v>
      </c>
      <c r="B74" s="1252" t="s">
        <v>54</v>
      </c>
      <c r="C74" s="1400" t="s">
        <v>14</v>
      </c>
      <c r="D74" s="1615">
        <v>200</v>
      </c>
      <c r="E74" s="1646">
        <f>$G$9</f>
        <v>1.3</v>
      </c>
      <c r="F74" s="1626">
        <v>1</v>
      </c>
      <c r="G74" s="940">
        <f t="shared" ref="G74:G82" si="15">D74*E74</f>
        <v>260</v>
      </c>
      <c r="H74" s="1038">
        <f t="shared" ref="H74:H85" si="16">G74*F74</f>
        <v>260</v>
      </c>
    </row>
    <row r="75" spans="1:14" x14ac:dyDescent="0.2">
      <c r="A75" s="1571" t="s">
        <v>868</v>
      </c>
      <c r="B75" s="1252" t="s">
        <v>706</v>
      </c>
      <c r="C75" s="1400" t="s">
        <v>14</v>
      </c>
      <c r="D75" s="1615">
        <v>200</v>
      </c>
      <c r="E75" s="1646">
        <f t="shared" ref="E75:E85" si="17">$G$9</f>
        <v>1.3</v>
      </c>
      <c r="F75" s="1626">
        <v>1</v>
      </c>
      <c r="G75" s="940">
        <f t="shared" si="15"/>
        <v>260</v>
      </c>
      <c r="H75" s="1038">
        <f t="shared" si="16"/>
        <v>260</v>
      </c>
    </row>
    <row r="76" spans="1:14" x14ac:dyDescent="0.2">
      <c r="A76" s="1571" t="s">
        <v>881</v>
      </c>
      <c r="B76" s="1252" t="s">
        <v>12</v>
      </c>
      <c r="C76" s="1400" t="s">
        <v>14</v>
      </c>
      <c r="D76" s="1615">
        <v>1000</v>
      </c>
      <c r="E76" s="1646">
        <f t="shared" si="17"/>
        <v>1.3</v>
      </c>
      <c r="F76" s="1626">
        <v>1</v>
      </c>
      <c r="G76" s="940">
        <f t="shared" si="15"/>
        <v>1300</v>
      </c>
      <c r="H76" s="1038">
        <f t="shared" si="16"/>
        <v>1300</v>
      </c>
    </row>
    <row r="77" spans="1:14" x14ac:dyDescent="0.2">
      <c r="A77" s="1571" t="s">
        <v>1005</v>
      </c>
      <c r="B77" s="1252" t="s">
        <v>60</v>
      </c>
      <c r="C77" s="1400" t="s">
        <v>14</v>
      </c>
      <c r="D77" s="1615">
        <v>100</v>
      </c>
      <c r="E77" s="1646">
        <f t="shared" si="17"/>
        <v>1.3</v>
      </c>
      <c r="F77" s="1626">
        <v>1</v>
      </c>
      <c r="G77" s="940">
        <f t="shared" si="15"/>
        <v>130</v>
      </c>
      <c r="H77" s="1038">
        <f t="shared" si="16"/>
        <v>130</v>
      </c>
    </row>
    <row r="78" spans="1:14" x14ac:dyDescent="0.25">
      <c r="A78" s="1732"/>
      <c r="B78" s="1252" t="s">
        <v>93</v>
      </c>
      <c r="C78" s="1400" t="s">
        <v>14</v>
      </c>
      <c r="D78" s="1615">
        <v>150</v>
      </c>
      <c r="E78" s="1646">
        <f t="shared" si="17"/>
        <v>1.3</v>
      </c>
      <c r="F78" s="1626">
        <v>1</v>
      </c>
      <c r="G78" s="940">
        <f t="shared" si="15"/>
        <v>195</v>
      </c>
      <c r="H78" s="1038">
        <f t="shared" si="16"/>
        <v>195</v>
      </c>
    </row>
    <row r="79" spans="1:14" x14ac:dyDescent="0.25">
      <c r="A79" s="1732"/>
      <c r="B79" s="1252" t="s">
        <v>704</v>
      </c>
      <c r="C79" s="1400" t="s">
        <v>14</v>
      </c>
      <c r="D79" s="1615">
        <v>100</v>
      </c>
      <c r="E79" s="1646">
        <f t="shared" si="17"/>
        <v>1.3</v>
      </c>
      <c r="F79" s="1626">
        <v>1</v>
      </c>
      <c r="G79" s="940">
        <f t="shared" si="15"/>
        <v>130</v>
      </c>
      <c r="H79" s="1038">
        <f t="shared" si="16"/>
        <v>130</v>
      </c>
    </row>
    <row r="80" spans="1:14" x14ac:dyDescent="0.25">
      <c r="A80" s="932"/>
      <c r="B80" s="1252" t="s">
        <v>34</v>
      </c>
      <c r="C80" s="1400" t="s">
        <v>14</v>
      </c>
      <c r="D80" s="1615">
        <v>200</v>
      </c>
      <c r="E80" s="1646">
        <f t="shared" si="17"/>
        <v>1.3</v>
      </c>
      <c r="F80" s="1626">
        <v>1</v>
      </c>
      <c r="G80" s="940">
        <f t="shared" si="15"/>
        <v>260</v>
      </c>
      <c r="H80" s="1038">
        <f t="shared" si="16"/>
        <v>260</v>
      </c>
    </row>
    <row r="81" spans="1:8" x14ac:dyDescent="0.25">
      <c r="A81" s="1732"/>
      <c r="B81" s="1252" t="s">
        <v>118</v>
      </c>
      <c r="C81" s="1400" t="s">
        <v>14</v>
      </c>
      <c r="D81" s="1615">
        <v>30</v>
      </c>
      <c r="E81" s="1646">
        <f t="shared" si="17"/>
        <v>1.3</v>
      </c>
      <c r="F81" s="1626">
        <v>1</v>
      </c>
      <c r="G81" s="940">
        <f t="shared" si="15"/>
        <v>39</v>
      </c>
      <c r="H81" s="1038">
        <f t="shared" si="16"/>
        <v>39</v>
      </c>
    </row>
    <row r="82" spans="1:8" x14ac:dyDescent="0.25">
      <c r="A82" s="932"/>
      <c r="B82" s="1252" t="s">
        <v>113</v>
      </c>
      <c r="C82" s="1400" t="s">
        <v>14</v>
      </c>
      <c r="D82" s="1615">
        <v>50</v>
      </c>
      <c r="E82" s="1646">
        <f t="shared" si="17"/>
        <v>1.3</v>
      </c>
      <c r="F82" s="1626">
        <v>1</v>
      </c>
      <c r="G82" s="940">
        <f t="shared" si="15"/>
        <v>65</v>
      </c>
      <c r="H82" s="1038">
        <f t="shared" si="16"/>
        <v>65</v>
      </c>
    </row>
    <row r="83" spans="1:8" x14ac:dyDescent="0.25">
      <c r="A83" s="932"/>
      <c r="B83" s="1252" t="s">
        <v>107</v>
      </c>
      <c r="C83" s="1400" t="s">
        <v>14</v>
      </c>
      <c r="D83" s="1615">
        <v>55</v>
      </c>
      <c r="E83" s="1646">
        <f t="shared" si="17"/>
        <v>1.3</v>
      </c>
      <c r="F83" s="1626">
        <v>1</v>
      </c>
      <c r="G83" s="940">
        <f>D83*E83</f>
        <v>71.5</v>
      </c>
      <c r="H83" s="1038">
        <f t="shared" si="16"/>
        <v>71.5</v>
      </c>
    </row>
    <row r="84" spans="1:8" x14ac:dyDescent="0.25">
      <c r="A84" s="932"/>
      <c r="B84" s="1252" t="s">
        <v>105</v>
      </c>
      <c r="C84" s="1400" t="s">
        <v>14</v>
      </c>
      <c r="D84" s="1615">
        <v>55</v>
      </c>
      <c r="E84" s="1646">
        <f t="shared" si="17"/>
        <v>1.3</v>
      </c>
      <c r="F84" s="1626">
        <v>1</v>
      </c>
      <c r="G84" s="940">
        <f>D84*E84</f>
        <v>71.5</v>
      </c>
      <c r="H84" s="1038">
        <f t="shared" si="16"/>
        <v>71.5</v>
      </c>
    </row>
    <row r="85" spans="1:8" x14ac:dyDescent="0.25">
      <c r="A85" s="932"/>
      <c r="B85" s="1252" t="s">
        <v>216</v>
      </c>
      <c r="C85" s="1400" t="s">
        <v>14</v>
      </c>
      <c r="D85" s="1615">
        <v>30</v>
      </c>
      <c r="E85" s="1646">
        <f t="shared" si="17"/>
        <v>1.3</v>
      </c>
      <c r="F85" s="1626">
        <v>1</v>
      </c>
      <c r="G85" s="940">
        <f>D85*E85</f>
        <v>39</v>
      </c>
      <c r="H85" s="1038">
        <f t="shared" si="16"/>
        <v>39</v>
      </c>
    </row>
    <row r="86" spans="1:8" x14ac:dyDescent="0.25">
      <c r="B86" s="228"/>
      <c r="C86" s="228"/>
      <c r="D86" s="228"/>
      <c r="E86" s="260"/>
      <c r="F86" s="91"/>
      <c r="G86" s="92"/>
      <c r="H86" s="93"/>
    </row>
    <row r="87" spans="1:8" x14ac:dyDescent="0.25">
      <c r="B87" s="228"/>
      <c r="C87" s="228"/>
      <c r="D87" s="228"/>
      <c r="E87" s="260"/>
      <c r="F87" s="91"/>
      <c r="G87" s="92"/>
      <c r="H87" s="93"/>
    </row>
    <row r="88" spans="1:8" x14ac:dyDescent="0.25">
      <c r="B88" s="228"/>
      <c r="C88" s="228"/>
      <c r="D88" s="228"/>
      <c r="E88" s="260"/>
      <c r="F88" s="91"/>
      <c r="G88" s="92"/>
      <c r="H88" s="93"/>
    </row>
    <row r="89" spans="1:8" x14ac:dyDescent="0.25">
      <c r="B89" s="228"/>
      <c r="C89" s="228"/>
      <c r="D89" s="228"/>
      <c r="E89" s="260"/>
      <c r="F89" s="91"/>
      <c r="G89" s="92"/>
      <c r="H89" s="93"/>
    </row>
    <row r="90" spans="1:8" x14ac:dyDescent="0.25">
      <c r="B90" s="228"/>
      <c r="C90" s="228"/>
      <c r="D90" s="228"/>
      <c r="E90" s="260"/>
      <c r="F90" s="91"/>
      <c r="G90" s="92"/>
      <c r="H90" s="93"/>
    </row>
    <row r="91" spans="1:8" x14ac:dyDescent="0.25">
      <c r="B91" s="228"/>
      <c r="C91" s="228"/>
      <c r="D91" s="228"/>
      <c r="E91" s="260"/>
      <c r="F91" s="91"/>
      <c r="G91" s="92"/>
      <c r="H91" s="93"/>
    </row>
  </sheetData>
  <mergeCells count="9">
    <mergeCell ref="C71:H71"/>
    <mergeCell ref="B43:J43"/>
    <mergeCell ref="B2:H3"/>
    <mergeCell ref="C10:E10"/>
    <mergeCell ref="R25:S25"/>
    <mergeCell ref="B35:F35"/>
    <mergeCell ref="B42:J42"/>
    <mergeCell ref="B58:J58"/>
    <mergeCell ref="B62:H63"/>
  </mergeCells>
  <printOptions horizontalCentered="1"/>
  <pageMargins left="0.5" right="0.5" top="1" bottom="0.5" header="0.3" footer="0.511811023622047"/>
  <pageSetup paperSize="9" scale="30" orientation="portrait" r:id="rId1"/>
  <legacyDrawing r:id="rId2"/>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26FD5-DBD5-4363-8F7A-855EBEAE537A}">
  <sheetPr codeName="Sheet94">
    <tabColor theme="3" tint="-0.249977111117893"/>
    <pageSetUpPr fitToPage="1"/>
  </sheetPr>
  <dimension ref="A1:AF84"/>
  <sheetViews>
    <sheetView zoomScale="55" zoomScaleNormal="55" workbookViewId="0">
      <selection activeCell="G74" sqref="G74"/>
    </sheetView>
  </sheetViews>
  <sheetFormatPr defaultColWidth="12.5" defaultRowHeight="15" x14ac:dyDescent="0.25"/>
  <cols>
    <col min="1" max="1" width="16.75" style="61" customWidth="1"/>
    <col min="2" max="2" width="50.125" style="14" bestFit="1" customWidth="1"/>
    <col min="3" max="3" width="19.25" style="14" bestFit="1" customWidth="1"/>
    <col min="4" max="4" width="18.75" style="14" bestFit="1" customWidth="1"/>
    <col min="5" max="5" width="15.375" style="14" bestFit="1" customWidth="1"/>
    <col min="6" max="6" width="16.75" style="14" bestFit="1" customWidth="1"/>
    <col min="7" max="7" width="23.25" style="14" bestFit="1" customWidth="1"/>
    <col min="8" max="8" width="40.375" style="14" bestFit="1" customWidth="1"/>
    <col min="9" max="9" width="17.375" style="14" bestFit="1" customWidth="1"/>
    <col min="10" max="10" width="14.5" style="14" bestFit="1" customWidth="1"/>
    <col min="11" max="11" width="11.125" style="14" bestFit="1" customWidth="1"/>
    <col min="12" max="12" width="6.75" style="14" bestFit="1" customWidth="1"/>
    <col min="13" max="14" width="3.75" style="14" customWidth="1"/>
    <col min="15" max="15" width="17.375" style="14" bestFit="1" customWidth="1"/>
    <col min="16" max="16" width="5.125" style="14" bestFit="1" customWidth="1"/>
    <col min="17" max="17" width="14.875" style="14" bestFit="1" customWidth="1"/>
    <col min="18" max="18" width="24" style="14" bestFit="1" customWidth="1"/>
    <col min="19" max="19" width="10.625" style="14" bestFit="1" customWidth="1"/>
    <col min="20" max="20" width="17.375" style="14" bestFit="1" customWidth="1"/>
    <col min="21" max="21" width="12" style="14" bestFit="1" customWidth="1"/>
    <col min="22" max="22" width="12.625" style="14" bestFit="1" customWidth="1"/>
    <col min="23" max="23" width="39.625" style="14" bestFit="1" customWidth="1"/>
    <col min="24" max="25" width="8.75" style="14" bestFit="1" customWidth="1"/>
    <col min="26" max="26" width="12" style="14" bestFit="1" customWidth="1"/>
    <col min="27" max="27" width="12.375" style="14" bestFit="1" customWidth="1"/>
    <col min="28" max="28" width="14.25" style="14" bestFit="1" customWidth="1"/>
    <col min="29" max="29" width="15.625" style="14" bestFit="1" customWidth="1"/>
    <col min="30" max="30" width="7.625" style="14" bestFit="1" customWidth="1"/>
    <col min="31" max="31" width="7.875" style="14" bestFit="1" customWidth="1"/>
    <col min="32" max="32" width="5.375" style="14" bestFit="1" customWidth="1"/>
    <col min="33" max="35" width="2.875" style="14" customWidth="1"/>
    <col min="36" max="16384" width="12.5" style="14"/>
  </cols>
  <sheetData>
    <row r="1" spans="1:32" ht="25.5" x14ac:dyDescent="0.25">
      <c r="B1" s="843" t="s">
        <v>330</v>
      </c>
      <c r="C1" s="63">
        <v>1</v>
      </c>
      <c r="D1" s="64" t="s">
        <v>232</v>
      </c>
      <c r="E1" s="84">
        <f>U32</f>
        <v>183</v>
      </c>
      <c r="F1" s="62" t="s">
        <v>233</v>
      </c>
      <c r="G1" s="84">
        <f>E1/C1</f>
        <v>183</v>
      </c>
      <c r="H1" s="62" t="s">
        <v>234</v>
      </c>
      <c r="I1" s="84"/>
      <c r="J1" s="209" t="s">
        <v>235</v>
      </c>
      <c r="K1" s="210">
        <v>1</v>
      </c>
      <c r="L1" s="80"/>
      <c r="M1" s="80"/>
      <c r="N1" s="80"/>
      <c r="O1" s="72" t="s">
        <v>236</v>
      </c>
      <c r="P1" s="73" t="s">
        <v>894</v>
      </c>
      <c r="Q1" s="74" t="s">
        <v>238</v>
      </c>
      <c r="R1" s="73">
        <v>0.89</v>
      </c>
      <c r="S1" s="74" t="s">
        <v>332</v>
      </c>
      <c r="T1" s="211">
        <v>100</v>
      </c>
      <c r="U1" s="80"/>
      <c r="V1" s="80"/>
      <c r="Y1" s="72" t="s">
        <v>444</v>
      </c>
      <c r="Z1" s="422">
        <v>178</v>
      </c>
      <c r="AA1" s="72" t="s">
        <v>544</v>
      </c>
      <c r="AB1" s="422">
        <v>5</v>
      </c>
      <c r="AC1" s="72" t="s">
        <v>537</v>
      </c>
      <c r="AD1" s="422">
        <v>178</v>
      </c>
      <c r="AE1" s="72" t="s">
        <v>529</v>
      </c>
      <c r="AF1" s="422">
        <f>Z1+AB1</f>
        <v>183</v>
      </c>
    </row>
    <row r="2" spans="1:32" x14ac:dyDescent="0.25">
      <c r="A2" s="863"/>
      <c r="B2" s="1805" t="s">
        <v>806</v>
      </c>
      <c r="C2" s="1805"/>
      <c r="D2" s="1805"/>
      <c r="E2" s="1805"/>
      <c r="F2" s="1805"/>
      <c r="G2" s="1805"/>
      <c r="H2" s="1805"/>
      <c r="I2" s="327"/>
      <c r="J2" s="327"/>
      <c r="K2" s="327"/>
      <c r="L2" s="187"/>
      <c r="M2" s="80"/>
      <c r="N2" s="80"/>
      <c r="O2" s="80"/>
      <c r="P2" s="80"/>
      <c r="Q2" s="80"/>
      <c r="R2" s="80"/>
      <c r="S2" s="80"/>
      <c r="T2" s="80"/>
      <c r="U2" s="80"/>
    </row>
    <row r="3" spans="1:32" x14ac:dyDescent="0.25">
      <c r="A3" s="863"/>
      <c r="B3" s="1791"/>
      <c r="C3" s="1791"/>
      <c r="D3" s="1791"/>
      <c r="E3" s="1791"/>
      <c r="F3" s="1791"/>
      <c r="G3" s="1791"/>
      <c r="H3" s="1791"/>
      <c r="I3" s="1187"/>
      <c r="J3" s="1187"/>
      <c r="K3" s="1187"/>
      <c r="L3" s="187"/>
      <c r="M3" s="80"/>
      <c r="N3" s="80"/>
      <c r="O3" s="80"/>
      <c r="P3" s="80"/>
      <c r="Q3" s="80"/>
      <c r="R3" s="80"/>
      <c r="S3" s="80"/>
      <c r="T3" s="80"/>
      <c r="U3" s="80"/>
    </row>
    <row r="4" spans="1:32" ht="38.25" x14ac:dyDescent="0.2">
      <c r="A4" s="872" t="s">
        <v>864</v>
      </c>
      <c r="B4" s="923" t="s">
        <v>241</v>
      </c>
      <c r="C4" s="934" t="s">
        <v>242</v>
      </c>
      <c r="D4" s="923" t="s">
        <v>231</v>
      </c>
      <c r="E4" s="935" t="s">
        <v>234</v>
      </c>
      <c r="F4" s="935" t="s">
        <v>243</v>
      </c>
      <c r="G4" s="923" t="s">
        <v>244</v>
      </c>
      <c r="H4" s="1635" t="s">
        <v>334</v>
      </c>
      <c r="I4" s="923" t="s">
        <v>246</v>
      </c>
      <c r="J4" s="923" t="s">
        <v>247</v>
      </c>
      <c r="K4" s="923" t="s">
        <v>248</v>
      </c>
      <c r="L4" s="923" t="s">
        <v>249</v>
      </c>
      <c r="M4" s="235"/>
      <c r="N4" s="80"/>
      <c r="O4" s="80"/>
      <c r="P4" s="80"/>
      <c r="Q4" s="80"/>
      <c r="R4" s="80"/>
      <c r="S4" s="80"/>
    </row>
    <row r="5" spans="1:32" x14ac:dyDescent="0.25">
      <c r="A5" s="61" t="s">
        <v>892</v>
      </c>
      <c r="B5" s="1252" t="s">
        <v>478</v>
      </c>
      <c r="C5" s="1247" t="s">
        <v>14</v>
      </c>
      <c r="D5" s="1116">
        <v>120</v>
      </c>
      <c r="E5" s="1615">
        <f>$G$1</f>
        <v>183</v>
      </c>
      <c r="F5" s="1616">
        <v>1</v>
      </c>
      <c r="G5" s="940">
        <f>D5*E5</f>
        <v>21960</v>
      </c>
      <c r="H5" s="1617">
        <f>G5*F5</f>
        <v>21960</v>
      </c>
      <c r="I5" s="914">
        <f>VLOOKUP(B5,All_Ingredients!$A$1:$F$161,6,FALSE())</f>
        <v>0.97</v>
      </c>
      <c r="J5" s="940">
        <f>VLOOKUP(B5,All_Ingredients!$A$1:$J$161,10,FALSE())</f>
        <v>37.82</v>
      </c>
      <c r="K5" s="945">
        <f t="shared" ref="K5" si="0">(H5/I5)/1000</f>
        <v>22.63917525773196</v>
      </c>
      <c r="L5" s="945">
        <f t="shared" ref="L5" si="1">K5*J5</f>
        <v>856.21360824742271</v>
      </c>
      <c r="M5" s="87"/>
    </row>
    <row r="6" spans="1:32" x14ac:dyDescent="0.25">
      <c r="B6" s="1252" t="s">
        <v>775</v>
      </c>
      <c r="C6" s="947" t="s">
        <v>230</v>
      </c>
      <c r="D6" s="1636">
        <v>1</v>
      </c>
      <c r="E6" s="1636">
        <f>$Z$1+$AB$1</f>
        <v>183</v>
      </c>
      <c r="F6" s="1616">
        <v>1</v>
      </c>
      <c r="G6" s="940">
        <f>D6*E6</f>
        <v>183</v>
      </c>
      <c r="H6" s="1617">
        <f>G6*F6</f>
        <v>183</v>
      </c>
      <c r="I6" s="914">
        <f>VLOOKUP(B6,All_Ingredients!$A$1:$F$161,6,FALSE())</f>
        <v>1</v>
      </c>
      <c r="J6" s="940">
        <f>VLOOKUP(B6,All_Ingredients!$A$1:$J$161,10,FALSE())</f>
        <v>0.6</v>
      </c>
      <c r="K6" s="945">
        <f t="shared" ref="K6:K9" si="2">(H6/I6)/1000</f>
        <v>0.183</v>
      </c>
      <c r="L6" s="945">
        <f t="shared" ref="L6:L9" si="3">K6*J6</f>
        <v>0.10979999999999999</v>
      </c>
      <c r="M6" s="87"/>
    </row>
    <row r="7" spans="1:32" x14ac:dyDescent="0.25">
      <c r="B7" s="1252" t="s">
        <v>951</v>
      </c>
      <c r="C7" s="1247" t="s">
        <v>14</v>
      </c>
      <c r="D7" s="1636">
        <v>10</v>
      </c>
      <c r="E7" s="1615">
        <f t="shared" ref="E7:E9" si="4">$G$1</f>
        <v>183</v>
      </c>
      <c r="F7" s="1616">
        <v>1</v>
      </c>
      <c r="G7" s="944">
        <f>D7*($Z$1+$AB$1)</f>
        <v>1830</v>
      </c>
      <c r="H7" s="1617">
        <f>G7*F7</f>
        <v>1830</v>
      </c>
      <c r="I7" s="914">
        <f>VLOOKUP(B7,All_Ingredients!$A$1:$F$161,6,FALSE())</f>
        <v>0.5</v>
      </c>
      <c r="J7" s="940">
        <f>VLOOKUP(B7,All_Ingredients!$A$1:$J$161,10,FALSE())</f>
        <v>8.5</v>
      </c>
      <c r="K7" s="945">
        <f t="shared" si="2"/>
        <v>3.66</v>
      </c>
      <c r="L7" s="945">
        <f t="shared" si="3"/>
        <v>31.11</v>
      </c>
      <c r="M7" s="87"/>
    </row>
    <row r="8" spans="1:32" x14ac:dyDescent="0.25">
      <c r="B8" s="1252" t="s">
        <v>807</v>
      </c>
      <c r="C8" s="1247" t="s">
        <v>14</v>
      </c>
      <c r="D8" s="1636">
        <v>20</v>
      </c>
      <c r="E8" s="1615">
        <f t="shared" si="4"/>
        <v>183</v>
      </c>
      <c r="F8" s="1616">
        <v>1</v>
      </c>
      <c r="G8" s="944">
        <f t="shared" ref="G8:G9" si="5">D8*($Z$1+$AB$1)</f>
        <v>3660</v>
      </c>
      <c r="H8" s="1617">
        <f t="shared" ref="H8:H9" si="6">G8*F8</f>
        <v>3660</v>
      </c>
      <c r="I8" s="914">
        <f>VLOOKUP(B8,All_Ingredients!$A$1:$F$161,6,FALSE())</f>
        <v>0.66</v>
      </c>
      <c r="J8" s="940">
        <f>VLOOKUP(B8,All_Ingredients!$A$1:$J$161,10,FALSE())</f>
        <v>3.5</v>
      </c>
      <c r="K8" s="945">
        <f t="shared" si="2"/>
        <v>5.545454545454545</v>
      </c>
      <c r="L8" s="945">
        <f t="shared" si="3"/>
        <v>19.409090909090907</v>
      </c>
      <c r="M8" s="87"/>
    </row>
    <row r="9" spans="1:32" x14ac:dyDescent="0.25">
      <c r="B9" s="1252" t="s">
        <v>12</v>
      </c>
      <c r="C9" s="1247" t="s">
        <v>14</v>
      </c>
      <c r="D9" s="1636">
        <v>10</v>
      </c>
      <c r="E9" s="1615">
        <f t="shared" si="4"/>
        <v>183</v>
      </c>
      <c r="F9" s="1616">
        <v>1</v>
      </c>
      <c r="G9" s="944">
        <f t="shared" si="5"/>
        <v>1830</v>
      </c>
      <c r="H9" s="1617">
        <f t="shared" si="6"/>
        <v>1830</v>
      </c>
      <c r="I9" s="914">
        <f>VLOOKUP(B9,All_Ingredients!$A$1:$F$161,6,FALSE())</f>
        <v>0.9</v>
      </c>
      <c r="J9" s="940">
        <f>VLOOKUP(B9,All_Ingredients!$A$1:$J$161,10,FALSE())</f>
        <v>3</v>
      </c>
      <c r="K9" s="945">
        <f t="shared" si="2"/>
        <v>2.0333333333333332</v>
      </c>
      <c r="L9" s="945">
        <f t="shared" si="3"/>
        <v>6.1</v>
      </c>
      <c r="M9" s="87"/>
    </row>
    <row r="10" spans="1:32" x14ac:dyDescent="0.25">
      <c r="B10" s="228"/>
      <c r="C10" s="228"/>
      <c r="D10" s="215"/>
      <c r="E10" s="215"/>
      <c r="F10" s="91"/>
      <c r="G10" s="92"/>
      <c r="H10" s="93"/>
      <c r="I10" s="73"/>
      <c r="J10" s="92"/>
      <c r="K10" s="87"/>
      <c r="L10" s="87"/>
      <c r="M10" s="87"/>
    </row>
    <row r="11" spans="1:32" ht="15.75" x14ac:dyDescent="0.25">
      <c r="B11" s="1191" t="s">
        <v>1015</v>
      </c>
      <c r="C11" s="1783" t="s">
        <v>806</v>
      </c>
      <c r="D11" s="1783"/>
      <c r="E11" s="1783"/>
      <c r="F11" s="1783"/>
      <c r="G11" s="930"/>
      <c r="H11" s="930"/>
      <c r="I11" s="930"/>
      <c r="J11" s="930"/>
      <c r="K11" s="930"/>
      <c r="L11" s="930"/>
      <c r="M11" s="87"/>
    </row>
    <row r="12" spans="1:32" ht="36.75" customHeight="1" x14ac:dyDescent="0.25">
      <c r="B12" s="75" t="s">
        <v>250</v>
      </c>
      <c r="C12" s="75">
        <v>10000</v>
      </c>
      <c r="D12" s="318" t="s">
        <v>476</v>
      </c>
      <c r="E12" s="319">
        <f>$S$32*$T$1</f>
        <v>18300</v>
      </c>
      <c r="F12" s="926" t="s">
        <v>239</v>
      </c>
      <c r="G12" s="929">
        <f>(($S$32*$T$1)/$R$1)/C12</f>
        <v>2.0561797752808988</v>
      </c>
      <c r="H12" s="1207"/>
      <c r="I12" s="1207"/>
      <c r="J12" s="1207"/>
      <c r="K12" s="1207"/>
      <c r="L12" s="1207"/>
      <c r="M12" s="87"/>
    </row>
    <row r="13" spans="1:32" ht="36.75" customHeight="1" x14ac:dyDescent="0.25">
      <c r="B13" s="926" t="s">
        <v>241</v>
      </c>
      <c r="C13" s="926" t="s">
        <v>242</v>
      </c>
      <c r="D13" s="926" t="s">
        <v>250</v>
      </c>
      <c r="E13" s="926" t="s">
        <v>234</v>
      </c>
      <c r="F13" s="926" t="s">
        <v>243</v>
      </c>
      <c r="G13" s="926" t="s">
        <v>244</v>
      </c>
      <c r="H13" s="926" t="s">
        <v>245</v>
      </c>
      <c r="I13" s="926" t="s">
        <v>246</v>
      </c>
      <c r="J13" s="926" t="s">
        <v>247</v>
      </c>
      <c r="K13" s="926" t="s">
        <v>248</v>
      </c>
      <c r="L13" s="926" t="s">
        <v>249</v>
      </c>
      <c r="M13" s="87"/>
    </row>
    <row r="14" spans="1:32" x14ac:dyDescent="0.25">
      <c r="B14" s="1252" t="s">
        <v>12</v>
      </c>
      <c r="C14" s="947" t="s">
        <v>14</v>
      </c>
      <c r="D14" s="1636">
        <v>800</v>
      </c>
      <c r="E14" s="1637">
        <f>$G$12</f>
        <v>2.0561797752808988</v>
      </c>
      <c r="F14" s="1616">
        <v>1</v>
      </c>
      <c r="G14" s="944">
        <f t="shared" ref="G14:G22" si="7">D14*E14</f>
        <v>1644.943820224719</v>
      </c>
      <c r="H14" s="1617">
        <f t="shared" ref="H14:H22" si="8">G14*F14</f>
        <v>1644.943820224719</v>
      </c>
      <c r="I14" s="914">
        <f>VLOOKUP(B14,All_Ingredients!$A$1:$F$161,6,FALSE())</f>
        <v>0.9</v>
      </c>
      <c r="J14" s="940">
        <f>VLOOKUP(B14,All_Ingredients!$A$1:$J$161,10,FALSE())</f>
        <v>3</v>
      </c>
      <c r="K14" s="945">
        <f t="shared" ref="K14" si="9">(H14/I14)/1000</f>
        <v>1.8277153558052432</v>
      </c>
      <c r="L14" s="945">
        <f t="shared" ref="L14" si="10">K14*J14</f>
        <v>5.4831460674157295</v>
      </c>
      <c r="M14" s="87"/>
    </row>
    <row r="15" spans="1:32" x14ac:dyDescent="0.25">
      <c r="B15" s="1252" t="s">
        <v>99</v>
      </c>
      <c r="C15" s="947" t="s">
        <v>14</v>
      </c>
      <c r="D15" s="1636">
        <v>23</v>
      </c>
      <c r="E15" s="1637">
        <f t="shared" ref="E15:E22" si="11">$G$12</f>
        <v>2.0561797752808988</v>
      </c>
      <c r="F15" s="1616">
        <v>1</v>
      </c>
      <c r="G15" s="944">
        <f t="shared" si="7"/>
        <v>47.292134831460672</v>
      </c>
      <c r="H15" s="1617">
        <f t="shared" si="8"/>
        <v>47.292134831460672</v>
      </c>
      <c r="I15" s="914">
        <f>VLOOKUP(B15,All_Ingredients!$A$1:$F$161,6,FALSE())</f>
        <v>1</v>
      </c>
      <c r="J15" s="940">
        <f>VLOOKUP(B15,All_Ingredients!$A$1:$J$161,10,FALSE())</f>
        <v>31</v>
      </c>
      <c r="K15" s="945">
        <f t="shared" ref="K15:K22" si="12">(H15/I15)/1000</f>
        <v>4.7292134831460671E-2</v>
      </c>
      <c r="L15" s="945">
        <f t="shared" ref="L15:L22" si="13">K15*J15</f>
        <v>1.4660561797752807</v>
      </c>
    </row>
    <row r="16" spans="1:32" x14ac:dyDescent="0.25">
      <c r="B16" s="1252" t="s">
        <v>93</v>
      </c>
      <c r="C16" s="947" t="s">
        <v>14</v>
      </c>
      <c r="D16" s="1636">
        <v>32</v>
      </c>
      <c r="E16" s="1637">
        <f t="shared" si="11"/>
        <v>2.0561797752808988</v>
      </c>
      <c r="F16" s="1616">
        <v>1</v>
      </c>
      <c r="G16" s="944">
        <f t="shared" si="7"/>
        <v>65.797752808988761</v>
      </c>
      <c r="H16" s="1617">
        <f t="shared" si="8"/>
        <v>65.797752808988761</v>
      </c>
      <c r="I16" s="914">
        <f>VLOOKUP(B16,All_Ingredients!$A$1:$F$161,6,FALSE())</f>
        <v>1</v>
      </c>
      <c r="J16" s="940">
        <f>VLOOKUP(B16,All_Ingredients!$A$1:$J$161,10,FALSE())</f>
        <v>0.74</v>
      </c>
      <c r="K16" s="945">
        <f t="shared" si="12"/>
        <v>6.5797752808988766E-2</v>
      </c>
      <c r="L16" s="945">
        <f t="shared" si="13"/>
        <v>4.869033707865169E-2</v>
      </c>
    </row>
    <row r="17" spans="2:31" x14ac:dyDescent="0.25">
      <c r="B17" s="1252" t="s">
        <v>229</v>
      </c>
      <c r="C17" s="947" t="s">
        <v>230</v>
      </c>
      <c r="D17" s="1636">
        <v>10</v>
      </c>
      <c r="E17" s="1637">
        <f t="shared" si="11"/>
        <v>2.0561797752808988</v>
      </c>
      <c r="F17" s="1616">
        <v>1</v>
      </c>
      <c r="G17" s="944">
        <f t="shared" si="7"/>
        <v>20.561797752808989</v>
      </c>
      <c r="H17" s="1617">
        <f t="shared" si="8"/>
        <v>20.561797752808989</v>
      </c>
      <c r="I17" s="914">
        <f>VLOOKUP(B17,All_Ingredients!$A$1:$F$161,6,FALSE())</f>
        <v>1</v>
      </c>
      <c r="J17" s="940">
        <f>VLOOKUP(B17,All_Ingredients!$A$1:$J$161,10,FALSE())</f>
        <v>0.43333333333333335</v>
      </c>
      <c r="K17" s="945">
        <f t="shared" si="12"/>
        <v>2.0561797752808988E-2</v>
      </c>
      <c r="L17" s="945">
        <f t="shared" si="13"/>
        <v>8.9101123595505625E-3</v>
      </c>
    </row>
    <row r="18" spans="2:31" x14ac:dyDescent="0.25">
      <c r="B18" s="1252" t="s">
        <v>188</v>
      </c>
      <c r="C18" s="947" t="s">
        <v>14</v>
      </c>
      <c r="D18" s="1636">
        <v>600</v>
      </c>
      <c r="E18" s="1637">
        <f t="shared" si="11"/>
        <v>2.0561797752808988</v>
      </c>
      <c r="F18" s="1616">
        <v>1</v>
      </c>
      <c r="G18" s="944">
        <f t="shared" si="7"/>
        <v>1233.7078651685392</v>
      </c>
      <c r="H18" s="1617">
        <f t="shared" si="8"/>
        <v>1233.7078651685392</v>
      </c>
      <c r="I18" s="914">
        <f>VLOOKUP(B18,All_Ingredients!$A$1:$F$161,6,FALSE())</f>
        <v>1</v>
      </c>
      <c r="J18" s="940">
        <f>VLOOKUP(B18,All_Ingredients!$A$1:$J$161,10,FALSE())</f>
        <v>8.5</v>
      </c>
      <c r="K18" s="945">
        <f t="shared" si="12"/>
        <v>1.2337078651685391</v>
      </c>
      <c r="L18" s="945">
        <f t="shared" si="13"/>
        <v>10.486516853932583</v>
      </c>
    </row>
    <row r="19" spans="2:31" x14ac:dyDescent="0.25">
      <c r="B19" s="1252" t="s">
        <v>64</v>
      </c>
      <c r="C19" s="947" t="s">
        <v>14</v>
      </c>
      <c r="D19" s="1636">
        <v>200</v>
      </c>
      <c r="E19" s="1637">
        <f t="shared" si="11"/>
        <v>2.0561797752808988</v>
      </c>
      <c r="F19" s="1616">
        <v>1</v>
      </c>
      <c r="G19" s="944">
        <f t="shared" si="7"/>
        <v>411.23595505617976</v>
      </c>
      <c r="H19" s="1617">
        <f t="shared" si="8"/>
        <v>411.23595505617976</v>
      </c>
      <c r="I19" s="914">
        <f>VLOOKUP(B19,All_Ingredients!$A$1:$F$161,6,FALSE())</f>
        <v>0.65</v>
      </c>
      <c r="J19" s="940">
        <f>VLOOKUP(B19,All_Ingredients!$A$1:$J$161,10,FALSE())</f>
        <v>3.5</v>
      </c>
      <c r="K19" s="945">
        <f t="shared" si="12"/>
        <v>0.63267070008643045</v>
      </c>
      <c r="L19" s="945">
        <f t="shared" si="13"/>
        <v>2.2143474503025065</v>
      </c>
    </row>
    <row r="20" spans="2:31" x14ac:dyDescent="0.25">
      <c r="B20" s="1252" t="s">
        <v>32</v>
      </c>
      <c r="C20" s="947" t="s">
        <v>14</v>
      </c>
      <c r="D20" s="1636">
        <v>300</v>
      </c>
      <c r="E20" s="1637">
        <f t="shared" si="11"/>
        <v>2.0561797752808988</v>
      </c>
      <c r="F20" s="1616">
        <v>1</v>
      </c>
      <c r="G20" s="944">
        <f t="shared" si="7"/>
        <v>616.85393258426961</v>
      </c>
      <c r="H20" s="1617">
        <f t="shared" si="8"/>
        <v>616.85393258426961</v>
      </c>
      <c r="I20" s="914">
        <f>VLOOKUP(B20,All_Ingredients!$A$1:$F$161,6,FALSE())</f>
        <v>0.69</v>
      </c>
      <c r="J20" s="940">
        <f>VLOOKUP(B20,All_Ingredients!$A$1:$J$161,10,FALSE())</f>
        <v>4</v>
      </c>
      <c r="K20" s="945">
        <f t="shared" si="12"/>
        <v>0.89399120664386911</v>
      </c>
      <c r="L20" s="945">
        <f t="shared" si="13"/>
        <v>3.5759648265754764</v>
      </c>
    </row>
    <row r="21" spans="2:31" x14ac:dyDescent="0.25">
      <c r="B21" s="1252" t="s">
        <v>34</v>
      </c>
      <c r="C21" s="947" t="s">
        <v>14</v>
      </c>
      <c r="D21" s="1636">
        <v>45</v>
      </c>
      <c r="E21" s="1637">
        <f t="shared" si="11"/>
        <v>2.0561797752808988</v>
      </c>
      <c r="F21" s="1616">
        <v>1</v>
      </c>
      <c r="G21" s="944">
        <f t="shared" si="7"/>
        <v>92.528089887640448</v>
      </c>
      <c r="H21" s="1617">
        <f t="shared" si="8"/>
        <v>92.528089887640448</v>
      </c>
      <c r="I21" s="914">
        <f>VLOOKUP(B21,All_Ingredients!$A$1:$F$161,6,FALSE())</f>
        <v>0.86</v>
      </c>
      <c r="J21" s="940">
        <f>VLOOKUP(B21,All_Ingredients!$A$1:$J$161,10,FALSE())</f>
        <v>14</v>
      </c>
      <c r="K21" s="945">
        <f t="shared" si="12"/>
        <v>0.10759080219493077</v>
      </c>
      <c r="L21" s="945">
        <f t="shared" si="13"/>
        <v>1.5062712307290307</v>
      </c>
    </row>
    <row r="22" spans="2:31" x14ac:dyDescent="0.25">
      <c r="B22" s="1252" t="s">
        <v>30</v>
      </c>
      <c r="C22" s="947" t="s">
        <v>14</v>
      </c>
      <c r="D22" s="1636">
        <v>300</v>
      </c>
      <c r="E22" s="1637">
        <f t="shared" si="11"/>
        <v>2.0561797752808988</v>
      </c>
      <c r="F22" s="1616">
        <v>1</v>
      </c>
      <c r="G22" s="944">
        <f t="shared" si="7"/>
        <v>616.85393258426961</v>
      </c>
      <c r="H22" s="1617">
        <f t="shared" si="8"/>
        <v>616.85393258426961</v>
      </c>
      <c r="I22" s="914">
        <f>VLOOKUP(B22,All_Ingredients!$A$1:$F$161,6,FALSE())</f>
        <v>0.71</v>
      </c>
      <c r="J22" s="940">
        <f>VLOOKUP(B22,All_Ingredients!$A$1:$J$161,10,FALSE())</f>
        <v>8.5</v>
      </c>
      <c r="K22" s="945">
        <f t="shared" si="12"/>
        <v>0.86880835575249249</v>
      </c>
      <c r="L22" s="945">
        <f t="shared" si="13"/>
        <v>7.3848710238961859</v>
      </c>
    </row>
    <row r="25" spans="2:31" x14ac:dyDescent="0.25">
      <c r="R25" s="1886" t="s">
        <v>806</v>
      </c>
      <c r="S25" s="1850"/>
      <c r="T25" s="1850"/>
      <c r="U25" s="1850"/>
      <c r="V25" s="553"/>
      <c r="W25" s="553"/>
      <c r="X25" s="553"/>
      <c r="Z25" s="96" t="s">
        <v>252</v>
      </c>
      <c r="AA25" s="97">
        <v>1</v>
      </c>
      <c r="AB25" s="96" t="s">
        <v>249</v>
      </c>
      <c r="AC25" s="98">
        <f>AE30*AA25</f>
        <v>5.0251813242048513</v>
      </c>
    </row>
    <row r="26" spans="2:31" x14ac:dyDescent="0.25">
      <c r="R26" s="1889" t="s">
        <v>291</v>
      </c>
      <c r="S26" s="1799"/>
      <c r="T26" s="1799"/>
      <c r="U26" s="1799"/>
      <c r="V26" s="553"/>
      <c r="W26" s="553"/>
      <c r="X26" s="553"/>
    </row>
    <row r="27" spans="2:31" ht="15.75" thickBot="1" x14ac:dyDescent="0.3">
      <c r="R27" s="100" t="s">
        <v>254</v>
      </c>
      <c r="S27" s="100" t="s">
        <v>297</v>
      </c>
      <c r="T27" s="100" t="s">
        <v>256</v>
      </c>
      <c r="U27" s="100" t="s">
        <v>262</v>
      </c>
      <c r="V27" s="101" t="s">
        <v>746</v>
      </c>
      <c r="W27" s="101" t="s">
        <v>767</v>
      </c>
      <c r="X27" s="101" t="s">
        <v>766</v>
      </c>
      <c r="Z27" s="96" t="s">
        <v>258</v>
      </c>
      <c r="AA27" s="102" t="s">
        <v>746</v>
      </c>
      <c r="AB27" s="102" t="s">
        <v>259</v>
      </c>
      <c r="AC27" s="102" t="s">
        <v>757</v>
      </c>
      <c r="AD27" s="102" t="s">
        <v>754</v>
      </c>
      <c r="AE27" s="102" t="s">
        <v>262</v>
      </c>
    </row>
    <row r="28" spans="2:31" ht="15.75" thickBot="1" x14ac:dyDescent="0.3">
      <c r="R28" s="100" t="s">
        <v>263</v>
      </c>
      <c r="S28" s="677">
        <f>$Z$1</f>
        <v>178</v>
      </c>
      <c r="T28" s="683"/>
      <c r="U28" s="683">
        <f>S28</f>
        <v>178</v>
      </c>
      <c r="V28" s="104">
        <f>SUM(H14:H22)</f>
        <v>4749.7752808988762</v>
      </c>
      <c r="W28" s="104">
        <f>SUM(L6)</f>
        <v>0.10979999999999999</v>
      </c>
      <c r="X28" s="104" t="str">
        <f>K13</f>
        <v>Ordering quantity (KG or L)</v>
      </c>
      <c r="Z28" s="105"/>
      <c r="AA28" s="591"/>
      <c r="AB28" s="106">
        <f>AA25*$S$40</f>
        <v>1</v>
      </c>
      <c r="AC28" s="591"/>
      <c r="AD28" s="591"/>
      <c r="AE28" s="108">
        <f>SUM(AB28:AB28)</f>
        <v>1</v>
      </c>
    </row>
    <row r="29" spans="2:31" ht="15.75" thickBot="1" x14ac:dyDescent="0.3">
      <c r="R29" s="100" t="s">
        <v>264</v>
      </c>
      <c r="S29" s="686"/>
      <c r="T29" s="218"/>
      <c r="U29" s="683">
        <f>T29</f>
        <v>0</v>
      </c>
      <c r="V29" s="104"/>
      <c r="W29" s="104"/>
      <c r="X29" s="104"/>
      <c r="Z29" s="105"/>
      <c r="AA29" s="591"/>
      <c r="AB29" s="110">
        <f>AB28/$AE$28</f>
        <v>1</v>
      </c>
      <c r="AC29" s="591"/>
      <c r="AD29" s="591"/>
      <c r="AE29" s="110">
        <f>AE28/$AE$28</f>
        <v>1</v>
      </c>
    </row>
    <row r="30" spans="2:31" ht="15.75" thickBot="1" x14ac:dyDescent="0.3">
      <c r="R30" s="100" t="s">
        <v>265</v>
      </c>
      <c r="S30" s="678">
        <f>$AB$1</f>
        <v>5</v>
      </c>
      <c r="T30" s="683"/>
      <c r="U30" s="683"/>
      <c r="V30" s="547"/>
      <c r="W30" s="547"/>
      <c r="X30" s="547"/>
      <c r="Z30" s="96" t="s">
        <v>266</v>
      </c>
      <c r="AA30" s="549">
        <f>V35/$AF$1</f>
        <v>0.17581843760691257</v>
      </c>
      <c r="AB30" s="111">
        <f>S35/(AF1)</f>
        <v>4.678762886597938</v>
      </c>
      <c r="AC30" s="549">
        <f>W35/AF1</f>
        <v>5.9999999999999995E-4</v>
      </c>
      <c r="AD30" s="549">
        <f>X35/$AF$1</f>
        <v>0.16999999999999998</v>
      </c>
      <c r="AE30" s="588">
        <f>AB30+AD30+AC30+AA30</f>
        <v>5.0251813242048513</v>
      </c>
    </row>
    <row r="31" spans="2:31" ht="15.75" thickBot="1" x14ac:dyDescent="0.3">
      <c r="R31" s="100" t="s">
        <v>267</v>
      </c>
      <c r="S31" s="188" t="s">
        <v>309</v>
      </c>
      <c r="T31" s="218"/>
      <c r="U31" s="218"/>
      <c r="V31" s="104"/>
      <c r="W31" s="104"/>
      <c r="X31" s="104"/>
    </row>
    <row r="32" spans="2:31" ht="15.75" thickBot="1" x14ac:dyDescent="0.3">
      <c r="R32" s="101" t="s">
        <v>257</v>
      </c>
      <c r="S32" s="626">
        <f>S28+S30</f>
        <v>183</v>
      </c>
      <c r="T32" s="219">
        <f>SUM(T28:T30)</f>
        <v>0</v>
      </c>
      <c r="U32" s="219">
        <f>T32+S32</f>
        <v>183</v>
      </c>
      <c r="V32" s="104"/>
      <c r="W32" s="104"/>
      <c r="X32" s="104"/>
    </row>
    <row r="33" spans="2:24" ht="15.75" thickBot="1" x14ac:dyDescent="0.3">
      <c r="R33" s="220" t="s">
        <v>254</v>
      </c>
      <c r="S33" s="221"/>
      <c r="T33" s="221">
        <f>F40+F59</f>
        <v>0</v>
      </c>
      <c r="U33" s="222"/>
      <c r="V33" s="109"/>
      <c r="W33" s="109"/>
      <c r="X33" s="109"/>
    </row>
    <row r="34" spans="2:24" ht="15.75" thickBot="1" x14ac:dyDescent="0.3">
      <c r="R34" s="130" t="s">
        <v>269</v>
      </c>
      <c r="S34" s="223"/>
      <c r="T34" s="224">
        <f>T33-(T28+T29)</f>
        <v>0</v>
      </c>
      <c r="U34" s="223"/>
      <c r="V34" s="109"/>
      <c r="W34" s="109"/>
      <c r="X34" s="109"/>
    </row>
    <row r="35" spans="2:24" ht="15.75" thickBot="1" x14ac:dyDescent="0.3">
      <c r="R35" s="117" t="s">
        <v>249</v>
      </c>
      <c r="S35" s="548">
        <f>L5</f>
        <v>856.21360824742271</v>
      </c>
      <c r="T35" s="548">
        <f>SUM(O6:O19)</f>
        <v>0</v>
      </c>
      <c r="U35" s="589">
        <f>S35+T35+V35+W35+X35</f>
        <v>919.6081823294877</v>
      </c>
      <c r="V35" s="548">
        <f>SUM(L14:L22)</f>
        <v>32.174774082064999</v>
      </c>
      <c r="W35" s="548">
        <f>L6</f>
        <v>0.10979999999999999</v>
      </c>
      <c r="X35" s="548">
        <f>L7</f>
        <v>31.11</v>
      </c>
    </row>
    <row r="39" spans="2:24" x14ac:dyDescent="0.25">
      <c r="B39" s="80"/>
      <c r="E39" s="80"/>
      <c r="F39" s="80"/>
    </row>
    <row r="40" spans="2:24" ht="39" x14ac:dyDescent="0.25">
      <c r="B40" s="80"/>
      <c r="C40" s="80"/>
      <c r="D40" s="225"/>
      <c r="E40" s="80"/>
      <c r="F40" s="80"/>
      <c r="G40" s="80"/>
      <c r="H40" s="80"/>
      <c r="I40" s="80"/>
      <c r="J40" s="80"/>
      <c r="R40" s="119" t="s">
        <v>270</v>
      </c>
      <c r="S40" s="120">
        <v>1</v>
      </c>
      <c r="T40" s="119" t="s">
        <v>271</v>
      </c>
      <c r="U40" s="121">
        <v>0</v>
      </c>
      <c r="V40" s="122">
        <f>S40+U40</f>
        <v>1</v>
      </c>
    </row>
    <row r="41" spans="2:24" x14ac:dyDescent="0.25">
      <c r="B41" s="80"/>
      <c r="C41" s="80"/>
      <c r="D41" s="80"/>
      <c r="E41" s="80"/>
      <c r="F41" s="80"/>
      <c r="G41" s="80"/>
      <c r="H41" s="80"/>
      <c r="I41" s="80"/>
      <c r="J41" s="80"/>
      <c r="U41" s="123"/>
    </row>
    <row r="42" spans="2:24" ht="18" x14ac:dyDescent="0.25">
      <c r="B42" s="186"/>
    </row>
    <row r="43" spans="2:24" ht="18" x14ac:dyDescent="0.25">
      <c r="B43" s="176"/>
      <c r="Q43" s="124" t="s">
        <v>272</v>
      </c>
      <c r="R43" s="124" t="s">
        <v>273</v>
      </c>
      <c r="S43" s="124" t="s">
        <v>274</v>
      </c>
      <c r="T43" s="124" t="s">
        <v>275</v>
      </c>
      <c r="U43" s="124" t="s">
        <v>276</v>
      </c>
      <c r="V43" s="124" t="s">
        <v>277</v>
      </c>
      <c r="W43" s="124" t="s">
        <v>278</v>
      </c>
    </row>
    <row r="44" spans="2:24" x14ac:dyDescent="0.25">
      <c r="B44" s="226"/>
      <c r="C44" s="227"/>
      <c r="D44" s="226"/>
      <c r="E44" s="226"/>
      <c r="F44" s="226"/>
      <c r="G44" s="226"/>
      <c r="H44" s="226"/>
      <c r="I44" s="226"/>
      <c r="J44" s="226"/>
      <c r="Q44" s="126">
        <v>18841</v>
      </c>
      <c r="R44" s="127">
        <f>E51</f>
        <v>0</v>
      </c>
      <c r="S44" s="128">
        <v>0</v>
      </c>
      <c r="T44" s="128">
        <v>0</v>
      </c>
      <c r="U44" s="165">
        <f>R44*S44</f>
        <v>0</v>
      </c>
      <c r="V44" s="129">
        <f>R44*T44</f>
        <v>0</v>
      </c>
      <c r="W44" s="129">
        <f>Q44-U44</f>
        <v>18841</v>
      </c>
    </row>
    <row r="50" spans="1:14" x14ac:dyDescent="0.25">
      <c r="B50" s="229"/>
      <c r="C50" s="130" t="s">
        <v>233</v>
      </c>
      <c r="D50" s="130" t="s">
        <v>279</v>
      </c>
      <c r="E50" s="80"/>
      <c r="F50" s="80"/>
      <c r="G50" s="100" t="s">
        <v>280</v>
      </c>
      <c r="H50" s="100" t="s">
        <v>233</v>
      </c>
      <c r="I50" s="130" t="s">
        <v>281</v>
      </c>
      <c r="J50" s="130" t="s">
        <v>282</v>
      </c>
    </row>
    <row r="51" spans="1:14" x14ac:dyDescent="0.25">
      <c r="B51" s="844" t="s">
        <v>283</v>
      </c>
      <c r="C51" s="133">
        <f>10/$K$1</f>
        <v>10</v>
      </c>
      <c r="D51" s="134">
        <f>$C$1*10</f>
        <v>10</v>
      </c>
      <c r="E51" s="135"/>
      <c r="F51" s="80"/>
      <c r="G51" s="132" t="s">
        <v>283</v>
      </c>
      <c r="H51" s="182">
        <f>I51/$D$5</f>
        <v>176.41385767790263</v>
      </c>
      <c r="I51" s="133">
        <f>J51/$R$1</f>
        <v>21169.662921348314</v>
      </c>
      <c r="J51" s="133">
        <f>$W$44</f>
        <v>18841</v>
      </c>
    </row>
    <row r="52" spans="1:14" x14ac:dyDescent="0.25">
      <c r="B52" s="846" t="s">
        <v>262</v>
      </c>
      <c r="C52" s="156">
        <f>$I$1</f>
        <v>0</v>
      </c>
      <c r="D52" s="157">
        <f>$E$1</f>
        <v>183</v>
      </c>
      <c r="E52" s="80"/>
      <c r="F52" s="80"/>
      <c r="G52" s="103" t="s">
        <v>262</v>
      </c>
      <c r="H52" s="83">
        <f>I52/$D$5</f>
        <v>171.34831460674155</v>
      </c>
      <c r="I52" s="129">
        <f>J52/$R$1</f>
        <v>20561.797752808987</v>
      </c>
      <c r="J52" s="136">
        <f>$U$32*$T$1</f>
        <v>18300</v>
      </c>
    </row>
    <row r="53" spans="1:14" x14ac:dyDescent="0.25">
      <c r="B53" s="846" t="s">
        <v>284</v>
      </c>
      <c r="C53" s="158">
        <f>MIN(C52, C51)</f>
        <v>0</v>
      </c>
      <c r="D53" s="157">
        <f>(C53*$K$1)*$C$1</f>
        <v>0</v>
      </c>
      <c r="E53" s="80"/>
      <c r="F53" s="80"/>
      <c r="G53" s="103" t="s">
        <v>284</v>
      </c>
      <c r="H53" s="139">
        <f>MIN(H52,H51)</f>
        <v>171.34831460674155</v>
      </c>
      <c r="I53" s="129">
        <f>J53/$R$1</f>
        <v>20561.797752808987</v>
      </c>
      <c r="J53" s="129">
        <f>MIN(J52,J51)</f>
        <v>18300</v>
      </c>
    </row>
    <row r="54" spans="1:14" x14ac:dyDescent="0.25">
      <c r="B54" s="846" t="s">
        <v>285</v>
      </c>
      <c r="C54" s="158">
        <f>MIN(MAX(C52-C53,0),C51)</f>
        <v>0</v>
      </c>
      <c r="D54" s="157">
        <f>(C54*$K$1)*$C$1</f>
        <v>0</v>
      </c>
      <c r="E54" s="80"/>
      <c r="F54" s="80"/>
      <c r="G54" s="103" t="s">
        <v>285</v>
      </c>
      <c r="H54" s="139">
        <f>MIN(MAX(H52-H53),H51)</f>
        <v>0</v>
      </c>
      <c r="I54" s="129">
        <f>J54/$R$1</f>
        <v>0</v>
      </c>
      <c r="J54" s="129">
        <f>MIN(MAX(J52-J53),J51)</f>
        <v>0</v>
      </c>
    </row>
    <row r="55" spans="1:14" x14ac:dyDescent="0.25">
      <c r="B55" s="846" t="s">
        <v>286</v>
      </c>
      <c r="C55" s="158">
        <f>MIN(MAX(C52-C53-C54,0),C51)</f>
        <v>0</v>
      </c>
      <c r="D55" s="157">
        <f>(C55*$K$1)*$C$1</f>
        <v>0</v>
      </c>
      <c r="E55" s="80"/>
      <c r="F55" s="80"/>
      <c r="G55" s="100" t="s">
        <v>286</v>
      </c>
      <c r="H55" s="139">
        <f>MIN(MAX(H52-H53-H54),H51)</f>
        <v>0</v>
      </c>
      <c r="I55" s="129">
        <f>J55/$R$1</f>
        <v>0</v>
      </c>
      <c r="J55" s="129">
        <f>MIN(MAX(J52-J53-J54),J51)</f>
        <v>0</v>
      </c>
    </row>
    <row r="58" spans="1:14" ht="18" x14ac:dyDescent="0.25">
      <c r="B58" s="1803"/>
      <c r="C58" s="1799"/>
      <c r="D58" s="1799"/>
      <c r="E58" s="1799"/>
      <c r="F58" s="1799"/>
      <c r="G58" s="1799"/>
      <c r="H58" s="1799"/>
      <c r="I58" s="1799"/>
      <c r="J58" s="1799"/>
    </row>
    <row r="59" spans="1:14" x14ac:dyDescent="0.25">
      <c r="B59" s="226"/>
      <c r="C59" s="227"/>
      <c r="D59" s="226"/>
      <c r="E59" s="226"/>
      <c r="F59" s="226"/>
      <c r="G59" s="226"/>
      <c r="H59" s="226"/>
      <c r="I59" s="226"/>
      <c r="J59" s="226"/>
    </row>
    <row r="60" spans="1:14" x14ac:dyDescent="0.25">
      <c r="B60" s="228"/>
      <c r="C60" s="228"/>
      <c r="D60" s="228"/>
      <c r="E60" s="215"/>
      <c r="F60" s="91"/>
      <c r="G60" s="92"/>
      <c r="H60" s="93"/>
      <c r="I60" s="73"/>
      <c r="J60" s="94"/>
    </row>
    <row r="61" spans="1:14" x14ac:dyDescent="0.25">
      <c r="B61" s="228"/>
      <c r="C61" s="228"/>
      <c r="D61" s="228"/>
      <c r="E61" s="215"/>
      <c r="F61" s="91"/>
      <c r="G61" s="92"/>
      <c r="H61" s="93"/>
      <c r="I61" s="73"/>
      <c r="J61" s="94"/>
    </row>
    <row r="62" spans="1:14" ht="18" x14ac:dyDescent="0.25">
      <c r="A62" s="864"/>
      <c r="B62" s="1804"/>
      <c r="C62" s="1817"/>
      <c r="D62" s="1817"/>
      <c r="E62" s="1817"/>
      <c r="F62" s="1817"/>
      <c r="G62" s="1817"/>
      <c r="H62" s="1817"/>
    </row>
    <row r="63" spans="1:14" x14ac:dyDescent="0.25">
      <c r="A63" s="864"/>
      <c r="B63" s="1804" t="s">
        <v>806</v>
      </c>
      <c r="C63" s="1890"/>
      <c r="D63" s="1890"/>
      <c r="E63" s="1890"/>
      <c r="F63" s="1890"/>
      <c r="G63" s="1890"/>
      <c r="H63" s="1890"/>
    </row>
    <row r="64" spans="1:14" ht="38.25" x14ac:dyDescent="0.2">
      <c r="A64" s="872" t="s">
        <v>864</v>
      </c>
      <c r="B64" s="1104" t="s">
        <v>241</v>
      </c>
      <c r="C64" s="934" t="s">
        <v>242</v>
      </c>
      <c r="D64" s="1104" t="s">
        <v>231</v>
      </c>
      <c r="E64" s="936" t="s">
        <v>234</v>
      </c>
      <c r="F64" s="936" t="s">
        <v>243</v>
      </c>
      <c r="G64" s="1104" t="s">
        <v>244</v>
      </c>
      <c r="H64" s="936" t="s">
        <v>245</v>
      </c>
      <c r="M64" s="87"/>
      <c r="N64" s="87"/>
    </row>
    <row r="65" spans="1:12" ht="18" x14ac:dyDescent="0.25">
      <c r="A65" s="949" t="s">
        <v>892</v>
      </c>
      <c r="B65" s="1736" t="str">
        <f t="shared" ref="B65:D69" si="14">B5</f>
        <v>Top Side - توب سايد مفروم</v>
      </c>
      <c r="C65" s="1736" t="str">
        <f t="shared" si="14"/>
        <v>gm</v>
      </c>
      <c r="D65" s="1737">
        <f t="shared" si="14"/>
        <v>120</v>
      </c>
      <c r="E65" s="1738">
        <f>$D$52</f>
        <v>183</v>
      </c>
      <c r="F65" s="1739">
        <f>F5</f>
        <v>1</v>
      </c>
      <c r="G65" s="1740">
        <f>D65*E65</f>
        <v>21960</v>
      </c>
      <c r="H65" s="1738">
        <f>G65*F65</f>
        <v>21960</v>
      </c>
      <c r="I65" s="73"/>
      <c r="J65" s="92"/>
      <c r="K65" s="73"/>
      <c r="L65" s="92"/>
    </row>
    <row r="66" spans="1:12" ht="18" x14ac:dyDescent="0.25">
      <c r="A66" s="949"/>
      <c r="B66" s="1736" t="str">
        <f t="shared" si="14"/>
        <v>Whole Wheat Burger Buns 70gm - خبز برجر بني</v>
      </c>
      <c r="C66" s="1736" t="str">
        <f t="shared" si="14"/>
        <v>Piece</v>
      </c>
      <c r="D66" s="1737">
        <f t="shared" si="14"/>
        <v>1</v>
      </c>
      <c r="E66" s="1738">
        <f t="shared" ref="E66:E69" si="15">$D$52</f>
        <v>183</v>
      </c>
      <c r="F66" s="1739">
        <f t="shared" ref="F66:F69" si="16">F6</f>
        <v>1</v>
      </c>
      <c r="G66" s="1740">
        <f t="shared" ref="G66:G69" si="17">D66*E66</f>
        <v>183</v>
      </c>
      <c r="H66" s="1738">
        <f t="shared" ref="H66:H69" si="18">G66*F66</f>
        <v>183</v>
      </c>
    </row>
    <row r="67" spans="1:12" ht="18" x14ac:dyDescent="0.25">
      <c r="A67" s="949"/>
      <c r="B67" s="1736" t="str">
        <f t="shared" si="14"/>
        <v>Iceberg Lettuce - خس مدور أمريكى</v>
      </c>
      <c r="C67" s="1736" t="str">
        <f t="shared" si="14"/>
        <v>gm</v>
      </c>
      <c r="D67" s="1737">
        <f t="shared" si="14"/>
        <v>10</v>
      </c>
      <c r="E67" s="1738">
        <f t="shared" si="15"/>
        <v>183</v>
      </c>
      <c r="F67" s="1739">
        <f t="shared" si="16"/>
        <v>1</v>
      </c>
      <c r="G67" s="1740">
        <f t="shared" si="17"/>
        <v>1830</v>
      </c>
      <c r="H67" s="1738">
        <f t="shared" si="18"/>
        <v>1830</v>
      </c>
    </row>
    <row r="68" spans="1:12" ht="18" x14ac:dyDescent="0.25">
      <c r="A68" s="1070"/>
      <c r="B68" s="1736" t="str">
        <f t="shared" si="14"/>
        <v>Sliced tomato - طماطم شرائح</v>
      </c>
      <c r="C68" s="1736" t="str">
        <f t="shared" si="14"/>
        <v>gm</v>
      </c>
      <c r="D68" s="1737">
        <f t="shared" si="14"/>
        <v>20</v>
      </c>
      <c r="E68" s="1738">
        <f t="shared" si="15"/>
        <v>183</v>
      </c>
      <c r="F68" s="1739">
        <f t="shared" si="16"/>
        <v>1</v>
      </c>
      <c r="G68" s="1740">
        <f t="shared" si="17"/>
        <v>3660</v>
      </c>
      <c r="H68" s="1738">
        <f t="shared" si="18"/>
        <v>3660</v>
      </c>
    </row>
    <row r="69" spans="1:12" ht="18" x14ac:dyDescent="0.25">
      <c r="A69" s="1070"/>
      <c r="B69" s="1736" t="str">
        <f t="shared" si="14"/>
        <v>Onion - بصل</v>
      </c>
      <c r="C69" s="1736" t="str">
        <f t="shared" si="14"/>
        <v>gm</v>
      </c>
      <c r="D69" s="1737">
        <f t="shared" si="14"/>
        <v>10</v>
      </c>
      <c r="E69" s="1738">
        <f t="shared" si="15"/>
        <v>183</v>
      </c>
      <c r="F69" s="1739">
        <f t="shared" si="16"/>
        <v>1</v>
      </c>
      <c r="G69" s="1740">
        <f t="shared" si="17"/>
        <v>1830</v>
      </c>
      <c r="H69" s="1738">
        <f t="shared" si="18"/>
        <v>1830</v>
      </c>
    </row>
    <row r="70" spans="1:12" ht="18" x14ac:dyDescent="0.25">
      <c r="A70" s="949"/>
      <c r="B70" s="1622" t="s">
        <v>287</v>
      </c>
      <c r="C70" s="1042" t="s">
        <v>273</v>
      </c>
      <c r="D70" s="1041" t="s">
        <v>537</v>
      </c>
      <c r="E70" s="1253" t="s">
        <v>288</v>
      </c>
      <c r="F70" s="1640"/>
      <c r="G70" s="1255" t="s">
        <v>264</v>
      </c>
      <c r="H70" s="1255" t="s">
        <v>661</v>
      </c>
    </row>
    <row r="71" spans="1:12" ht="20.25" x14ac:dyDescent="0.3">
      <c r="A71" s="949"/>
      <c r="B71" s="1048">
        <f>$J$53</f>
        <v>18300</v>
      </c>
      <c r="C71" s="1283">
        <f>E71+G71</f>
        <v>0</v>
      </c>
      <c r="D71" s="1047">
        <f>$AF$1</f>
        <v>183</v>
      </c>
      <c r="E71" s="1048">
        <f>$C$53*$S$44</f>
        <v>0</v>
      </c>
      <c r="F71" s="1050"/>
      <c r="G71" s="1048">
        <f>$D$53*$T$44</f>
        <v>0</v>
      </c>
      <c r="H71" s="1048">
        <f>B71+E71</f>
        <v>18300</v>
      </c>
    </row>
    <row r="72" spans="1:12" x14ac:dyDescent="0.25">
      <c r="E72" s="80"/>
      <c r="F72" s="80"/>
    </row>
    <row r="73" spans="1:12" ht="15.75" x14ac:dyDescent="0.25">
      <c r="B73" s="1191" t="s">
        <v>1015</v>
      </c>
      <c r="C73" s="1783" t="s">
        <v>806</v>
      </c>
      <c r="D73" s="1783"/>
      <c r="E73" s="1783"/>
      <c r="F73" s="1783"/>
      <c r="G73" s="930"/>
      <c r="H73" s="930"/>
    </row>
    <row r="74" spans="1:12" ht="31.5" customHeight="1" x14ac:dyDescent="0.25">
      <c r="B74" s="75" t="s">
        <v>250</v>
      </c>
      <c r="C74" s="75">
        <v>10000</v>
      </c>
      <c r="D74" s="318" t="s">
        <v>476</v>
      </c>
      <c r="E74" s="319">
        <f>$S$32*$T$1</f>
        <v>18300</v>
      </c>
      <c r="F74" s="926" t="s">
        <v>239</v>
      </c>
      <c r="G74" s="929">
        <f>(($S$32*$T$1)/$R$1)/C74</f>
        <v>2.0561797752808988</v>
      </c>
      <c r="H74" s="1207"/>
    </row>
    <row r="75" spans="1:12" ht="38.25" x14ac:dyDescent="0.25">
      <c r="B75" s="926" t="s">
        <v>241</v>
      </c>
      <c r="C75" s="926" t="s">
        <v>242</v>
      </c>
      <c r="D75" s="926" t="s">
        <v>250</v>
      </c>
      <c r="E75" s="926" t="s">
        <v>234</v>
      </c>
      <c r="F75" s="926" t="s">
        <v>243</v>
      </c>
      <c r="G75" s="926" t="s">
        <v>244</v>
      </c>
      <c r="H75" s="926" t="s">
        <v>245</v>
      </c>
    </row>
    <row r="76" spans="1:12" x14ac:dyDescent="0.25">
      <c r="B76" s="1252" t="s">
        <v>12</v>
      </c>
      <c r="C76" s="947" t="s">
        <v>14</v>
      </c>
      <c r="D76" s="1636">
        <v>800</v>
      </c>
      <c r="E76" s="1637">
        <f>$G$74</f>
        <v>2.0561797752808988</v>
      </c>
      <c r="F76" s="1616">
        <v>1</v>
      </c>
      <c r="G76" s="944">
        <f t="shared" ref="G76:G84" si="19">D76*E76</f>
        <v>1644.943820224719</v>
      </c>
      <c r="H76" s="1617">
        <f t="shared" ref="H76:H84" si="20">G76*F76</f>
        <v>1644.943820224719</v>
      </c>
    </row>
    <row r="77" spans="1:12" x14ac:dyDescent="0.25">
      <c r="B77" s="1252" t="s">
        <v>99</v>
      </c>
      <c r="C77" s="947" t="s">
        <v>14</v>
      </c>
      <c r="D77" s="1636">
        <v>23</v>
      </c>
      <c r="E77" s="1637">
        <f t="shared" ref="E77:E84" si="21">$G$74</f>
        <v>2.0561797752808988</v>
      </c>
      <c r="F77" s="1616">
        <v>1</v>
      </c>
      <c r="G77" s="944">
        <f t="shared" si="19"/>
        <v>47.292134831460672</v>
      </c>
      <c r="H77" s="1617">
        <f t="shared" si="20"/>
        <v>47.292134831460672</v>
      </c>
    </row>
    <row r="78" spans="1:12" x14ac:dyDescent="0.25">
      <c r="B78" s="1252" t="s">
        <v>93</v>
      </c>
      <c r="C78" s="947" t="s">
        <v>14</v>
      </c>
      <c r="D78" s="1636">
        <v>32</v>
      </c>
      <c r="E78" s="1637">
        <f t="shared" si="21"/>
        <v>2.0561797752808988</v>
      </c>
      <c r="F78" s="1616">
        <v>1</v>
      </c>
      <c r="G78" s="944">
        <f t="shared" si="19"/>
        <v>65.797752808988761</v>
      </c>
      <c r="H78" s="1617">
        <f t="shared" si="20"/>
        <v>65.797752808988761</v>
      </c>
    </row>
    <row r="79" spans="1:12" x14ac:dyDescent="0.25">
      <c r="B79" s="1252" t="s">
        <v>229</v>
      </c>
      <c r="C79" s="947" t="s">
        <v>230</v>
      </c>
      <c r="D79" s="1636">
        <v>10</v>
      </c>
      <c r="E79" s="1637">
        <f t="shared" si="21"/>
        <v>2.0561797752808988</v>
      </c>
      <c r="F79" s="1616">
        <v>1</v>
      </c>
      <c r="G79" s="944">
        <f t="shared" si="19"/>
        <v>20.561797752808989</v>
      </c>
      <c r="H79" s="1617">
        <f t="shared" si="20"/>
        <v>20.561797752808989</v>
      </c>
    </row>
    <row r="80" spans="1:12" x14ac:dyDescent="0.25">
      <c r="B80" s="1252" t="s">
        <v>188</v>
      </c>
      <c r="C80" s="947" t="s">
        <v>14</v>
      </c>
      <c r="D80" s="1636">
        <v>600</v>
      </c>
      <c r="E80" s="1637">
        <f t="shared" si="21"/>
        <v>2.0561797752808988</v>
      </c>
      <c r="F80" s="1616">
        <v>1</v>
      </c>
      <c r="G80" s="944">
        <f t="shared" si="19"/>
        <v>1233.7078651685392</v>
      </c>
      <c r="H80" s="1617">
        <f t="shared" si="20"/>
        <v>1233.7078651685392</v>
      </c>
    </row>
    <row r="81" spans="2:8" x14ac:dyDescent="0.25">
      <c r="B81" s="1252" t="s">
        <v>64</v>
      </c>
      <c r="C81" s="947" t="s">
        <v>14</v>
      </c>
      <c r="D81" s="1636">
        <v>200</v>
      </c>
      <c r="E81" s="1637">
        <f t="shared" si="21"/>
        <v>2.0561797752808988</v>
      </c>
      <c r="F81" s="1616">
        <v>1</v>
      </c>
      <c r="G81" s="944">
        <f t="shared" si="19"/>
        <v>411.23595505617976</v>
      </c>
      <c r="H81" s="1617">
        <f t="shared" si="20"/>
        <v>411.23595505617976</v>
      </c>
    </row>
    <row r="82" spans="2:8" x14ac:dyDescent="0.25">
      <c r="B82" s="1252" t="s">
        <v>32</v>
      </c>
      <c r="C82" s="947" t="s">
        <v>14</v>
      </c>
      <c r="D82" s="1636">
        <v>300</v>
      </c>
      <c r="E82" s="1637">
        <f t="shared" si="21"/>
        <v>2.0561797752808988</v>
      </c>
      <c r="F82" s="1616">
        <v>1</v>
      </c>
      <c r="G82" s="944">
        <f t="shared" si="19"/>
        <v>616.85393258426961</v>
      </c>
      <c r="H82" s="1617">
        <f t="shared" si="20"/>
        <v>616.85393258426961</v>
      </c>
    </row>
    <row r="83" spans="2:8" x14ac:dyDescent="0.25">
      <c r="B83" s="1252" t="s">
        <v>34</v>
      </c>
      <c r="C83" s="947" t="s">
        <v>14</v>
      </c>
      <c r="D83" s="1636">
        <v>45</v>
      </c>
      <c r="E83" s="1637">
        <f t="shared" si="21"/>
        <v>2.0561797752808988</v>
      </c>
      <c r="F83" s="1616">
        <v>1</v>
      </c>
      <c r="G83" s="944">
        <f t="shared" si="19"/>
        <v>92.528089887640448</v>
      </c>
      <c r="H83" s="1617">
        <f t="shared" si="20"/>
        <v>92.528089887640448</v>
      </c>
    </row>
    <row r="84" spans="2:8" x14ac:dyDescent="0.25">
      <c r="B84" s="1252" t="s">
        <v>30</v>
      </c>
      <c r="C84" s="947" t="s">
        <v>14</v>
      </c>
      <c r="D84" s="1636">
        <v>300</v>
      </c>
      <c r="E84" s="1637">
        <f t="shared" si="21"/>
        <v>2.0561797752808988</v>
      </c>
      <c r="F84" s="1616">
        <v>1</v>
      </c>
      <c r="G84" s="944">
        <f t="shared" si="19"/>
        <v>616.85393258426961</v>
      </c>
      <c r="H84" s="1617">
        <f t="shared" si="20"/>
        <v>616.85393258426961</v>
      </c>
    </row>
  </sheetData>
  <mergeCells count="8">
    <mergeCell ref="B2:H3"/>
    <mergeCell ref="R25:U25"/>
    <mergeCell ref="R26:U26"/>
    <mergeCell ref="C73:F73"/>
    <mergeCell ref="C11:F11"/>
    <mergeCell ref="B58:J58"/>
    <mergeCell ref="B62:H62"/>
    <mergeCell ref="B63:H63"/>
  </mergeCells>
  <printOptions horizontalCentered="1"/>
  <pageMargins left="0.4" right="0.4" top="1" bottom="0.5" header="0.3" footer="0.511811023622047"/>
  <pageSetup paperSize="9" scale="45" orientation="landscape" r:id="rId1"/>
  <legacyDrawing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7DAD5-2F4B-4B47-AB12-02A658338E02}">
  <sheetPr codeName="Sheet77">
    <tabColor rgb="FF333F50"/>
    <pageSetUpPr fitToPage="1"/>
  </sheetPr>
  <dimension ref="A1:AG98"/>
  <sheetViews>
    <sheetView zoomScale="40" zoomScaleNormal="40" workbookViewId="0">
      <selection activeCell="A90" sqref="A90"/>
    </sheetView>
  </sheetViews>
  <sheetFormatPr defaultColWidth="12.5" defaultRowHeight="15" x14ac:dyDescent="0.25"/>
  <cols>
    <col min="1" max="1" width="29.875" style="1" bestFit="1" customWidth="1"/>
    <col min="2" max="2" width="33" bestFit="1" customWidth="1"/>
    <col min="3" max="3" width="18.875" bestFit="1" customWidth="1"/>
    <col min="4" max="4" width="19.5" bestFit="1" customWidth="1"/>
    <col min="5" max="5" width="29.875" bestFit="1" customWidth="1"/>
    <col min="6" max="6" width="22.5" bestFit="1" customWidth="1"/>
    <col min="7" max="7" width="31.75" bestFit="1" customWidth="1"/>
    <col min="8" max="8" width="36.375" bestFit="1" customWidth="1"/>
    <col min="9" max="9" width="27.625" bestFit="1" customWidth="1"/>
    <col min="10" max="10" width="14.25" bestFit="1" customWidth="1"/>
    <col min="11" max="11" width="12.625" bestFit="1" customWidth="1"/>
    <col min="12" max="12" width="7.375" bestFit="1" customWidth="1"/>
    <col min="13" max="16" width="5.375" customWidth="1"/>
    <col min="17" max="17" width="15.125" bestFit="1" customWidth="1"/>
    <col min="18" max="18" width="44.25" bestFit="1" customWidth="1"/>
    <col min="19" max="19" width="12.375" bestFit="1" customWidth="1"/>
    <col min="20" max="20" width="13.25" bestFit="1" customWidth="1"/>
    <col min="21" max="21" width="14.25" bestFit="1" customWidth="1"/>
    <col min="22" max="22" width="14.875" bestFit="1" customWidth="1"/>
    <col min="23" max="23" width="46.75" bestFit="1" customWidth="1"/>
    <col min="24" max="24" width="31.75" customWidth="1"/>
    <col min="25" max="25" width="9.5" bestFit="1" customWidth="1"/>
    <col min="26" max="26" width="13.875" bestFit="1" customWidth="1"/>
    <col min="27" max="27" width="16.75" bestFit="1" customWidth="1"/>
    <col min="28" max="29" width="16.125" bestFit="1" customWidth="1"/>
    <col min="30" max="30" width="4.5" bestFit="1" customWidth="1"/>
  </cols>
  <sheetData>
    <row r="1" spans="1:33" x14ac:dyDescent="0.2">
      <c r="A1" s="872" t="s">
        <v>231</v>
      </c>
      <c r="B1" s="242">
        <v>1000</v>
      </c>
      <c r="C1" s="70" t="s">
        <v>312</v>
      </c>
      <c r="D1" s="71">
        <f>$S$30/J1</f>
        <v>21306.451612903227</v>
      </c>
      <c r="E1" s="72" t="s">
        <v>236</v>
      </c>
      <c r="F1" s="73" t="s">
        <v>384</v>
      </c>
      <c r="G1" s="72" t="s">
        <v>314</v>
      </c>
      <c r="H1" s="195">
        <f>H52</f>
        <v>13.21</v>
      </c>
      <c r="I1" s="74" t="s">
        <v>238</v>
      </c>
      <c r="J1" s="196">
        <v>0.62</v>
      </c>
      <c r="K1" s="80"/>
      <c r="Y1" s="72" t="s">
        <v>444</v>
      </c>
      <c r="Z1" s="422">
        <v>12210</v>
      </c>
      <c r="AA1" s="72" t="s">
        <v>544</v>
      </c>
      <c r="AB1" s="422">
        <v>1000</v>
      </c>
      <c r="AC1" s="72" t="s">
        <v>537</v>
      </c>
      <c r="AD1" s="422">
        <v>88</v>
      </c>
      <c r="AE1" s="168"/>
      <c r="AF1" s="170"/>
      <c r="AG1" s="73"/>
    </row>
    <row r="2" spans="1:33" ht="15.75" x14ac:dyDescent="0.25">
      <c r="A2" s="860"/>
      <c r="B2" s="1851" t="s">
        <v>918</v>
      </c>
      <c r="C2" s="1796"/>
      <c r="D2" s="1796"/>
      <c r="E2" s="1796"/>
      <c r="F2" s="1796"/>
      <c r="G2" s="1796"/>
      <c r="H2" s="1796"/>
      <c r="I2" s="1796"/>
      <c r="J2" s="1796"/>
      <c r="K2" s="1796"/>
      <c r="L2" s="187"/>
      <c r="M2" s="80"/>
      <c r="N2" s="80"/>
      <c r="AC2" s="79"/>
      <c r="AD2" s="79"/>
      <c r="AE2" s="1795"/>
      <c r="AF2" s="1796"/>
      <c r="AG2" s="1796"/>
    </row>
    <row r="3" spans="1:33" ht="15.75" x14ac:dyDescent="0.25">
      <c r="A3" s="860"/>
      <c r="B3" s="1796"/>
      <c r="C3" s="1796"/>
      <c r="D3" s="1796"/>
      <c r="E3" s="1796"/>
      <c r="F3" s="1796"/>
      <c r="G3" s="1796"/>
      <c r="H3" s="1796"/>
      <c r="I3" s="1796"/>
      <c r="J3" s="1796"/>
      <c r="K3" s="1796"/>
      <c r="L3" s="187"/>
      <c r="M3" s="80"/>
      <c r="N3" s="80"/>
      <c r="AC3" s="79"/>
      <c r="AD3" s="79"/>
      <c r="AE3" s="1796"/>
      <c r="AF3" s="1796"/>
      <c r="AG3" s="1796"/>
    </row>
    <row r="4" spans="1:33" ht="38.25" x14ac:dyDescent="0.2">
      <c r="A4" s="872" t="s">
        <v>864</v>
      </c>
      <c r="B4" s="923" t="s">
        <v>241</v>
      </c>
      <c r="C4" s="1104" t="s">
        <v>316</v>
      </c>
      <c r="D4" s="923" t="s">
        <v>317</v>
      </c>
      <c r="E4" s="935" t="s">
        <v>318</v>
      </c>
      <c r="F4" s="935" t="s">
        <v>319</v>
      </c>
      <c r="G4" s="1266" t="s">
        <v>320</v>
      </c>
      <c r="H4" s="936" t="s">
        <v>321</v>
      </c>
      <c r="I4" s="923" t="s">
        <v>246</v>
      </c>
      <c r="J4" s="923" t="s">
        <v>247</v>
      </c>
      <c r="K4" s="923" t="s">
        <v>248</v>
      </c>
      <c r="L4" s="923" t="s">
        <v>249</v>
      </c>
      <c r="AA4" s="169"/>
      <c r="AB4" s="171"/>
      <c r="AC4" s="169"/>
      <c r="AD4" s="169"/>
      <c r="AE4" s="169"/>
    </row>
    <row r="5" spans="1:33" x14ac:dyDescent="0.2">
      <c r="A5" s="873" t="s">
        <v>874</v>
      </c>
      <c r="B5" s="1614" t="s">
        <v>220</v>
      </c>
      <c r="C5" s="947" t="s">
        <v>14</v>
      </c>
      <c r="D5" s="1116">
        <f>I51/H51</f>
        <v>1612.9032258064517</v>
      </c>
      <c r="E5" s="940">
        <f>I52/D5</f>
        <v>13.21</v>
      </c>
      <c r="F5" s="1616">
        <v>1</v>
      </c>
      <c r="G5" s="941">
        <f>D1</f>
        <v>21306.451612903227</v>
      </c>
      <c r="H5" s="1702">
        <f>D1</f>
        <v>21306.451612903227</v>
      </c>
      <c r="I5" s="914">
        <f>VLOOKUP(B5,All_Ingredients!$A$1:$F$161,6,FALSE())</f>
        <v>0.86</v>
      </c>
      <c r="J5" s="940">
        <f>VLOOKUP(B5,All_Ingredients!$A$1:$J$161,10,FALSE())</f>
        <v>17.100000000000001</v>
      </c>
      <c r="K5" s="945">
        <f t="shared" ref="K5" si="0">(H5/I5)/1000</f>
        <v>24.774943735933988</v>
      </c>
      <c r="L5" s="945">
        <f t="shared" ref="L5" si="1">K5*J5</f>
        <v>423.65153788447122</v>
      </c>
    </row>
    <row r="6" spans="1:33" x14ac:dyDescent="0.25">
      <c r="B6" s="1252" t="s">
        <v>105</v>
      </c>
      <c r="C6" s="947" t="s">
        <v>14</v>
      </c>
      <c r="D6" s="1618">
        <v>25</v>
      </c>
      <c r="E6" s="1621">
        <f>$H$52</f>
        <v>13.21</v>
      </c>
      <c r="F6" s="1616">
        <v>0.7</v>
      </c>
      <c r="G6" s="940">
        <f>D6*E6</f>
        <v>330.25</v>
      </c>
      <c r="H6" s="1617">
        <f>G6*F6</f>
        <v>231.17499999999998</v>
      </c>
      <c r="I6" s="914">
        <f>VLOOKUP(B6,All_Ingredients!$A$1:$F$161,6,FALSE())</f>
        <v>1</v>
      </c>
      <c r="J6" s="940">
        <f>VLOOKUP(B6,All_Ingredients!$A$1:$J$161,10,FALSE())</f>
        <v>15</v>
      </c>
      <c r="K6" s="945">
        <f t="shared" ref="K6:K10" si="2">(H6/I6)/1000</f>
        <v>0.23117499999999999</v>
      </c>
      <c r="L6" s="945">
        <f t="shared" ref="L6:L10" si="3">K6*J6</f>
        <v>3.467625</v>
      </c>
    </row>
    <row r="7" spans="1:33" x14ac:dyDescent="0.25">
      <c r="B7" s="959" t="s">
        <v>678</v>
      </c>
      <c r="C7" s="947" t="s">
        <v>14</v>
      </c>
      <c r="D7" s="1618">
        <v>35</v>
      </c>
      <c r="E7" s="1621">
        <f>$H$52</f>
        <v>13.21</v>
      </c>
      <c r="F7" s="1616">
        <v>0.75</v>
      </c>
      <c r="G7" s="940">
        <f>D7*E7</f>
        <v>462.35</v>
      </c>
      <c r="H7" s="1617">
        <f>G7*F7</f>
        <v>346.76250000000005</v>
      </c>
      <c r="I7" s="914">
        <f>VLOOKUP(B7,All_Ingredients!$A$1:$F$161,6,FALSE())</f>
        <v>1</v>
      </c>
      <c r="J7" s="940">
        <f>VLOOKUP(B7,All_Ingredients!$A$1:$J$161,10,FALSE())</f>
        <v>8.1520833333333336</v>
      </c>
      <c r="K7" s="945">
        <f t="shared" si="2"/>
        <v>0.34676250000000003</v>
      </c>
      <c r="L7" s="945">
        <f t="shared" si="3"/>
        <v>2.8268367968750003</v>
      </c>
    </row>
    <row r="8" spans="1:33" x14ac:dyDescent="0.25">
      <c r="B8" s="1252" t="s">
        <v>107</v>
      </c>
      <c r="C8" s="947" t="s">
        <v>14</v>
      </c>
      <c r="D8" s="1618">
        <v>20</v>
      </c>
      <c r="E8" s="1621">
        <f>$H$52</f>
        <v>13.21</v>
      </c>
      <c r="F8" s="1616">
        <v>0.7</v>
      </c>
      <c r="G8" s="940">
        <f>D8*E8</f>
        <v>264.20000000000005</v>
      </c>
      <c r="H8" s="1617">
        <f>G8*F8</f>
        <v>184.94000000000003</v>
      </c>
      <c r="I8" s="914">
        <f>VLOOKUP(B8,All_Ingredients!$A$1:$F$161,6,FALSE())</f>
        <v>1</v>
      </c>
      <c r="J8" s="940">
        <f>VLOOKUP(B8,All_Ingredients!$A$1:$J$161,10,FALSE())</f>
        <v>8</v>
      </c>
      <c r="K8" s="945">
        <f t="shared" si="2"/>
        <v>0.18494000000000002</v>
      </c>
      <c r="L8" s="945">
        <f t="shared" si="3"/>
        <v>1.4795200000000002</v>
      </c>
    </row>
    <row r="9" spans="1:33" x14ac:dyDescent="0.25">
      <c r="B9" s="1252" t="s">
        <v>93</v>
      </c>
      <c r="C9" s="947" t="s">
        <v>14</v>
      </c>
      <c r="D9" s="1618">
        <v>15</v>
      </c>
      <c r="E9" s="1621">
        <f>$H$52</f>
        <v>13.21</v>
      </c>
      <c r="F9" s="1616">
        <v>0.75</v>
      </c>
      <c r="G9" s="940">
        <f>D9*E9</f>
        <v>198.15</v>
      </c>
      <c r="H9" s="1617">
        <f>G9*F9</f>
        <v>148.61250000000001</v>
      </c>
      <c r="I9" s="914">
        <f>VLOOKUP(B9,All_Ingredients!$A$1:$F$161,6,FALSE())</f>
        <v>1</v>
      </c>
      <c r="J9" s="940">
        <f>VLOOKUP(B9,All_Ingredients!$A$1:$J$161,10,FALSE())</f>
        <v>0.74</v>
      </c>
      <c r="K9" s="945">
        <f t="shared" si="2"/>
        <v>0.14861250000000001</v>
      </c>
      <c r="L9" s="945">
        <f t="shared" si="3"/>
        <v>0.10997325000000001</v>
      </c>
    </row>
    <row r="10" spans="1:33" x14ac:dyDescent="0.25">
      <c r="B10" s="1252" t="s">
        <v>203</v>
      </c>
      <c r="C10" s="947" t="s">
        <v>160</v>
      </c>
      <c r="D10" s="1618">
        <v>1500</v>
      </c>
      <c r="E10" s="1621">
        <f>$H$52</f>
        <v>13.21</v>
      </c>
      <c r="F10" s="1616">
        <v>1</v>
      </c>
      <c r="G10" s="940">
        <f>D10*E10</f>
        <v>19815</v>
      </c>
      <c r="H10" s="1617">
        <f>G10*F10</f>
        <v>19815</v>
      </c>
      <c r="I10" s="914">
        <f>VLOOKUP(B10,All_Ingredients!$A$1:$F$161,6,FALSE())</f>
        <v>1</v>
      </c>
      <c r="J10" s="940">
        <f>VLOOKUP(B10,All_Ingredients!$A$1:$J$161,10,FALSE())</f>
        <v>0</v>
      </c>
      <c r="K10" s="945">
        <f t="shared" si="2"/>
        <v>19.815000000000001</v>
      </c>
      <c r="L10" s="945">
        <f t="shared" si="3"/>
        <v>0</v>
      </c>
    </row>
    <row r="25" spans="18:29" ht="15.75" x14ac:dyDescent="0.25">
      <c r="R25" s="1885" t="str">
        <f>B2</f>
        <v>Chicken Saleeq - سليق دجاج</v>
      </c>
      <c r="S25" s="1850"/>
      <c r="T25" s="1850"/>
      <c r="Z25" s="96" t="s">
        <v>252</v>
      </c>
      <c r="AA25" s="97">
        <v>1</v>
      </c>
      <c r="AB25" s="96" t="s">
        <v>249</v>
      </c>
      <c r="AC25" s="599">
        <f>AC30*AA25</f>
        <v>3.4697095649833844E-2</v>
      </c>
    </row>
    <row r="26" spans="18:29" x14ac:dyDescent="0.25">
      <c r="R26" s="1881" t="s">
        <v>323</v>
      </c>
      <c r="S26" s="1867"/>
      <c r="T26" s="1867"/>
      <c r="AB26" s="14"/>
      <c r="AC26" s="14"/>
    </row>
    <row r="27" spans="18:29" ht="15.75" thickBot="1" x14ac:dyDescent="0.3">
      <c r="R27" s="100" t="s">
        <v>254</v>
      </c>
      <c r="S27" s="101" t="s">
        <v>255</v>
      </c>
      <c r="T27" s="101" t="s">
        <v>257</v>
      </c>
      <c r="Z27" s="96" t="s">
        <v>258</v>
      </c>
      <c r="AA27" s="102" t="s">
        <v>259</v>
      </c>
      <c r="AB27" s="102" t="s">
        <v>311</v>
      </c>
      <c r="AC27" s="102" t="s">
        <v>262</v>
      </c>
    </row>
    <row r="28" spans="18:29" ht="15.75" thickBot="1" x14ac:dyDescent="0.3">
      <c r="R28" s="103" t="s">
        <v>324</v>
      </c>
      <c r="S28" s="385">
        <f>Z1</f>
        <v>12210</v>
      </c>
      <c r="T28" s="380">
        <f>S28</f>
        <v>12210</v>
      </c>
      <c r="Z28" s="105"/>
      <c r="AA28" s="106">
        <f>AA25</f>
        <v>1</v>
      </c>
      <c r="AB28" s="106">
        <f>AA25-AA28</f>
        <v>0</v>
      </c>
      <c r="AC28" s="108">
        <f>SUM(AA28:AB28)</f>
        <v>1</v>
      </c>
    </row>
    <row r="29" spans="18:29" ht="15.75" thickBot="1" x14ac:dyDescent="0.3">
      <c r="R29" s="103" t="s">
        <v>325</v>
      </c>
      <c r="S29" s="397">
        <f>AB1</f>
        <v>1000</v>
      </c>
      <c r="T29" s="382">
        <f>S29</f>
        <v>1000</v>
      </c>
      <c r="Z29" s="105"/>
      <c r="AA29" s="110">
        <v>1</v>
      </c>
      <c r="AB29" s="207">
        <f>AB28/$AC$28</f>
        <v>0</v>
      </c>
      <c r="AC29" s="110">
        <f>AC28/$AC$28</f>
        <v>1</v>
      </c>
    </row>
    <row r="30" spans="18:29" ht="15.75" thickBot="1" x14ac:dyDescent="0.3">
      <c r="R30" s="114" t="s">
        <v>326</v>
      </c>
      <c r="S30" s="104">
        <f>S28+S29</f>
        <v>13210</v>
      </c>
      <c r="T30" s="104">
        <f>T28+T29</f>
        <v>13210</v>
      </c>
      <c r="Z30" s="96" t="s">
        <v>266</v>
      </c>
      <c r="AA30" s="111">
        <f>S33/(S28)</f>
        <v>3.4697095649833844E-2</v>
      </c>
      <c r="AB30" s="112">
        <f>SUM(L6:L10)/SUM(K6:K10)</f>
        <v>0.38038061663479922</v>
      </c>
      <c r="AC30" s="113">
        <f>SUMPRODUCT(AA30:AB30,AA29:AB29)</f>
        <v>3.4697095649833844E-2</v>
      </c>
    </row>
    <row r="31" spans="18:29" ht="15.75" thickBot="1" x14ac:dyDescent="0.3">
      <c r="R31" s="115" t="s">
        <v>268</v>
      </c>
      <c r="S31" s="109"/>
      <c r="T31" s="109"/>
    </row>
    <row r="32" spans="18:29" ht="15.75" thickBot="1" x14ac:dyDescent="0.3">
      <c r="R32" s="116" t="s">
        <v>269</v>
      </c>
      <c r="S32" s="109"/>
      <c r="T32" s="109"/>
    </row>
    <row r="33" spans="17:23" ht="15.75" thickBot="1" x14ac:dyDescent="0.3">
      <c r="R33" s="117" t="s">
        <v>249</v>
      </c>
      <c r="S33" s="118">
        <f>$L$5</f>
        <v>423.65153788447122</v>
      </c>
      <c r="T33" s="118">
        <f>S33</f>
        <v>423.65153788447122</v>
      </c>
    </row>
    <row r="40" spans="17:23" x14ac:dyDescent="0.25">
      <c r="Q40" s="14"/>
      <c r="R40" s="119" t="s">
        <v>327</v>
      </c>
      <c r="S40" s="163">
        <v>1</v>
      </c>
    </row>
    <row r="41" spans="17:23" x14ac:dyDescent="0.25">
      <c r="Q41" s="14"/>
      <c r="R41" s="14"/>
      <c r="S41" s="14"/>
      <c r="T41" s="14"/>
      <c r="U41" s="123"/>
      <c r="V41" s="14"/>
      <c r="W41" s="14"/>
    </row>
    <row r="42" spans="17:23" x14ac:dyDescent="0.25">
      <c r="Q42" s="14"/>
      <c r="R42" s="14"/>
      <c r="S42" s="14"/>
      <c r="T42" s="14"/>
      <c r="U42" s="14"/>
      <c r="V42" s="14"/>
      <c r="W42" s="14"/>
    </row>
    <row r="43" spans="17:23" x14ac:dyDescent="0.25">
      <c r="Q43" s="124" t="s">
        <v>272</v>
      </c>
      <c r="R43" s="124" t="s">
        <v>273</v>
      </c>
      <c r="S43" s="124" t="s">
        <v>274</v>
      </c>
      <c r="T43" s="124" t="s">
        <v>275</v>
      </c>
      <c r="U43" s="124" t="s">
        <v>276</v>
      </c>
      <c r="V43" s="124" t="s">
        <v>277</v>
      </c>
      <c r="W43" s="174" t="s">
        <v>328</v>
      </c>
    </row>
    <row r="44" spans="17:23" x14ac:dyDescent="0.25">
      <c r="Q44" s="126">
        <v>10000</v>
      </c>
      <c r="R44" s="127">
        <v>0</v>
      </c>
      <c r="S44" s="164">
        <v>0</v>
      </c>
      <c r="T44" s="164">
        <v>0</v>
      </c>
      <c r="U44" s="165">
        <f>R44*S44</f>
        <v>0</v>
      </c>
      <c r="V44" s="129">
        <f>R44*T44</f>
        <v>0</v>
      </c>
      <c r="W44" s="175">
        <f>Q44-U44</f>
        <v>10000</v>
      </c>
    </row>
    <row r="50" spans="1:10" ht="15.75" thickBot="1" x14ac:dyDescent="0.3">
      <c r="G50" s="822" t="s">
        <v>280</v>
      </c>
      <c r="H50" s="822" t="s">
        <v>233</v>
      </c>
      <c r="I50" s="822" t="s">
        <v>281</v>
      </c>
      <c r="J50" s="822" t="s">
        <v>282</v>
      </c>
    </row>
    <row r="51" spans="1:10" ht="15.75" thickBot="1" x14ac:dyDescent="0.3">
      <c r="G51" s="197" t="s">
        <v>449</v>
      </c>
      <c r="H51" s="198">
        <v>10</v>
      </c>
      <c r="I51" s="198">
        <f t="shared" ref="I51:I58" si="4">J51/$J$1</f>
        <v>16129.032258064517</v>
      </c>
      <c r="J51" s="199">
        <f>$W$44</f>
        <v>10000</v>
      </c>
    </row>
    <row r="52" spans="1:10" x14ac:dyDescent="0.25">
      <c r="G52" s="116" t="s">
        <v>262</v>
      </c>
      <c r="H52" s="200">
        <f>$E$5</f>
        <v>13.21</v>
      </c>
      <c r="I52" s="201">
        <f t="shared" si="4"/>
        <v>21306.451612903227</v>
      </c>
      <c r="J52" s="202">
        <f>$S$30</f>
        <v>13210</v>
      </c>
    </row>
    <row r="53" spans="1:10" x14ac:dyDescent="0.25">
      <c r="D53" s="266"/>
      <c r="G53" s="103" t="s">
        <v>284</v>
      </c>
      <c r="H53" s="203">
        <f>MIN(H52, H51)</f>
        <v>10</v>
      </c>
      <c r="I53" s="129">
        <f t="shared" si="4"/>
        <v>16129.032258064517</v>
      </c>
      <c r="J53" s="823">
        <f>MIN(J52, J51)</f>
        <v>10000</v>
      </c>
    </row>
    <row r="54" spans="1:10" x14ac:dyDescent="0.25">
      <c r="D54" s="266"/>
      <c r="G54" s="103" t="s">
        <v>285</v>
      </c>
      <c r="H54" s="203">
        <f>MIN(MAX($H$52-H53,0),H51)</f>
        <v>3.2100000000000009</v>
      </c>
      <c r="I54" s="129">
        <f t="shared" si="4"/>
        <v>5177.4193548387093</v>
      </c>
      <c r="J54" s="823">
        <f>MIN(MAX(J52-J53,0),J51)</f>
        <v>3210</v>
      </c>
    </row>
    <row r="55" spans="1:10" x14ac:dyDescent="0.25">
      <c r="D55" s="266"/>
      <c r="G55" s="100" t="s">
        <v>286</v>
      </c>
      <c r="H55" s="824">
        <f>MIN(MAX(H52-H53-H54,0),H51)</f>
        <v>0</v>
      </c>
      <c r="I55" s="129">
        <f t="shared" si="4"/>
        <v>0</v>
      </c>
      <c r="J55" s="823">
        <f>MIN(MAX(J52-J53-J54,0),J51)</f>
        <v>0</v>
      </c>
    </row>
    <row r="56" spans="1:10" x14ac:dyDescent="0.25">
      <c r="G56" s="100" t="s">
        <v>293</v>
      </c>
      <c r="H56" s="203">
        <f>MIN(MAX(H52-H53-H54-H55,0),H51)</f>
        <v>0</v>
      </c>
      <c r="I56" s="129">
        <f t="shared" si="4"/>
        <v>0</v>
      </c>
      <c r="J56" s="823">
        <f>MIN(MAX(J52-J53-J54-J55,0),J51)</f>
        <v>0</v>
      </c>
    </row>
    <row r="57" spans="1:10" x14ac:dyDescent="0.25">
      <c r="G57" s="100" t="s">
        <v>343</v>
      </c>
      <c r="H57" s="203">
        <f>MIN(MAX(H52-H53-H54-H55-H56,0),H51)</f>
        <v>0</v>
      </c>
      <c r="I57" s="129">
        <f t="shared" si="4"/>
        <v>0</v>
      </c>
      <c r="J57" s="823">
        <f>MIN(MAX(J52-J53-J54-J55-J56,0),J51)</f>
        <v>0</v>
      </c>
    </row>
    <row r="58" spans="1:10" x14ac:dyDescent="0.25">
      <c r="G58" s="100" t="s">
        <v>442</v>
      </c>
      <c r="H58" s="203">
        <f>MIN(MAX(H52-H53-H54-H55-H56-H57,0),H51)</f>
        <v>0</v>
      </c>
      <c r="I58" s="129">
        <f t="shared" si="4"/>
        <v>0</v>
      </c>
      <c r="J58" s="823">
        <f>MIN(MAX(J52-J53-J54-J55-J56-J57,0),J51)</f>
        <v>0</v>
      </c>
    </row>
    <row r="62" spans="1:10" x14ac:dyDescent="0.2">
      <c r="A62" s="875"/>
      <c r="B62" s="1804" t="str">
        <f>"سليق دجاج 1 / " &amp; COUNTIF($H$53:$H$58, "&gt;0")</f>
        <v>سليق دجاج 1 / 2</v>
      </c>
      <c r="C62" s="1890"/>
      <c r="D62" s="1890"/>
      <c r="E62" s="1890"/>
      <c r="F62" s="1890"/>
      <c r="G62" s="1890"/>
      <c r="H62" s="1890"/>
    </row>
    <row r="63" spans="1:10" x14ac:dyDescent="0.2">
      <c r="A63" s="875"/>
      <c r="B63" s="1804" t="str">
        <f>"Chicken Saleeq 1 / " &amp; COUNTIF($H$53:$H$58, "&gt;0")</f>
        <v>Chicken Saleeq 1 / 2</v>
      </c>
      <c r="C63" s="1890"/>
      <c r="D63" s="1890"/>
      <c r="E63" s="1890"/>
      <c r="F63" s="1890"/>
      <c r="G63" s="1890"/>
      <c r="H63" s="1890"/>
    </row>
    <row r="64" spans="1:10" ht="38.25" x14ac:dyDescent="0.2">
      <c r="A64" s="1350" t="s">
        <v>864</v>
      </c>
      <c r="B64" s="923" t="s">
        <v>241</v>
      </c>
      <c r="C64" s="1104" t="s">
        <v>316</v>
      </c>
      <c r="D64" s="923" t="s">
        <v>317</v>
      </c>
      <c r="E64" s="935" t="s">
        <v>318</v>
      </c>
      <c r="F64" s="935" t="s">
        <v>319</v>
      </c>
      <c r="G64" s="1266" t="s">
        <v>320</v>
      </c>
      <c r="H64" s="936" t="s">
        <v>321</v>
      </c>
    </row>
    <row r="65" spans="1:8" x14ac:dyDescent="0.2">
      <c r="A65" s="876" t="s">
        <v>874</v>
      </c>
      <c r="B65" s="1252" t="str">
        <f t="shared" ref="B65:D70" si="5">B5</f>
        <v>Chicken - دجاج</v>
      </c>
      <c r="C65" s="1252" t="str">
        <f t="shared" si="5"/>
        <v>gm</v>
      </c>
      <c r="D65" s="1620">
        <f t="shared" si="5"/>
        <v>1612.9032258064517</v>
      </c>
      <c r="E65" s="1621">
        <f>$H$53</f>
        <v>10</v>
      </c>
      <c r="F65" s="1616">
        <f t="shared" ref="F65:F70" si="6">F5</f>
        <v>1</v>
      </c>
      <c r="G65" s="940">
        <f t="shared" ref="G65:G70" si="7">D65*E65</f>
        <v>16129.032258064517</v>
      </c>
      <c r="H65" s="1617">
        <f t="shared" ref="H65:H70" si="8">G65*F65</f>
        <v>16129.032258064517</v>
      </c>
    </row>
    <row r="66" spans="1:8" x14ac:dyDescent="0.25">
      <c r="B66" s="1252" t="str">
        <f t="shared" si="5"/>
        <v>Cumin Powder - كمون مطحون</v>
      </c>
      <c r="C66" s="1252" t="str">
        <f t="shared" si="5"/>
        <v>gm</v>
      </c>
      <c r="D66" s="1252">
        <f t="shared" si="5"/>
        <v>25</v>
      </c>
      <c r="E66" s="1621">
        <f t="shared" ref="E66:E70" si="9">$H$53</f>
        <v>10</v>
      </c>
      <c r="F66" s="1616">
        <f t="shared" si="6"/>
        <v>0.7</v>
      </c>
      <c r="G66" s="914">
        <f t="shared" si="7"/>
        <v>250</v>
      </c>
      <c r="H66" s="1617">
        <f t="shared" si="8"/>
        <v>175</v>
      </c>
    </row>
    <row r="67" spans="1:8" x14ac:dyDescent="0.25">
      <c r="B67" s="1252" t="str">
        <f t="shared" si="5"/>
        <v>Tomato Paste - صلصة طماطم</v>
      </c>
      <c r="C67" s="1252" t="str">
        <f t="shared" si="5"/>
        <v>gm</v>
      </c>
      <c r="D67" s="1252">
        <f t="shared" si="5"/>
        <v>35</v>
      </c>
      <c r="E67" s="1621">
        <f t="shared" si="9"/>
        <v>10</v>
      </c>
      <c r="F67" s="1616">
        <f t="shared" si="6"/>
        <v>0.75</v>
      </c>
      <c r="G67" s="914">
        <f t="shared" si="7"/>
        <v>350</v>
      </c>
      <c r="H67" s="1617">
        <f t="shared" si="8"/>
        <v>262.5</v>
      </c>
    </row>
    <row r="68" spans="1:8" x14ac:dyDescent="0.25">
      <c r="B68" s="1252" t="str">
        <f t="shared" si="5"/>
        <v>Coriander Powder - كزبرة مطحونة</v>
      </c>
      <c r="C68" s="1252" t="str">
        <f t="shared" si="5"/>
        <v>gm</v>
      </c>
      <c r="D68" s="1252">
        <f t="shared" si="5"/>
        <v>20</v>
      </c>
      <c r="E68" s="1621">
        <f t="shared" si="9"/>
        <v>10</v>
      </c>
      <c r="F68" s="1616">
        <f t="shared" si="6"/>
        <v>0.7</v>
      </c>
      <c r="G68" s="914">
        <f t="shared" si="7"/>
        <v>200</v>
      </c>
      <c r="H68" s="1617">
        <f t="shared" si="8"/>
        <v>140</v>
      </c>
    </row>
    <row r="69" spans="1:8" x14ac:dyDescent="0.25">
      <c r="B69" s="1252" t="str">
        <f t="shared" si="5"/>
        <v>Salt - ملح</v>
      </c>
      <c r="C69" s="1252" t="str">
        <f t="shared" si="5"/>
        <v>gm</v>
      </c>
      <c r="D69" s="1252">
        <f t="shared" si="5"/>
        <v>15</v>
      </c>
      <c r="E69" s="1621">
        <f t="shared" si="9"/>
        <v>10</v>
      </c>
      <c r="F69" s="1616">
        <f t="shared" si="6"/>
        <v>0.75</v>
      </c>
      <c r="G69" s="914">
        <f t="shared" si="7"/>
        <v>150</v>
      </c>
      <c r="H69" s="1617">
        <f t="shared" si="8"/>
        <v>112.5</v>
      </c>
    </row>
    <row r="70" spans="1:8" x14ac:dyDescent="0.25">
      <c r="B70" s="1252" t="str">
        <f t="shared" si="5"/>
        <v>Water - ماء</v>
      </c>
      <c r="C70" s="1252" t="str">
        <f t="shared" si="5"/>
        <v>ml</v>
      </c>
      <c r="D70" s="1252">
        <f t="shared" si="5"/>
        <v>1500</v>
      </c>
      <c r="E70" s="1621">
        <f t="shared" si="9"/>
        <v>10</v>
      </c>
      <c r="F70" s="1616">
        <f t="shared" si="6"/>
        <v>1</v>
      </c>
      <c r="G70" s="914">
        <f t="shared" si="7"/>
        <v>15000</v>
      </c>
      <c r="H70" s="1617">
        <f t="shared" si="8"/>
        <v>15000</v>
      </c>
    </row>
    <row r="71" spans="1:8" ht="18" x14ac:dyDescent="0.25">
      <c r="A71" s="861"/>
      <c r="B71" s="1622" t="s">
        <v>287</v>
      </c>
      <c r="C71" s="1042" t="s">
        <v>273</v>
      </c>
      <c r="D71" s="952"/>
      <c r="E71" s="1042" t="s">
        <v>288</v>
      </c>
      <c r="F71" s="952"/>
      <c r="G71" s="1045" t="s">
        <v>264</v>
      </c>
      <c r="H71" s="1045" t="s">
        <v>661</v>
      </c>
    </row>
    <row r="72" spans="1:8" ht="20.25" x14ac:dyDescent="0.3">
      <c r="A72" s="861"/>
      <c r="B72" s="1048">
        <f>$J$53</f>
        <v>10000</v>
      </c>
      <c r="C72" s="1048">
        <f>E72+G72</f>
        <v>0</v>
      </c>
      <c r="D72" s="1629"/>
      <c r="E72" s="1048">
        <f>$C$53*$S$44</f>
        <v>0</v>
      </c>
      <c r="F72" s="1050"/>
      <c r="G72" s="1048">
        <f>$C$53*$T$44</f>
        <v>0</v>
      </c>
      <c r="H72" s="1048">
        <f>B72+E72</f>
        <v>10000</v>
      </c>
    </row>
    <row r="73" spans="1:8" x14ac:dyDescent="0.25">
      <c r="B73" s="1208"/>
      <c r="C73" s="959"/>
      <c r="D73" s="959"/>
      <c r="E73" s="1208"/>
      <c r="F73" s="1208"/>
      <c r="G73" s="959"/>
      <c r="H73" s="959"/>
    </row>
    <row r="74" spans="1:8" x14ac:dyDescent="0.2">
      <c r="A74" s="875"/>
      <c r="B74" s="1776" t="str">
        <f>"سليق دجاج 2 / " &amp; COUNTIF($H$53:$H$58, "&gt;0")</f>
        <v>سليق دجاج 2 / 2</v>
      </c>
      <c r="C74" s="1777"/>
      <c r="D74" s="1777"/>
      <c r="E74" s="1777"/>
      <c r="F74" s="1777"/>
      <c r="G74" s="1777"/>
      <c r="H74" s="1777"/>
    </row>
    <row r="75" spans="1:8" x14ac:dyDescent="0.2">
      <c r="A75" s="875"/>
      <c r="B75" s="1842" t="str">
        <f>"Chicken Saleeq 2 / " &amp; COUNTIF($H$53:$H$58, "&gt;0")</f>
        <v>Chicken Saleeq 2 / 2</v>
      </c>
      <c r="C75" s="1843"/>
      <c r="D75" s="1843"/>
      <c r="E75" s="1843"/>
      <c r="F75" s="1843"/>
      <c r="G75" s="1843"/>
      <c r="H75" s="1843"/>
    </row>
    <row r="76" spans="1:8" ht="38.25" x14ac:dyDescent="0.2">
      <c r="A76" s="1350" t="s">
        <v>864</v>
      </c>
      <c r="B76" s="923" t="s">
        <v>241</v>
      </c>
      <c r="C76" s="1104" t="s">
        <v>316</v>
      </c>
      <c r="D76" s="923" t="s">
        <v>317</v>
      </c>
      <c r="E76" s="935" t="s">
        <v>318</v>
      </c>
      <c r="F76" s="935" t="s">
        <v>319</v>
      </c>
      <c r="G76" s="1266" t="s">
        <v>320</v>
      </c>
      <c r="H76" s="936" t="s">
        <v>321</v>
      </c>
    </row>
    <row r="77" spans="1:8" x14ac:dyDescent="0.2">
      <c r="A77" s="876" t="s">
        <v>874</v>
      </c>
      <c r="B77" s="1252" t="str">
        <f t="shared" ref="B77:D82" si="10">B5</f>
        <v>Chicken - دجاج</v>
      </c>
      <c r="C77" s="1252" t="str">
        <f t="shared" si="10"/>
        <v>gm</v>
      </c>
      <c r="D77" s="940">
        <f t="shared" si="10"/>
        <v>1612.9032258064517</v>
      </c>
      <c r="E77" s="1621">
        <f t="shared" ref="E77:E82" si="11">$H$54</f>
        <v>3.2100000000000009</v>
      </c>
      <c r="F77" s="1616">
        <f t="shared" ref="F77:F82" si="12">F5</f>
        <v>1</v>
      </c>
      <c r="G77" s="940">
        <f t="shared" ref="G77:G82" si="13">D77*E77</f>
        <v>5177.4193548387111</v>
      </c>
      <c r="H77" s="1617">
        <f t="shared" ref="H77:H82" si="14">G77*F77</f>
        <v>5177.4193548387111</v>
      </c>
    </row>
    <row r="78" spans="1:8" x14ac:dyDescent="0.25">
      <c r="B78" s="1252" t="str">
        <f t="shared" si="10"/>
        <v>Cumin Powder - كمون مطحون</v>
      </c>
      <c r="C78" s="1252" t="str">
        <f t="shared" si="10"/>
        <v>gm</v>
      </c>
      <c r="D78" s="1252">
        <f t="shared" si="10"/>
        <v>25</v>
      </c>
      <c r="E78" s="1621">
        <f t="shared" si="11"/>
        <v>3.2100000000000009</v>
      </c>
      <c r="F78" s="1616">
        <f t="shared" si="12"/>
        <v>0.7</v>
      </c>
      <c r="G78" s="940">
        <f t="shared" si="13"/>
        <v>80.250000000000028</v>
      </c>
      <c r="H78" s="1617">
        <f t="shared" si="14"/>
        <v>56.175000000000018</v>
      </c>
    </row>
    <row r="79" spans="1:8" x14ac:dyDescent="0.25">
      <c r="B79" s="1252" t="str">
        <f t="shared" si="10"/>
        <v>Tomato Paste - صلصة طماطم</v>
      </c>
      <c r="C79" s="1252" t="str">
        <f t="shared" si="10"/>
        <v>gm</v>
      </c>
      <c r="D79" s="1252">
        <f t="shared" si="10"/>
        <v>35</v>
      </c>
      <c r="E79" s="1621">
        <f t="shared" si="11"/>
        <v>3.2100000000000009</v>
      </c>
      <c r="F79" s="1616">
        <f t="shared" si="12"/>
        <v>0.75</v>
      </c>
      <c r="G79" s="940">
        <f t="shared" si="13"/>
        <v>112.35000000000002</v>
      </c>
      <c r="H79" s="1617">
        <f t="shared" si="14"/>
        <v>84.262500000000017</v>
      </c>
    </row>
    <row r="80" spans="1:8" x14ac:dyDescent="0.25">
      <c r="B80" s="1252" t="str">
        <f t="shared" si="10"/>
        <v>Coriander Powder - كزبرة مطحونة</v>
      </c>
      <c r="C80" s="1252" t="str">
        <f t="shared" si="10"/>
        <v>gm</v>
      </c>
      <c r="D80" s="1252">
        <f t="shared" si="10"/>
        <v>20</v>
      </c>
      <c r="E80" s="1621">
        <f t="shared" si="11"/>
        <v>3.2100000000000009</v>
      </c>
      <c r="F80" s="1616">
        <f t="shared" si="12"/>
        <v>0.7</v>
      </c>
      <c r="G80" s="940">
        <f t="shared" si="13"/>
        <v>64.200000000000017</v>
      </c>
      <c r="H80" s="1617">
        <f t="shared" si="14"/>
        <v>44.940000000000012</v>
      </c>
    </row>
    <row r="81" spans="1:8" x14ac:dyDescent="0.25">
      <c r="B81" s="1252" t="str">
        <f t="shared" si="10"/>
        <v>Salt - ملح</v>
      </c>
      <c r="C81" s="1252" t="str">
        <f t="shared" si="10"/>
        <v>gm</v>
      </c>
      <c r="D81" s="1252">
        <f t="shared" si="10"/>
        <v>15</v>
      </c>
      <c r="E81" s="1621">
        <f t="shared" si="11"/>
        <v>3.2100000000000009</v>
      </c>
      <c r="F81" s="1616">
        <f t="shared" si="12"/>
        <v>0.75</v>
      </c>
      <c r="G81" s="940">
        <f t="shared" si="13"/>
        <v>48.150000000000013</v>
      </c>
      <c r="H81" s="1617">
        <f t="shared" si="14"/>
        <v>36.112500000000011</v>
      </c>
    </row>
    <row r="82" spans="1:8" x14ac:dyDescent="0.25">
      <c r="B82" s="1252" t="str">
        <f t="shared" si="10"/>
        <v>Water - ماء</v>
      </c>
      <c r="C82" s="1252" t="str">
        <f t="shared" si="10"/>
        <v>ml</v>
      </c>
      <c r="D82" s="1252">
        <f t="shared" si="10"/>
        <v>1500</v>
      </c>
      <c r="E82" s="1621">
        <f t="shared" si="11"/>
        <v>3.2100000000000009</v>
      </c>
      <c r="F82" s="1616">
        <f t="shared" si="12"/>
        <v>1</v>
      </c>
      <c r="G82" s="940">
        <f t="shared" si="13"/>
        <v>4815.0000000000009</v>
      </c>
      <c r="H82" s="1617">
        <f t="shared" si="14"/>
        <v>4815.0000000000009</v>
      </c>
    </row>
    <row r="83" spans="1:8" ht="18" x14ac:dyDescent="0.25">
      <c r="A83" s="861"/>
      <c r="B83" s="1622" t="s">
        <v>287</v>
      </c>
      <c r="C83" s="1042" t="s">
        <v>273</v>
      </c>
      <c r="D83" s="952"/>
      <c r="E83" s="1042" t="s">
        <v>288</v>
      </c>
      <c r="F83" s="952"/>
      <c r="G83" s="1045" t="s">
        <v>264</v>
      </c>
      <c r="H83" s="1045" t="s">
        <v>661</v>
      </c>
    </row>
    <row r="84" spans="1:8" ht="20.25" x14ac:dyDescent="0.3">
      <c r="A84" s="861"/>
      <c r="B84" s="1048">
        <f>$J$54</f>
        <v>3210</v>
      </c>
      <c r="C84" s="1048">
        <f>E84+G84</f>
        <v>0</v>
      </c>
      <c r="D84" s="1629"/>
      <c r="E84" s="1048">
        <f>$C$54*$S$44</f>
        <v>0</v>
      </c>
      <c r="F84" s="1050"/>
      <c r="G84" s="1048">
        <f>$C$54*$T$44</f>
        <v>0</v>
      </c>
      <c r="H84" s="1048">
        <f>B84+E84</f>
        <v>3210</v>
      </c>
    </row>
    <row r="88" spans="1:8" x14ac:dyDescent="0.2">
      <c r="A88" s="875"/>
      <c r="B88" s="1804" t="str">
        <f>"سليق دجاج 3 / " &amp; COUNTIF($H$53:$H$58, "&gt;0")</f>
        <v>سليق دجاج 3 / 2</v>
      </c>
      <c r="C88" s="1890"/>
      <c r="D88" s="1890"/>
      <c r="E88" s="1890"/>
      <c r="F88" s="1890"/>
      <c r="G88" s="1890"/>
      <c r="H88" s="1890"/>
    </row>
    <row r="89" spans="1:8" x14ac:dyDescent="0.2">
      <c r="A89" s="875"/>
      <c r="B89" s="1804" t="str">
        <f>"Chicken Saleeq 3 / " &amp; COUNTIF($H$53:$H$58, "&gt;0")</f>
        <v>Chicken Saleeq 3 / 2</v>
      </c>
      <c r="C89" s="1890"/>
      <c r="D89" s="1890"/>
      <c r="E89" s="1890"/>
      <c r="F89" s="1890"/>
      <c r="G89" s="1890"/>
      <c r="H89" s="1890"/>
    </row>
    <row r="90" spans="1:8" ht="38.25" x14ac:dyDescent="0.2">
      <c r="A90" s="1350" t="s">
        <v>864</v>
      </c>
      <c r="B90" s="923" t="s">
        <v>241</v>
      </c>
      <c r="C90" s="1104" t="s">
        <v>316</v>
      </c>
      <c r="D90" s="923" t="s">
        <v>317</v>
      </c>
      <c r="E90" s="935" t="s">
        <v>318</v>
      </c>
      <c r="F90" s="935" t="s">
        <v>319</v>
      </c>
      <c r="G90" s="1266" t="s">
        <v>320</v>
      </c>
      <c r="H90" s="936" t="s">
        <v>321</v>
      </c>
    </row>
    <row r="91" spans="1:8" x14ac:dyDescent="0.2">
      <c r="A91" s="876" t="s">
        <v>874</v>
      </c>
      <c r="B91" s="1281" t="str">
        <f t="shared" ref="B91:D96" si="15">B5</f>
        <v>Chicken - دجاج</v>
      </c>
      <c r="C91" s="1281" t="str">
        <f t="shared" si="15"/>
        <v>gm</v>
      </c>
      <c r="D91" s="940">
        <f t="shared" si="15"/>
        <v>1612.9032258064517</v>
      </c>
      <c r="E91" s="1621">
        <f t="shared" ref="E91:E96" si="16">$H$55</f>
        <v>0</v>
      </c>
      <c r="F91" s="1282">
        <f t="shared" ref="F91:F96" si="17">F5</f>
        <v>1</v>
      </c>
      <c r="G91" s="940">
        <f t="shared" ref="G91:G96" si="18">D91*E91</f>
        <v>0</v>
      </c>
      <c r="H91" s="1617">
        <f t="shared" ref="H91:H96" si="19">G91*F91</f>
        <v>0</v>
      </c>
    </row>
    <row r="92" spans="1:8" x14ac:dyDescent="0.2">
      <c r="A92" s="876"/>
      <c r="B92" s="1281" t="str">
        <f t="shared" si="15"/>
        <v>Cumin Powder - كمون مطحون</v>
      </c>
      <c r="C92" s="1281" t="str">
        <f t="shared" si="15"/>
        <v>gm</v>
      </c>
      <c r="D92" s="1281">
        <f t="shared" si="15"/>
        <v>25</v>
      </c>
      <c r="E92" s="1621">
        <f t="shared" si="16"/>
        <v>0</v>
      </c>
      <c r="F92" s="1282">
        <f t="shared" si="17"/>
        <v>0.7</v>
      </c>
      <c r="G92" s="940">
        <f t="shared" si="18"/>
        <v>0</v>
      </c>
      <c r="H92" s="1617">
        <f t="shared" si="19"/>
        <v>0</v>
      </c>
    </row>
    <row r="93" spans="1:8" x14ac:dyDescent="0.2">
      <c r="A93" s="876"/>
      <c r="B93" s="1281" t="str">
        <f t="shared" si="15"/>
        <v>Tomato Paste - صلصة طماطم</v>
      </c>
      <c r="C93" s="1281" t="str">
        <f t="shared" si="15"/>
        <v>gm</v>
      </c>
      <c r="D93" s="1281">
        <f t="shared" si="15"/>
        <v>35</v>
      </c>
      <c r="E93" s="1621">
        <f t="shared" si="16"/>
        <v>0</v>
      </c>
      <c r="F93" s="1282">
        <f t="shared" si="17"/>
        <v>0.75</v>
      </c>
      <c r="G93" s="940">
        <f t="shared" si="18"/>
        <v>0</v>
      </c>
      <c r="H93" s="1617">
        <f t="shared" si="19"/>
        <v>0</v>
      </c>
    </row>
    <row r="94" spans="1:8" x14ac:dyDescent="0.2">
      <c r="A94" s="876"/>
      <c r="B94" s="1281" t="str">
        <f t="shared" si="15"/>
        <v>Coriander Powder - كزبرة مطحونة</v>
      </c>
      <c r="C94" s="1281" t="str">
        <f t="shared" si="15"/>
        <v>gm</v>
      </c>
      <c r="D94" s="1281">
        <f t="shared" si="15"/>
        <v>20</v>
      </c>
      <c r="E94" s="1621">
        <f t="shared" si="16"/>
        <v>0</v>
      </c>
      <c r="F94" s="1282">
        <f t="shared" si="17"/>
        <v>0.7</v>
      </c>
      <c r="G94" s="940">
        <f t="shared" si="18"/>
        <v>0</v>
      </c>
      <c r="H94" s="1617">
        <f t="shared" si="19"/>
        <v>0</v>
      </c>
    </row>
    <row r="95" spans="1:8" x14ac:dyDescent="0.2">
      <c r="A95" s="876"/>
      <c r="B95" s="1281" t="str">
        <f t="shared" si="15"/>
        <v>Salt - ملح</v>
      </c>
      <c r="C95" s="1281" t="str">
        <f t="shared" si="15"/>
        <v>gm</v>
      </c>
      <c r="D95" s="1281">
        <f t="shared" si="15"/>
        <v>15</v>
      </c>
      <c r="E95" s="1621">
        <f t="shared" si="16"/>
        <v>0</v>
      </c>
      <c r="F95" s="1282">
        <f t="shared" si="17"/>
        <v>0.75</v>
      </c>
      <c r="G95" s="940">
        <f t="shared" si="18"/>
        <v>0</v>
      </c>
      <c r="H95" s="1617">
        <f t="shared" si="19"/>
        <v>0</v>
      </c>
    </row>
    <row r="96" spans="1:8" x14ac:dyDescent="0.2">
      <c r="A96" s="876"/>
      <c r="B96" s="1281" t="str">
        <f t="shared" si="15"/>
        <v>Water - ماء</v>
      </c>
      <c r="C96" s="1281" t="str">
        <f t="shared" si="15"/>
        <v>ml</v>
      </c>
      <c r="D96" s="1281">
        <f t="shared" si="15"/>
        <v>1500</v>
      </c>
      <c r="E96" s="1621">
        <f t="shared" si="16"/>
        <v>0</v>
      </c>
      <c r="F96" s="1282">
        <f t="shared" si="17"/>
        <v>1</v>
      </c>
      <c r="G96" s="940">
        <f t="shared" si="18"/>
        <v>0</v>
      </c>
      <c r="H96" s="1617">
        <f t="shared" si="19"/>
        <v>0</v>
      </c>
    </row>
    <row r="97" spans="1:8" ht="18" x14ac:dyDescent="0.25">
      <c r="A97" s="861"/>
      <c r="B97" s="1622" t="s">
        <v>287</v>
      </c>
      <c r="C97" s="1042" t="s">
        <v>273</v>
      </c>
      <c r="D97" s="952"/>
      <c r="E97" s="1042" t="s">
        <v>288</v>
      </c>
      <c r="F97" s="952"/>
      <c r="G97" s="1045" t="s">
        <v>264</v>
      </c>
      <c r="H97" s="1045" t="s">
        <v>661</v>
      </c>
    </row>
    <row r="98" spans="1:8" ht="20.25" x14ac:dyDescent="0.3">
      <c r="A98" s="861"/>
      <c r="B98" s="1048">
        <f>$J$55</f>
        <v>0</v>
      </c>
      <c r="C98" s="1048">
        <f>E98+G98</f>
        <v>0</v>
      </c>
      <c r="D98" s="1629"/>
      <c r="E98" s="1048">
        <f>$C$55*$S$44</f>
        <v>0</v>
      </c>
      <c r="F98" s="1050"/>
      <c r="G98" s="1048">
        <f>$C$55*$T$44</f>
        <v>0</v>
      </c>
      <c r="H98" s="1048">
        <f>B98+E98</f>
        <v>0</v>
      </c>
    </row>
  </sheetData>
  <mergeCells count="10">
    <mergeCell ref="AE2:AG3"/>
    <mergeCell ref="R25:T25"/>
    <mergeCell ref="R26:T26"/>
    <mergeCell ref="B62:H62"/>
    <mergeCell ref="B63:H63"/>
    <mergeCell ref="B74:H74"/>
    <mergeCell ref="B75:H75"/>
    <mergeCell ref="B88:H88"/>
    <mergeCell ref="B89:H89"/>
    <mergeCell ref="B2:K3"/>
  </mergeCells>
  <printOptions horizontalCentered="1"/>
  <pageMargins left="0.5" right="0.5" top="1" bottom="0.5" header="0.3" footer="0.511811023622047"/>
  <pageSetup paperSize="9" scale="33" orientation="portrait" r:id="rId1"/>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CD30B-1AE3-40F9-99B5-4C88089DD3E5}">
  <sheetPr codeName="Sheet84">
    <tabColor rgb="FF333F50"/>
    <pageSetUpPr fitToPage="1"/>
  </sheetPr>
  <dimension ref="A1:AG147"/>
  <sheetViews>
    <sheetView topLeftCell="A29" zoomScale="40" zoomScaleNormal="40" workbookViewId="0">
      <selection activeCell="A134" sqref="A134"/>
    </sheetView>
  </sheetViews>
  <sheetFormatPr defaultColWidth="12.5" defaultRowHeight="15" x14ac:dyDescent="0.25"/>
  <cols>
    <col min="1" max="1" width="29.875" style="1" bestFit="1" customWidth="1"/>
    <col min="2" max="2" width="31.125" bestFit="1" customWidth="1"/>
    <col min="3" max="3" width="18.875" bestFit="1" customWidth="1"/>
    <col min="4" max="4" width="38.875" bestFit="1" customWidth="1"/>
    <col min="5" max="5" width="29.875" bestFit="1" customWidth="1"/>
    <col min="6" max="6" width="46.75" bestFit="1" customWidth="1"/>
    <col min="7" max="7" width="31.75" bestFit="1" customWidth="1"/>
    <col min="8" max="8" width="46.75" bestFit="1" customWidth="1"/>
    <col min="9" max="9" width="27.625" bestFit="1" customWidth="1"/>
    <col min="10" max="10" width="22.625" bestFit="1" customWidth="1"/>
    <col min="11" max="11" width="34.25" bestFit="1" customWidth="1"/>
    <col min="12" max="12" width="8" bestFit="1" customWidth="1"/>
    <col min="13" max="13" width="31.875" customWidth="1"/>
    <col min="17" max="17" width="15.125" bestFit="1" customWidth="1"/>
    <col min="18" max="18" width="44.25" bestFit="1" customWidth="1"/>
    <col min="19" max="19" width="12.375" bestFit="1" customWidth="1"/>
    <col min="20" max="20" width="13.25" bestFit="1" customWidth="1"/>
    <col min="21" max="21" width="14.25" bestFit="1" customWidth="1"/>
    <col min="22" max="22" width="14.875" bestFit="1" customWidth="1"/>
    <col min="23" max="23" width="46.75" bestFit="1" customWidth="1"/>
    <col min="24" max="24" width="31.75" customWidth="1"/>
    <col min="25" max="25" width="9.5" bestFit="1" customWidth="1"/>
    <col min="26" max="26" width="13.875" bestFit="1" customWidth="1"/>
    <col min="27" max="27" width="16.75" bestFit="1" customWidth="1"/>
    <col min="28" max="28" width="14.5" bestFit="1" customWidth="1"/>
    <col min="29" max="29" width="10.5" bestFit="1" customWidth="1"/>
    <col min="30" max="30" width="5.75" bestFit="1" customWidth="1"/>
  </cols>
  <sheetData>
    <row r="1" spans="1:33" x14ac:dyDescent="0.2">
      <c r="A1" s="872" t="s">
        <v>231</v>
      </c>
      <c r="B1" s="242">
        <v>1000</v>
      </c>
      <c r="C1" s="70" t="s">
        <v>312</v>
      </c>
      <c r="D1" s="71">
        <f>$S$30/J1</f>
        <v>39205.220475559152</v>
      </c>
      <c r="E1" s="72" t="s">
        <v>236</v>
      </c>
      <c r="F1" s="73" t="s">
        <v>313</v>
      </c>
      <c r="G1" s="72" t="s">
        <v>314</v>
      </c>
      <c r="H1" s="195">
        <f>H52</f>
        <v>22.77</v>
      </c>
      <c r="I1" s="74" t="s">
        <v>238</v>
      </c>
      <c r="J1" s="196">
        <v>0.58079000000000003</v>
      </c>
      <c r="K1" s="80"/>
      <c r="Y1" s="72" t="s">
        <v>444</v>
      </c>
      <c r="Z1" s="422">
        <v>22270</v>
      </c>
      <c r="AA1" s="72" t="s">
        <v>544</v>
      </c>
      <c r="AB1" s="422">
        <v>500</v>
      </c>
      <c r="AC1" s="72" t="s">
        <v>537</v>
      </c>
      <c r="AD1" s="422">
        <v>152</v>
      </c>
    </row>
    <row r="2" spans="1:33" x14ac:dyDescent="0.25">
      <c r="A2" s="860"/>
      <c r="B2" s="1851" t="s">
        <v>465</v>
      </c>
      <c r="C2" s="1796"/>
      <c r="D2" s="1796"/>
      <c r="E2" s="1796"/>
      <c r="F2" s="1796"/>
      <c r="G2" s="1796"/>
      <c r="H2" s="1796"/>
      <c r="I2" s="1796"/>
      <c r="J2" s="1796"/>
      <c r="K2" s="1796"/>
      <c r="L2" s="187"/>
      <c r="M2" s="80"/>
      <c r="N2" s="80"/>
      <c r="AE2" s="1772"/>
      <c r="AF2" s="1796"/>
      <c r="AG2" s="1796"/>
    </row>
    <row r="3" spans="1:33" x14ac:dyDescent="0.25">
      <c r="A3" s="860"/>
      <c r="B3" s="1796"/>
      <c r="C3" s="1796"/>
      <c r="D3" s="1796"/>
      <c r="E3" s="1796"/>
      <c r="F3" s="1796"/>
      <c r="G3" s="1796"/>
      <c r="H3" s="1796"/>
      <c r="I3" s="1796"/>
      <c r="J3" s="1796"/>
      <c r="K3" s="1796"/>
      <c r="L3" s="187"/>
      <c r="M3" s="80"/>
      <c r="N3" s="80"/>
      <c r="AE3" s="1796"/>
      <c r="AF3" s="1796"/>
      <c r="AG3" s="1796"/>
    </row>
    <row r="4" spans="1:33" ht="25.5" x14ac:dyDescent="0.2">
      <c r="A4" s="872" t="s">
        <v>864</v>
      </c>
      <c r="B4" s="923" t="s">
        <v>667</v>
      </c>
      <c r="C4" s="1104" t="s">
        <v>316</v>
      </c>
      <c r="D4" s="923" t="s">
        <v>317</v>
      </c>
      <c r="E4" s="935" t="s">
        <v>318</v>
      </c>
      <c r="F4" s="935" t="s">
        <v>319</v>
      </c>
      <c r="G4" s="1266" t="s">
        <v>320</v>
      </c>
      <c r="H4" s="936" t="s">
        <v>321</v>
      </c>
      <c r="I4" s="923" t="s">
        <v>246</v>
      </c>
      <c r="J4" s="923" t="s">
        <v>247</v>
      </c>
      <c r="K4" s="923" t="s">
        <v>248</v>
      </c>
      <c r="L4" s="923" t="s">
        <v>249</v>
      </c>
    </row>
    <row r="5" spans="1:33" x14ac:dyDescent="0.2">
      <c r="A5" s="873" t="s">
        <v>873</v>
      </c>
      <c r="B5" s="1614" t="s">
        <v>223</v>
      </c>
      <c r="C5" s="947" t="s">
        <v>14</v>
      </c>
      <c r="D5" s="1116">
        <f>I51/H51</f>
        <v>1721.7927305910914</v>
      </c>
      <c r="E5" s="914">
        <f>I52/D5</f>
        <v>22.77</v>
      </c>
      <c r="F5" s="1616">
        <v>1</v>
      </c>
      <c r="G5" s="941">
        <f>D1</f>
        <v>39205.220475559152</v>
      </c>
      <c r="H5" s="1617">
        <f>D1</f>
        <v>39205.220475559152</v>
      </c>
      <c r="I5" s="914">
        <f>VLOOKUP(B5,All_Ingredients!$A$1:$F$161,6,FALSE())</f>
        <v>0.55000000000000004</v>
      </c>
      <c r="J5" s="940">
        <f>VLOOKUP(B5,All_Ingredients!$A$1:$J$161,10,FALSE())</f>
        <v>14.361111111111111</v>
      </c>
      <c r="K5" s="945">
        <f t="shared" ref="K5" si="0">(H5/I5)/1000</f>
        <v>71.28221904647117</v>
      </c>
      <c r="L5" s="945">
        <f t="shared" ref="L5" si="1">K5*J5</f>
        <v>1023.6918679729332</v>
      </c>
    </row>
    <row r="6" spans="1:33" x14ac:dyDescent="0.2">
      <c r="A6" s="177" t="s">
        <v>870</v>
      </c>
      <c r="B6" s="1252" t="s">
        <v>17</v>
      </c>
      <c r="C6" s="947" t="s">
        <v>14</v>
      </c>
      <c r="D6" s="1618">
        <v>100</v>
      </c>
      <c r="E6" s="1621">
        <f t="shared" ref="E6:E15" si="2">$H$52</f>
        <v>22.77</v>
      </c>
      <c r="F6" s="1616">
        <v>1</v>
      </c>
      <c r="G6" s="1624">
        <f t="shared" ref="G6:G15" si="3">E6*D6</f>
        <v>2277</v>
      </c>
      <c r="H6" s="1617">
        <f t="shared" ref="H6:H15" si="4">G6*F6</f>
        <v>2277</v>
      </c>
      <c r="I6" s="914">
        <f>VLOOKUP(B6,All_Ingredients!$A$1:$F$161,6,FALSE())</f>
        <v>0.98</v>
      </c>
      <c r="J6" s="940">
        <f>VLOOKUP(B6,All_Ingredients!$A$1:$J$161,10,FALSE())</f>
        <v>3.5</v>
      </c>
      <c r="K6" s="945">
        <f t="shared" ref="K6:K15" si="5">(H6/I6)/1000</f>
        <v>2.323469387755102</v>
      </c>
      <c r="L6" s="945">
        <f t="shared" ref="L6:L15" si="6">K6*J6</f>
        <v>8.1321428571428562</v>
      </c>
    </row>
    <row r="7" spans="1:33" x14ac:dyDescent="0.25">
      <c r="B7" s="1252" t="s">
        <v>136</v>
      </c>
      <c r="C7" s="947" t="s">
        <v>14</v>
      </c>
      <c r="D7" s="1618">
        <v>19</v>
      </c>
      <c r="E7" s="1621">
        <f t="shared" si="2"/>
        <v>22.77</v>
      </c>
      <c r="F7" s="1616">
        <v>0.7</v>
      </c>
      <c r="G7" s="1624">
        <f t="shared" si="3"/>
        <v>432.63</v>
      </c>
      <c r="H7" s="1617">
        <f t="shared" si="4"/>
        <v>302.84099999999995</v>
      </c>
      <c r="I7" s="914">
        <f>VLOOKUP(B7,All_Ingredients!$A$1:$F$161,6,FALSE())</f>
        <v>1</v>
      </c>
      <c r="J7" s="940">
        <f>VLOOKUP(B7,All_Ingredients!$A$1:$J$161,10,FALSE())</f>
        <v>43.75</v>
      </c>
      <c r="K7" s="945">
        <f t="shared" si="5"/>
        <v>0.30284099999999997</v>
      </c>
      <c r="L7" s="945">
        <f t="shared" si="6"/>
        <v>13.249293749999998</v>
      </c>
    </row>
    <row r="8" spans="1:33" x14ac:dyDescent="0.25">
      <c r="B8" s="1252" t="s">
        <v>105</v>
      </c>
      <c r="C8" s="947" t="s">
        <v>14</v>
      </c>
      <c r="D8" s="1618">
        <v>20</v>
      </c>
      <c r="E8" s="1621">
        <f t="shared" si="2"/>
        <v>22.77</v>
      </c>
      <c r="F8" s="1616">
        <v>0.7</v>
      </c>
      <c r="G8" s="1624">
        <f t="shared" si="3"/>
        <v>455.4</v>
      </c>
      <c r="H8" s="1617">
        <f t="shared" si="4"/>
        <v>318.77999999999997</v>
      </c>
      <c r="I8" s="914">
        <f>VLOOKUP(B8,All_Ingredients!$A$1:$F$161,6,FALSE())</f>
        <v>1</v>
      </c>
      <c r="J8" s="940">
        <f>VLOOKUP(B8,All_Ingredients!$A$1:$J$161,10,FALSE())</f>
        <v>15</v>
      </c>
      <c r="K8" s="945">
        <f t="shared" si="5"/>
        <v>0.31877999999999995</v>
      </c>
      <c r="L8" s="945">
        <f t="shared" si="6"/>
        <v>4.781699999999999</v>
      </c>
    </row>
    <row r="9" spans="1:33" x14ac:dyDescent="0.25">
      <c r="B9" s="1252" t="s">
        <v>678</v>
      </c>
      <c r="C9" s="947" t="s">
        <v>14</v>
      </c>
      <c r="D9" s="1618">
        <v>130</v>
      </c>
      <c r="E9" s="1621">
        <f t="shared" si="2"/>
        <v>22.77</v>
      </c>
      <c r="F9" s="1616">
        <v>0.85</v>
      </c>
      <c r="G9" s="1624">
        <f t="shared" si="3"/>
        <v>2960.1</v>
      </c>
      <c r="H9" s="1617">
        <f t="shared" si="4"/>
        <v>2516.085</v>
      </c>
      <c r="I9" s="914">
        <f>VLOOKUP(B9,All_Ingredients!$A$1:$F$161,6,FALSE())</f>
        <v>1</v>
      </c>
      <c r="J9" s="940">
        <f>VLOOKUP(B9,All_Ingredients!$A$1:$J$161,10,FALSE())</f>
        <v>8.1520833333333336</v>
      </c>
      <c r="K9" s="945">
        <f t="shared" si="5"/>
        <v>2.5160849999999999</v>
      </c>
      <c r="L9" s="945">
        <f t="shared" si="6"/>
        <v>20.51133459375</v>
      </c>
    </row>
    <row r="10" spans="1:33" x14ac:dyDescent="0.25">
      <c r="B10" s="1252" t="s">
        <v>49</v>
      </c>
      <c r="C10" s="947" t="s">
        <v>14</v>
      </c>
      <c r="D10" s="1618">
        <v>200</v>
      </c>
      <c r="E10" s="1621">
        <f t="shared" si="2"/>
        <v>22.77</v>
      </c>
      <c r="F10" s="1616">
        <v>0.85</v>
      </c>
      <c r="G10" s="1624">
        <f t="shared" si="3"/>
        <v>4554</v>
      </c>
      <c r="H10" s="1617">
        <f t="shared" si="4"/>
        <v>3870.9</v>
      </c>
      <c r="I10" s="914">
        <f>VLOOKUP(B10,All_Ingredients!$A$1:$F$161,6,FALSE())</f>
        <v>0.5</v>
      </c>
      <c r="J10" s="940">
        <f>VLOOKUP(B10,All_Ingredients!$A$1:$J$161,10,FALSE())</f>
        <v>4.5</v>
      </c>
      <c r="K10" s="945">
        <f t="shared" si="5"/>
        <v>7.7418000000000005</v>
      </c>
      <c r="L10" s="945">
        <f t="shared" si="6"/>
        <v>34.838100000000004</v>
      </c>
    </row>
    <row r="11" spans="1:33" x14ac:dyDescent="0.25">
      <c r="B11" s="1252" t="s">
        <v>206</v>
      </c>
      <c r="C11" s="947" t="s">
        <v>160</v>
      </c>
      <c r="D11" s="1618">
        <v>35</v>
      </c>
      <c r="E11" s="1621">
        <f t="shared" si="2"/>
        <v>22.77</v>
      </c>
      <c r="F11" s="1616">
        <v>0.75</v>
      </c>
      <c r="G11" s="1624">
        <f t="shared" si="3"/>
        <v>796.94999999999993</v>
      </c>
      <c r="H11" s="1617">
        <f t="shared" si="4"/>
        <v>597.71249999999998</v>
      </c>
      <c r="I11" s="914">
        <f>VLOOKUP(B11,All_Ingredients!$A$1:$F$161,6,FALSE())</f>
        <v>1</v>
      </c>
      <c r="J11" s="940">
        <f>VLOOKUP(B11,All_Ingredients!$A$1:$J$161,10,FALSE())</f>
        <v>14.760802469135802</v>
      </c>
      <c r="K11" s="945">
        <f t="shared" si="5"/>
        <v>0.59771249999999998</v>
      </c>
      <c r="L11" s="945">
        <f t="shared" si="6"/>
        <v>8.8227161458333327</v>
      </c>
    </row>
    <row r="12" spans="1:33" x14ac:dyDescent="0.25">
      <c r="B12" s="1252" t="s">
        <v>203</v>
      </c>
      <c r="C12" s="947" t="s">
        <v>160</v>
      </c>
      <c r="D12" s="1618">
        <v>800</v>
      </c>
      <c r="E12" s="1621">
        <f t="shared" si="2"/>
        <v>22.77</v>
      </c>
      <c r="F12" s="1616">
        <v>1</v>
      </c>
      <c r="G12" s="1624">
        <f t="shared" si="3"/>
        <v>18216</v>
      </c>
      <c r="H12" s="1617">
        <f t="shared" si="4"/>
        <v>18216</v>
      </c>
      <c r="I12" s="914">
        <f>VLOOKUP(B12,All_Ingredients!$A$1:$F$161,6,FALSE())</f>
        <v>1</v>
      </c>
      <c r="J12" s="940">
        <f>VLOOKUP(B12,All_Ingredients!$A$1:$J$161,10,FALSE())</f>
        <v>0</v>
      </c>
      <c r="K12" s="945">
        <f t="shared" si="5"/>
        <v>18.216000000000001</v>
      </c>
      <c r="L12" s="945">
        <f t="shared" si="6"/>
        <v>0</v>
      </c>
    </row>
    <row r="13" spans="1:33" x14ac:dyDescent="0.2">
      <c r="A13" s="177" t="s">
        <v>868</v>
      </c>
      <c r="B13" s="1252" t="s">
        <v>706</v>
      </c>
      <c r="C13" s="947" t="s">
        <v>14</v>
      </c>
      <c r="D13" s="1618">
        <v>30</v>
      </c>
      <c r="E13" s="1621">
        <f t="shared" si="2"/>
        <v>22.77</v>
      </c>
      <c r="F13" s="1616">
        <v>0.4</v>
      </c>
      <c r="G13" s="1624">
        <f t="shared" si="3"/>
        <v>683.1</v>
      </c>
      <c r="H13" s="1617">
        <f t="shared" si="4"/>
        <v>273.24</v>
      </c>
      <c r="I13" s="914">
        <f>VLOOKUP(B13,All_Ingredients!$A$1:$F$161,6,FALSE())</f>
        <v>1</v>
      </c>
      <c r="J13" s="940">
        <f>VLOOKUP(B13,All_Ingredients!$A$1:$J$161,10,FALSE())</f>
        <v>10.5</v>
      </c>
      <c r="K13" s="945">
        <f t="shared" si="5"/>
        <v>0.27323999999999998</v>
      </c>
      <c r="L13" s="945">
        <f t="shared" si="6"/>
        <v>2.8690199999999999</v>
      </c>
    </row>
    <row r="14" spans="1:33" x14ac:dyDescent="0.25">
      <c r="B14" s="1252" t="s">
        <v>163</v>
      </c>
      <c r="C14" s="947" t="s">
        <v>14</v>
      </c>
      <c r="D14" s="1618">
        <v>300</v>
      </c>
      <c r="E14" s="1621">
        <f t="shared" si="2"/>
        <v>22.77</v>
      </c>
      <c r="F14" s="1616">
        <v>0.5</v>
      </c>
      <c r="G14" s="1624">
        <f t="shared" si="3"/>
        <v>6831</v>
      </c>
      <c r="H14" s="1617">
        <f t="shared" si="4"/>
        <v>3415.5</v>
      </c>
      <c r="I14" s="914">
        <f>VLOOKUP(B14,All_Ingredients!$A$1:$F$161,6,FALSE())</f>
        <v>1</v>
      </c>
      <c r="J14" s="940">
        <f>VLOOKUP(B14,All_Ingredients!$A$1:$J$161,10,FALSE())</f>
        <v>6.6959999999999997</v>
      </c>
      <c r="K14" s="945">
        <f t="shared" si="5"/>
        <v>3.4155000000000002</v>
      </c>
      <c r="L14" s="945">
        <f t="shared" si="6"/>
        <v>22.870187999999999</v>
      </c>
    </row>
    <row r="15" spans="1:33" x14ac:dyDescent="0.25">
      <c r="B15" s="1252" t="s">
        <v>184</v>
      </c>
      <c r="C15" s="947" t="s">
        <v>14</v>
      </c>
      <c r="D15" s="1618">
        <v>35</v>
      </c>
      <c r="E15" s="1621">
        <f t="shared" si="2"/>
        <v>22.77</v>
      </c>
      <c r="F15" s="1616">
        <v>0.5</v>
      </c>
      <c r="G15" s="1624">
        <f t="shared" si="3"/>
        <v>796.94999999999993</v>
      </c>
      <c r="H15" s="1617">
        <f t="shared" si="4"/>
        <v>398.47499999999997</v>
      </c>
      <c r="I15" s="914">
        <f>VLOOKUP(B15,All_Ingredients!$A$1:$F$161,6,FALSE())</f>
        <v>1</v>
      </c>
      <c r="J15" s="940">
        <f>VLOOKUP(B15,All_Ingredients!$A$1:$J$161,10,FALSE())</f>
        <v>17.5</v>
      </c>
      <c r="K15" s="945">
        <f t="shared" si="5"/>
        <v>0.39847499999999997</v>
      </c>
      <c r="L15" s="945">
        <f t="shared" si="6"/>
        <v>6.9733124999999996</v>
      </c>
    </row>
    <row r="25" spans="18:29" ht="15.75" x14ac:dyDescent="0.25">
      <c r="R25" s="1878" t="str">
        <f>B2</f>
        <v>Beef Kabli- كابلي لحم</v>
      </c>
      <c r="S25" s="1879"/>
      <c r="T25" s="1879"/>
      <c r="U25" s="593"/>
      <c r="Z25" s="96" t="s">
        <v>252</v>
      </c>
      <c r="AA25" s="97">
        <v>1</v>
      </c>
      <c r="AB25" s="96" t="s">
        <v>249</v>
      </c>
      <c r="AC25" s="98">
        <f>AC30*AA25</f>
        <v>5.0478685806748337E-2</v>
      </c>
    </row>
    <row r="26" spans="18:29" x14ac:dyDescent="0.25">
      <c r="R26" s="1881" t="s">
        <v>323</v>
      </c>
      <c r="S26" s="1882"/>
      <c r="T26" s="1882"/>
      <c r="U26" s="593"/>
      <c r="AB26" s="14"/>
      <c r="AC26" s="14"/>
    </row>
    <row r="27" spans="18:29" ht="15.75" thickBot="1" x14ac:dyDescent="0.3">
      <c r="R27" s="100" t="s">
        <v>254</v>
      </c>
      <c r="S27" s="101" t="s">
        <v>255</v>
      </c>
      <c r="T27" s="101" t="s">
        <v>257</v>
      </c>
      <c r="U27" s="101" t="s">
        <v>753</v>
      </c>
      <c r="Z27" s="96" t="s">
        <v>258</v>
      </c>
      <c r="AA27" s="102" t="s">
        <v>259</v>
      </c>
      <c r="AB27" s="581" t="s">
        <v>753</v>
      </c>
      <c r="AC27" s="102" t="s">
        <v>262</v>
      </c>
    </row>
    <row r="28" spans="18:29" ht="15.75" thickBot="1" x14ac:dyDescent="0.3">
      <c r="R28" s="103" t="s">
        <v>324</v>
      </c>
      <c r="S28" s="385">
        <f>Z1</f>
        <v>22270</v>
      </c>
      <c r="T28" s="380">
        <f>S28</f>
        <v>22270</v>
      </c>
      <c r="U28" s="380">
        <f>SUM(H37)</f>
        <v>152</v>
      </c>
      <c r="Z28" s="105"/>
      <c r="AA28" s="106">
        <f>AA25</f>
        <v>1</v>
      </c>
      <c r="AB28" s="582"/>
      <c r="AC28" s="108">
        <f>SUM(AA28:AB28)</f>
        <v>1</v>
      </c>
    </row>
    <row r="29" spans="18:29" ht="15.75" thickBot="1" x14ac:dyDescent="0.3">
      <c r="R29" s="103" t="s">
        <v>325</v>
      </c>
      <c r="S29" s="397">
        <f>AB1</f>
        <v>500</v>
      </c>
      <c r="T29" s="382">
        <f>S29</f>
        <v>500</v>
      </c>
      <c r="U29" s="382"/>
      <c r="Z29" s="105"/>
      <c r="AA29" s="110">
        <v>1</v>
      </c>
      <c r="AB29" s="583"/>
      <c r="AC29" s="110">
        <f>AC28/$AC$28</f>
        <v>1</v>
      </c>
    </row>
    <row r="30" spans="18:29" ht="15.75" thickBot="1" x14ac:dyDescent="0.3">
      <c r="R30" s="114" t="s">
        <v>326</v>
      </c>
      <c r="S30" s="104">
        <f>S28+S29</f>
        <v>22770</v>
      </c>
      <c r="T30" s="104">
        <f>T28+T29</f>
        <v>22770</v>
      </c>
      <c r="U30" s="104">
        <f>U28+U29</f>
        <v>152</v>
      </c>
      <c r="Z30" s="96" t="s">
        <v>266</v>
      </c>
      <c r="AA30" s="111">
        <f>S33/(S30)</f>
        <v>5.0361865429058392E-2</v>
      </c>
      <c r="AB30" s="585">
        <f>U33/T30</f>
        <v>1.1682037768994292E-4</v>
      </c>
      <c r="AC30" s="587">
        <f>SUMPRODUCT(AA30,AA29)+AB30</f>
        <v>5.0478685806748337E-2</v>
      </c>
    </row>
    <row r="31" spans="18:29" ht="15.75" thickBot="1" x14ac:dyDescent="0.3">
      <c r="R31" s="115" t="s">
        <v>268</v>
      </c>
      <c r="S31" s="109"/>
      <c r="T31" s="109"/>
      <c r="U31" s="109"/>
    </row>
    <row r="32" spans="18:29" ht="15.75" thickBot="1" x14ac:dyDescent="0.3">
      <c r="R32" s="116" t="s">
        <v>269</v>
      </c>
      <c r="S32" s="109"/>
      <c r="T32" s="109"/>
      <c r="U32" s="109"/>
    </row>
    <row r="33" spans="2:23" ht="15.75" thickBot="1" x14ac:dyDescent="0.3">
      <c r="R33" s="117" t="s">
        <v>249</v>
      </c>
      <c r="S33" s="118">
        <f>SUM(L5:L15)</f>
        <v>1146.7396758196596</v>
      </c>
      <c r="T33" s="118">
        <f>S33+U33</f>
        <v>1149.3996758196597</v>
      </c>
      <c r="U33" s="118">
        <f>SUM(L37)</f>
        <v>2.66</v>
      </c>
    </row>
    <row r="35" spans="2:23" ht="15.75" x14ac:dyDescent="0.25">
      <c r="B35" s="1892" t="s">
        <v>917</v>
      </c>
      <c r="C35" s="1892"/>
      <c r="D35" s="1892"/>
      <c r="E35" s="1892"/>
      <c r="F35" s="1892"/>
      <c r="G35" s="444"/>
      <c r="H35" s="444"/>
      <c r="I35" s="444"/>
      <c r="J35" s="444"/>
      <c r="K35" s="444"/>
      <c r="L35" s="444"/>
    </row>
    <row r="36" spans="2:23" ht="15.75" x14ac:dyDescent="0.25">
      <c r="B36" s="1004" t="s">
        <v>667</v>
      </c>
      <c r="C36" s="1004" t="s">
        <v>316</v>
      </c>
      <c r="D36" s="1002" t="s">
        <v>610</v>
      </c>
      <c r="E36" s="1003" t="s">
        <v>611</v>
      </c>
      <c r="F36" s="1002" t="s">
        <v>612</v>
      </c>
      <c r="G36" s="1001"/>
      <c r="H36" s="427" t="s">
        <v>612</v>
      </c>
      <c r="I36" s="427" t="s">
        <v>246</v>
      </c>
      <c r="J36" s="427" t="s">
        <v>247</v>
      </c>
      <c r="K36" s="427" t="s">
        <v>248</v>
      </c>
      <c r="L36" s="427" t="s">
        <v>249</v>
      </c>
    </row>
    <row r="37" spans="2:23" x14ac:dyDescent="0.25">
      <c r="B37" s="1005" t="s">
        <v>184</v>
      </c>
      <c r="C37" s="1006" t="s">
        <v>14</v>
      </c>
      <c r="D37" s="1645">
        <v>1</v>
      </c>
      <c r="E37" s="1005">
        <f>$AD$1</f>
        <v>152</v>
      </c>
      <c r="F37" s="1005">
        <f>D37*E37</f>
        <v>152</v>
      </c>
      <c r="G37" s="437"/>
      <c r="H37" s="425">
        <f>F37</f>
        <v>152</v>
      </c>
      <c r="I37" s="425">
        <f>VLOOKUP(B37,All_Ingredients!$A$1:$F$161,6,FALSE())</f>
        <v>1</v>
      </c>
      <c r="J37" s="425">
        <f>VLOOKUP(B37,All_Ingredients!$A$1:$J$161,10,FALSE())</f>
        <v>17.5</v>
      </c>
      <c r="K37" s="425">
        <f t="shared" ref="K37" si="7">(H37/I37)/1000</f>
        <v>0.152</v>
      </c>
      <c r="L37" s="425">
        <f t="shared" ref="L37" si="8">K37*J37</f>
        <v>2.66</v>
      </c>
    </row>
    <row r="38" spans="2:23" x14ac:dyDescent="0.25">
      <c r="B38" s="131"/>
      <c r="C38" s="205"/>
      <c r="D38" s="191"/>
      <c r="E38" s="205"/>
      <c r="F38" s="80"/>
    </row>
    <row r="39" spans="2:23" x14ac:dyDescent="0.25">
      <c r="B39" s="131"/>
      <c r="C39" s="205"/>
      <c r="D39" s="191"/>
      <c r="E39" s="205"/>
      <c r="F39" s="80"/>
    </row>
    <row r="40" spans="2:23" x14ac:dyDescent="0.25">
      <c r="B40" s="131"/>
      <c r="C40" s="205"/>
      <c r="D40" s="191"/>
      <c r="E40" s="205"/>
      <c r="F40" s="80"/>
      <c r="Q40" s="14"/>
      <c r="R40" s="119" t="s">
        <v>327</v>
      </c>
      <c r="S40" s="163">
        <v>1</v>
      </c>
    </row>
    <row r="41" spans="2:23" x14ac:dyDescent="0.25">
      <c r="B41" s="131"/>
      <c r="C41" s="205"/>
      <c r="D41" s="191"/>
      <c r="E41" s="205"/>
      <c r="F41" s="80"/>
      <c r="Q41" s="14"/>
      <c r="R41" s="14"/>
      <c r="S41" s="14"/>
      <c r="T41" s="14"/>
      <c r="U41" s="123"/>
      <c r="V41" s="14"/>
      <c r="W41" s="14"/>
    </row>
    <row r="42" spans="2:23" x14ac:dyDescent="0.25">
      <c r="B42" s="131"/>
      <c r="C42" s="205"/>
      <c r="D42" s="191"/>
      <c r="E42" s="205"/>
      <c r="F42" s="80"/>
      <c r="Q42" s="14"/>
      <c r="R42" s="14"/>
      <c r="S42" s="14"/>
      <c r="T42" s="14"/>
      <c r="U42" s="14"/>
      <c r="V42" s="14"/>
      <c r="W42" s="14"/>
    </row>
    <row r="43" spans="2:23" x14ac:dyDescent="0.25">
      <c r="B43" s="131"/>
      <c r="C43" s="205"/>
      <c r="D43" s="191"/>
      <c r="E43" s="205"/>
      <c r="F43" s="80"/>
      <c r="Q43" s="124" t="s">
        <v>272</v>
      </c>
      <c r="R43" s="124" t="s">
        <v>273</v>
      </c>
      <c r="S43" s="124" t="s">
        <v>274</v>
      </c>
      <c r="T43" s="124" t="s">
        <v>275</v>
      </c>
      <c r="U43" s="124" t="s">
        <v>276</v>
      </c>
      <c r="V43" s="124" t="s">
        <v>277</v>
      </c>
      <c r="W43" s="174" t="s">
        <v>328</v>
      </c>
    </row>
    <row r="44" spans="2:23" x14ac:dyDescent="0.25">
      <c r="B44" s="131"/>
      <c r="C44" s="205"/>
      <c r="D44" s="191"/>
      <c r="E44" s="205"/>
      <c r="F44" s="80"/>
      <c r="Q44" s="126">
        <v>10000</v>
      </c>
      <c r="R44" s="127">
        <v>0</v>
      </c>
      <c r="S44" s="164">
        <v>0</v>
      </c>
      <c r="T44" s="164">
        <v>0</v>
      </c>
      <c r="U44" s="165">
        <f>R44*S44</f>
        <v>0</v>
      </c>
      <c r="V44" s="129">
        <f>R44*T44</f>
        <v>0</v>
      </c>
      <c r="W44" s="175">
        <f>Q44-U44</f>
        <v>10000</v>
      </c>
    </row>
    <row r="50" spans="1:10" ht="15.75" thickBot="1" x14ac:dyDescent="0.3">
      <c r="B50" s="131"/>
      <c r="C50" s="205"/>
      <c r="D50" s="191"/>
      <c r="E50" s="205"/>
      <c r="F50" s="80"/>
      <c r="G50" s="101" t="s">
        <v>280</v>
      </c>
      <c r="H50" s="101" t="s">
        <v>233</v>
      </c>
      <c r="I50" s="101" t="s">
        <v>281</v>
      </c>
      <c r="J50" s="101" t="s">
        <v>282</v>
      </c>
    </row>
    <row r="51" spans="1:10" ht="15.75" thickBot="1" x14ac:dyDescent="0.3">
      <c r="B51" s="131"/>
      <c r="C51" s="205"/>
      <c r="D51" s="191"/>
      <c r="E51" s="205"/>
      <c r="F51" s="80"/>
      <c r="G51" s="197" t="s">
        <v>449</v>
      </c>
      <c r="H51" s="198">
        <v>10</v>
      </c>
      <c r="I51" s="198">
        <f t="shared" ref="I51:I58" si="9">J51/$J$1</f>
        <v>17217.927305910915</v>
      </c>
      <c r="J51" s="199">
        <f>$W$44</f>
        <v>10000</v>
      </c>
    </row>
    <row r="52" spans="1:10" x14ac:dyDescent="0.25">
      <c r="B52" s="131"/>
      <c r="C52" s="205"/>
      <c r="D52" s="191"/>
      <c r="E52" s="205"/>
      <c r="F52" s="80"/>
      <c r="G52" s="116" t="s">
        <v>262</v>
      </c>
      <c r="H52" s="200">
        <f>$E$5</f>
        <v>22.77</v>
      </c>
      <c r="I52" s="201">
        <f t="shared" si="9"/>
        <v>39205.220475559152</v>
      </c>
      <c r="J52" s="202">
        <f>$S$30</f>
        <v>22770</v>
      </c>
    </row>
    <row r="53" spans="1:10" x14ac:dyDescent="0.25">
      <c r="B53" s="131"/>
      <c r="C53" s="205"/>
      <c r="D53" s="191"/>
      <c r="E53" s="205"/>
      <c r="F53" s="80"/>
      <c r="G53" s="103" t="s">
        <v>284</v>
      </c>
      <c r="H53" s="203">
        <f>MIN(H52, H51)</f>
        <v>10</v>
      </c>
      <c r="I53" s="129">
        <f t="shared" si="9"/>
        <v>17217.927305910915</v>
      </c>
      <c r="J53" s="823">
        <f>MIN(J52, J51)</f>
        <v>10000</v>
      </c>
    </row>
    <row r="54" spans="1:10" x14ac:dyDescent="0.25">
      <c r="B54" s="131"/>
      <c r="C54" s="205"/>
      <c r="D54" s="191"/>
      <c r="E54" s="205"/>
      <c r="F54" s="80"/>
      <c r="G54" s="103" t="s">
        <v>285</v>
      </c>
      <c r="H54" s="203">
        <f>MIN(MAX($H$52-H53,0),H51)</f>
        <v>10</v>
      </c>
      <c r="I54" s="129">
        <f t="shared" si="9"/>
        <v>17217.927305910915</v>
      </c>
      <c r="J54" s="823">
        <f>MIN(MAX(J52-J53,0),J51)</f>
        <v>10000</v>
      </c>
    </row>
    <row r="55" spans="1:10" x14ac:dyDescent="0.25">
      <c r="B55" s="131"/>
      <c r="C55" s="205"/>
      <c r="D55" s="191"/>
      <c r="E55" s="205"/>
      <c r="F55" s="80"/>
      <c r="G55" s="100" t="s">
        <v>286</v>
      </c>
      <c r="H55" s="203">
        <f>MIN(MAX(H52-H53-H54,0),H51)</f>
        <v>2.7699999999999996</v>
      </c>
      <c r="I55" s="129">
        <f t="shared" si="9"/>
        <v>4769.3658637373228</v>
      </c>
      <c r="J55" s="823">
        <f>MIN(MAX(J52-J53-J54,0),J51)</f>
        <v>2770</v>
      </c>
    </row>
    <row r="56" spans="1:10" x14ac:dyDescent="0.25">
      <c r="B56" s="131"/>
      <c r="C56" s="205"/>
      <c r="D56" s="191"/>
      <c r="E56" s="205"/>
      <c r="F56" s="80"/>
      <c r="G56" s="100" t="s">
        <v>293</v>
      </c>
      <c r="H56" s="203">
        <f>MIN(MAX(H52-H53-H54-H55,0),H51)</f>
        <v>0</v>
      </c>
      <c r="I56" s="129">
        <f t="shared" si="9"/>
        <v>0</v>
      </c>
      <c r="J56" s="823">
        <f>MIN(MAX(J52-J53-J54-J55,0),J51)</f>
        <v>0</v>
      </c>
    </row>
    <row r="57" spans="1:10" x14ac:dyDescent="0.25">
      <c r="B57" s="131"/>
      <c r="C57" s="205"/>
      <c r="D57" s="191"/>
      <c r="E57" s="205"/>
      <c r="F57" s="80"/>
      <c r="G57" s="100" t="s">
        <v>343</v>
      </c>
      <c r="H57" s="203">
        <f>MIN(MAX(H52-H53-H54-H55-H56,0),H51)</f>
        <v>0</v>
      </c>
      <c r="I57" s="129">
        <f t="shared" si="9"/>
        <v>0</v>
      </c>
      <c r="J57" s="823">
        <f>MIN(MAX(J52-J53-J54-J55-J56,0),J51)</f>
        <v>0</v>
      </c>
    </row>
    <row r="58" spans="1:10" x14ac:dyDescent="0.25">
      <c r="B58" s="131"/>
      <c r="C58" s="205"/>
      <c r="D58" s="191"/>
      <c r="E58" s="205"/>
      <c r="F58" s="80"/>
      <c r="G58" s="100" t="s">
        <v>442</v>
      </c>
      <c r="H58" s="203">
        <f>MIN(MAX(H52-H53-H54-H55-H56-H57,0),H51)</f>
        <v>0</v>
      </c>
      <c r="I58" s="129">
        <f t="shared" si="9"/>
        <v>0</v>
      </c>
      <c r="J58" s="823">
        <f>MIN(MAX(J52-J53-J54-J55-J56-J57,0),J51)</f>
        <v>0</v>
      </c>
    </row>
    <row r="59" spans="1:10" x14ac:dyDescent="0.25">
      <c r="B59" s="131"/>
      <c r="C59" s="205"/>
      <c r="D59" s="191"/>
      <c r="E59" s="205"/>
      <c r="F59" s="80"/>
    </row>
    <row r="60" spans="1:10" x14ac:dyDescent="0.25">
      <c r="B60" s="80"/>
      <c r="E60" s="80"/>
      <c r="F60" s="80"/>
    </row>
    <row r="61" spans="1:10" x14ac:dyDescent="0.25">
      <c r="B61" s="80"/>
      <c r="E61" s="80"/>
      <c r="F61" s="80"/>
    </row>
    <row r="62" spans="1:10" x14ac:dyDescent="0.2">
      <c r="A62" s="875"/>
      <c r="B62" s="1804" t="str">
        <f>"كابلي لحم 1 / " &amp; COUNTIF($H$53:$H$58, "&gt;0")</f>
        <v>كابلي لحم 1 / 3</v>
      </c>
      <c r="C62" s="1890"/>
      <c r="D62" s="1890"/>
      <c r="E62" s="1890"/>
      <c r="F62" s="1890"/>
      <c r="G62" s="1890"/>
      <c r="H62" s="1890"/>
    </row>
    <row r="63" spans="1:10" x14ac:dyDescent="0.2">
      <c r="A63" s="875"/>
      <c r="B63" s="1804" t="str">
        <f>"Beef Kabli 1 / " &amp; COUNTIF($H$53:$H$58, "&gt;0")</f>
        <v>Beef Kabli 1 / 3</v>
      </c>
      <c r="C63" s="1890"/>
      <c r="D63" s="1890"/>
      <c r="E63" s="1890"/>
      <c r="F63" s="1890"/>
      <c r="G63" s="1890"/>
      <c r="H63" s="1890"/>
    </row>
    <row r="64" spans="1:10" ht="25.5" x14ac:dyDescent="0.2">
      <c r="A64" s="1350" t="s">
        <v>864</v>
      </c>
      <c r="B64" s="923" t="s">
        <v>667</v>
      </c>
      <c r="C64" s="1104" t="s">
        <v>316</v>
      </c>
      <c r="D64" s="923" t="s">
        <v>317</v>
      </c>
      <c r="E64" s="935" t="s">
        <v>318</v>
      </c>
      <c r="F64" s="935" t="s">
        <v>319</v>
      </c>
      <c r="G64" s="1266" t="s">
        <v>320</v>
      </c>
      <c r="H64" s="936" t="s">
        <v>321</v>
      </c>
    </row>
    <row r="65" spans="1:8" x14ac:dyDescent="0.2">
      <c r="A65" s="873" t="s">
        <v>873</v>
      </c>
      <c r="B65" s="1252" t="str">
        <f t="shared" ref="B65:D75" si="10">B5</f>
        <v>Indian Meat Alana  - لحم هندى ألانا</v>
      </c>
      <c r="C65" s="1252" t="str">
        <f t="shared" si="10"/>
        <v>gm</v>
      </c>
      <c r="D65" s="1620">
        <f t="shared" si="10"/>
        <v>1721.7927305910914</v>
      </c>
      <c r="E65" s="1621">
        <f>$H$53</f>
        <v>10</v>
      </c>
      <c r="F65" s="1616">
        <f t="shared" ref="F65:F75" si="11">F5</f>
        <v>1</v>
      </c>
      <c r="G65" s="940">
        <f t="shared" ref="G65:G75" si="12">D65*E65</f>
        <v>17217.927305910915</v>
      </c>
      <c r="H65" s="1617">
        <f t="shared" ref="H65:H75" si="13">G65*F65</f>
        <v>17217.927305910915</v>
      </c>
    </row>
    <row r="66" spans="1:8" x14ac:dyDescent="0.2">
      <c r="A66" s="177" t="s">
        <v>870</v>
      </c>
      <c r="B66" s="1252" t="str">
        <f t="shared" si="10"/>
        <v>Tomato - طماطم</v>
      </c>
      <c r="C66" s="1252" t="str">
        <f t="shared" si="10"/>
        <v>gm</v>
      </c>
      <c r="D66" s="1252">
        <f t="shared" si="10"/>
        <v>100</v>
      </c>
      <c r="E66" s="1621">
        <f t="shared" ref="E66:E75" si="14">$H$53</f>
        <v>10</v>
      </c>
      <c r="F66" s="1616">
        <f t="shared" si="11"/>
        <v>1</v>
      </c>
      <c r="G66" s="914">
        <f t="shared" si="12"/>
        <v>1000</v>
      </c>
      <c r="H66" s="1617">
        <f t="shared" si="13"/>
        <v>1000</v>
      </c>
    </row>
    <row r="67" spans="1:8" x14ac:dyDescent="0.25">
      <c r="B67" s="1252" t="str">
        <f t="shared" si="10"/>
        <v>Kabsa Spices Powder - توابل كبسة بودر</v>
      </c>
      <c r="C67" s="1252" t="str">
        <f t="shared" si="10"/>
        <v>gm</v>
      </c>
      <c r="D67" s="1252">
        <f t="shared" si="10"/>
        <v>19</v>
      </c>
      <c r="E67" s="1621">
        <f t="shared" si="14"/>
        <v>10</v>
      </c>
      <c r="F67" s="1616">
        <f t="shared" si="11"/>
        <v>0.7</v>
      </c>
      <c r="G67" s="914">
        <f t="shared" si="12"/>
        <v>190</v>
      </c>
      <c r="H67" s="1617">
        <f t="shared" si="13"/>
        <v>133</v>
      </c>
    </row>
    <row r="68" spans="1:8" x14ac:dyDescent="0.25">
      <c r="B68" s="1252" t="str">
        <f t="shared" si="10"/>
        <v>Cumin Powder - كمون مطحون</v>
      </c>
      <c r="C68" s="1252" t="str">
        <f t="shared" si="10"/>
        <v>gm</v>
      </c>
      <c r="D68" s="1252">
        <f t="shared" si="10"/>
        <v>20</v>
      </c>
      <c r="E68" s="1621">
        <f t="shared" si="14"/>
        <v>10</v>
      </c>
      <c r="F68" s="1616">
        <f t="shared" si="11"/>
        <v>0.7</v>
      </c>
      <c r="G68" s="914">
        <f t="shared" si="12"/>
        <v>200</v>
      </c>
      <c r="H68" s="1617">
        <f t="shared" si="13"/>
        <v>140</v>
      </c>
    </row>
    <row r="69" spans="1:8" x14ac:dyDescent="0.25">
      <c r="B69" s="1252" t="str">
        <f t="shared" si="10"/>
        <v>Tomato Paste - صلصة طماطم</v>
      </c>
      <c r="C69" s="1252" t="str">
        <f t="shared" si="10"/>
        <v>gm</v>
      </c>
      <c r="D69" s="1252">
        <f t="shared" si="10"/>
        <v>130</v>
      </c>
      <c r="E69" s="1621">
        <f t="shared" si="14"/>
        <v>10</v>
      </c>
      <c r="F69" s="1616">
        <f t="shared" si="11"/>
        <v>0.85</v>
      </c>
      <c r="G69" s="914">
        <f t="shared" si="12"/>
        <v>1300</v>
      </c>
      <c r="H69" s="1617">
        <f t="shared" si="13"/>
        <v>1105</v>
      </c>
    </row>
    <row r="70" spans="1:8" x14ac:dyDescent="0.25">
      <c r="B70" s="1252" t="str">
        <f t="shared" si="10"/>
        <v>Orange - برتقال</v>
      </c>
      <c r="C70" s="1252" t="str">
        <f t="shared" si="10"/>
        <v>gm</v>
      </c>
      <c r="D70" s="1252">
        <f t="shared" si="10"/>
        <v>200</v>
      </c>
      <c r="E70" s="1621">
        <f t="shared" si="14"/>
        <v>10</v>
      </c>
      <c r="F70" s="1616">
        <f t="shared" si="11"/>
        <v>0.85</v>
      </c>
      <c r="G70" s="914">
        <f t="shared" si="12"/>
        <v>2000</v>
      </c>
      <c r="H70" s="1617">
        <f t="shared" si="13"/>
        <v>1700</v>
      </c>
    </row>
    <row r="71" spans="1:8" x14ac:dyDescent="0.25">
      <c r="B71" s="1252" t="str">
        <f t="shared" si="10"/>
        <v>Rose Water - ماء الورد</v>
      </c>
      <c r="C71" s="1252" t="str">
        <f t="shared" si="10"/>
        <v>ml</v>
      </c>
      <c r="D71" s="1252">
        <f t="shared" si="10"/>
        <v>35</v>
      </c>
      <c r="E71" s="1621">
        <f t="shared" si="14"/>
        <v>10</v>
      </c>
      <c r="F71" s="1616">
        <f t="shared" si="11"/>
        <v>0.75</v>
      </c>
      <c r="G71" s="914">
        <f t="shared" si="12"/>
        <v>350</v>
      </c>
      <c r="H71" s="1617">
        <f t="shared" si="13"/>
        <v>262.5</v>
      </c>
    </row>
    <row r="72" spans="1:8" x14ac:dyDescent="0.25">
      <c r="B72" s="1252" t="str">
        <f t="shared" si="10"/>
        <v>Water - ماء</v>
      </c>
      <c r="C72" s="1252" t="str">
        <f t="shared" si="10"/>
        <v>ml</v>
      </c>
      <c r="D72" s="1252">
        <f t="shared" si="10"/>
        <v>800</v>
      </c>
      <c r="E72" s="1621">
        <f t="shared" si="14"/>
        <v>10</v>
      </c>
      <c r="F72" s="1616">
        <f t="shared" si="11"/>
        <v>1</v>
      </c>
      <c r="G72" s="914">
        <f t="shared" si="12"/>
        <v>8000</v>
      </c>
      <c r="H72" s="1617">
        <f t="shared" si="13"/>
        <v>8000</v>
      </c>
    </row>
    <row r="73" spans="1:8" x14ac:dyDescent="0.2">
      <c r="A73" s="177" t="s">
        <v>868</v>
      </c>
      <c r="B73" s="1252" t="str">
        <f t="shared" si="10"/>
        <v>Garlic - ثوم مقشر</v>
      </c>
      <c r="C73" s="1252" t="str">
        <f t="shared" si="10"/>
        <v>gm</v>
      </c>
      <c r="D73" s="1252">
        <f t="shared" si="10"/>
        <v>30</v>
      </c>
      <c r="E73" s="1621">
        <f t="shared" si="14"/>
        <v>10</v>
      </c>
      <c r="F73" s="1616">
        <f t="shared" si="11"/>
        <v>0.4</v>
      </c>
      <c r="G73" s="914">
        <f t="shared" si="12"/>
        <v>300</v>
      </c>
      <c r="H73" s="1617">
        <f t="shared" si="13"/>
        <v>120</v>
      </c>
    </row>
    <row r="74" spans="1:8" x14ac:dyDescent="0.25">
      <c r="B74" s="1252" t="str">
        <f t="shared" si="10"/>
        <v>Yogurt - زبادي</v>
      </c>
      <c r="C74" s="1252" t="str">
        <f t="shared" si="10"/>
        <v>gm</v>
      </c>
      <c r="D74" s="1252">
        <f t="shared" si="10"/>
        <v>300</v>
      </c>
      <c r="E74" s="1621">
        <f t="shared" si="14"/>
        <v>10</v>
      </c>
      <c r="F74" s="1616">
        <f t="shared" si="11"/>
        <v>0.5</v>
      </c>
      <c r="G74" s="914">
        <f t="shared" si="12"/>
        <v>3000</v>
      </c>
      <c r="H74" s="1617">
        <f t="shared" si="13"/>
        <v>1500</v>
      </c>
    </row>
    <row r="75" spans="1:8" x14ac:dyDescent="0.2">
      <c r="A75" s="873"/>
      <c r="B75" s="1252" t="str">
        <f t="shared" si="10"/>
        <v>Raisin - زبيب</v>
      </c>
      <c r="C75" s="1252" t="str">
        <f t="shared" si="10"/>
        <v>gm</v>
      </c>
      <c r="D75" s="1252">
        <f t="shared" si="10"/>
        <v>35</v>
      </c>
      <c r="E75" s="1621">
        <f t="shared" si="14"/>
        <v>10</v>
      </c>
      <c r="F75" s="1616">
        <f t="shared" si="11"/>
        <v>0.5</v>
      </c>
      <c r="G75" s="914">
        <f t="shared" si="12"/>
        <v>350</v>
      </c>
      <c r="H75" s="1617">
        <f t="shared" si="13"/>
        <v>175</v>
      </c>
    </row>
    <row r="76" spans="1:8" ht="18" x14ac:dyDescent="0.25">
      <c r="A76" s="861"/>
      <c r="B76" s="1622" t="s">
        <v>287</v>
      </c>
      <c r="C76" s="1042" t="s">
        <v>273</v>
      </c>
      <c r="D76" s="952"/>
      <c r="E76" s="1042" t="s">
        <v>288</v>
      </c>
      <c r="F76" s="952"/>
      <c r="G76" s="1045" t="s">
        <v>264</v>
      </c>
      <c r="H76" s="1045" t="s">
        <v>661</v>
      </c>
    </row>
    <row r="77" spans="1:8" ht="20.25" x14ac:dyDescent="0.3">
      <c r="A77" s="861"/>
      <c r="B77" s="1048">
        <f>$J$53</f>
        <v>10000</v>
      </c>
      <c r="C77" s="1048">
        <f>E77+G77</f>
        <v>0</v>
      </c>
      <c r="D77" s="1629"/>
      <c r="E77" s="1048">
        <f>$C$53*$S$44</f>
        <v>0</v>
      </c>
      <c r="F77" s="1050"/>
      <c r="G77" s="1048">
        <f>$C$53*$T$44</f>
        <v>0</v>
      </c>
      <c r="H77" s="1048">
        <f>B77+E77</f>
        <v>10000</v>
      </c>
    </row>
    <row r="78" spans="1:8" x14ac:dyDescent="0.25">
      <c r="B78" s="959"/>
      <c r="C78" s="959"/>
      <c r="D78" s="959"/>
      <c r="E78" s="959"/>
      <c r="F78" s="959"/>
      <c r="G78" s="959"/>
      <c r="H78" s="959"/>
    </row>
    <row r="79" spans="1:8" x14ac:dyDescent="0.2">
      <c r="A79" s="875"/>
      <c r="B79" s="1776" t="str">
        <f>"كابلي لحم 2 / " &amp; COUNTIF($H$53:$H$58, "&gt;0")</f>
        <v>كابلي لحم 2 / 3</v>
      </c>
      <c r="C79" s="1777"/>
      <c r="D79" s="1777"/>
      <c r="E79" s="1777"/>
      <c r="F79" s="1777"/>
      <c r="G79" s="1777"/>
      <c r="H79" s="1777"/>
    </row>
    <row r="80" spans="1:8" x14ac:dyDescent="0.2">
      <c r="A80" s="875"/>
      <c r="B80" s="1842" t="str">
        <f>"Beef Kabli 2 / " &amp; COUNTIF($H$53:$H$58, "&gt;0")</f>
        <v>Beef Kabli 2 / 3</v>
      </c>
      <c r="C80" s="1843"/>
      <c r="D80" s="1843"/>
      <c r="E80" s="1843"/>
      <c r="F80" s="1843"/>
      <c r="G80" s="1843"/>
      <c r="H80" s="1843"/>
    </row>
    <row r="81" spans="1:8" ht="25.5" x14ac:dyDescent="0.2">
      <c r="A81" s="1350" t="s">
        <v>864</v>
      </c>
      <c r="B81" s="923" t="s">
        <v>667</v>
      </c>
      <c r="C81" s="1104" t="s">
        <v>316</v>
      </c>
      <c r="D81" s="923" t="s">
        <v>317</v>
      </c>
      <c r="E81" s="935" t="s">
        <v>318</v>
      </c>
      <c r="F81" s="935" t="s">
        <v>319</v>
      </c>
      <c r="G81" s="1266" t="s">
        <v>320</v>
      </c>
      <c r="H81" s="936" t="s">
        <v>321</v>
      </c>
    </row>
    <row r="82" spans="1:8" x14ac:dyDescent="0.2">
      <c r="A82" s="873" t="s">
        <v>873</v>
      </c>
      <c r="B82" s="1252" t="str">
        <f t="shared" ref="B82:D92" si="15">B5</f>
        <v>Indian Meat Alana  - لحم هندى ألانا</v>
      </c>
      <c r="C82" s="1252" t="str">
        <f t="shared" si="15"/>
        <v>gm</v>
      </c>
      <c r="D82" s="940">
        <f t="shared" si="15"/>
        <v>1721.7927305910914</v>
      </c>
      <c r="E82" s="1621">
        <f t="shared" ref="E82:E92" si="16">$H$54</f>
        <v>10</v>
      </c>
      <c r="F82" s="1616">
        <f t="shared" ref="F82:F92" si="17">F5</f>
        <v>1</v>
      </c>
      <c r="G82" s="940">
        <f t="shared" ref="G82:G92" si="18">D82*E82</f>
        <v>17217.927305910915</v>
      </c>
      <c r="H82" s="1617">
        <f t="shared" ref="H82:H92" si="19">G82*F82</f>
        <v>17217.927305910915</v>
      </c>
    </row>
    <row r="83" spans="1:8" x14ac:dyDescent="0.2">
      <c r="A83" s="177" t="s">
        <v>870</v>
      </c>
      <c r="B83" s="1252" t="str">
        <f t="shared" si="15"/>
        <v>Tomato - طماطم</v>
      </c>
      <c r="C83" s="1252" t="str">
        <f t="shared" si="15"/>
        <v>gm</v>
      </c>
      <c r="D83" s="1252">
        <f t="shared" si="15"/>
        <v>100</v>
      </c>
      <c r="E83" s="1621">
        <f t="shared" si="16"/>
        <v>10</v>
      </c>
      <c r="F83" s="1616">
        <f t="shared" si="17"/>
        <v>1</v>
      </c>
      <c r="G83" s="940">
        <f t="shared" si="18"/>
        <v>1000</v>
      </c>
      <c r="H83" s="1617">
        <f t="shared" si="19"/>
        <v>1000</v>
      </c>
    </row>
    <row r="84" spans="1:8" x14ac:dyDescent="0.25">
      <c r="B84" s="1252" t="str">
        <f t="shared" si="15"/>
        <v>Kabsa Spices Powder - توابل كبسة بودر</v>
      </c>
      <c r="C84" s="1252" t="str">
        <f t="shared" si="15"/>
        <v>gm</v>
      </c>
      <c r="D84" s="1252">
        <f t="shared" si="15"/>
        <v>19</v>
      </c>
      <c r="E84" s="1621">
        <f t="shared" si="16"/>
        <v>10</v>
      </c>
      <c r="F84" s="1616">
        <f t="shared" si="17"/>
        <v>0.7</v>
      </c>
      <c r="G84" s="940">
        <f t="shared" si="18"/>
        <v>190</v>
      </c>
      <c r="H84" s="1617">
        <f t="shared" si="19"/>
        <v>133</v>
      </c>
    </row>
    <row r="85" spans="1:8" x14ac:dyDescent="0.25">
      <c r="B85" s="1252" t="str">
        <f t="shared" si="15"/>
        <v>Cumin Powder - كمون مطحون</v>
      </c>
      <c r="C85" s="1252" t="str">
        <f t="shared" si="15"/>
        <v>gm</v>
      </c>
      <c r="D85" s="1252">
        <f t="shared" si="15"/>
        <v>20</v>
      </c>
      <c r="E85" s="1621">
        <f t="shared" si="16"/>
        <v>10</v>
      </c>
      <c r="F85" s="1616">
        <f t="shared" si="17"/>
        <v>0.7</v>
      </c>
      <c r="G85" s="940">
        <f t="shared" si="18"/>
        <v>200</v>
      </c>
      <c r="H85" s="1617">
        <f t="shared" si="19"/>
        <v>140</v>
      </c>
    </row>
    <row r="86" spans="1:8" x14ac:dyDescent="0.25">
      <c r="B86" s="1252" t="str">
        <f t="shared" si="15"/>
        <v>Tomato Paste - صلصة طماطم</v>
      </c>
      <c r="C86" s="1252" t="str">
        <f t="shared" si="15"/>
        <v>gm</v>
      </c>
      <c r="D86" s="1252">
        <f t="shared" si="15"/>
        <v>130</v>
      </c>
      <c r="E86" s="1621">
        <f t="shared" si="16"/>
        <v>10</v>
      </c>
      <c r="F86" s="1616">
        <f t="shared" si="17"/>
        <v>0.85</v>
      </c>
      <c r="G86" s="940">
        <f t="shared" si="18"/>
        <v>1300</v>
      </c>
      <c r="H86" s="1617">
        <f t="shared" si="19"/>
        <v>1105</v>
      </c>
    </row>
    <row r="87" spans="1:8" x14ac:dyDescent="0.25">
      <c r="B87" s="1252" t="str">
        <f t="shared" si="15"/>
        <v>Orange - برتقال</v>
      </c>
      <c r="C87" s="1252" t="str">
        <f t="shared" si="15"/>
        <v>gm</v>
      </c>
      <c r="D87" s="1252">
        <f t="shared" si="15"/>
        <v>200</v>
      </c>
      <c r="E87" s="1621">
        <f t="shared" si="16"/>
        <v>10</v>
      </c>
      <c r="F87" s="1616">
        <f t="shared" si="17"/>
        <v>0.85</v>
      </c>
      <c r="G87" s="940">
        <f t="shared" si="18"/>
        <v>2000</v>
      </c>
      <c r="H87" s="1617">
        <f t="shared" si="19"/>
        <v>1700</v>
      </c>
    </row>
    <row r="88" spans="1:8" x14ac:dyDescent="0.25">
      <c r="B88" s="1252" t="str">
        <f t="shared" si="15"/>
        <v>Rose Water - ماء الورد</v>
      </c>
      <c r="C88" s="1252" t="str">
        <f t="shared" si="15"/>
        <v>ml</v>
      </c>
      <c r="D88" s="1252">
        <f t="shared" si="15"/>
        <v>35</v>
      </c>
      <c r="E88" s="1621">
        <f t="shared" si="16"/>
        <v>10</v>
      </c>
      <c r="F88" s="1616">
        <f t="shared" si="17"/>
        <v>0.75</v>
      </c>
      <c r="G88" s="940">
        <f t="shared" si="18"/>
        <v>350</v>
      </c>
      <c r="H88" s="1617">
        <f t="shared" si="19"/>
        <v>262.5</v>
      </c>
    </row>
    <row r="89" spans="1:8" x14ac:dyDescent="0.25">
      <c r="B89" s="1252" t="str">
        <f t="shared" si="15"/>
        <v>Water - ماء</v>
      </c>
      <c r="C89" s="1252" t="str">
        <f t="shared" si="15"/>
        <v>ml</v>
      </c>
      <c r="D89" s="1252">
        <f t="shared" si="15"/>
        <v>800</v>
      </c>
      <c r="E89" s="1621">
        <f t="shared" si="16"/>
        <v>10</v>
      </c>
      <c r="F89" s="1616">
        <f t="shared" si="17"/>
        <v>1</v>
      </c>
      <c r="G89" s="940">
        <f t="shared" si="18"/>
        <v>8000</v>
      </c>
      <c r="H89" s="1617">
        <f t="shared" si="19"/>
        <v>8000</v>
      </c>
    </row>
    <row r="90" spans="1:8" x14ac:dyDescent="0.2">
      <c r="A90" s="177" t="s">
        <v>868</v>
      </c>
      <c r="B90" s="1252" t="str">
        <f t="shared" si="15"/>
        <v>Garlic - ثوم مقشر</v>
      </c>
      <c r="C90" s="1252" t="str">
        <f t="shared" si="15"/>
        <v>gm</v>
      </c>
      <c r="D90" s="1252">
        <f t="shared" si="15"/>
        <v>30</v>
      </c>
      <c r="E90" s="1621">
        <f t="shared" si="16"/>
        <v>10</v>
      </c>
      <c r="F90" s="1616">
        <f t="shared" si="17"/>
        <v>0.4</v>
      </c>
      <c r="G90" s="940">
        <f t="shared" si="18"/>
        <v>300</v>
      </c>
      <c r="H90" s="1617">
        <f t="shared" si="19"/>
        <v>120</v>
      </c>
    </row>
    <row r="91" spans="1:8" x14ac:dyDescent="0.25">
      <c r="B91" s="1252" t="str">
        <f t="shared" si="15"/>
        <v>Yogurt - زبادي</v>
      </c>
      <c r="C91" s="1252" t="str">
        <f t="shared" si="15"/>
        <v>gm</v>
      </c>
      <c r="D91" s="1252">
        <f t="shared" si="15"/>
        <v>300</v>
      </c>
      <c r="E91" s="1621">
        <f t="shared" si="16"/>
        <v>10</v>
      </c>
      <c r="F91" s="1616">
        <f t="shared" si="17"/>
        <v>0.5</v>
      </c>
      <c r="G91" s="940">
        <f t="shared" si="18"/>
        <v>3000</v>
      </c>
      <c r="H91" s="1617">
        <f t="shared" si="19"/>
        <v>1500</v>
      </c>
    </row>
    <row r="92" spans="1:8" x14ac:dyDescent="0.2">
      <c r="A92" s="876"/>
      <c r="B92" s="1252" t="str">
        <f t="shared" si="15"/>
        <v>Raisin - زبيب</v>
      </c>
      <c r="C92" s="1252" t="str">
        <f t="shared" si="15"/>
        <v>gm</v>
      </c>
      <c r="D92" s="1252">
        <f t="shared" si="15"/>
        <v>35</v>
      </c>
      <c r="E92" s="1621">
        <f t="shared" si="16"/>
        <v>10</v>
      </c>
      <c r="F92" s="1616">
        <f t="shared" si="17"/>
        <v>0.5</v>
      </c>
      <c r="G92" s="940">
        <f t="shared" si="18"/>
        <v>350</v>
      </c>
      <c r="H92" s="1617">
        <f t="shared" si="19"/>
        <v>175</v>
      </c>
    </row>
    <row r="93" spans="1:8" ht="18" x14ac:dyDescent="0.25">
      <c r="A93" s="861"/>
      <c r="B93" s="1622" t="s">
        <v>287</v>
      </c>
      <c r="C93" s="1042" t="s">
        <v>273</v>
      </c>
      <c r="D93" s="952"/>
      <c r="E93" s="1042" t="s">
        <v>288</v>
      </c>
      <c r="F93" s="952"/>
      <c r="G93" s="1045" t="s">
        <v>264</v>
      </c>
      <c r="H93" s="1045" t="s">
        <v>661</v>
      </c>
    </row>
    <row r="94" spans="1:8" ht="20.25" x14ac:dyDescent="0.3">
      <c r="A94" s="861"/>
      <c r="B94" s="1048">
        <f>$J$54</f>
        <v>10000</v>
      </c>
      <c r="C94" s="1048">
        <f>E94+G94</f>
        <v>0</v>
      </c>
      <c r="D94" s="1629"/>
      <c r="E94" s="1048">
        <f>$C$54*$S$44</f>
        <v>0</v>
      </c>
      <c r="F94" s="1050"/>
      <c r="G94" s="1048">
        <f>$C$54*$T$44</f>
        <v>0</v>
      </c>
      <c r="H94" s="1048">
        <f>B94+E94</f>
        <v>10000</v>
      </c>
    </row>
    <row r="98" spans="1:8" ht="18" x14ac:dyDescent="0.2">
      <c r="A98" s="875"/>
      <c r="B98" s="1804" t="str">
        <f>"كابلي لحم 3 / " &amp; COUNTIF($H$53:$H$58, "&gt;0")</f>
        <v>كابلي لحم 3 / 3</v>
      </c>
      <c r="C98" s="1804"/>
      <c r="D98" s="1804"/>
      <c r="E98" s="1804"/>
      <c r="F98" s="1804"/>
      <c r="G98" s="1804"/>
      <c r="H98" s="1804"/>
    </row>
    <row r="99" spans="1:8" ht="18" x14ac:dyDescent="0.2">
      <c r="A99" s="875"/>
      <c r="B99" s="1804" t="str">
        <f>"Beef Kabli 3 / " &amp; COUNTIF($H$53:$H$58, "&gt;0")</f>
        <v>Beef Kabli 3 / 3</v>
      </c>
      <c r="C99" s="1804"/>
      <c r="D99" s="1804"/>
      <c r="E99" s="1804"/>
      <c r="F99" s="1804"/>
      <c r="G99" s="1804"/>
      <c r="H99" s="1804"/>
    </row>
    <row r="100" spans="1:8" ht="25.5" x14ac:dyDescent="0.2">
      <c r="A100" s="1350" t="s">
        <v>864</v>
      </c>
      <c r="B100" s="923" t="s">
        <v>667</v>
      </c>
      <c r="C100" s="1104" t="s">
        <v>316</v>
      </c>
      <c r="D100" s="923" t="s">
        <v>317</v>
      </c>
      <c r="E100" s="935" t="s">
        <v>318</v>
      </c>
      <c r="F100" s="935" t="s">
        <v>319</v>
      </c>
      <c r="G100" s="1266" t="s">
        <v>320</v>
      </c>
      <c r="H100" s="936" t="s">
        <v>321</v>
      </c>
    </row>
    <row r="101" spans="1:8" x14ac:dyDescent="0.2">
      <c r="A101" s="873" t="s">
        <v>873</v>
      </c>
      <c r="B101" s="914" t="str">
        <f t="shared" ref="B101:D111" si="20">B5</f>
        <v>Indian Meat Alana  - لحم هندى ألانا</v>
      </c>
      <c r="C101" s="914" t="str">
        <f t="shared" si="20"/>
        <v>gm</v>
      </c>
      <c r="D101" s="940">
        <f t="shared" si="20"/>
        <v>1721.7927305910914</v>
      </c>
      <c r="E101" s="1621">
        <f t="shared" ref="E101:E111" si="21">$H$55</f>
        <v>2.7699999999999996</v>
      </c>
      <c r="F101" s="942">
        <f t="shared" ref="F101:F111" si="22">F5</f>
        <v>1</v>
      </c>
      <c r="G101" s="940">
        <f t="shared" ref="G101:G111" si="23">D101*E101</f>
        <v>4769.3658637373228</v>
      </c>
      <c r="H101" s="1617">
        <f t="shared" ref="H101:H111" si="24">G101*F101</f>
        <v>4769.3658637373228</v>
      </c>
    </row>
    <row r="102" spans="1:8" x14ac:dyDescent="0.2">
      <c r="A102" s="177" t="s">
        <v>870</v>
      </c>
      <c r="B102" s="914" t="str">
        <f t="shared" si="20"/>
        <v>Tomato - طماطم</v>
      </c>
      <c r="C102" s="914" t="str">
        <f t="shared" si="20"/>
        <v>gm</v>
      </c>
      <c r="D102" s="914">
        <f t="shared" si="20"/>
        <v>100</v>
      </c>
      <c r="E102" s="1621">
        <f t="shared" si="21"/>
        <v>2.7699999999999996</v>
      </c>
      <c r="F102" s="942">
        <f t="shared" si="22"/>
        <v>1</v>
      </c>
      <c r="G102" s="940">
        <f t="shared" si="23"/>
        <v>276.99999999999994</v>
      </c>
      <c r="H102" s="1617">
        <f t="shared" si="24"/>
        <v>276.99999999999994</v>
      </c>
    </row>
    <row r="103" spans="1:8" x14ac:dyDescent="0.25">
      <c r="B103" s="914" t="str">
        <f t="shared" si="20"/>
        <v>Kabsa Spices Powder - توابل كبسة بودر</v>
      </c>
      <c r="C103" s="914" t="str">
        <f t="shared" si="20"/>
        <v>gm</v>
      </c>
      <c r="D103" s="914">
        <f t="shared" si="20"/>
        <v>19</v>
      </c>
      <c r="E103" s="1621">
        <f t="shared" si="21"/>
        <v>2.7699999999999996</v>
      </c>
      <c r="F103" s="942">
        <f t="shared" si="22"/>
        <v>0.7</v>
      </c>
      <c r="G103" s="940">
        <f t="shared" si="23"/>
        <v>52.629999999999995</v>
      </c>
      <c r="H103" s="1617">
        <f t="shared" si="24"/>
        <v>36.840999999999994</v>
      </c>
    </row>
    <row r="104" spans="1:8" x14ac:dyDescent="0.25">
      <c r="B104" s="914" t="str">
        <f t="shared" si="20"/>
        <v>Cumin Powder - كمون مطحون</v>
      </c>
      <c r="C104" s="914" t="str">
        <f t="shared" si="20"/>
        <v>gm</v>
      </c>
      <c r="D104" s="914">
        <f t="shared" si="20"/>
        <v>20</v>
      </c>
      <c r="E104" s="1621">
        <f t="shared" si="21"/>
        <v>2.7699999999999996</v>
      </c>
      <c r="F104" s="942">
        <f t="shared" si="22"/>
        <v>0.7</v>
      </c>
      <c r="G104" s="940">
        <f t="shared" si="23"/>
        <v>55.399999999999991</v>
      </c>
      <c r="H104" s="1617">
        <f t="shared" si="24"/>
        <v>38.779999999999994</v>
      </c>
    </row>
    <row r="105" spans="1:8" x14ac:dyDescent="0.25">
      <c r="B105" s="914" t="str">
        <f t="shared" si="20"/>
        <v>Tomato Paste - صلصة طماطم</v>
      </c>
      <c r="C105" s="914" t="str">
        <f t="shared" si="20"/>
        <v>gm</v>
      </c>
      <c r="D105" s="914">
        <f t="shared" si="20"/>
        <v>130</v>
      </c>
      <c r="E105" s="1621">
        <f t="shared" si="21"/>
        <v>2.7699999999999996</v>
      </c>
      <c r="F105" s="942">
        <f t="shared" si="22"/>
        <v>0.85</v>
      </c>
      <c r="G105" s="940">
        <f t="shared" si="23"/>
        <v>360.09999999999997</v>
      </c>
      <c r="H105" s="1617">
        <f t="shared" si="24"/>
        <v>306.08499999999998</v>
      </c>
    </row>
    <row r="106" spans="1:8" x14ac:dyDescent="0.25">
      <c r="B106" s="914" t="str">
        <f t="shared" si="20"/>
        <v>Orange - برتقال</v>
      </c>
      <c r="C106" s="914" t="str">
        <f t="shared" si="20"/>
        <v>gm</v>
      </c>
      <c r="D106" s="914">
        <f t="shared" si="20"/>
        <v>200</v>
      </c>
      <c r="E106" s="1621">
        <f t="shared" si="21"/>
        <v>2.7699999999999996</v>
      </c>
      <c r="F106" s="942">
        <f t="shared" si="22"/>
        <v>0.85</v>
      </c>
      <c r="G106" s="940">
        <f t="shared" si="23"/>
        <v>553.99999999999989</v>
      </c>
      <c r="H106" s="1617">
        <f t="shared" si="24"/>
        <v>470.89999999999986</v>
      </c>
    </row>
    <row r="107" spans="1:8" x14ac:dyDescent="0.25">
      <c r="B107" s="914" t="str">
        <f t="shared" si="20"/>
        <v>Rose Water - ماء الورد</v>
      </c>
      <c r="C107" s="914" t="str">
        <f t="shared" si="20"/>
        <v>ml</v>
      </c>
      <c r="D107" s="914">
        <f t="shared" si="20"/>
        <v>35</v>
      </c>
      <c r="E107" s="1621">
        <f t="shared" si="21"/>
        <v>2.7699999999999996</v>
      </c>
      <c r="F107" s="942">
        <f t="shared" si="22"/>
        <v>0.75</v>
      </c>
      <c r="G107" s="940">
        <f t="shared" si="23"/>
        <v>96.949999999999989</v>
      </c>
      <c r="H107" s="1617">
        <f t="shared" si="24"/>
        <v>72.712499999999991</v>
      </c>
    </row>
    <row r="108" spans="1:8" x14ac:dyDescent="0.25">
      <c r="B108" s="914" t="str">
        <f t="shared" si="20"/>
        <v>Water - ماء</v>
      </c>
      <c r="C108" s="914" t="str">
        <f t="shared" si="20"/>
        <v>ml</v>
      </c>
      <c r="D108" s="914">
        <f t="shared" si="20"/>
        <v>800</v>
      </c>
      <c r="E108" s="1621">
        <f t="shared" si="21"/>
        <v>2.7699999999999996</v>
      </c>
      <c r="F108" s="942">
        <f t="shared" si="22"/>
        <v>1</v>
      </c>
      <c r="G108" s="940">
        <f t="shared" si="23"/>
        <v>2215.9999999999995</v>
      </c>
      <c r="H108" s="1617">
        <f t="shared" si="24"/>
        <v>2215.9999999999995</v>
      </c>
    </row>
    <row r="109" spans="1:8" x14ac:dyDescent="0.2">
      <c r="A109" s="177" t="s">
        <v>868</v>
      </c>
      <c r="B109" s="914" t="str">
        <f t="shared" si="20"/>
        <v>Garlic - ثوم مقشر</v>
      </c>
      <c r="C109" s="914" t="str">
        <f t="shared" si="20"/>
        <v>gm</v>
      </c>
      <c r="D109" s="914">
        <f t="shared" si="20"/>
        <v>30</v>
      </c>
      <c r="E109" s="1621">
        <f t="shared" si="21"/>
        <v>2.7699999999999996</v>
      </c>
      <c r="F109" s="942">
        <f t="shared" si="22"/>
        <v>0.4</v>
      </c>
      <c r="G109" s="940">
        <f t="shared" si="23"/>
        <v>83.1</v>
      </c>
      <c r="H109" s="1617">
        <f t="shared" si="24"/>
        <v>33.24</v>
      </c>
    </row>
    <row r="110" spans="1:8" x14ac:dyDescent="0.25">
      <c r="B110" s="914" t="str">
        <f t="shared" si="20"/>
        <v>Yogurt - زبادي</v>
      </c>
      <c r="C110" s="914" t="str">
        <f t="shared" si="20"/>
        <v>gm</v>
      </c>
      <c r="D110" s="914">
        <f t="shared" si="20"/>
        <v>300</v>
      </c>
      <c r="E110" s="1621">
        <f t="shared" si="21"/>
        <v>2.7699999999999996</v>
      </c>
      <c r="F110" s="942">
        <f t="shared" si="22"/>
        <v>0.5</v>
      </c>
      <c r="G110" s="940">
        <f t="shared" si="23"/>
        <v>830.99999999999989</v>
      </c>
      <c r="H110" s="1617">
        <f t="shared" si="24"/>
        <v>415.49999999999994</v>
      </c>
    </row>
    <row r="111" spans="1:8" x14ac:dyDescent="0.2">
      <c r="A111" s="876"/>
      <c r="B111" s="914" t="str">
        <f t="shared" si="20"/>
        <v>Raisin - زبيب</v>
      </c>
      <c r="C111" s="914" t="str">
        <f t="shared" si="20"/>
        <v>gm</v>
      </c>
      <c r="D111" s="914">
        <f t="shared" si="20"/>
        <v>35</v>
      </c>
      <c r="E111" s="1621">
        <f t="shared" si="21"/>
        <v>2.7699999999999996</v>
      </c>
      <c r="F111" s="942">
        <f t="shared" si="22"/>
        <v>0.5</v>
      </c>
      <c r="G111" s="940">
        <f t="shared" si="23"/>
        <v>96.949999999999989</v>
      </c>
      <c r="H111" s="1617">
        <f t="shared" si="24"/>
        <v>48.474999999999994</v>
      </c>
    </row>
    <row r="112" spans="1:8" ht="18" x14ac:dyDescent="0.25">
      <c r="A112" s="861"/>
      <c r="B112" s="1622" t="s">
        <v>287</v>
      </c>
      <c r="C112" s="1042" t="s">
        <v>273</v>
      </c>
      <c r="D112" s="952"/>
      <c r="E112" s="1042" t="s">
        <v>288</v>
      </c>
      <c r="F112" s="952"/>
      <c r="G112" s="1045" t="s">
        <v>264</v>
      </c>
      <c r="H112" s="1045" t="s">
        <v>661</v>
      </c>
    </row>
    <row r="113" spans="1:8" ht="20.25" x14ac:dyDescent="0.3">
      <c r="A113" s="861"/>
      <c r="B113" s="1048">
        <f>$J$55</f>
        <v>2770</v>
      </c>
      <c r="C113" s="1048">
        <f>E113+G113</f>
        <v>0</v>
      </c>
      <c r="D113" s="1629"/>
      <c r="E113" s="1048">
        <f>$C$55*$S$44</f>
        <v>0</v>
      </c>
      <c r="F113" s="1050"/>
      <c r="G113" s="1048">
        <f>$C$55*$T$44</f>
        <v>0</v>
      </c>
      <c r="H113" s="1048">
        <f>B113+E113</f>
        <v>2770</v>
      </c>
    </row>
    <row r="114" spans="1:8" x14ac:dyDescent="0.25">
      <c r="B114" s="959"/>
      <c r="C114" s="959"/>
      <c r="D114" s="959"/>
      <c r="E114" s="959"/>
      <c r="F114" s="959"/>
      <c r="G114" s="959"/>
      <c r="H114" s="959"/>
    </row>
    <row r="115" spans="1:8" x14ac:dyDescent="0.2">
      <c r="A115" s="875"/>
      <c r="B115" s="1776" t="str">
        <f>"كابلي لحم 4 / " &amp; COUNTIF($H$53:$H$58, "&gt;0")</f>
        <v>كابلي لحم 4 / 3</v>
      </c>
      <c r="C115" s="1777"/>
      <c r="D115" s="1777"/>
      <c r="E115" s="1777"/>
      <c r="F115" s="1777"/>
      <c r="G115" s="1777"/>
      <c r="H115" s="1777"/>
    </row>
    <row r="116" spans="1:8" x14ac:dyDescent="0.2">
      <c r="A116" s="875"/>
      <c r="B116" s="1842" t="str">
        <f>"Beef Kabli 4 / " &amp; COUNTIF($H$53:$H$58, "&gt;0")</f>
        <v>Beef Kabli 4 / 3</v>
      </c>
      <c r="C116" s="1843"/>
      <c r="D116" s="1843"/>
      <c r="E116" s="1843"/>
      <c r="F116" s="1843"/>
      <c r="G116" s="1843"/>
      <c r="H116" s="1843"/>
    </row>
    <row r="117" spans="1:8" ht="25.5" x14ac:dyDescent="0.2">
      <c r="A117" s="1350" t="s">
        <v>864</v>
      </c>
      <c r="B117" s="923" t="s">
        <v>667</v>
      </c>
      <c r="C117" s="1104" t="s">
        <v>316</v>
      </c>
      <c r="D117" s="923" t="s">
        <v>317</v>
      </c>
      <c r="E117" s="935" t="s">
        <v>318</v>
      </c>
      <c r="F117" s="935" t="s">
        <v>319</v>
      </c>
      <c r="G117" s="1266" t="s">
        <v>320</v>
      </c>
      <c r="H117" s="936" t="s">
        <v>321</v>
      </c>
    </row>
    <row r="118" spans="1:8" x14ac:dyDescent="0.2">
      <c r="A118" s="873" t="s">
        <v>873</v>
      </c>
      <c r="B118" s="914" t="str">
        <f t="shared" ref="B118:D128" si="25">B5</f>
        <v>Indian Meat Alana  - لحم هندى ألانا</v>
      </c>
      <c r="C118" s="914" t="str">
        <f t="shared" si="25"/>
        <v>gm</v>
      </c>
      <c r="D118" s="940">
        <f t="shared" si="25"/>
        <v>1721.7927305910914</v>
      </c>
      <c r="E118" s="1621">
        <f t="shared" ref="E118:E128" si="26">$H$56</f>
        <v>0</v>
      </c>
      <c r="F118" s="942">
        <f t="shared" ref="F118:F128" si="27">F5</f>
        <v>1</v>
      </c>
      <c r="G118" s="940">
        <f t="shared" ref="G118:G128" si="28">D118*E118</f>
        <v>0</v>
      </c>
      <c r="H118" s="1617">
        <f t="shared" ref="H118:H128" si="29">G118*F118</f>
        <v>0</v>
      </c>
    </row>
    <row r="119" spans="1:8" x14ac:dyDescent="0.2">
      <c r="A119" s="177" t="s">
        <v>870</v>
      </c>
      <c r="B119" s="914" t="str">
        <f t="shared" si="25"/>
        <v>Tomato - طماطم</v>
      </c>
      <c r="C119" s="914" t="str">
        <f t="shared" si="25"/>
        <v>gm</v>
      </c>
      <c r="D119" s="914">
        <f t="shared" si="25"/>
        <v>100</v>
      </c>
      <c r="E119" s="1621">
        <f t="shared" si="26"/>
        <v>0</v>
      </c>
      <c r="F119" s="942">
        <f t="shared" si="27"/>
        <v>1</v>
      </c>
      <c r="G119" s="940">
        <f t="shared" si="28"/>
        <v>0</v>
      </c>
      <c r="H119" s="1617">
        <f t="shared" si="29"/>
        <v>0</v>
      </c>
    </row>
    <row r="120" spans="1:8" x14ac:dyDescent="0.25">
      <c r="B120" s="914" t="str">
        <f t="shared" si="25"/>
        <v>Kabsa Spices Powder - توابل كبسة بودر</v>
      </c>
      <c r="C120" s="914" t="str">
        <f t="shared" si="25"/>
        <v>gm</v>
      </c>
      <c r="D120" s="914">
        <f t="shared" si="25"/>
        <v>19</v>
      </c>
      <c r="E120" s="1621">
        <f t="shared" si="26"/>
        <v>0</v>
      </c>
      <c r="F120" s="942">
        <f t="shared" si="27"/>
        <v>0.7</v>
      </c>
      <c r="G120" s="940">
        <f t="shared" si="28"/>
        <v>0</v>
      </c>
      <c r="H120" s="1617">
        <f t="shared" si="29"/>
        <v>0</v>
      </c>
    </row>
    <row r="121" spans="1:8" x14ac:dyDescent="0.25">
      <c r="B121" s="914" t="str">
        <f t="shared" si="25"/>
        <v>Cumin Powder - كمون مطحون</v>
      </c>
      <c r="C121" s="914" t="str">
        <f t="shared" si="25"/>
        <v>gm</v>
      </c>
      <c r="D121" s="914">
        <f t="shared" si="25"/>
        <v>20</v>
      </c>
      <c r="E121" s="1621">
        <f t="shared" si="26"/>
        <v>0</v>
      </c>
      <c r="F121" s="942">
        <f t="shared" si="27"/>
        <v>0.7</v>
      </c>
      <c r="G121" s="940">
        <f t="shared" si="28"/>
        <v>0</v>
      </c>
      <c r="H121" s="1617">
        <f t="shared" si="29"/>
        <v>0</v>
      </c>
    </row>
    <row r="122" spans="1:8" x14ac:dyDescent="0.25">
      <c r="B122" s="914" t="str">
        <f t="shared" si="25"/>
        <v>Tomato Paste - صلصة طماطم</v>
      </c>
      <c r="C122" s="914" t="str">
        <f t="shared" si="25"/>
        <v>gm</v>
      </c>
      <c r="D122" s="914">
        <f t="shared" si="25"/>
        <v>130</v>
      </c>
      <c r="E122" s="1621">
        <f t="shared" si="26"/>
        <v>0</v>
      </c>
      <c r="F122" s="942">
        <f t="shared" si="27"/>
        <v>0.85</v>
      </c>
      <c r="G122" s="940">
        <f t="shared" si="28"/>
        <v>0</v>
      </c>
      <c r="H122" s="1617">
        <f t="shared" si="29"/>
        <v>0</v>
      </c>
    </row>
    <row r="123" spans="1:8" x14ac:dyDescent="0.25">
      <c r="B123" s="914" t="str">
        <f t="shared" si="25"/>
        <v>Orange - برتقال</v>
      </c>
      <c r="C123" s="914" t="str">
        <f t="shared" si="25"/>
        <v>gm</v>
      </c>
      <c r="D123" s="914">
        <f t="shared" si="25"/>
        <v>200</v>
      </c>
      <c r="E123" s="1621">
        <f t="shared" si="26"/>
        <v>0</v>
      </c>
      <c r="F123" s="942">
        <f t="shared" si="27"/>
        <v>0.85</v>
      </c>
      <c r="G123" s="940">
        <f t="shared" si="28"/>
        <v>0</v>
      </c>
      <c r="H123" s="1617">
        <f t="shared" si="29"/>
        <v>0</v>
      </c>
    </row>
    <row r="124" spans="1:8" x14ac:dyDescent="0.25">
      <c r="B124" s="914" t="str">
        <f t="shared" si="25"/>
        <v>Rose Water - ماء الورد</v>
      </c>
      <c r="C124" s="914" t="str">
        <f t="shared" si="25"/>
        <v>ml</v>
      </c>
      <c r="D124" s="914">
        <f t="shared" si="25"/>
        <v>35</v>
      </c>
      <c r="E124" s="1621">
        <f t="shared" si="26"/>
        <v>0</v>
      </c>
      <c r="F124" s="942">
        <f t="shared" si="27"/>
        <v>0.75</v>
      </c>
      <c r="G124" s="940">
        <f t="shared" si="28"/>
        <v>0</v>
      </c>
      <c r="H124" s="1617">
        <f t="shared" si="29"/>
        <v>0</v>
      </c>
    </row>
    <row r="125" spans="1:8" x14ac:dyDescent="0.25">
      <c r="B125" s="914" t="str">
        <f t="shared" si="25"/>
        <v>Water - ماء</v>
      </c>
      <c r="C125" s="914" t="str">
        <f t="shared" si="25"/>
        <v>ml</v>
      </c>
      <c r="D125" s="914">
        <f t="shared" si="25"/>
        <v>800</v>
      </c>
      <c r="E125" s="1621">
        <f t="shared" si="26"/>
        <v>0</v>
      </c>
      <c r="F125" s="942">
        <f t="shared" si="27"/>
        <v>1</v>
      </c>
      <c r="G125" s="940">
        <f t="shared" si="28"/>
        <v>0</v>
      </c>
      <c r="H125" s="1617">
        <f t="shared" si="29"/>
        <v>0</v>
      </c>
    </row>
    <row r="126" spans="1:8" x14ac:dyDescent="0.2">
      <c r="A126" s="177" t="s">
        <v>868</v>
      </c>
      <c r="B126" s="914" t="str">
        <f t="shared" si="25"/>
        <v>Garlic - ثوم مقشر</v>
      </c>
      <c r="C126" s="914" t="str">
        <f t="shared" si="25"/>
        <v>gm</v>
      </c>
      <c r="D126" s="914">
        <f t="shared" si="25"/>
        <v>30</v>
      </c>
      <c r="E126" s="1621">
        <f t="shared" si="26"/>
        <v>0</v>
      </c>
      <c r="F126" s="942">
        <f t="shared" si="27"/>
        <v>0.4</v>
      </c>
      <c r="G126" s="940">
        <f t="shared" si="28"/>
        <v>0</v>
      </c>
      <c r="H126" s="1617">
        <f t="shared" si="29"/>
        <v>0</v>
      </c>
    </row>
    <row r="127" spans="1:8" x14ac:dyDescent="0.25">
      <c r="B127" s="914" t="str">
        <f t="shared" si="25"/>
        <v>Yogurt - زبادي</v>
      </c>
      <c r="C127" s="914" t="str">
        <f t="shared" si="25"/>
        <v>gm</v>
      </c>
      <c r="D127" s="914">
        <f t="shared" si="25"/>
        <v>300</v>
      </c>
      <c r="E127" s="1621">
        <f t="shared" si="26"/>
        <v>0</v>
      </c>
      <c r="F127" s="942">
        <f t="shared" si="27"/>
        <v>0.5</v>
      </c>
      <c r="G127" s="940">
        <f t="shared" si="28"/>
        <v>0</v>
      </c>
      <c r="H127" s="1617">
        <f t="shared" si="29"/>
        <v>0</v>
      </c>
    </row>
    <row r="128" spans="1:8" x14ac:dyDescent="0.2">
      <c r="A128" s="876"/>
      <c r="B128" s="914" t="str">
        <f t="shared" si="25"/>
        <v>Raisin - زبيب</v>
      </c>
      <c r="C128" s="914" t="str">
        <f t="shared" si="25"/>
        <v>gm</v>
      </c>
      <c r="D128" s="914">
        <f t="shared" si="25"/>
        <v>35</v>
      </c>
      <c r="E128" s="1621">
        <f t="shared" si="26"/>
        <v>0</v>
      </c>
      <c r="F128" s="942">
        <f t="shared" si="27"/>
        <v>0.5</v>
      </c>
      <c r="G128" s="940">
        <f t="shared" si="28"/>
        <v>0</v>
      </c>
      <c r="H128" s="1617">
        <f t="shared" si="29"/>
        <v>0</v>
      </c>
    </row>
    <row r="129" spans="1:8" ht="18" x14ac:dyDescent="0.25">
      <c r="A129" s="861"/>
      <c r="B129" s="1622" t="s">
        <v>287</v>
      </c>
      <c r="C129" s="1042" t="s">
        <v>273</v>
      </c>
      <c r="D129" s="952"/>
      <c r="E129" s="1042" t="s">
        <v>288</v>
      </c>
      <c r="F129" s="952"/>
      <c r="G129" s="1045" t="s">
        <v>264</v>
      </c>
      <c r="H129" s="1045" t="s">
        <v>661</v>
      </c>
    </row>
    <row r="130" spans="1:8" ht="20.25" x14ac:dyDescent="0.3">
      <c r="A130" s="861"/>
      <c r="B130" s="1048">
        <f>$J$56</f>
        <v>0</v>
      </c>
      <c r="C130" s="1048">
        <f>E130+G130</f>
        <v>0</v>
      </c>
      <c r="D130" s="1629"/>
      <c r="E130" s="1048">
        <f>$C$55*$S$44</f>
        <v>0</v>
      </c>
      <c r="F130" s="1050"/>
      <c r="G130" s="1048">
        <f>$C$55*$T$44</f>
        <v>0</v>
      </c>
      <c r="H130" s="1048">
        <f>B130+E130</f>
        <v>0</v>
      </c>
    </row>
    <row r="131" spans="1:8" x14ac:dyDescent="0.25">
      <c r="B131" s="959"/>
      <c r="C131" s="959"/>
      <c r="D131" s="959"/>
      <c r="E131" s="959"/>
      <c r="F131" s="959"/>
      <c r="G131" s="959"/>
      <c r="H131" s="959"/>
    </row>
    <row r="132" spans="1:8" x14ac:dyDescent="0.2">
      <c r="A132" s="875"/>
      <c r="B132" s="1776" t="str">
        <f>"كابلي لحم 5 / " &amp; COUNTIF($H$53:$H$58, "&gt;0")</f>
        <v>كابلي لحم 5 / 3</v>
      </c>
      <c r="C132" s="1787"/>
      <c r="D132" s="1787"/>
      <c r="E132" s="1787"/>
      <c r="F132" s="1787"/>
      <c r="G132" s="1787"/>
      <c r="H132" s="1787"/>
    </row>
    <row r="133" spans="1:8" x14ac:dyDescent="0.2">
      <c r="A133" s="875"/>
      <c r="B133" s="1842" t="str">
        <f>"Beef Kabli 5 / " &amp; COUNTIF($H$53:$H$58, "&gt;0")</f>
        <v>Beef Kabli 5 / 3</v>
      </c>
      <c r="C133" s="1884"/>
      <c r="D133" s="1884"/>
      <c r="E133" s="1884"/>
      <c r="F133" s="1884"/>
      <c r="G133" s="1884"/>
      <c r="H133" s="1884"/>
    </row>
    <row r="134" spans="1:8" ht="25.5" x14ac:dyDescent="0.2">
      <c r="A134" s="1350" t="s">
        <v>864</v>
      </c>
      <c r="B134" s="923" t="s">
        <v>667</v>
      </c>
      <c r="C134" s="1104" t="s">
        <v>316</v>
      </c>
      <c r="D134" s="923" t="s">
        <v>317</v>
      </c>
      <c r="E134" s="935" t="s">
        <v>318</v>
      </c>
      <c r="F134" s="935" t="s">
        <v>319</v>
      </c>
      <c r="G134" s="1266" t="s">
        <v>320</v>
      </c>
      <c r="H134" s="936" t="s">
        <v>321</v>
      </c>
    </row>
    <row r="135" spans="1:8" x14ac:dyDescent="0.2">
      <c r="A135" s="873" t="s">
        <v>873</v>
      </c>
      <c r="B135" s="914" t="str">
        <f t="shared" ref="B135:D145" si="30">B5</f>
        <v>Indian Meat Alana  - لحم هندى ألانا</v>
      </c>
      <c r="C135" s="914" t="str">
        <f t="shared" si="30"/>
        <v>gm</v>
      </c>
      <c r="D135" s="940">
        <f t="shared" si="30"/>
        <v>1721.7927305910914</v>
      </c>
      <c r="E135" s="1621">
        <f t="shared" ref="E135:E145" si="31">$H$57</f>
        <v>0</v>
      </c>
      <c r="F135" s="942">
        <f>F5</f>
        <v>1</v>
      </c>
      <c r="G135" s="940">
        <f t="shared" ref="G135:G145" si="32">D135*E135</f>
        <v>0</v>
      </c>
      <c r="H135" s="1617">
        <f t="shared" ref="H135:H145" si="33">G135*F135</f>
        <v>0</v>
      </c>
    </row>
    <row r="136" spans="1:8" x14ac:dyDescent="0.2">
      <c r="A136" s="177" t="s">
        <v>870</v>
      </c>
      <c r="B136" s="914" t="str">
        <f t="shared" si="30"/>
        <v>Tomato - طماطم</v>
      </c>
      <c r="C136" s="914" t="str">
        <f t="shared" si="30"/>
        <v>gm</v>
      </c>
      <c r="D136" s="914">
        <f t="shared" si="30"/>
        <v>100</v>
      </c>
      <c r="E136" s="1621">
        <f t="shared" si="31"/>
        <v>0</v>
      </c>
      <c r="F136" s="942">
        <f t="shared" ref="F136:F145" si="34">F6</f>
        <v>1</v>
      </c>
      <c r="G136" s="940">
        <f t="shared" si="32"/>
        <v>0</v>
      </c>
      <c r="H136" s="1617">
        <f t="shared" si="33"/>
        <v>0</v>
      </c>
    </row>
    <row r="137" spans="1:8" x14ac:dyDescent="0.25">
      <c r="B137" s="914" t="str">
        <f t="shared" si="30"/>
        <v>Kabsa Spices Powder - توابل كبسة بودر</v>
      </c>
      <c r="C137" s="914" t="str">
        <f t="shared" si="30"/>
        <v>gm</v>
      </c>
      <c r="D137" s="914">
        <f t="shared" si="30"/>
        <v>19</v>
      </c>
      <c r="E137" s="1621">
        <f t="shared" si="31"/>
        <v>0</v>
      </c>
      <c r="F137" s="942">
        <f t="shared" si="34"/>
        <v>0.7</v>
      </c>
      <c r="G137" s="940">
        <f t="shared" si="32"/>
        <v>0</v>
      </c>
      <c r="H137" s="1617">
        <f t="shared" si="33"/>
        <v>0</v>
      </c>
    </row>
    <row r="138" spans="1:8" x14ac:dyDescent="0.25">
      <c r="B138" s="914" t="str">
        <f t="shared" si="30"/>
        <v>Cumin Powder - كمون مطحون</v>
      </c>
      <c r="C138" s="914" t="str">
        <f t="shared" si="30"/>
        <v>gm</v>
      </c>
      <c r="D138" s="914">
        <f t="shared" si="30"/>
        <v>20</v>
      </c>
      <c r="E138" s="1621">
        <f t="shared" si="31"/>
        <v>0</v>
      </c>
      <c r="F138" s="942">
        <f t="shared" si="34"/>
        <v>0.7</v>
      </c>
      <c r="G138" s="940">
        <f t="shared" si="32"/>
        <v>0</v>
      </c>
      <c r="H138" s="1617">
        <f t="shared" si="33"/>
        <v>0</v>
      </c>
    </row>
    <row r="139" spans="1:8" x14ac:dyDescent="0.25">
      <c r="B139" s="914" t="str">
        <f t="shared" si="30"/>
        <v>Tomato Paste - صلصة طماطم</v>
      </c>
      <c r="C139" s="914" t="str">
        <f t="shared" si="30"/>
        <v>gm</v>
      </c>
      <c r="D139" s="914">
        <f t="shared" si="30"/>
        <v>130</v>
      </c>
      <c r="E139" s="1621">
        <f t="shared" si="31"/>
        <v>0</v>
      </c>
      <c r="F139" s="942">
        <f t="shared" si="34"/>
        <v>0.85</v>
      </c>
      <c r="G139" s="940">
        <f t="shared" si="32"/>
        <v>0</v>
      </c>
      <c r="H139" s="1617">
        <f t="shared" si="33"/>
        <v>0</v>
      </c>
    </row>
    <row r="140" spans="1:8" x14ac:dyDescent="0.25">
      <c r="B140" s="914" t="str">
        <f t="shared" si="30"/>
        <v>Orange - برتقال</v>
      </c>
      <c r="C140" s="914" t="str">
        <f t="shared" si="30"/>
        <v>gm</v>
      </c>
      <c r="D140" s="914">
        <f t="shared" si="30"/>
        <v>200</v>
      </c>
      <c r="E140" s="1621">
        <f t="shared" si="31"/>
        <v>0</v>
      </c>
      <c r="F140" s="942">
        <f t="shared" si="34"/>
        <v>0.85</v>
      </c>
      <c r="G140" s="940">
        <f t="shared" si="32"/>
        <v>0</v>
      </c>
      <c r="H140" s="1617">
        <f t="shared" si="33"/>
        <v>0</v>
      </c>
    </row>
    <row r="141" spans="1:8" x14ac:dyDescent="0.25">
      <c r="B141" s="914" t="str">
        <f t="shared" si="30"/>
        <v>Rose Water - ماء الورد</v>
      </c>
      <c r="C141" s="914" t="str">
        <f t="shared" si="30"/>
        <v>ml</v>
      </c>
      <c r="D141" s="914">
        <f t="shared" si="30"/>
        <v>35</v>
      </c>
      <c r="E141" s="1621">
        <f t="shared" si="31"/>
        <v>0</v>
      </c>
      <c r="F141" s="942">
        <f t="shared" si="34"/>
        <v>0.75</v>
      </c>
      <c r="G141" s="940">
        <f t="shared" si="32"/>
        <v>0</v>
      </c>
      <c r="H141" s="1617">
        <f t="shared" si="33"/>
        <v>0</v>
      </c>
    </row>
    <row r="142" spans="1:8" x14ac:dyDescent="0.25">
      <c r="B142" s="914" t="str">
        <f t="shared" si="30"/>
        <v>Water - ماء</v>
      </c>
      <c r="C142" s="914" t="str">
        <f t="shared" si="30"/>
        <v>ml</v>
      </c>
      <c r="D142" s="914">
        <f t="shared" si="30"/>
        <v>800</v>
      </c>
      <c r="E142" s="1621">
        <f t="shared" si="31"/>
        <v>0</v>
      </c>
      <c r="F142" s="942">
        <f t="shared" si="34"/>
        <v>1</v>
      </c>
      <c r="G142" s="940">
        <f t="shared" si="32"/>
        <v>0</v>
      </c>
      <c r="H142" s="1617">
        <f t="shared" si="33"/>
        <v>0</v>
      </c>
    </row>
    <row r="143" spans="1:8" x14ac:dyDescent="0.2">
      <c r="A143" s="177" t="s">
        <v>868</v>
      </c>
      <c r="B143" s="914" t="str">
        <f t="shared" si="30"/>
        <v>Garlic - ثوم مقشر</v>
      </c>
      <c r="C143" s="914" t="str">
        <f t="shared" si="30"/>
        <v>gm</v>
      </c>
      <c r="D143" s="914">
        <f t="shared" si="30"/>
        <v>30</v>
      </c>
      <c r="E143" s="1621">
        <f t="shared" si="31"/>
        <v>0</v>
      </c>
      <c r="F143" s="942">
        <f t="shared" si="34"/>
        <v>0.4</v>
      </c>
      <c r="G143" s="940">
        <f t="shared" si="32"/>
        <v>0</v>
      </c>
      <c r="H143" s="1617">
        <f t="shared" si="33"/>
        <v>0</v>
      </c>
    </row>
    <row r="144" spans="1:8" x14ac:dyDescent="0.25">
      <c r="B144" s="914" t="str">
        <f t="shared" si="30"/>
        <v>Yogurt - زبادي</v>
      </c>
      <c r="C144" s="914" t="str">
        <f t="shared" si="30"/>
        <v>gm</v>
      </c>
      <c r="D144" s="914">
        <f t="shared" si="30"/>
        <v>300</v>
      </c>
      <c r="E144" s="1621">
        <f t="shared" si="31"/>
        <v>0</v>
      </c>
      <c r="F144" s="942">
        <f t="shared" si="34"/>
        <v>0.5</v>
      </c>
      <c r="G144" s="940">
        <f t="shared" si="32"/>
        <v>0</v>
      </c>
      <c r="H144" s="1617">
        <f t="shared" si="33"/>
        <v>0</v>
      </c>
    </row>
    <row r="145" spans="1:8" x14ac:dyDescent="0.2">
      <c r="A145" s="876"/>
      <c r="B145" s="914" t="str">
        <f t="shared" si="30"/>
        <v>Raisin - زبيب</v>
      </c>
      <c r="C145" s="914" t="str">
        <f t="shared" si="30"/>
        <v>gm</v>
      </c>
      <c r="D145" s="914">
        <f t="shared" si="30"/>
        <v>35</v>
      </c>
      <c r="E145" s="1621">
        <f t="shared" si="31"/>
        <v>0</v>
      </c>
      <c r="F145" s="942">
        <f t="shared" si="34"/>
        <v>0.5</v>
      </c>
      <c r="G145" s="940">
        <f t="shared" si="32"/>
        <v>0</v>
      </c>
      <c r="H145" s="1617">
        <f t="shared" si="33"/>
        <v>0</v>
      </c>
    </row>
    <row r="146" spans="1:8" ht="18" x14ac:dyDescent="0.25">
      <c r="A146" s="861"/>
      <c r="B146" s="1622" t="s">
        <v>287</v>
      </c>
      <c r="C146" s="1042" t="s">
        <v>273</v>
      </c>
      <c r="D146" s="952"/>
      <c r="E146" s="1042" t="s">
        <v>288</v>
      </c>
      <c r="F146" s="952"/>
      <c r="G146" s="1045" t="s">
        <v>264</v>
      </c>
      <c r="H146" s="1045" t="s">
        <v>661</v>
      </c>
    </row>
    <row r="147" spans="1:8" ht="20.25" x14ac:dyDescent="0.3">
      <c r="A147" s="861"/>
      <c r="B147" s="1048">
        <f>$J$57</f>
        <v>0</v>
      </c>
      <c r="C147" s="1048">
        <f>E147+G147</f>
        <v>0</v>
      </c>
      <c r="D147" s="1629"/>
      <c r="E147" s="1048">
        <f>$C$55*$S$44</f>
        <v>0</v>
      </c>
      <c r="F147" s="1050"/>
      <c r="G147" s="1048">
        <f>$C$55*$T$44</f>
        <v>0</v>
      </c>
      <c r="H147" s="1048">
        <f>B147+E147</f>
        <v>0</v>
      </c>
    </row>
  </sheetData>
  <mergeCells count="15">
    <mergeCell ref="B62:H62"/>
    <mergeCell ref="B2:K3"/>
    <mergeCell ref="AE2:AG3"/>
    <mergeCell ref="R25:T25"/>
    <mergeCell ref="R26:T26"/>
    <mergeCell ref="B35:F35"/>
    <mergeCell ref="B116:H116"/>
    <mergeCell ref="B132:H132"/>
    <mergeCell ref="B133:H133"/>
    <mergeCell ref="B63:H63"/>
    <mergeCell ref="B79:H79"/>
    <mergeCell ref="B80:H80"/>
    <mergeCell ref="B98:H98"/>
    <mergeCell ref="B99:H99"/>
    <mergeCell ref="B115:H115"/>
  </mergeCells>
  <printOptions horizontalCentered="1"/>
  <pageMargins left="0.5" right="0.5" top="1" bottom="0.5" header="0.3" footer="0.511811023622047"/>
  <pageSetup paperSize="9" scale="27" orientation="portrait" r:id="rId1"/>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7A769-5462-46A2-A0DA-9F56475CBAC6}">
  <sheetPr codeName="Sheet86">
    <tabColor rgb="FFFFFF00"/>
    <outlinePr summaryBelow="0" summaryRight="0"/>
    <pageSetUpPr fitToPage="1"/>
  </sheetPr>
  <dimension ref="A1:AD94"/>
  <sheetViews>
    <sheetView zoomScale="40" zoomScaleNormal="40" zoomScaleSheetLayoutView="55" workbookViewId="0">
      <selection activeCell="B63" sqref="B63:H63"/>
    </sheetView>
  </sheetViews>
  <sheetFormatPr defaultColWidth="12.5" defaultRowHeight="15" x14ac:dyDescent="0.25"/>
  <cols>
    <col min="1" max="1" width="12" style="880" bestFit="1" customWidth="1"/>
    <col min="2" max="2" width="27.625" style="337" bestFit="1" customWidth="1"/>
    <col min="3" max="4" width="17" style="337" bestFit="1" customWidth="1"/>
    <col min="5" max="5" width="23.25" style="337" bestFit="1" customWidth="1"/>
    <col min="6" max="6" width="19.25" style="337" bestFit="1" customWidth="1"/>
    <col min="7" max="7" width="18.875" style="337" bestFit="1" customWidth="1"/>
    <col min="8" max="8" width="32.875" style="337" bestFit="1" customWidth="1"/>
    <col min="9" max="9" width="12.375" style="337" bestFit="1" customWidth="1"/>
    <col min="10" max="10" width="11.625" style="337" bestFit="1" customWidth="1"/>
    <col min="11" max="11" width="9.5" style="337" bestFit="1" customWidth="1"/>
    <col min="12" max="12" width="7" style="337" bestFit="1" customWidth="1"/>
    <col min="13" max="17" width="2.375" style="337" customWidth="1"/>
    <col min="18" max="18" width="8.875" style="337" bestFit="1" customWidth="1"/>
    <col min="19" max="19" width="9.875" style="337" bestFit="1" customWidth="1"/>
    <col min="20" max="24" width="12.5" style="337"/>
    <col min="25" max="25" width="9.5" style="337" bestFit="1" customWidth="1"/>
    <col min="26" max="26" width="8.25" style="337" bestFit="1" customWidth="1"/>
    <col min="27" max="27" width="9.25" style="337" bestFit="1" customWidth="1"/>
    <col min="28" max="28" width="7" style="337" bestFit="1" customWidth="1"/>
    <col min="29" max="29" width="8.25" style="337" bestFit="1" customWidth="1"/>
    <col min="30" max="30" width="5.75" style="337" bestFit="1" customWidth="1"/>
    <col min="31" max="16384" width="12.5" style="337"/>
  </cols>
  <sheetData>
    <row r="1" spans="1:30" ht="25.5" x14ac:dyDescent="0.25">
      <c r="A1" s="61"/>
      <c r="B1" s="847" t="s">
        <v>231</v>
      </c>
      <c r="C1" s="333">
        <v>1000</v>
      </c>
      <c r="D1" s="334" t="s">
        <v>232</v>
      </c>
      <c r="E1" s="335">
        <f>S29</f>
        <v>19530</v>
      </c>
      <c r="F1" s="328" t="s">
        <v>233</v>
      </c>
      <c r="G1" s="335">
        <f>E1/C1</f>
        <v>19.53</v>
      </c>
      <c r="H1" s="328" t="s">
        <v>234</v>
      </c>
      <c r="I1" s="780">
        <f>G1/K1</f>
        <v>19.336633663366339</v>
      </c>
      <c r="J1" s="388" t="s">
        <v>235</v>
      </c>
      <c r="K1" s="389">
        <v>1.01</v>
      </c>
      <c r="L1" s="336"/>
      <c r="M1" s="336"/>
      <c r="N1" s="336"/>
      <c r="O1" s="336"/>
      <c r="P1" s="336"/>
      <c r="Q1" s="336"/>
      <c r="R1" s="336"/>
      <c r="S1" s="336"/>
      <c r="T1" s="336"/>
      <c r="U1" s="336"/>
      <c r="V1" s="336"/>
      <c r="Y1" s="72" t="s">
        <v>444</v>
      </c>
      <c r="Z1" s="422">
        <v>19530</v>
      </c>
      <c r="AA1" s="72" t="s">
        <v>544</v>
      </c>
      <c r="AB1" s="422">
        <v>0</v>
      </c>
      <c r="AC1" s="72" t="s">
        <v>537</v>
      </c>
      <c r="AD1" s="422">
        <v>136</v>
      </c>
    </row>
    <row r="2" spans="1:30" ht="15.75" x14ac:dyDescent="0.25">
      <c r="A2" s="863"/>
      <c r="B2" s="1893" t="s">
        <v>507</v>
      </c>
      <c r="C2" s="1893"/>
      <c r="D2" s="1893"/>
      <c r="E2" s="1893"/>
      <c r="F2" s="1893"/>
      <c r="G2" s="1893"/>
      <c r="H2" s="1893"/>
      <c r="I2" s="390"/>
      <c r="J2" s="390"/>
      <c r="K2" s="390"/>
      <c r="L2" s="336"/>
      <c r="M2" s="336"/>
      <c r="N2" s="336"/>
      <c r="O2" s="336"/>
      <c r="P2" s="336"/>
      <c r="Q2" s="336"/>
      <c r="R2" s="336"/>
      <c r="S2" s="336"/>
      <c r="T2" s="336"/>
      <c r="U2" s="336"/>
    </row>
    <row r="3" spans="1:30" ht="15.75" x14ac:dyDescent="0.25">
      <c r="A3" s="863"/>
      <c r="B3" s="1823"/>
      <c r="C3" s="1823"/>
      <c r="D3" s="1823"/>
      <c r="E3" s="1823"/>
      <c r="F3" s="1823"/>
      <c r="G3" s="1823"/>
      <c r="H3" s="1823"/>
      <c r="I3" s="390"/>
      <c r="J3" s="390"/>
      <c r="K3" s="390"/>
      <c r="L3" s="336"/>
      <c r="M3" s="336"/>
      <c r="N3" s="336"/>
      <c r="O3" s="336"/>
      <c r="P3" s="336"/>
      <c r="Q3" s="336"/>
      <c r="R3" s="336"/>
      <c r="S3" s="336"/>
      <c r="T3" s="336"/>
      <c r="U3" s="336"/>
    </row>
    <row r="4" spans="1:30" ht="38.25" x14ac:dyDescent="0.2">
      <c r="A4" s="1350" t="s">
        <v>1</v>
      </c>
      <c r="B4" s="1304" t="s">
        <v>241</v>
      </c>
      <c r="C4" s="1305" t="s">
        <v>242</v>
      </c>
      <c r="D4" s="1304" t="s">
        <v>231</v>
      </c>
      <c r="E4" s="1647" t="s">
        <v>234</v>
      </c>
      <c r="F4" s="1307" t="s">
        <v>243</v>
      </c>
      <c r="G4" s="1304" t="s">
        <v>244</v>
      </c>
      <c r="H4" s="1647" t="s">
        <v>503</v>
      </c>
      <c r="I4" s="923" t="s">
        <v>246</v>
      </c>
      <c r="J4" s="923" t="s">
        <v>247</v>
      </c>
      <c r="K4" s="923" t="s">
        <v>248</v>
      </c>
      <c r="L4" s="923" t="s">
        <v>249</v>
      </c>
      <c r="M4" s="336"/>
      <c r="N4" s="336"/>
      <c r="O4" s="336"/>
      <c r="P4" s="336"/>
      <c r="Q4" s="336"/>
      <c r="R4" s="336"/>
      <c r="S4" s="336"/>
      <c r="T4" s="336"/>
      <c r="U4" s="336"/>
    </row>
    <row r="5" spans="1:30" x14ac:dyDescent="0.2">
      <c r="A5" s="1067"/>
      <c r="B5" s="1652"/>
      <c r="C5" s="1706"/>
      <c r="D5" s="1652"/>
      <c r="E5" s="1651"/>
      <c r="F5" s="1652"/>
      <c r="G5" s="1652"/>
      <c r="H5" s="1651"/>
      <c r="I5" s="914"/>
      <c r="J5" s="940"/>
      <c r="K5" s="945"/>
      <c r="L5" s="945"/>
    </row>
    <row r="6" spans="1:30" x14ac:dyDescent="0.25">
      <c r="A6" s="1653"/>
      <c r="B6" s="1661" t="s">
        <v>508</v>
      </c>
      <c r="C6" s="1662" t="s">
        <v>14</v>
      </c>
      <c r="D6" s="1660">
        <v>330</v>
      </c>
      <c r="E6" s="1654">
        <f>$I$1</f>
        <v>19.336633663366339</v>
      </c>
      <c r="F6" s="1655">
        <v>1</v>
      </c>
      <c r="G6" s="1656">
        <f>D6*E6</f>
        <v>6381.0891089108918</v>
      </c>
      <c r="H6" s="1657">
        <f>G6*F6</f>
        <v>6381.0891089108918</v>
      </c>
      <c r="I6" s="914">
        <f>VLOOKUP(B6,All_Ingredients!$A$1:$F$161,6,FALSE())</f>
        <v>1</v>
      </c>
      <c r="J6" s="940">
        <f>VLOOKUP(B6,All_Ingredients!$A$1:$J$161,10,FALSE())</f>
        <v>9.0740740740740726</v>
      </c>
      <c r="K6" s="945">
        <f t="shared" ref="K6:K9" si="0">(H6/I6)/1000</f>
        <v>6.3810891089108921</v>
      </c>
      <c r="L6" s="945">
        <f t="shared" ref="L6:L9" si="1">K6*J6</f>
        <v>57.902475247524755</v>
      </c>
    </row>
    <row r="7" spans="1:30" x14ac:dyDescent="0.25">
      <c r="A7" s="1653"/>
      <c r="B7" s="1661" t="s">
        <v>203</v>
      </c>
      <c r="C7" s="1662" t="s">
        <v>160</v>
      </c>
      <c r="D7" s="1660">
        <v>8000</v>
      </c>
      <c r="E7" s="1660">
        <f>$I$1</f>
        <v>19.336633663366339</v>
      </c>
      <c r="F7" s="1655">
        <v>0.5</v>
      </c>
      <c r="G7" s="1656">
        <f>D7*E7</f>
        <v>154693.0693069307</v>
      </c>
      <c r="H7" s="1657">
        <f>G7*F7</f>
        <v>77346.534653465351</v>
      </c>
      <c r="I7" s="914">
        <f>VLOOKUP(B7,All_Ingredients!$A$1:$F$161,6,FALSE())</f>
        <v>1</v>
      </c>
      <c r="J7" s="940">
        <f>VLOOKUP(B7,All_Ingredients!$A$1:$J$161,10,FALSE())</f>
        <v>0</v>
      </c>
      <c r="K7" s="945">
        <f t="shared" si="0"/>
        <v>77.346534653465355</v>
      </c>
      <c r="L7" s="945">
        <f t="shared" si="1"/>
        <v>0</v>
      </c>
    </row>
    <row r="8" spans="1:30" x14ac:dyDescent="0.25">
      <c r="A8" s="1653"/>
      <c r="B8" s="1661" t="s">
        <v>93</v>
      </c>
      <c r="C8" s="1662" t="s">
        <v>14</v>
      </c>
      <c r="D8" s="1660">
        <v>10</v>
      </c>
      <c r="E8" s="1660">
        <f>$I$1</f>
        <v>19.336633663366339</v>
      </c>
      <c r="F8" s="1655">
        <v>1</v>
      </c>
      <c r="G8" s="1656">
        <f>D8*E8</f>
        <v>193.36633663366339</v>
      </c>
      <c r="H8" s="1657">
        <f>G8*F8</f>
        <v>193.36633663366339</v>
      </c>
      <c r="I8" s="914">
        <f>VLOOKUP(B8,All_Ingredients!$A$1:$F$161,6,FALSE())</f>
        <v>1</v>
      </c>
      <c r="J8" s="940">
        <f>VLOOKUP(B8,All_Ingredients!$A$1:$J$161,10,FALSE())</f>
        <v>0.74</v>
      </c>
      <c r="K8" s="945">
        <f t="shared" si="0"/>
        <v>0.1933663366336634</v>
      </c>
      <c r="L8" s="945">
        <f t="shared" si="1"/>
        <v>0.14309108910891091</v>
      </c>
    </row>
    <row r="9" spans="1:30" x14ac:dyDescent="0.25">
      <c r="A9" s="1653"/>
      <c r="B9" s="1661" t="s">
        <v>211</v>
      </c>
      <c r="C9" s="1662" t="s">
        <v>14</v>
      </c>
      <c r="D9" s="1660">
        <v>5</v>
      </c>
      <c r="E9" s="1660">
        <f>$I$1</f>
        <v>19.336633663366339</v>
      </c>
      <c r="F9" s="1655">
        <v>1</v>
      </c>
      <c r="G9" s="1656">
        <f>D9*E9</f>
        <v>96.683168316831697</v>
      </c>
      <c r="H9" s="1657">
        <f>G9*F9</f>
        <v>96.683168316831697</v>
      </c>
      <c r="I9" s="914">
        <f>VLOOKUP(B9,All_Ingredients!$A$1:$F$161,6,FALSE())</f>
        <v>1</v>
      </c>
      <c r="J9" s="940">
        <f>VLOOKUP(B9,All_Ingredients!$A$1:$J$161,10,FALSE())</f>
        <v>15.5</v>
      </c>
      <c r="K9" s="945">
        <f t="shared" si="0"/>
        <v>9.66831683168317E-2</v>
      </c>
      <c r="L9" s="945">
        <f t="shared" si="1"/>
        <v>1.4985891089108914</v>
      </c>
    </row>
    <row r="25" spans="18:29" x14ac:dyDescent="0.25">
      <c r="R25" s="1894" t="s">
        <v>509</v>
      </c>
      <c r="S25" s="1894"/>
      <c r="Z25" s="96" t="s">
        <v>14</v>
      </c>
      <c r="AA25" s="97">
        <v>1</v>
      </c>
      <c r="AB25" s="96" t="s">
        <v>249</v>
      </c>
      <c r="AC25" s="98">
        <f>(S33/S29)*AA25</f>
        <v>3.0488558855885591E-3</v>
      </c>
    </row>
    <row r="26" spans="18:29" x14ac:dyDescent="0.25">
      <c r="R26" s="782" t="s">
        <v>254</v>
      </c>
      <c r="S26" s="782" t="s">
        <v>538</v>
      </c>
    </row>
    <row r="27" spans="18:29" x14ac:dyDescent="0.25">
      <c r="R27" s="782" t="s">
        <v>502</v>
      </c>
      <c r="S27" s="783">
        <f>Z1</f>
        <v>19530</v>
      </c>
    </row>
    <row r="28" spans="18:29" x14ac:dyDescent="0.25">
      <c r="R28" s="782" t="s">
        <v>265</v>
      </c>
      <c r="S28" s="784">
        <f>AB1</f>
        <v>0</v>
      </c>
    </row>
    <row r="29" spans="18:29" x14ac:dyDescent="0.25">
      <c r="R29" s="782" t="s">
        <v>257</v>
      </c>
      <c r="S29" s="785">
        <f>S27+S28</f>
        <v>19530</v>
      </c>
    </row>
    <row r="33" spans="18:19" ht="15.75" thickBot="1" x14ac:dyDescent="0.3">
      <c r="R33" s="117" t="s">
        <v>249</v>
      </c>
      <c r="S33" s="548">
        <f>SUM(L5:L9)</f>
        <v>59.544155445544561</v>
      </c>
    </row>
    <row r="50" spans="1:8" x14ac:dyDescent="0.25">
      <c r="B50" s="848"/>
      <c r="C50" s="786" t="s">
        <v>233</v>
      </c>
      <c r="D50" s="786" t="s">
        <v>279</v>
      </c>
    </row>
    <row r="51" spans="1:8" x14ac:dyDescent="0.25">
      <c r="B51" s="844" t="s">
        <v>283</v>
      </c>
      <c r="C51" s="133">
        <f>10/$K$1</f>
        <v>9.9009900990099009</v>
      </c>
      <c r="D51" s="134">
        <f>$C$1*10</f>
        <v>10000</v>
      </c>
    </row>
    <row r="52" spans="1:8" x14ac:dyDescent="0.25">
      <c r="B52" s="849" t="s">
        <v>257</v>
      </c>
      <c r="C52" s="329">
        <f>G1</f>
        <v>19.53</v>
      </c>
      <c r="D52" s="329">
        <f>E1</f>
        <v>19530</v>
      </c>
    </row>
    <row r="53" spans="1:8" x14ac:dyDescent="0.25">
      <c r="B53" s="849" t="s">
        <v>284</v>
      </c>
      <c r="C53" s="330">
        <f>MIN($C$52, C51)</f>
        <v>9.9009900990099009</v>
      </c>
      <c r="D53" s="459">
        <f>(C53*$K$1)*$C$1</f>
        <v>10000</v>
      </c>
    </row>
    <row r="54" spans="1:8" x14ac:dyDescent="0.25">
      <c r="B54" s="849" t="s">
        <v>285</v>
      </c>
      <c r="C54" s="330">
        <f>MIN(MAX($C$52-C53,0),$C$51)</f>
        <v>9.6290099009901002</v>
      </c>
      <c r="D54" s="459">
        <f>(C54*$K$1)*$C$1</f>
        <v>9725.3000000000011</v>
      </c>
    </row>
    <row r="55" spans="1:8" x14ac:dyDescent="0.25">
      <c r="B55" s="849" t="s">
        <v>286</v>
      </c>
      <c r="C55" s="330">
        <f>MIN(MAX($C$52-C53-C54,0),$C$51)</f>
        <v>0</v>
      </c>
      <c r="D55" s="459">
        <f>(C55*$K$1)*$C$1</f>
        <v>0</v>
      </c>
    </row>
    <row r="56" spans="1:8" x14ac:dyDescent="0.25">
      <c r="B56" s="849" t="s">
        <v>293</v>
      </c>
      <c r="C56" s="330">
        <f>MIN(MAX($C$52-C53-C54-C55,0),$C$51)</f>
        <v>0</v>
      </c>
      <c r="D56" s="331">
        <f>C56*$K$1</f>
        <v>0</v>
      </c>
    </row>
    <row r="62" spans="1:8" x14ac:dyDescent="0.25">
      <c r="A62" s="864"/>
      <c r="B62" s="1871" t="s">
        <v>749</v>
      </c>
      <c r="C62" s="1880"/>
      <c r="D62" s="1880"/>
      <c r="E62" s="1880"/>
      <c r="F62" s="1880"/>
      <c r="G62" s="1880"/>
      <c r="H62" s="1880"/>
    </row>
    <row r="63" spans="1:8" x14ac:dyDescent="0.25">
      <c r="A63" s="864"/>
      <c r="B63" s="1804" t="s">
        <v>750</v>
      </c>
      <c r="C63" s="1890"/>
      <c r="D63" s="1890"/>
      <c r="E63" s="1890"/>
      <c r="F63" s="1890"/>
      <c r="G63" s="1890"/>
      <c r="H63" s="1890"/>
    </row>
    <row r="64" spans="1:8" ht="38.25" x14ac:dyDescent="0.2">
      <c r="A64" s="1350" t="s">
        <v>1</v>
      </c>
      <c r="B64" s="1104" t="s">
        <v>241</v>
      </c>
      <c r="C64" s="934" t="s">
        <v>242</v>
      </c>
      <c r="D64" s="1104" t="s">
        <v>231</v>
      </c>
      <c r="E64" s="936" t="s">
        <v>234</v>
      </c>
      <c r="F64" s="936" t="s">
        <v>243</v>
      </c>
      <c r="G64" s="1104" t="s">
        <v>244</v>
      </c>
      <c r="H64" s="936" t="s">
        <v>245</v>
      </c>
    </row>
    <row r="65" spans="1:8" x14ac:dyDescent="0.25">
      <c r="A65" s="1653"/>
      <c r="B65" s="1661" t="str">
        <f t="shared" ref="B65:D68" si="2">B6</f>
        <v>Pasta Spaghettini  - مكرونة اسباجيتي</v>
      </c>
      <c r="C65" s="1662" t="str">
        <f t="shared" si="2"/>
        <v>gm</v>
      </c>
      <c r="D65" s="1663">
        <f t="shared" si="2"/>
        <v>330</v>
      </c>
      <c r="E65" s="1660">
        <f>$C$52</f>
        <v>19.53</v>
      </c>
      <c r="F65" s="1655">
        <f>F6</f>
        <v>1</v>
      </c>
      <c r="G65" s="1656">
        <f>D65*E65</f>
        <v>6444.9000000000005</v>
      </c>
      <c r="H65" s="1657">
        <f>G65*F65</f>
        <v>6444.9000000000005</v>
      </c>
    </row>
    <row r="66" spans="1:8" x14ac:dyDescent="0.25">
      <c r="A66" s="1653"/>
      <c r="B66" s="1661" t="str">
        <f t="shared" si="2"/>
        <v>Water - ماء</v>
      </c>
      <c r="C66" s="1662" t="str">
        <f t="shared" si="2"/>
        <v>ml</v>
      </c>
      <c r="D66" s="1663">
        <f t="shared" si="2"/>
        <v>8000</v>
      </c>
      <c r="E66" s="1660">
        <f t="shared" ref="E66:E68" si="3">$C$52</f>
        <v>19.53</v>
      </c>
      <c r="F66" s="1655">
        <f>F7</f>
        <v>0.5</v>
      </c>
      <c r="G66" s="1656">
        <f>D66*E66</f>
        <v>156240</v>
      </c>
      <c r="H66" s="1657">
        <f>G66*F66</f>
        <v>78120</v>
      </c>
    </row>
    <row r="67" spans="1:8" x14ac:dyDescent="0.25">
      <c r="A67" s="1653"/>
      <c r="B67" s="1661" t="str">
        <f t="shared" si="2"/>
        <v>Salt - ملح</v>
      </c>
      <c r="C67" s="1662" t="str">
        <f t="shared" si="2"/>
        <v>gm</v>
      </c>
      <c r="D67" s="1663">
        <f t="shared" si="2"/>
        <v>10</v>
      </c>
      <c r="E67" s="1660">
        <f t="shared" si="3"/>
        <v>19.53</v>
      </c>
      <c r="F67" s="1655">
        <f>F8</f>
        <v>1</v>
      </c>
      <c r="G67" s="1656">
        <f>D67*E67</f>
        <v>195.3</v>
      </c>
      <c r="H67" s="1657">
        <f>G67*F67</f>
        <v>195.3</v>
      </c>
    </row>
    <row r="68" spans="1:8" x14ac:dyDescent="0.25">
      <c r="A68" s="1653"/>
      <c r="B68" s="1661" t="str">
        <f t="shared" si="2"/>
        <v>Olive Oil - زيت زيتون</v>
      </c>
      <c r="C68" s="1662" t="str">
        <f t="shared" si="2"/>
        <v>gm</v>
      </c>
      <c r="D68" s="1663">
        <f t="shared" si="2"/>
        <v>5</v>
      </c>
      <c r="E68" s="1660">
        <f t="shared" si="3"/>
        <v>19.53</v>
      </c>
      <c r="F68" s="1655">
        <f>F9</f>
        <v>1</v>
      </c>
      <c r="G68" s="1656">
        <f>D68*E68</f>
        <v>97.65</v>
      </c>
      <c r="H68" s="1657">
        <f>G68*F68</f>
        <v>97.65</v>
      </c>
    </row>
    <row r="69" spans="1:8" ht="15.75" x14ac:dyDescent="0.25">
      <c r="A69" s="1653"/>
      <c r="B69" s="1622" t="s">
        <v>682</v>
      </c>
      <c r="C69" s="1302"/>
      <c r="D69" s="1302"/>
      <c r="E69" s="1302"/>
      <c r="F69" s="1302"/>
      <c r="G69" s="1664"/>
      <c r="H69" s="1664"/>
    </row>
    <row r="70" spans="1:8" ht="20.25" x14ac:dyDescent="0.3">
      <c r="A70" s="1653"/>
      <c r="B70" s="1048">
        <f>$D$52</f>
        <v>19530</v>
      </c>
      <c r="C70" s="1664"/>
      <c r="D70" s="1664"/>
      <c r="E70" s="1664"/>
      <c r="F70" s="1665"/>
      <c r="G70" s="1664"/>
      <c r="H70" s="1664"/>
    </row>
    <row r="71" spans="1:8" x14ac:dyDescent="0.25">
      <c r="B71" s="336"/>
      <c r="E71" s="336"/>
      <c r="F71" s="336"/>
    </row>
    <row r="72" spans="1:8" x14ac:dyDescent="0.25">
      <c r="A72" s="881"/>
      <c r="B72" s="604"/>
      <c r="C72" s="604"/>
      <c r="D72" s="604"/>
      <c r="E72" s="604"/>
      <c r="F72" s="604"/>
      <c r="G72" s="604"/>
      <c r="H72" s="604"/>
    </row>
    <row r="73" spans="1:8" ht="18" x14ac:dyDescent="0.25">
      <c r="A73" s="878"/>
      <c r="B73" s="1819"/>
      <c r="C73" s="1820"/>
      <c r="D73" s="1820"/>
      <c r="E73" s="1820"/>
      <c r="F73" s="1820"/>
      <c r="G73" s="1820"/>
      <c r="H73" s="1820"/>
    </row>
    <row r="74" spans="1:8" ht="18" x14ac:dyDescent="0.25">
      <c r="A74" s="878"/>
      <c r="B74" s="1819"/>
      <c r="C74" s="1820"/>
      <c r="D74" s="1820"/>
      <c r="E74" s="1820"/>
      <c r="F74" s="1820"/>
      <c r="G74" s="1820"/>
      <c r="H74" s="1820"/>
    </row>
    <row r="84" spans="2:8" ht="18" x14ac:dyDescent="0.25">
      <c r="B84" s="1819"/>
      <c r="C84" s="1820"/>
      <c r="D84" s="1820"/>
      <c r="E84" s="1820"/>
      <c r="F84" s="1820"/>
      <c r="G84" s="1820"/>
      <c r="H84" s="1820"/>
    </row>
    <row r="85" spans="2:8" ht="18" x14ac:dyDescent="0.25">
      <c r="B85" s="1819"/>
      <c r="C85" s="1820"/>
      <c r="D85" s="1820"/>
      <c r="E85" s="1820"/>
      <c r="F85" s="1820"/>
      <c r="G85" s="1820"/>
      <c r="H85" s="1820"/>
    </row>
    <row r="86" spans="2:8" x14ac:dyDescent="0.25">
      <c r="B86" s="787"/>
      <c r="C86" s="788"/>
      <c r="D86" s="787"/>
      <c r="E86" s="787"/>
      <c r="F86" s="787"/>
      <c r="G86" s="787"/>
      <c r="H86" s="787"/>
    </row>
    <row r="87" spans="2:8" x14ac:dyDescent="0.25">
      <c r="B87" s="789"/>
      <c r="C87" s="789"/>
      <c r="D87" s="789"/>
      <c r="E87" s="792"/>
      <c r="F87" s="793"/>
      <c r="G87" s="790"/>
      <c r="H87" s="791"/>
    </row>
    <row r="88" spans="2:8" x14ac:dyDescent="0.25">
      <c r="B88" s="789"/>
      <c r="C88" s="789"/>
      <c r="D88" s="789"/>
      <c r="E88" s="792"/>
      <c r="F88" s="793"/>
      <c r="G88" s="790"/>
      <c r="H88" s="791"/>
    </row>
    <row r="89" spans="2:8" x14ac:dyDescent="0.25">
      <c r="B89" s="789"/>
      <c r="C89" s="789"/>
      <c r="D89" s="789"/>
      <c r="E89" s="792"/>
      <c r="F89" s="793"/>
      <c r="G89" s="790"/>
      <c r="H89" s="791"/>
    </row>
    <row r="90" spans="2:8" x14ac:dyDescent="0.25">
      <c r="B90" s="789"/>
      <c r="C90" s="789"/>
      <c r="D90" s="789"/>
      <c r="E90" s="792"/>
      <c r="F90" s="793"/>
      <c r="G90" s="790"/>
      <c r="H90" s="791"/>
    </row>
    <row r="91" spans="2:8" ht="15.75" x14ac:dyDescent="0.25">
      <c r="B91" s="452"/>
      <c r="C91" s="603"/>
      <c r="D91" s="603"/>
      <c r="E91" s="604"/>
      <c r="F91" s="604"/>
      <c r="G91" s="603"/>
      <c r="H91" s="603"/>
    </row>
    <row r="92" spans="2:8" ht="20.25" x14ac:dyDescent="0.3">
      <c r="B92" s="453"/>
      <c r="C92" s="603"/>
      <c r="D92" s="603"/>
      <c r="E92" s="603"/>
      <c r="F92" s="603"/>
      <c r="G92" s="603"/>
      <c r="H92" s="603"/>
    </row>
    <row r="93" spans="2:8" ht="18" x14ac:dyDescent="0.25">
      <c r="B93" s="1819"/>
      <c r="C93" s="1820"/>
      <c r="D93" s="1820"/>
      <c r="E93" s="1820"/>
      <c r="F93" s="1820"/>
      <c r="G93" s="1820"/>
      <c r="H93" s="1820"/>
    </row>
    <row r="94" spans="2:8" ht="18" x14ac:dyDescent="0.25">
      <c r="B94" s="1819"/>
      <c r="C94" s="1820"/>
      <c r="D94" s="1820"/>
      <c r="E94" s="1820"/>
      <c r="F94" s="1820"/>
      <c r="G94" s="1820"/>
      <c r="H94" s="1820"/>
    </row>
  </sheetData>
  <mergeCells count="10">
    <mergeCell ref="R25:S25"/>
    <mergeCell ref="B62:H62"/>
    <mergeCell ref="B63:H63"/>
    <mergeCell ref="B73:H73"/>
    <mergeCell ref="B74:H74"/>
    <mergeCell ref="B84:H84"/>
    <mergeCell ref="B85:H85"/>
    <mergeCell ref="B93:H93"/>
    <mergeCell ref="B94:H94"/>
    <mergeCell ref="B2:H3"/>
  </mergeCells>
  <printOptions horizontalCentered="1"/>
  <pageMargins left="0.5" right="0.5" top="1" bottom="0.5" header="0.3" footer="0.3"/>
  <pageSetup paperSize="9" scale="21"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6B7E2-B3A6-45C7-91B0-BE93769B354B}">
  <sheetPr codeName="Sheet78">
    <tabColor rgb="FFFFFF00"/>
    <pageSetUpPr fitToPage="1"/>
  </sheetPr>
  <dimension ref="A1:AD104"/>
  <sheetViews>
    <sheetView zoomScale="40" zoomScaleNormal="40" workbookViewId="0">
      <selection activeCell="M82" sqref="M82"/>
    </sheetView>
  </sheetViews>
  <sheetFormatPr defaultColWidth="12.5" defaultRowHeight="15" x14ac:dyDescent="0.25"/>
  <cols>
    <col min="1" max="1" width="8" style="61" bestFit="1" customWidth="1"/>
    <col min="2" max="2" width="32.625" style="14" bestFit="1" customWidth="1"/>
    <col min="3" max="4" width="17" style="14" bestFit="1" customWidth="1"/>
    <col min="5" max="5" width="15.5" style="14" bestFit="1" customWidth="1"/>
    <col min="6" max="6" width="19.25" style="14" bestFit="1" customWidth="1"/>
    <col min="7" max="7" width="18.875" style="14" bestFit="1" customWidth="1"/>
    <col min="8" max="8" width="47" style="14" bestFit="1" customWidth="1"/>
    <col min="9" max="9" width="12.375" style="14" bestFit="1" customWidth="1"/>
    <col min="10" max="10" width="11.625" style="14" bestFit="1" customWidth="1"/>
    <col min="11" max="11" width="12.625" style="14" bestFit="1" customWidth="1"/>
    <col min="12" max="12" width="7" style="14" bestFit="1" customWidth="1"/>
    <col min="13" max="13" width="7.375" style="14" bestFit="1" customWidth="1"/>
    <col min="14" max="17" width="3.75" style="14" customWidth="1"/>
    <col min="18" max="18" width="8" style="14" bestFit="1" customWidth="1"/>
    <col min="19" max="19" width="17" style="14" bestFit="1" customWidth="1"/>
    <col min="20" max="24" width="4.75" style="14" customWidth="1"/>
    <col min="25" max="25" width="9.5" style="14" bestFit="1" customWidth="1"/>
    <col min="26" max="26" width="7" style="14" bestFit="1" customWidth="1"/>
    <col min="27" max="27" width="9.25" style="14" bestFit="1" customWidth="1"/>
    <col min="28" max="28" width="7" style="14" bestFit="1" customWidth="1"/>
    <col min="29" max="29" width="8.25" style="14" bestFit="1" customWidth="1"/>
    <col min="30" max="30" width="4.5" style="14" bestFit="1" customWidth="1"/>
    <col min="31" max="16384" width="12.5" style="14"/>
  </cols>
  <sheetData>
    <row r="1" spans="2:30" ht="26.25" x14ac:dyDescent="0.25">
      <c r="B1" s="843" t="s">
        <v>231</v>
      </c>
      <c r="C1" s="63">
        <v>1000</v>
      </c>
      <c r="D1" s="64" t="s">
        <v>232</v>
      </c>
      <c r="E1" s="84">
        <f>S30</f>
        <v>10350</v>
      </c>
      <c r="F1" s="62" t="s">
        <v>233</v>
      </c>
      <c r="G1" s="84">
        <f>E1/C1</f>
        <v>10.35</v>
      </c>
      <c r="H1" s="62" t="s">
        <v>234</v>
      </c>
      <c r="I1" s="84">
        <f>G1/K1</f>
        <v>10.35</v>
      </c>
      <c r="J1" s="209" t="s">
        <v>235</v>
      </c>
      <c r="K1" s="210">
        <v>1</v>
      </c>
      <c r="L1" s="80"/>
      <c r="M1" s="80" t="s">
        <v>389</v>
      </c>
      <c r="N1" s="80"/>
      <c r="O1" s="80"/>
      <c r="Y1" s="72" t="s">
        <v>444</v>
      </c>
      <c r="Z1" s="422">
        <v>10350</v>
      </c>
      <c r="AA1" s="72" t="s">
        <v>544</v>
      </c>
      <c r="AB1" s="422">
        <v>0</v>
      </c>
      <c r="AC1" s="72" t="s">
        <v>537</v>
      </c>
      <c r="AD1" s="422">
        <v>69</v>
      </c>
    </row>
    <row r="2" spans="2:30" x14ac:dyDescent="0.25">
      <c r="B2" s="1828" t="s">
        <v>390</v>
      </c>
      <c r="C2" s="1865"/>
      <c r="D2" s="1865"/>
      <c r="E2" s="1865"/>
      <c r="F2" s="1865"/>
      <c r="G2" s="1865"/>
      <c r="H2" s="1865"/>
      <c r="I2" s="80"/>
      <c r="J2" s="80"/>
      <c r="K2" s="80"/>
      <c r="L2" s="80"/>
      <c r="M2" s="80"/>
      <c r="N2" s="80"/>
      <c r="O2" s="80"/>
    </row>
    <row r="3" spans="2:30" x14ac:dyDescent="0.25">
      <c r="B3" s="1796"/>
      <c r="C3" s="1796"/>
      <c r="D3" s="1796"/>
      <c r="E3" s="1796"/>
      <c r="F3" s="1796"/>
      <c r="G3" s="1796"/>
      <c r="H3" s="1796"/>
      <c r="I3" s="80"/>
      <c r="J3" s="80"/>
      <c r="K3" s="80"/>
      <c r="L3" s="80"/>
      <c r="M3" s="80"/>
      <c r="N3" s="80"/>
      <c r="O3" s="80"/>
    </row>
    <row r="4" spans="2:30" ht="38.25" x14ac:dyDescent="0.25">
      <c r="B4" s="923" t="s">
        <v>241</v>
      </c>
      <c r="C4" s="934" t="s">
        <v>242</v>
      </c>
      <c r="D4" s="923" t="s">
        <v>231</v>
      </c>
      <c r="E4" s="936" t="s">
        <v>234</v>
      </c>
      <c r="F4" s="935" t="s">
        <v>243</v>
      </c>
      <c r="G4" s="923" t="s">
        <v>244</v>
      </c>
      <c r="H4" s="934" t="s">
        <v>334</v>
      </c>
      <c r="I4" s="923" t="s">
        <v>246</v>
      </c>
      <c r="J4" s="923" t="s">
        <v>247</v>
      </c>
      <c r="K4" s="923" t="s">
        <v>248</v>
      </c>
      <c r="L4" s="923" t="s">
        <v>249</v>
      </c>
      <c r="M4" s="80"/>
      <c r="N4" s="80"/>
      <c r="O4" s="80"/>
    </row>
    <row r="5" spans="2:30" x14ac:dyDescent="0.25">
      <c r="B5" s="1281"/>
      <c r="C5" s="1673"/>
      <c r="D5" s="1281"/>
      <c r="E5" s="1623"/>
      <c r="F5" s="1281"/>
      <c r="G5" s="1281"/>
      <c r="H5" s="1673"/>
      <c r="I5" s="914"/>
      <c r="J5" s="940"/>
      <c r="K5" s="945"/>
      <c r="L5" s="945"/>
    </row>
    <row r="6" spans="2:30" x14ac:dyDescent="0.25">
      <c r="B6" s="1252" t="s">
        <v>19</v>
      </c>
      <c r="C6" s="947" t="s">
        <v>14</v>
      </c>
      <c r="D6" s="1674">
        <v>450</v>
      </c>
      <c r="E6" s="1615">
        <f t="shared" ref="E6:E14" si="0">$I$1</f>
        <v>10.35</v>
      </c>
      <c r="F6" s="1616">
        <v>1</v>
      </c>
      <c r="G6" s="940">
        <f t="shared" ref="G6:G14" si="1">D6*E6</f>
        <v>4657.5</v>
      </c>
      <c r="H6" s="1617">
        <f t="shared" ref="H6:H14" si="2">G6*F6</f>
        <v>4657.5</v>
      </c>
      <c r="I6" s="914">
        <f>VLOOKUP(B6,All_Ingredients!$A$1:$F$161,6,FALSE())</f>
        <v>0.8</v>
      </c>
      <c r="J6" s="940">
        <f>VLOOKUP(B6,All_Ingredients!$A$1:$J$161,10,FALSE())</f>
        <v>2.6</v>
      </c>
      <c r="K6" s="945">
        <f t="shared" ref="K6" si="3">(H6/I6)/1000</f>
        <v>5.8218750000000004</v>
      </c>
      <c r="L6" s="945">
        <f t="shared" ref="L6" si="4">K6*J6</f>
        <v>15.136875000000002</v>
      </c>
    </row>
    <row r="7" spans="2:30" x14ac:dyDescent="0.25">
      <c r="B7" s="1252" t="s">
        <v>47</v>
      </c>
      <c r="C7" s="947" t="s">
        <v>14</v>
      </c>
      <c r="D7" s="1674">
        <v>450</v>
      </c>
      <c r="E7" s="1615">
        <f t="shared" si="0"/>
        <v>10.35</v>
      </c>
      <c r="F7" s="1616">
        <v>1</v>
      </c>
      <c r="G7" s="940">
        <f t="shared" si="1"/>
        <v>4657.5</v>
      </c>
      <c r="H7" s="1617">
        <f t="shared" si="2"/>
        <v>4657.5</v>
      </c>
      <c r="I7" s="914">
        <f>VLOOKUP(B7,All_Ingredients!$A$1:$F$161,6,FALSE())</f>
        <v>0.78</v>
      </c>
      <c r="J7" s="940">
        <f>VLOOKUP(B7,All_Ingredients!$A$1:$J$161,10,FALSE())</f>
        <v>3.7</v>
      </c>
      <c r="K7" s="945">
        <f t="shared" ref="K7:K14" si="5">(H7/I7)/1000</f>
        <v>5.9711538461538458</v>
      </c>
      <c r="L7" s="945">
        <f t="shared" ref="L7:L14" si="6">K7*J7</f>
        <v>22.093269230769231</v>
      </c>
    </row>
    <row r="8" spans="2:30" x14ac:dyDescent="0.25">
      <c r="B8" s="1252" t="s">
        <v>28</v>
      </c>
      <c r="C8" s="947" t="s">
        <v>14</v>
      </c>
      <c r="D8" s="1674">
        <v>80</v>
      </c>
      <c r="E8" s="1615">
        <f t="shared" si="0"/>
        <v>10.35</v>
      </c>
      <c r="F8" s="1616">
        <v>1</v>
      </c>
      <c r="G8" s="940">
        <f t="shared" si="1"/>
        <v>828</v>
      </c>
      <c r="H8" s="1617">
        <f t="shared" si="2"/>
        <v>828</v>
      </c>
      <c r="I8" s="914">
        <f>VLOOKUP(B8,All_Ingredients!$A$1:$F$161,6,FALSE())</f>
        <v>0.73</v>
      </c>
      <c r="J8" s="940">
        <f>VLOOKUP(B8,All_Ingredients!$A$1:$J$161,10,FALSE())</f>
        <v>8.5</v>
      </c>
      <c r="K8" s="945">
        <f t="shared" si="5"/>
        <v>1.1342465753424658</v>
      </c>
      <c r="L8" s="945">
        <f t="shared" si="6"/>
        <v>9.6410958904109592</v>
      </c>
    </row>
    <row r="9" spans="2:30" x14ac:dyDescent="0.25">
      <c r="B9" s="1252" t="s">
        <v>30</v>
      </c>
      <c r="C9" s="947" t="s">
        <v>14</v>
      </c>
      <c r="D9" s="1674">
        <v>80</v>
      </c>
      <c r="E9" s="1615">
        <f t="shared" si="0"/>
        <v>10.35</v>
      </c>
      <c r="F9" s="1616">
        <v>1</v>
      </c>
      <c r="G9" s="940">
        <f t="shared" si="1"/>
        <v>828</v>
      </c>
      <c r="H9" s="1617">
        <f t="shared" si="2"/>
        <v>828</v>
      </c>
      <c r="I9" s="914">
        <f>VLOOKUP(B9,All_Ingredients!$A$1:$F$161,6,FALSE())</f>
        <v>0.71</v>
      </c>
      <c r="J9" s="940">
        <f>VLOOKUP(B9,All_Ingredients!$A$1:$J$161,10,FALSE())</f>
        <v>8.5</v>
      </c>
      <c r="K9" s="945">
        <f t="shared" si="5"/>
        <v>1.1661971830985915</v>
      </c>
      <c r="L9" s="945">
        <f t="shared" si="6"/>
        <v>9.9126760563380287</v>
      </c>
    </row>
    <row r="10" spans="2:30" x14ac:dyDescent="0.25">
      <c r="B10" s="1252" t="s">
        <v>32</v>
      </c>
      <c r="C10" s="947" t="s">
        <v>14</v>
      </c>
      <c r="D10" s="1674">
        <v>80</v>
      </c>
      <c r="E10" s="1615">
        <f t="shared" si="0"/>
        <v>10.35</v>
      </c>
      <c r="F10" s="1616">
        <v>1</v>
      </c>
      <c r="G10" s="940">
        <f t="shared" si="1"/>
        <v>828</v>
      </c>
      <c r="H10" s="1617">
        <f t="shared" si="2"/>
        <v>828</v>
      </c>
      <c r="I10" s="914">
        <f>VLOOKUP(B10,All_Ingredients!$A$1:$F$161,6,FALSE())</f>
        <v>0.69</v>
      </c>
      <c r="J10" s="940">
        <f>VLOOKUP(B10,All_Ingredients!$A$1:$J$161,10,FALSE())</f>
        <v>4</v>
      </c>
      <c r="K10" s="945">
        <f t="shared" si="5"/>
        <v>1.2</v>
      </c>
      <c r="L10" s="945">
        <f t="shared" si="6"/>
        <v>4.8</v>
      </c>
    </row>
    <row r="11" spans="2:30" x14ac:dyDescent="0.25">
      <c r="B11" s="1252" t="s">
        <v>50</v>
      </c>
      <c r="C11" s="947" t="s">
        <v>14</v>
      </c>
      <c r="D11" s="1674">
        <v>80</v>
      </c>
      <c r="E11" s="1615">
        <f t="shared" si="0"/>
        <v>10.35</v>
      </c>
      <c r="F11" s="1616">
        <v>1</v>
      </c>
      <c r="G11" s="940">
        <f t="shared" si="1"/>
        <v>828</v>
      </c>
      <c r="H11" s="1617">
        <f t="shared" si="2"/>
        <v>828</v>
      </c>
      <c r="I11" s="914">
        <f>VLOOKUP(B11,All_Ingredients!$A$1:$F$161,6,FALSE())</f>
        <v>0.75</v>
      </c>
      <c r="J11" s="940">
        <f>VLOOKUP(B11,All_Ingredients!$A$1:$J$161,10,FALSE())</f>
        <v>20</v>
      </c>
      <c r="K11" s="945">
        <f t="shared" si="5"/>
        <v>1.1040000000000001</v>
      </c>
      <c r="L11" s="945">
        <f t="shared" si="6"/>
        <v>22.080000000000002</v>
      </c>
    </row>
    <row r="12" spans="2:30" x14ac:dyDescent="0.25">
      <c r="B12" s="1252" t="s">
        <v>516</v>
      </c>
      <c r="C12" s="947" t="s">
        <v>14</v>
      </c>
      <c r="D12" s="1674">
        <v>80</v>
      </c>
      <c r="E12" s="1615">
        <f t="shared" si="0"/>
        <v>10.35</v>
      </c>
      <c r="F12" s="1616">
        <v>1</v>
      </c>
      <c r="G12" s="940">
        <f t="shared" si="1"/>
        <v>828</v>
      </c>
      <c r="H12" s="1617">
        <f t="shared" si="2"/>
        <v>828</v>
      </c>
      <c r="I12" s="914">
        <f>VLOOKUP(B12,All_Ingredients!$A$1:$F$161,6,FALSE())</f>
        <v>1</v>
      </c>
      <c r="J12" s="940">
        <f>VLOOKUP(B12,All_Ingredients!$A$1:$J$161,10,FALSE())</f>
        <v>10.196078431372548</v>
      </c>
      <c r="K12" s="945">
        <f t="shared" si="5"/>
        <v>0.82799999999999996</v>
      </c>
      <c r="L12" s="945">
        <f t="shared" si="6"/>
        <v>8.4423529411764697</v>
      </c>
    </row>
    <row r="13" spans="2:30" x14ac:dyDescent="0.25">
      <c r="B13" s="1252" t="s">
        <v>93</v>
      </c>
      <c r="C13" s="947" t="s">
        <v>14</v>
      </c>
      <c r="D13" s="1615">
        <v>4</v>
      </c>
      <c r="E13" s="1615">
        <f t="shared" si="0"/>
        <v>10.35</v>
      </c>
      <c r="F13" s="1616">
        <v>0.75</v>
      </c>
      <c r="G13" s="940">
        <f t="shared" si="1"/>
        <v>41.4</v>
      </c>
      <c r="H13" s="1617">
        <f t="shared" si="2"/>
        <v>31.049999999999997</v>
      </c>
      <c r="I13" s="914">
        <f>VLOOKUP(B13,All_Ingredients!$A$1:$F$161,6,FALSE())</f>
        <v>1</v>
      </c>
      <c r="J13" s="940">
        <f>VLOOKUP(B13,All_Ingredients!$A$1:$J$161,10,FALSE())</f>
        <v>0.74</v>
      </c>
      <c r="K13" s="945">
        <f t="shared" si="5"/>
        <v>3.1049999999999998E-2</v>
      </c>
      <c r="L13" s="945">
        <f t="shared" si="6"/>
        <v>2.2976999999999997E-2</v>
      </c>
    </row>
    <row r="14" spans="2:30" x14ac:dyDescent="0.25">
      <c r="B14" s="1252" t="s">
        <v>99</v>
      </c>
      <c r="C14" s="947" t="s">
        <v>14</v>
      </c>
      <c r="D14" s="1621">
        <v>0.5</v>
      </c>
      <c r="E14" s="1615">
        <f t="shared" si="0"/>
        <v>10.35</v>
      </c>
      <c r="F14" s="1616">
        <v>1</v>
      </c>
      <c r="G14" s="940">
        <f t="shared" si="1"/>
        <v>5.1749999999999998</v>
      </c>
      <c r="H14" s="1617">
        <f t="shared" si="2"/>
        <v>5.1749999999999998</v>
      </c>
      <c r="I14" s="914">
        <f>VLOOKUP(B14,All_Ingredients!$A$1:$F$161,6,FALSE())</f>
        <v>1</v>
      </c>
      <c r="J14" s="940">
        <f>VLOOKUP(B14,All_Ingredients!$A$1:$J$161,10,FALSE())</f>
        <v>31</v>
      </c>
      <c r="K14" s="945">
        <f t="shared" si="5"/>
        <v>5.1749999999999999E-3</v>
      </c>
      <c r="L14" s="945">
        <f t="shared" si="6"/>
        <v>0.16042499999999998</v>
      </c>
    </row>
    <row r="25" spans="18:29" x14ac:dyDescent="0.25">
      <c r="R25" s="1911" t="s">
        <v>391</v>
      </c>
      <c r="S25" s="1888"/>
      <c r="Z25" s="96" t="s">
        <v>14</v>
      </c>
      <c r="AA25" s="97">
        <v>1</v>
      </c>
      <c r="AB25" s="96" t="s">
        <v>249</v>
      </c>
      <c r="AC25" s="98">
        <f>(S35/S30)*AA25</f>
        <v>8.9168764365888577E-3</v>
      </c>
    </row>
    <row r="26" spans="18:29" x14ac:dyDescent="0.25">
      <c r="R26" s="1911" t="s">
        <v>337</v>
      </c>
      <c r="S26" s="1888"/>
    </row>
    <row r="27" spans="18:29" x14ac:dyDescent="0.25">
      <c r="R27" s="100" t="s">
        <v>254</v>
      </c>
      <c r="S27" s="100" t="s">
        <v>338</v>
      </c>
    </row>
    <row r="28" spans="18:29" x14ac:dyDescent="0.25">
      <c r="R28" s="100" t="s">
        <v>263</v>
      </c>
      <c r="S28" s="398">
        <f>Z1</f>
        <v>10350</v>
      </c>
    </row>
    <row r="29" spans="18:29" x14ac:dyDescent="0.25">
      <c r="R29" s="100" t="s">
        <v>265</v>
      </c>
      <c r="S29" s="398">
        <f>AB1</f>
        <v>0</v>
      </c>
    </row>
    <row r="30" spans="18:29" x14ac:dyDescent="0.25">
      <c r="R30" s="100" t="s">
        <v>257</v>
      </c>
      <c r="S30" s="218">
        <f>SUM(S28:S29)</f>
        <v>10350</v>
      </c>
    </row>
    <row r="35" spans="18:19" ht="15.75" thickBot="1" x14ac:dyDescent="0.3">
      <c r="R35" s="117" t="s">
        <v>249</v>
      </c>
      <c r="S35" s="589">
        <f>SUM(L6:L14)</f>
        <v>92.289671118694685</v>
      </c>
    </row>
    <row r="40" spans="18:19" x14ac:dyDescent="0.25">
      <c r="R40" s="14" t="s">
        <v>533</v>
      </c>
    </row>
    <row r="50" spans="1:8" x14ac:dyDescent="0.25">
      <c r="B50" s="845"/>
      <c r="C50" s="150" t="s">
        <v>233</v>
      </c>
      <c r="D50" s="150" t="s">
        <v>279</v>
      </c>
    </row>
    <row r="51" spans="1:8" x14ac:dyDescent="0.25">
      <c r="B51" s="844" t="s">
        <v>283</v>
      </c>
      <c r="C51" s="133">
        <f>10/$K$1</f>
        <v>10</v>
      </c>
      <c r="D51" s="134">
        <f>$C$1*10</f>
        <v>10000</v>
      </c>
    </row>
    <row r="52" spans="1:8" x14ac:dyDescent="0.25">
      <c r="B52" s="846" t="s">
        <v>257</v>
      </c>
      <c r="C52" s="157">
        <f>G1</f>
        <v>10.35</v>
      </c>
      <c r="D52" s="157">
        <f>E1</f>
        <v>10350</v>
      </c>
    </row>
    <row r="53" spans="1:8" x14ac:dyDescent="0.25">
      <c r="B53" s="846" t="s">
        <v>284</v>
      </c>
      <c r="C53" s="158">
        <f>MIN($C$52, C51)</f>
        <v>10</v>
      </c>
      <c r="D53" s="800">
        <f>(C53*$K$1)*$C$1</f>
        <v>10000</v>
      </c>
    </row>
    <row r="54" spans="1:8" x14ac:dyDescent="0.25">
      <c r="B54" s="846" t="s">
        <v>285</v>
      </c>
      <c r="C54" s="158">
        <f>MIN(MAX($C$52-C53,0),C51)</f>
        <v>0.34999999999999964</v>
      </c>
      <c r="D54" s="800">
        <f>(C54*$K$1)*$C$1</f>
        <v>349.99999999999966</v>
      </c>
    </row>
    <row r="55" spans="1:8" x14ac:dyDescent="0.25">
      <c r="B55" s="846" t="s">
        <v>286</v>
      </c>
      <c r="C55" s="158">
        <f>MIN(MAX($C$52-C53-C54,0),10)</f>
        <v>0</v>
      </c>
      <c r="D55" s="157">
        <f>(C55*$K$1)*$C$1</f>
        <v>0</v>
      </c>
    </row>
    <row r="63" spans="1:8" x14ac:dyDescent="0.25">
      <c r="A63" s="864"/>
      <c r="B63" s="1871" t="s">
        <v>765</v>
      </c>
      <c r="C63" s="1880"/>
      <c r="D63" s="1880"/>
      <c r="E63" s="1880"/>
      <c r="F63" s="1880"/>
      <c r="G63" s="1880"/>
      <c r="H63" s="1880"/>
    </row>
    <row r="64" spans="1:8" x14ac:dyDescent="0.25">
      <c r="A64" s="864"/>
      <c r="B64" s="1872" t="s">
        <v>390</v>
      </c>
      <c r="C64" s="1883"/>
      <c r="D64" s="1883"/>
      <c r="E64" s="1883"/>
      <c r="F64" s="1883"/>
      <c r="G64" s="1883"/>
      <c r="H64" s="1883"/>
    </row>
    <row r="65" spans="1:8" ht="38.25" x14ac:dyDescent="0.2">
      <c r="A65" s="872"/>
      <c r="B65" s="1104" t="s">
        <v>241</v>
      </c>
      <c r="C65" s="934" t="s">
        <v>242</v>
      </c>
      <c r="D65" s="1104" t="s">
        <v>231</v>
      </c>
      <c r="E65" s="936" t="s">
        <v>234</v>
      </c>
      <c r="F65" s="936" t="s">
        <v>243</v>
      </c>
      <c r="G65" s="1104" t="s">
        <v>244</v>
      </c>
      <c r="H65" s="936" t="s">
        <v>245</v>
      </c>
    </row>
    <row r="66" spans="1:8" x14ac:dyDescent="0.25">
      <c r="B66" s="1252" t="str">
        <f t="shared" ref="B66:D74" si="7">B6</f>
        <v>Carrot - جزر</v>
      </c>
      <c r="C66" s="947" t="str">
        <f t="shared" si="7"/>
        <v>gm</v>
      </c>
      <c r="D66" s="1615">
        <f t="shared" si="7"/>
        <v>450</v>
      </c>
      <c r="E66" s="1615">
        <f>$C$52</f>
        <v>10.35</v>
      </c>
      <c r="F66" s="1616">
        <f t="shared" ref="F66:F74" si="8">F6</f>
        <v>1</v>
      </c>
      <c r="G66" s="940">
        <f t="shared" ref="G66:G74" si="9">D66*E66</f>
        <v>4657.5</v>
      </c>
      <c r="H66" s="1617">
        <f t="shared" ref="H66:H74" si="10">G66*F66</f>
        <v>4657.5</v>
      </c>
    </row>
    <row r="67" spans="1:8" x14ac:dyDescent="0.25">
      <c r="B67" s="1252" t="str">
        <f t="shared" si="7"/>
        <v>Zucchini - كوسة</v>
      </c>
      <c r="C67" s="947" t="str">
        <f t="shared" si="7"/>
        <v>gm</v>
      </c>
      <c r="D67" s="1615">
        <f t="shared" si="7"/>
        <v>450</v>
      </c>
      <c r="E67" s="1615">
        <f t="shared" ref="E67:E74" si="11">$C$52</f>
        <v>10.35</v>
      </c>
      <c r="F67" s="1616">
        <f t="shared" si="8"/>
        <v>1</v>
      </c>
      <c r="G67" s="940">
        <f t="shared" si="9"/>
        <v>4657.5</v>
      </c>
      <c r="H67" s="1617">
        <f t="shared" si="10"/>
        <v>4657.5</v>
      </c>
    </row>
    <row r="68" spans="1:8" x14ac:dyDescent="0.25">
      <c r="B68" s="1252" t="str">
        <f t="shared" si="7"/>
        <v xml:space="preserve">Red Bell Pepper - فلفل أحمر </v>
      </c>
      <c r="C68" s="947" t="str">
        <f t="shared" si="7"/>
        <v>gm</v>
      </c>
      <c r="D68" s="1615">
        <f t="shared" si="7"/>
        <v>80</v>
      </c>
      <c r="E68" s="1615">
        <f t="shared" si="11"/>
        <v>10.35</v>
      </c>
      <c r="F68" s="1616">
        <f t="shared" si="8"/>
        <v>1</v>
      </c>
      <c r="G68" s="940">
        <f t="shared" si="9"/>
        <v>828</v>
      </c>
      <c r="H68" s="1617">
        <f t="shared" si="10"/>
        <v>828</v>
      </c>
    </row>
    <row r="69" spans="1:8" x14ac:dyDescent="0.25">
      <c r="B69" s="1252" t="str">
        <f t="shared" si="7"/>
        <v xml:space="preserve">Yellow Bell Pepper - فلفل أصفر </v>
      </c>
      <c r="C69" s="947" t="str">
        <f t="shared" si="7"/>
        <v>gm</v>
      </c>
      <c r="D69" s="1615">
        <f t="shared" si="7"/>
        <v>80</v>
      </c>
      <c r="E69" s="1615">
        <f t="shared" si="11"/>
        <v>10.35</v>
      </c>
      <c r="F69" s="1616">
        <f t="shared" si="8"/>
        <v>1</v>
      </c>
      <c r="G69" s="940">
        <f t="shared" si="9"/>
        <v>828</v>
      </c>
      <c r="H69" s="1617">
        <f t="shared" si="10"/>
        <v>828</v>
      </c>
    </row>
    <row r="70" spans="1:8" x14ac:dyDescent="0.25">
      <c r="B70" s="1252" t="str">
        <f t="shared" si="7"/>
        <v>Green Bell Pepper - فلفل أخضر رومى</v>
      </c>
      <c r="C70" s="947" t="str">
        <f t="shared" si="7"/>
        <v>gm</v>
      </c>
      <c r="D70" s="1615">
        <f t="shared" si="7"/>
        <v>80</v>
      </c>
      <c r="E70" s="1615">
        <f t="shared" si="11"/>
        <v>10.35</v>
      </c>
      <c r="F70" s="1616">
        <f t="shared" si="8"/>
        <v>1</v>
      </c>
      <c r="G70" s="940">
        <f t="shared" si="9"/>
        <v>828</v>
      </c>
      <c r="H70" s="1617">
        <f t="shared" si="10"/>
        <v>828</v>
      </c>
    </row>
    <row r="71" spans="1:8" x14ac:dyDescent="0.25">
      <c r="B71" s="1252" t="str">
        <f t="shared" si="7"/>
        <v>Chinese Cabbage - ملفوف صيني</v>
      </c>
      <c r="C71" s="947" t="str">
        <f t="shared" si="7"/>
        <v>gm</v>
      </c>
      <c r="D71" s="1615">
        <f t="shared" si="7"/>
        <v>80</v>
      </c>
      <c r="E71" s="1615">
        <f t="shared" si="11"/>
        <v>10.35</v>
      </c>
      <c r="F71" s="1616">
        <f t="shared" si="8"/>
        <v>1</v>
      </c>
      <c r="G71" s="940">
        <f t="shared" si="9"/>
        <v>828</v>
      </c>
      <c r="H71" s="1617">
        <f t="shared" si="10"/>
        <v>828</v>
      </c>
    </row>
    <row r="72" spans="1:8" x14ac:dyDescent="0.25">
      <c r="B72" s="1252" t="str">
        <f t="shared" si="7"/>
        <v>Sweet Corn - ذرة حلوة</v>
      </c>
      <c r="C72" s="947" t="str">
        <f t="shared" si="7"/>
        <v>gm</v>
      </c>
      <c r="D72" s="1615">
        <f t="shared" si="7"/>
        <v>80</v>
      </c>
      <c r="E72" s="1615">
        <f t="shared" si="11"/>
        <v>10.35</v>
      </c>
      <c r="F72" s="1616">
        <f t="shared" si="8"/>
        <v>1</v>
      </c>
      <c r="G72" s="940">
        <f t="shared" si="9"/>
        <v>828</v>
      </c>
      <c r="H72" s="1617">
        <f t="shared" si="10"/>
        <v>828</v>
      </c>
    </row>
    <row r="73" spans="1:8" x14ac:dyDescent="0.25">
      <c r="B73" s="1252" t="str">
        <f t="shared" si="7"/>
        <v>Salt - ملح</v>
      </c>
      <c r="C73" s="947" t="str">
        <f t="shared" si="7"/>
        <v>gm</v>
      </c>
      <c r="D73" s="1615">
        <f t="shared" si="7"/>
        <v>4</v>
      </c>
      <c r="E73" s="1615">
        <f t="shared" si="11"/>
        <v>10.35</v>
      </c>
      <c r="F73" s="1616">
        <f t="shared" si="8"/>
        <v>0.75</v>
      </c>
      <c r="G73" s="940">
        <f t="shared" si="9"/>
        <v>41.4</v>
      </c>
      <c r="H73" s="1617">
        <f t="shared" si="10"/>
        <v>31.049999999999997</v>
      </c>
    </row>
    <row r="74" spans="1:8" x14ac:dyDescent="0.25">
      <c r="B74" s="1252" t="str">
        <f t="shared" si="7"/>
        <v>Black Pepper Powder - فلفل أسود مطحون</v>
      </c>
      <c r="C74" s="947" t="str">
        <f t="shared" si="7"/>
        <v>gm</v>
      </c>
      <c r="D74" s="1621">
        <f t="shared" si="7"/>
        <v>0.5</v>
      </c>
      <c r="E74" s="1615">
        <f t="shared" si="11"/>
        <v>10.35</v>
      </c>
      <c r="F74" s="1616">
        <f t="shared" si="8"/>
        <v>1</v>
      </c>
      <c r="G74" s="940">
        <f t="shared" si="9"/>
        <v>5.1749999999999998</v>
      </c>
      <c r="H74" s="1617">
        <f t="shared" si="10"/>
        <v>5.1749999999999998</v>
      </c>
    </row>
    <row r="75" spans="1:8" ht="15.75" x14ac:dyDescent="0.25">
      <c r="B75" s="1622" t="s">
        <v>686</v>
      </c>
      <c r="C75" s="947"/>
      <c r="D75" s="1621"/>
      <c r="E75" s="1615"/>
      <c r="F75" s="1616"/>
      <c r="G75" s="940"/>
      <c r="H75" s="1617"/>
    </row>
    <row r="76" spans="1:8" ht="20.25" x14ac:dyDescent="0.3">
      <c r="B76" s="1048">
        <f>D52</f>
        <v>10350</v>
      </c>
      <c r="C76" s="952"/>
      <c r="D76" s="952"/>
      <c r="E76" s="1208"/>
      <c r="F76" s="1208"/>
      <c r="G76" s="952"/>
      <c r="H76" s="952"/>
    </row>
    <row r="77" spans="1:8" ht="20.25" x14ac:dyDescent="0.3">
      <c r="A77" s="877"/>
      <c r="B77" s="605"/>
      <c r="C77" s="437"/>
      <c r="D77" s="437"/>
      <c r="E77" s="431"/>
      <c r="F77" s="431"/>
      <c r="G77" s="437"/>
      <c r="H77" s="437"/>
    </row>
    <row r="78" spans="1:8" ht="18" x14ac:dyDescent="0.25">
      <c r="A78" s="878"/>
      <c r="B78" s="1819"/>
      <c r="C78" s="1820"/>
      <c r="D78" s="1820"/>
      <c r="E78" s="1820"/>
      <c r="F78" s="1820"/>
      <c r="G78" s="1820"/>
      <c r="H78" s="1820"/>
    </row>
    <row r="79" spans="1:8" ht="18" x14ac:dyDescent="0.25">
      <c r="A79" s="878"/>
      <c r="B79" s="1819"/>
      <c r="C79" s="1820"/>
      <c r="D79" s="1820"/>
      <c r="E79" s="1820"/>
      <c r="F79" s="1820"/>
      <c r="G79" s="1820"/>
      <c r="H79" s="1820"/>
    </row>
    <row r="80" spans="1:8" x14ac:dyDescent="0.2">
      <c r="A80" s="879"/>
      <c r="B80" s="613"/>
      <c r="C80" s="614"/>
      <c r="D80" s="613"/>
      <c r="E80" s="615"/>
      <c r="F80" s="615"/>
      <c r="G80" s="613"/>
      <c r="H80" s="615"/>
    </row>
    <row r="81" spans="1:8" x14ac:dyDescent="0.25">
      <c r="A81" s="877"/>
      <c r="B81" s="616"/>
      <c r="C81" s="616"/>
      <c r="D81" s="621"/>
      <c r="E81" s="621"/>
      <c r="F81" s="618"/>
      <c r="G81" s="619"/>
      <c r="H81" s="620"/>
    </row>
    <row r="82" spans="1:8" x14ac:dyDescent="0.25">
      <c r="A82" s="877"/>
      <c r="B82" s="616"/>
      <c r="C82" s="616"/>
      <c r="D82" s="621"/>
      <c r="E82" s="621"/>
      <c r="F82" s="618"/>
      <c r="G82" s="619"/>
      <c r="H82" s="620"/>
    </row>
    <row r="83" spans="1:8" x14ac:dyDescent="0.25">
      <c r="A83" s="877"/>
      <c r="B83" s="616"/>
      <c r="C83" s="616"/>
      <c r="D83" s="621"/>
      <c r="E83" s="621"/>
      <c r="F83" s="618"/>
      <c r="G83" s="619"/>
      <c r="H83" s="620"/>
    </row>
    <row r="84" spans="1:8" x14ac:dyDescent="0.25">
      <c r="A84" s="877"/>
      <c r="B84" s="616"/>
      <c r="C84" s="616"/>
      <c r="D84" s="621"/>
      <c r="E84" s="621"/>
      <c r="F84" s="618"/>
      <c r="G84" s="619"/>
      <c r="H84" s="620"/>
    </row>
    <row r="85" spans="1:8" x14ac:dyDescent="0.25">
      <c r="A85" s="877"/>
      <c r="B85" s="616"/>
      <c r="C85" s="616"/>
      <c r="D85" s="621"/>
      <c r="E85" s="621"/>
      <c r="F85" s="618"/>
      <c r="G85" s="619"/>
      <c r="H85" s="620"/>
    </row>
    <row r="86" spans="1:8" x14ac:dyDescent="0.25">
      <c r="A86" s="877"/>
      <c r="B86" s="616"/>
      <c r="C86" s="616"/>
      <c r="D86" s="621"/>
      <c r="E86" s="621"/>
      <c r="F86" s="618"/>
      <c r="G86" s="619"/>
      <c r="H86" s="620"/>
    </row>
    <row r="87" spans="1:8" x14ac:dyDescent="0.25">
      <c r="A87" s="877"/>
      <c r="B87" s="616"/>
      <c r="C87" s="616"/>
      <c r="D87" s="621"/>
      <c r="E87" s="621"/>
      <c r="F87" s="618"/>
      <c r="G87" s="619"/>
      <c r="H87" s="620"/>
    </row>
    <row r="88" spans="1:8" x14ac:dyDescent="0.25">
      <c r="A88" s="877"/>
      <c r="B88" s="616"/>
      <c r="C88" s="616"/>
      <c r="D88" s="621"/>
      <c r="E88" s="621"/>
      <c r="F88" s="618"/>
      <c r="G88" s="619"/>
      <c r="H88" s="620"/>
    </row>
    <row r="89" spans="1:8" x14ac:dyDescent="0.25">
      <c r="A89" s="877"/>
      <c r="B89" s="616"/>
      <c r="C89" s="616"/>
      <c r="D89" s="623"/>
      <c r="E89" s="621"/>
      <c r="F89" s="618"/>
      <c r="G89" s="619"/>
      <c r="H89" s="620"/>
    </row>
    <row r="90" spans="1:8" ht="15.75" x14ac:dyDescent="0.25">
      <c r="A90" s="877"/>
      <c r="B90" s="452"/>
      <c r="C90" s="616"/>
      <c r="D90" s="623"/>
      <c r="E90" s="621"/>
      <c r="F90" s="618"/>
      <c r="G90" s="619"/>
      <c r="H90" s="620"/>
    </row>
    <row r="91" spans="1:8" ht="20.25" x14ac:dyDescent="0.3">
      <c r="A91" s="877"/>
      <c r="B91" s="453"/>
      <c r="C91" s="437"/>
      <c r="D91" s="437"/>
      <c r="E91" s="431"/>
      <c r="F91" s="431"/>
      <c r="G91" s="437"/>
      <c r="H91" s="437"/>
    </row>
    <row r="92" spans="1:8" ht="20.25" x14ac:dyDescent="0.3">
      <c r="A92" s="877"/>
      <c r="B92" s="605"/>
      <c r="C92" s="437"/>
      <c r="D92" s="437"/>
      <c r="E92" s="431"/>
      <c r="F92" s="431"/>
      <c r="G92" s="437"/>
      <c r="H92" s="437"/>
    </row>
    <row r="93" spans="1:8" ht="18" x14ac:dyDescent="0.25">
      <c r="A93" s="878"/>
      <c r="B93" s="1819"/>
      <c r="C93" s="1820"/>
      <c r="D93" s="1820"/>
      <c r="E93" s="1820"/>
      <c r="F93" s="1820"/>
      <c r="G93" s="1820"/>
      <c r="H93" s="1820"/>
    </row>
    <row r="94" spans="1:8" ht="18" x14ac:dyDescent="0.25">
      <c r="A94" s="878"/>
      <c r="B94" s="1819"/>
      <c r="C94" s="1820"/>
      <c r="D94" s="1820"/>
      <c r="E94" s="1820"/>
      <c r="F94" s="1820"/>
      <c r="G94" s="1820"/>
      <c r="H94" s="1820"/>
    </row>
    <row r="95" spans="1:8" x14ac:dyDescent="0.2">
      <c r="A95" s="879"/>
      <c r="B95" s="613"/>
      <c r="C95" s="614"/>
      <c r="D95" s="613"/>
      <c r="E95" s="615"/>
      <c r="F95" s="615"/>
      <c r="G95" s="613"/>
      <c r="H95" s="615"/>
    </row>
    <row r="96" spans="1:8" x14ac:dyDescent="0.25">
      <c r="A96" s="877"/>
      <c r="B96" s="616"/>
      <c r="C96" s="616"/>
      <c r="D96" s="616"/>
      <c r="E96" s="617"/>
      <c r="F96" s="618"/>
      <c r="G96" s="619"/>
      <c r="H96" s="620"/>
    </row>
    <row r="97" spans="1:8" x14ac:dyDescent="0.25">
      <c r="A97" s="877"/>
      <c r="B97" s="616"/>
      <c r="C97" s="616"/>
      <c r="D97" s="616"/>
      <c r="E97" s="617"/>
      <c r="F97" s="618"/>
      <c r="G97" s="619"/>
      <c r="H97" s="620"/>
    </row>
    <row r="98" spans="1:8" x14ac:dyDescent="0.25">
      <c r="A98" s="877"/>
      <c r="B98" s="616"/>
      <c r="C98" s="616"/>
      <c r="D98" s="616"/>
      <c r="E98" s="617"/>
      <c r="F98" s="618"/>
      <c r="G98" s="619"/>
      <c r="H98" s="620"/>
    </row>
    <row r="99" spans="1:8" x14ac:dyDescent="0.25">
      <c r="A99" s="877"/>
      <c r="B99" s="616"/>
      <c r="C99" s="616"/>
      <c r="D99" s="616"/>
      <c r="E99" s="617"/>
      <c r="F99" s="618"/>
      <c r="G99" s="619"/>
      <c r="H99" s="620"/>
    </row>
    <row r="100" spans="1:8" x14ac:dyDescent="0.25">
      <c r="A100" s="877"/>
      <c r="B100" s="616"/>
      <c r="C100" s="616"/>
      <c r="D100" s="616"/>
      <c r="E100" s="617"/>
      <c r="F100" s="618"/>
      <c r="G100" s="619"/>
      <c r="H100" s="620"/>
    </row>
    <row r="101" spans="1:8" x14ac:dyDescent="0.25">
      <c r="A101" s="877"/>
      <c r="B101" s="616"/>
      <c r="C101" s="616"/>
      <c r="D101" s="616"/>
      <c r="E101" s="617"/>
      <c r="F101" s="618"/>
      <c r="G101" s="619"/>
      <c r="H101" s="620"/>
    </row>
    <row r="102" spans="1:8" x14ac:dyDescent="0.25">
      <c r="A102" s="877"/>
      <c r="B102" s="616"/>
      <c r="C102" s="616"/>
      <c r="D102" s="616"/>
      <c r="E102" s="617"/>
      <c r="F102" s="618"/>
      <c r="G102" s="619"/>
      <c r="H102" s="620"/>
    </row>
    <row r="103" spans="1:8" x14ac:dyDescent="0.25">
      <c r="A103" s="877"/>
      <c r="B103" s="616"/>
      <c r="C103" s="616"/>
      <c r="D103" s="616"/>
      <c r="E103" s="617"/>
      <c r="F103" s="618"/>
      <c r="G103" s="619"/>
      <c r="H103" s="620"/>
    </row>
    <row r="104" spans="1:8" x14ac:dyDescent="0.25">
      <c r="A104" s="877"/>
      <c r="B104" s="616"/>
      <c r="C104" s="616"/>
      <c r="D104" s="616"/>
      <c r="E104" s="617"/>
      <c r="F104" s="618"/>
      <c r="G104" s="619"/>
      <c r="H104" s="620"/>
    </row>
  </sheetData>
  <mergeCells count="9">
    <mergeCell ref="B79:H79"/>
    <mergeCell ref="B93:H93"/>
    <mergeCell ref="B94:H94"/>
    <mergeCell ref="B2:H3"/>
    <mergeCell ref="R25:S25"/>
    <mergeCell ref="R26:S26"/>
    <mergeCell ref="B63:H63"/>
    <mergeCell ref="B64:H64"/>
    <mergeCell ref="B78:H78"/>
  </mergeCells>
  <printOptions horizontalCentered="1"/>
  <pageMargins left="0.5" right="0.5" top="1" bottom="0.5" header="0.3" footer="0.511811023622047"/>
  <pageSetup paperSize="9" scale="34"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100</vt:i4>
      </vt:variant>
      <vt:variant>
        <vt:lpstr>Named Ranges</vt:lpstr>
      </vt:variant>
      <vt:variant>
        <vt:i4>87</vt:i4>
      </vt:variant>
    </vt:vector>
  </HeadingPairs>
  <TitlesOfParts>
    <vt:vector size="187" baseType="lpstr">
      <vt:lpstr>Butchery</vt:lpstr>
      <vt:lpstr>All_Ingredients</vt:lpstr>
      <vt:lpstr>Marination_Ordering</vt:lpstr>
      <vt:lpstr>Cutting_Shapes_Ordering</vt:lpstr>
      <vt:lpstr>Curry Chicken</vt:lpstr>
      <vt:lpstr>Kabsa Lahm</vt:lpstr>
      <vt:lpstr>Pan Fried Fish</vt:lpstr>
      <vt:lpstr>Beef Chilli Dry</vt:lpstr>
      <vt:lpstr>Meat with Bamiya</vt:lpstr>
      <vt:lpstr>Chinese Chicken</vt:lpstr>
      <vt:lpstr>Herbal Chicken</vt:lpstr>
      <vt:lpstr>Asian Chicken Sandwich</vt:lpstr>
      <vt:lpstr>Jollof Sauce</vt:lpstr>
      <vt:lpstr>Arabic Chicken Burger</vt:lpstr>
      <vt:lpstr>Chicken Mandi (1)</vt:lpstr>
      <vt:lpstr>Asian Potato Cubes</vt:lpstr>
      <vt:lpstr>Herbal Potato Wedges</vt:lpstr>
      <vt:lpstr>Spaghetti pasta</vt:lpstr>
      <vt:lpstr>Sautee Vegetables (1)</vt:lpstr>
      <vt:lpstr>Mached Potato(1)</vt:lpstr>
      <vt:lpstr>Chicken Alfredo</vt:lpstr>
      <vt:lpstr>Fettuccine Pasta Sauce</vt:lpstr>
      <vt:lpstr>Blankwet Fish</vt:lpstr>
      <vt:lpstr>Coconut Chicken</vt:lpstr>
      <vt:lpstr>Chicken 65</vt:lpstr>
      <vt:lpstr>Mkhtoum Lahm</vt:lpstr>
      <vt:lpstr>BBQ Chicken Skewers</vt:lpstr>
      <vt:lpstr>Meat Mashroom</vt:lpstr>
      <vt:lpstr>Beef Burger BBQ</vt:lpstr>
      <vt:lpstr>Honey Chicken Burger</vt:lpstr>
      <vt:lpstr>Beef Zurbian</vt:lpstr>
      <vt:lpstr>Grilled Vegetables(2)</vt:lpstr>
      <vt:lpstr>Almond Chicken</vt:lpstr>
      <vt:lpstr>Chicken Pasta with Vegetable</vt:lpstr>
      <vt:lpstr>Pasta with Vegetable(Pasta)</vt:lpstr>
      <vt:lpstr>Chicken Tikka</vt:lpstr>
      <vt:lpstr>Daoud Basha</vt:lpstr>
      <vt:lpstr>Fish with cream</vt:lpstr>
      <vt:lpstr>Moussaka Vegi</vt:lpstr>
      <vt:lpstr>Moussaka Meat</vt:lpstr>
      <vt:lpstr>Laham Oriental</vt:lpstr>
      <vt:lpstr>Beef Oriental rice</vt:lpstr>
      <vt:lpstr>Chicken Saleeq (3)</vt:lpstr>
      <vt:lpstr>Chicken Mandi (3)</vt:lpstr>
      <vt:lpstr>Chicken Caesar Salad</vt:lpstr>
      <vt:lpstr>Smoky Beef Burger</vt:lpstr>
      <vt:lpstr>Chicken Fajita</vt:lpstr>
      <vt:lpstr>Mached Potato(3)</vt:lpstr>
      <vt:lpstr>Potato Wedges</vt:lpstr>
      <vt:lpstr>Oven Vegetables (3)</vt:lpstr>
      <vt:lpstr>Chicken Steak Sauce</vt:lpstr>
      <vt:lpstr>Chicken Steak Topping</vt:lpstr>
      <vt:lpstr>Chicken Mushroom</vt:lpstr>
      <vt:lpstr>Stroganoff Beef</vt:lpstr>
      <vt:lpstr>Stroganoff pasta</vt:lpstr>
      <vt:lpstr>Beef Amansi</vt:lpstr>
      <vt:lpstr>Changezi Chicken</vt:lpstr>
      <vt:lpstr>Lahm Fasooliya</vt:lpstr>
      <vt:lpstr>Lemon Fish</vt:lpstr>
      <vt:lpstr>Orzo Pasta</vt:lpstr>
      <vt:lpstr>Octa Poki Bowl</vt:lpstr>
      <vt:lpstr>Chicken Makloba</vt:lpstr>
      <vt:lpstr>Makloba Veggi</vt:lpstr>
      <vt:lpstr>BBQ Chicken</vt:lpstr>
      <vt:lpstr>Classic Chicken Burger</vt:lpstr>
      <vt:lpstr>Chicken Noodles</vt:lpstr>
      <vt:lpstr>Noodles</vt:lpstr>
      <vt:lpstr>Noodles Veggie</vt:lpstr>
      <vt:lpstr>Mached Potato(4)</vt:lpstr>
      <vt:lpstr>Sautee Vegetables (4)</vt:lpstr>
      <vt:lpstr>Oriental Vegetables</vt:lpstr>
      <vt:lpstr>Sriracha Chicken</vt:lpstr>
      <vt:lpstr>Butter Chicken</vt:lpstr>
      <vt:lpstr>Meat Kebab</vt:lpstr>
      <vt:lpstr>Curry Fish</vt:lpstr>
      <vt:lpstr>Kebab Hindi</vt:lpstr>
      <vt:lpstr>Pizziola Chicken</vt:lpstr>
      <vt:lpstr>Lahm Bolognese</vt:lpstr>
      <vt:lpstr>Lasagne Bachamel</vt:lpstr>
      <vt:lpstr>Beef Lasagne Sauce</vt:lpstr>
      <vt:lpstr>Chicken Burger BBQ</vt:lpstr>
      <vt:lpstr>Oriental Chicken</vt:lpstr>
      <vt:lpstr>Beef Bokhary</vt:lpstr>
      <vt:lpstr>Beef philly cheese steak</vt:lpstr>
      <vt:lpstr>Spaghetti pasta (2)</vt:lpstr>
      <vt:lpstr>Grilled Vegetables(5)</vt:lpstr>
      <vt:lpstr>Sigapore Vegetables</vt:lpstr>
      <vt:lpstr>Mexican Vegetables</vt:lpstr>
      <vt:lpstr>Pink Chicken</vt:lpstr>
      <vt:lpstr>Ginger Chicken</vt:lpstr>
      <vt:lpstr>French Meatball</vt:lpstr>
      <vt:lpstr>Singapore Chicken</vt:lpstr>
      <vt:lpstr>Fish with Shabat and Lemon</vt:lpstr>
      <vt:lpstr>Chicken Molokeya</vt:lpstr>
      <vt:lpstr>Beef Kebab Sandwich</vt:lpstr>
      <vt:lpstr>Beef Burger Arabic</vt:lpstr>
      <vt:lpstr>Chicken Saleeq (6)</vt:lpstr>
      <vt:lpstr>Beef Kabli</vt:lpstr>
      <vt:lpstr>Spaghetti pasta (3)</vt:lpstr>
      <vt:lpstr>Oven Vegetables (6)</vt:lpstr>
      <vt:lpstr>'Almond Chicken'!Print_Area</vt:lpstr>
      <vt:lpstr>'Arabic Chicken Burger'!Print_Area</vt:lpstr>
      <vt:lpstr>'Asian Chicken Sandwich'!Print_Area</vt:lpstr>
      <vt:lpstr>'Asian Potato Cubes'!Print_Area</vt:lpstr>
      <vt:lpstr>'BBQ Chicken'!Print_Area</vt:lpstr>
      <vt:lpstr>'BBQ Chicken Skewers'!Print_Area</vt:lpstr>
      <vt:lpstr>'Beef Amansi'!Print_Area</vt:lpstr>
      <vt:lpstr>'Beef Bokhary'!Print_Area</vt:lpstr>
      <vt:lpstr>'Beef Burger Arabic'!Print_Area</vt:lpstr>
      <vt:lpstr>'Beef Burger BBQ'!Print_Area</vt:lpstr>
      <vt:lpstr>'Beef Chilli Dry'!Print_Area</vt:lpstr>
      <vt:lpstr>'Beef Kabli'!Print_Area</vt:lpstr>
      <vt:lpstr>'Beef Kebab Sandwich'!Print_Area</vt:lpstr>
      <vt:lpstr>'Beef Lasagne Sauce'!Print_Area</vt:lpstr>
      <vt:lpstr>'Beef Oriental rice'!Print_Area</vt:lpstr>
      <vt:lpstr>'Beef philly cheese steak'!Print_Area</vt:lpstr>
      <vt:lpstr>'Beef Zurbian'!Print_Area</vt:lpstr>
      <vt:lpstr>'Blankwet Fish'!Print_Area</vt:lpstr>
      <vt:lpstr>Butchery!Print_Area</vt:lpstr>
      <vt:lpstr>'Butter Chicken'!Print_Area</vt:lpstr>
      <vt:lpstr>'Changezi Chicken'!Print_Area</vt:lpstr>
      <vt:lpstr>'Chicken 65'!Print_Area</vt:lpstr>
      <vt:lpstr>'Chicken Alfredo'!Print_Area</vt:lpstr>
      <vt:lpstr>'Chicken Burger BBQ'!Print_Area</vt:lpstr>
      <vt:lpstr>'Chicken Fajita'!Print_Area</vt:lpstr>
      <vt:lpstr>'Chicken Makloba'!Print_Area</vt:lpstr>
      <vt:lpstr>'Chicken Mandi (1)'!Print_Area</vt:lpstr>
      <vt:lpstr>'Chicken Mandi (3)'!Print_Area</vt:lpstr>
      <vt:lpstr>'Chicken Molokeya'!Print_Area</vt:lpstr>
      <vt:lpstr>'Chicken Mushroom'!Print_Area</vt:lpstr>
      <vt:lpstr>'Chicken Noodles'!Print_Area</vt:lpstr>
      <vt:lpstr>'Chicken Pasta with Vegetable'!Print_Area</vt:lpstr>
      <vt:lpstr>'Chicken Saleeq (3)'!Print_Area</vt:lpstr>
      <vt:lpstr>'Chicken Saleeq (6)'!Print_Area</vt:lpstr>
      <vt:lpstr>'Chicken Steak Sauce'!Print_Area</vt:lpstr>
      <vt:lpstr>'Chicken Steak Topping'!Print_Area</vt:lpstr>
      <vt:lpstr>'Chicken Tikka'!Print_Area</vt:lpstr>
      <vt:lpstr>'Chinese Chicken'!Print_Area</vt:lpstr>
      <vt:lpstr>'Classic Chicken Burger'!Print_Area</vt:lpstr>
      <vt:lpstr>'Coconut Chicken'!Print_Area</vt:lpstr>
      <vt:lpstr>'Curry Chicken'!Print_Area</vt:lpstr>
      <vt:lpstr>'Curry Fish'!Print_Area</vt:lpstr>
      <vt:lpstr>'Daoud Basha'!Print_Area</vt:lpstr>
      <vt:lpstr>'Fettuccine Pasta Sauce'!Print_Area</vt:lpstr>
      <vt:lpstr>'Fish with cream'!Print_Area</vt:lpstr>
      <vt:lpstr>'Fish with Shabat and Lemon'!Print_Area</vt:lpstr>
      <vt:lpstr>'French Meatball'!Print_Area</vt:lpstr>
      <vt:lpstr>'Ginger Chicken'!Print_Area</vt:lpstr>
      <vt:lpstr>'Grilled Vegetables(2)'!Print_Area</vt:lpstr>
      <vt:lpstr>'Grilled Vegetables(5)'!Print_Area</vt:lpstr>
      <vt:lpstr>'Herbal Chicken'!Print_Area</vt:lpstr>
      <vt:lpstr>'Herbal Potato Wedges'!Print_Area</vt:lpstr>
      <vt:lpstr>'Honey Chicken Burger'!Print_Area</vt:lpstr>
      <vt:lpstr>'Kabsa Lahm'!Print_Area</vt:lpstr>
      <vt:lpstr>'Kebab Hindi'!Print_Area</vt:lpstr>
      <vt:lpstr>'Laham Oriental'!Print_Area</vt:lpstr>
      <vt:lpstr>'Lahm Bolognese'!Print_Area</vt:lpstr>
      <vt:lpstr>'Lahm Fasooliya'!Print_Area</vt:lpstr>
      <vt:lpstr>'Lasagne Bachamel'!Print_Area</vt:lpstr>
      <vt:lpstr>'Lemon Fish'!Print_Area</vt:lpstr>
      <vt:lpstr>'Mached Potato(1)'!Print_Area</vt:lpstr>
      <vt:lpstr>'Mached Potato(3)'!Print_Area</vt:lpstr>
      <vt:lpstr>'Mached Potato(4)'!Print_Area</vt:lpstr>
      <vt:lpstr>'Meat Kebab'!Print_Area</vt:lpstr>
      <vt:lpstr>'Meat Mashroom'!Print_Area</vt:lpstr>
      <vt:lpstr>'Meat with Bamiya'!Print_Area</vt:lpstr>
      <vt:lpstr>'Mkhtoum Lahm'!Print_Area</vt:lpstr>
      <vt:lpstr>'Moussaka Meat'!Print_Area</vt:lpstr>
      <vt:lpstr>'Moussaka Vegi'!Print_Area</vt:lpstr>
      <vt:lpstr>'Noodles Veggie'!Print_Area</vt:lpstr>
      <vt:lpstr>'Octa Poki Bowl'!Print_Area</vt:lpstr>
      <vt:lpstr>'Oriental Chicken'!Print_Area</vt:lpstr>
      <vt:lpstr>'Orzo Pasta'!Print_Area</vt:lpstr>
      <vt:lpstr>'Oven Vegetables (3)'!Print_Area</vt:lpstr>
      <vt:lpstr>'Oven Vegetables (6)'!Print_Area</vt:lpstr>
      <vt:lpstr>'Pan Fried Fish'!Print_Area</vt:lpstr>
      <vt:lpstr>'Pasta with Vegetable(Pasta)'!Print_Area</vt:lpstr>
      <vt:lpstr>'Pink Chicken'!Print_Area</vt:lpstr>
      <vt:lpstr>'Pizziola Chicken'!Print_Area</vt:lpstr>
      <vt:lpstr>'Potato Wedges'!Print_Area</vt:lpstr>
      <vt:lpstr>'Sautee Vegetables (1)'!Print_Area</vt:lpstr>
      <vt:lpstr>'Sautee Vegetables (4)'!Print_Area</vt:lpstr>
      <vt:lpstr>'Singapore Chicken'!Print_Area</vt:lpstr>
      <vt:lpstr>'Smoky Beef Burger'!Print_Area</vt:lpstr>
      <vt:lpstr>'Sriracha Chicken'!Print_Area</vt:lpstr>
      <vt:lpstr>'Stroganoff Beef'!Print_Area</vt:lpstr>
      <vt:lpstr>'Stroganoff pasta'!Print_Area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Amira Fathy</dc:creator>
  <cp:lastModifiedBy>Amira Fathy</cp:lastModifiedBy>
  <cp:revision>0</cp:revision>
  <cp:lastPrinted>2026-08-30T15:30:40Z</cp:lastPrinted>
  <dcterms:created xsi:type="dcterms:W3CDTF">2025-11-16T19:56:38Z</dcterms:created>
  <dcterms:modified xsi:type="dcterms:W3CDTF">2026-08-30T16:58:28Z</dcterms:modified>
  <dc:language>en-US</dc:language>
</cp:coreProperties>
</file>