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andalsuidaho-my.sharepoint.com/personal/amirkouei_uidaho_edu/Documents/9. Students/24. Becca Brown/Chpt 2/"/>
    </mc:Choice>
  </mc:AlternateContent>
  <xr:revisionPtr revIDLastSave="315" documentId="13_ncr:1_{1E3FF79D-9523-433C-B32D-0B31821608DF}" xr6:coauthVersionLast="47" xr6:coauthVersionMax="47" xr10:uidLastSave="{31A92DA8-3B5F-384B-86FD-EC758942D838}"/>
  <bookViews>
    <workbookView xWindow="920" yWindow="500" windowWidth="40040" windowHeight="22540" firstSheet="1" activeTab="1" xr2:uid="{AA907411-85B4-AB4C-8134-E7ABE70B1AF5}"/>
  </bookViews>
  <sheets>
    <sheet name="Main page" sheetId="7" r:id="rId1"/>
    <sheet name="Collect &amp; Transport TEA" sheetId="5" r:id="rId2"/>
    <sheet name="RT Bioleaching TEA" sheetId="12" r:id="rId3"/>
    <sheet name="Metallurgy TEA" sheetId="6" r:id="rId4"/>
    <sheet name="Variable costs" sheetId="8" r:id="rId5"/>
    <sheet name="Revenue" sheetId="10" r:id="rId6"/>
    <sheet name="Return on investment" sheetId="9" r:id="rId7"/>
    <sheet name="Case study" sheetId="14" r:id="rId8"/>
    <sheet name="Sensitivity" sheetId="15" r:id="rId9"/>
    <sheet name="Comparison with other studies" sheetId="16" r:id="rId10"/>
  </sheets>
  <calcPr calcId="191028" iterate="1" iterateCount="100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5" l="1"/>
  <c r="B2" i="5"/>
  <c r="J90" i="15"/>
  <c r="M90" i="15" s="1"/>
  <c r="K95" i="15" s="1"/>
  <c r="J91" i="15"/>
  <c r="L91" i="15" s="1"/>
  <c r="H96" i="15" s="1"/>
  <c r="J89" i="15"/>
  <c r="L89" i="15" s="1"/>
  <c r="H94" i="15" s="1"/>
  <c r="D14" i="15"/>
  <c r="C14" i="16"/>
  <c r="C12" i="16"/>
  <c r="C11" i="16"/>
  <c r="B6" i="10"/>
  <c r="B14" i="16"/>
  <c r="B12" i="16"/>
  <c r="B13" i="16"/>
  <c r="L90" i="15" l="1"/>
  <c r="H95" i="15" s="1"/>
  <c r="M91" i="15"/>
  <c r="K96" i="15" s="1"/>
  <c r="D8" i="7"/>
  <c r="D5" i="7"/>
  <c r="J13" i="16" s="1"/>
  <c r="F11" i="16"/>
  <c r="J11" i="16" s="1"/>
  <c r="C17" i="7"/>
  <c r="C19" i="7" s="1"/>
  <c r="B17" i="7"/>
  <c r="B19" i="7" s="1"/>
  <c r="F2" i="10"/>
  <c r="D11" i="16"/>
  <c r="R3" i="16"/>
  <c r="B11" i="16" s="1"/>
  <c r="E32" i="14"/>
  <c r="D45" i="14"/>
  <c r="B17" i="14"/>
  <c r="I45" i="15"/>
  <c r="M45" i="15" s="1"/>
  <c r="J51" i="15" s="1"/>
  <c r="I44" i="15"/>
  <c r="L44" i="15" s="1"/>
  <c r="P50" i="15" s="1"/>
  <c r="L43" i="15"/>
  <c r="P49" i="15" s="1"/>
  <c r="M44" i="15" l="1"/>
  <c r="J50" i="15" s="1"/>
  <c r="L45" i="15"/>
  <c r="P51" i="15" s="1"/>
  <c r="M43" i="15"/>
  <c r="J49" i="15" s="1"/>
  <c r="L11" i="15"/>
  <c r="L17" i="15" s="1"/>
  <c r="L12" i="15"/>
  <c r="L18" i="15" s="1"/>
  <c r="L10" i="15"/>
  <c r="L16" i="15" s="1"/>
  <c r="K11" i="15"/>
  <c r="K17" i="15" s="1"/>
  <c r="K12" i="15"/>
  <c r="K18" i="15" s="1"/>
  <c r="K10" i="15"/>
  <c r="K16" i="15" s="1"/>
  <c r="J11" i="15"/>
  <c r="J17" i="15" s="1"/>
  <c r="J12" i="15"/>
  <c r="J18" i="15" s="1"/>
  <c r="J10" i="15"/>
  <c r="J16" i="15" s="1"/>
  <c r="N24" i="15" s="1"/>
  <c r="O24" i="15" s="1"/>
  <c r="N25" i="15" l="1"/>
  <c r="O25" i="15" s="1"/>
  <c r="O51" i="15"/>
  <c r="R51" i="15" s="1"/>
  <c r="O57" i="15" s="1"/>
  <c r="O50" i="15"/>
  <c r="R50" i="15" s="1"/>
  <c r="O56" i="15" s="1"/>
  <c r="O49" i="15"/>
  <c r="R49" i="15" s="1"/>
  <c r="O55" i="15" s="1"/>
  <c r="I51" i="15"/>
  <c r="L51" i="15" s="1"/>
  <c r="N57" i="15" s="1"/>
  <c r="I50" i="15"/>
  <c r="L50" i="15" s="1"/>
  <c r="N56" i="15" s="1"/>
  <c r="I49" i="15"/>
  <c r="L49" i="15" s="1"/>
  <c r="N55" i="15" s="1"/>
  <c r="N6" i="15"/>
  <c r="N12" i="15" s="1"/>
  <c r="N18" i="15" s="1"/>
  <c r="N5" i="15"/>
  <c r="N11" i="15" s="1"/>
  <c r="N17" i="15" s="1"/>
  <c r="D11" i="15"/>
  <c r="Q57" i="15" l="1"/>
  <c r="B51" i="15"/>
  <c r="B48" i="15"/>
  <c r="B45" i="15"/>
  <c r="B44" i="15"/>
  <c r="B42" i="15"/>
  <c r="B43" i="15" s="1"/>
  <c r="B34" i="15"/>
  <c r="B31" i="15"/>
  <c r="B28" i="15"/>
  <c r="B25" i="15"/>
  <c r="B24" i="15"/>
  <c r="B22" i="15"/>
  <c r="B23" i="15" s="1"/>
  <c r="D17" i="15"/>
  <c r="N4" i="15" s="1"/>
  <c r="N10" i="15" s="1"/>
  <c r="D16" i="15"/>
  <c r="B15" i="15"/>
  <c r="D13" i="15"/>
  <c r="B12" i="15"/>
  <c r="D10" i="15"/>
  <c r="B9" i="15"/>
  <c r="B6" i="15"/>
  <c r="B7" i="15" s="1"/>
  <c r="E5" i="15"/>
  <c r="D42" i="14"/>
  <c r="D39" i="14"/>
  <c r="D36" i="14"/>
  <c r="D35" i="14"/>
  <c r="D34" i="14"/>
  <c r="D33" i="14"/>
  <c r="B35" i="14"/>
  <c r="B34" i="14"/>
  <c r="B33" i="14"/>
  <c r="D44" i="14"/>
  <c r="D43" i="14"/>
  <c r="D41" i="14"/>
  <c r="D40" i="14"/>
  <c r="D38" i="14"/>
  <c r="D37" i="14"/>
  <c r="B42" i="14"/>
  <c r="B39" i="14"/>
  <c r="B36" i="14"/>
  <c r="D9" i="15" l="1"/>
  <c r="M89" i="15"/>
  <c r="K94" i="15" s="1"/>
  <c r="N16" i="15"/>
  <c r="E42" i="15"/>
  <c r="D48" i="15" s="1"/>
  <c r="D7" i="15"/>
  <c r="M4" i="15" s="1"/>
  <c r="D15" i="15"/>
  <c r="D12" i="15"/>
  <c r="E22" i="15"/>
  <c r="D24" i="15" s="1"/>
  <c r="D6" i="15"/>
  <c r="B8" i="15"/>
  <c r="D8" i="15" s="1"/>
  <c r="B61" i="14"/>
  <c r="B58" i="14"/>
  <c r="B55" i="14"/>
  <c r="B52" i="14"/>
  <c r="B51" i="14"/>
  <c r="B49" i="14"/>
  <c r="B50" i="14" s="1"/>
  <c r="B69" i="14"/>
  <c r="E69" i="14" s="1"/>
  <c r="B71" i="14"/>
  <c r="B72" i="14"/>
  <c r="B78" i="14"/>
  <c r="B75" i="14"/>
  <c r="O4" i="15" l="1"/>
  <c r="M10" i="15"/>
  <c r="I4" i="15"/>
  <c r="I10" i="15" s="1"/>
  <c r="I16" i="15" s="1"/>
  <c r="D28" i="15"/>
  <c r="D44" i="15"/>
  <c r="D51" i="15"/>
  <c r="D45" i="15"/>
  <c r="D43" i="15"/>
  <c r="M6" i="15" s="1"/>
  <c r="D31" i="15"/>
  <c r="D25" i="15"/>
  <c r="D23" i="15"/>
  <c r="M5" i="15" s="1"/>
  <c r="D34" i="15"/>
  <c r="B70" i="14"/>
  <c r="E49" i="14"/>
  <c r="D61" i="14" s="1"/>
  <c r="D78" i="14"/>
  <c r="D71" i="14"/>
  <c r="D70" i="14"/>
  <c r="D72" i="14"/>
  <c r="D75" i="14"/>
  <c r="C10" i="7"/>
  <c r="D10" i="7" s="1"/>
  <c r="C9" i="7"/>
  <c r="D9" i="7" s="1"/>
  <c r="C5" i="6"/>
  <c r="E5" i="6"/>
  <c r="C9" i="6"/>
  <c r="C5" i="7"/>
  <c r="C7" i="7"/>
  <c r="D7" i="7" s="1"/>
  <c r="C6" i="7"/>
  <c r="D6" i="7" s="1"/>
  <c r="F24" i="14"/>
  <c r="B24" i="14"/>
  <c r="D23" i="14"/>
  <c r="D24" i="14" s="1"/>
  <c r="H15" i="14"/>
  <c r="D15" i="14"/>
  <c r="B15" i="14"/>
  <c r="F14" i="14"/>
  <c r="F15" i="14" s="1"/>
  <c r="B7" i="14"/>
  <c r="F6" i="14"/>
  <c r="B6" i="14"/>
  <c r="D5" i="14"/>
  <c r="D6" i="14" s="1"/>
  <c r="B18" i="5"/>
  <c r="G35" i="12"/>
  <c r="G31" i="12"/>
  <c r="C27" i="12"/>
  <c r="G27" i="12" s="1"/>
  <c r="C30" i="12"/>
  <c r="G30" i="12" s="1"/>
  <c r="C34" i="12"/>
  <c r="G34" i="12" s="1"/>
  <c r="C29" i="12"/>
  <c r="G29" i="12" s="1"/>
  <c r="C28" i="12"/>
  <c r="G28" i="12" s="1"/>
  <c r="C22" i="12"/>
  <c r="C10" i="12"/>
  <c r="G10" i="12" s="1"/>
  <c r="C21" i="12"/>
  <c r="C19" i="12"/>
  <c r="C5" i="12"/>
  <c r="C3" i="12"/>
  <c r="M16" i="15" l="1"/>
  <c r="O16" i="15" s="1"/>
  <c r="O10" i="15"/>
  <c r="K49" i="15"/>
  <c r="K51" i="15"/>
  <c r="K50" i="15"/>
  <c r="I5" i="15"/>
  <c r="I11" i="15" s="1"/>
  <c r="I17" i="15" s="1"/>
  <c r="O6" i="15"/>
  <c r="M12" i="15"/>
  <c r="O5" i="15"/>
  <c r="M11" i="15"/>
  <c r="I6" i="15"/>
  <c r="I12" i="15" s="1"/>
  <c r="I18" i="15" s="1"/>
  <c r="D50" i="14"/>
  <c r="D52" i="14"/>
  <c r="D81" i="14"/>
  <c r="D51" i="14"/>
  <c r="D58" i="14"/>
  <c r="D55" i="14"/>
  <c r="F26" i="14"/>
  <c r="F8" i="14"/>
  <c r="B26" i="14"/>
  <c r="F17" i="14"/>
  <c r="F5" i="6"/>
  <c r="F6" i="6" s="1"/>
  <c r="B8" i="14"/>
  <c r="C23" i="12"/>
  <c r="C24" i="12" s="1"/>
  <c r="C12" i="12"/>
  <c r="C6" i="12"/>
  <c r="C7" i="12" s="1"/>
  <c r="E4" i="6"/>
  <c r="C2" i="10"/>
  <c r="D2" i="10" s="1"/>
  <c r="B5" i="10" s="1"/>
  <c r="D13" i="16" s="1"/>
  <c r="M17" i="15" l="1"/>
  <c r="O17" i="15" s="1"/>
  <c r="O11" i="15"/>
  <c r="M18" i="15"/>
  <c r="O18" i="15" s="1"/>
  <c r="O12" i="15"/>
  <c r="Q51" i="15"/>
  <c r="Q49" i="15"/>
  <c r="Q50" i="15"/>
  <c r="D64" i="14"/>
  <c r="B6" i="5"/>
  <c r="B8" i="8"/>
  <c r="B7" i="8"/>
  <c r="B4" i="8"/>
  <c r="B3" i="8"/>
  <c r="B2" i="8"/>
  <c r="C18" i="6"/>
  <c r="C17" i="6"/>
  <c r="C13" i="6"/>
  <c r="C16" i="6"/>
  <c r="C4" i="6" l="1"/>
  <c r="F4" i="6" s="1"/>
  <c r="C19" i="6" s="1"/>
  <c r="F9" i="6"/>
  <c r="F10" i="6" s="1"/>
  <c r="B15" i="5"/>
  <c r="B16" i="5" s="1"/>
  <c r="B17" i="5" s="1"/>
  <c r="C3" i="7" s="1"/>
  <c r="D3" i="7" s="1"/>
  <c r="B4" i="5"/>
  <c r="B7" i="5" s="1"/>
  <c r="C20" i="6" l="1"/>
  <c r="C21" i="6"/>
  <c r="B8" i="5"/>
  <c r="B9" i="5" s="1"/>
  <c r="C4" i="7" s="1"/>
  <c r="D4" i="7" s="1"/>
  <c r="B9" i="8" l="1"/>
  <c r="C8" i="7"/>
  <c r="B6" i="8"/>
  <c r="B5" i="8"/>
  <c r="B21" i="7" l="1"/>
  <c r="B10" i="8"/>
  <c r="B11" i="8"/>
  <c r="B12" i="8"/>
  <c r="B13" i="8"/>
  <c r="C11" i="7" s="1"/>
  <c r="D11" i="7" l="1"/>
  <c r="D12" i="7" s="1"/>
  <c r="E8" i="7" l="1"/>
  <c r="E13" i="16"/>
  <c r="F13" i="16" s="1"/>
  <c r="E11" i="7"/>
  <c r="E10" i="7"/>
  <c r="E4" i="7"/>
  <c r="E7" i="7"/>
  <c r="E9" i="7"/>
  <c r="E6" i="7"/>
  <c r="E5" i="7"/>
  <c r="E3" i="7"/>
</calcChain>
</file>

<file path=xl/sharedStrings.xml><?xml version="1.0" encoding="utf-8"?>
<sst xmlns="http://schemas.openxmlformats.org/spreadsheetml/2006/main" count="577" uniqueCount="268">
  <si>
    <t>Cost</t>
  </si>
  <si>
    <t>Segment</t>
  </si>
  <si>
    <t>Kg soil processed/year</t>
  </si>
  <si>
    <t>Cost per year (over 20 years)</t>
  </si>
  <si>
    <t xml:space="preserve">Percentage of total </t>
  </si>
  <si>
    <t>Collection</t>
  </si>
  <si>
    <t>Transportation</t>
  </si>
  <si>
    <t>RT bioleaching capital cost</t>
  </si>
  <si>
    <t>RT bioleaching utility cost</t>
  </si>
  <si>
    <t>RT bioleaching material cost</t>
  </si>
  <si>
    <t>Metallurgy capital cost</t>
  </si>
  <si>
    <t>Metallurgy utility cost</t>
  </si>
  <si>
    <t>Metallurgy material cost</t>
  </si>
  <si>
    <t>Variable costs</t>
  </si>
  <si>
    <t>Total</t>
  </si>
  <si>
    <t>Total water used (kg)</t>
  </si>
  <si>
    <t>Total power used</t>
  </si>
  <si>
    <t>Total water price</t>
  </si>
  <si>
    <t>Total power price</t>
  </si>
  <si>
    <t>Upstream + Capital cost</t>
  </si>
  <si>
    <t>$</t>
  </si>
  <si>
    <t>PPI (2020 to 2022)</t>
  </si>
  <si>
    <t>Annual 2020 PPI for truck transportation of freightL 124.7</t>
  </si>
  <si>
    <t>Cost per Km (USD 2020)</t>
  </si>
  <si>
    <t>Jan 2022 PPI for truck transportation of freight: 140.338</t>
  </si>
  <si>
    <t>Cost per Km (USD 2021)</t>
  </si>
  <si>
    <t>Transportation distance (km)</t>
  </si>
  <si>
    <t>From Diamond Creek to Salmon</t>
  </si>
  <si>
    <t>Capacity of truck (kg soil)</t>
  </si>
  <si>
    <t>Total transportation cost</t>
  </si>
  <si>
    <t>Transportation cost (per kg of soil)</t>
  </si>
  <si>
    <t>Total per year (100,000 kg)</t>
  </si>
  <si>
    <t>Collection (excavator $/hr 2009)</t>
  </si>
  <si>
    <t>https://www.fs.usda.gov/Internet/FSE_DOCUMENTS/stelprdb5247321.pdf</t>
  </si>
  <si>
    <t>PPI (2009 to 2021)</t>
  </si>
  <si>
    <t>caterpillar 311c excavator (2009 scaled up with 2021 PPI)</t>
  </si>
  <si>
    <t>Collection (excavator $/hr 2021)</t>
  </si>
  <si>
    <t>Collection (per day, 1 hour per day)</t>
  </si>
  <si>
    <t>Assumed 1 hour to dig ~384 kg of soil with caterpillar 311 CU (bucket capacity of 0.39 cubic yards)</t>
  </si>
  <si>
    <t>Collection (260 days per year)</t>
  </si>
  <si>
    <t>1 cubic meter = ~1000 kg</t>
  </si>
  <si>
    <t>Labor to operate</t>
  </si>
  <si>
    <t>Bioleaching (without biolixiviant production)</t>
  </si>
  <si>
    <t>Capital costs</t>
  </si>
  <si>
    <t>Reference</t>
  </si>
  <si>
    <t>Leaching tank</t>
  </si>
  <si>
    <t>Calculated from seven tenths equation in Alipanah --&gt;</t>
  </si>
  <si>
    <t>Centrifuge</t>
  </si>
  <si>
    <t>https://www.fishersci.com/shop/products/thermo-scientific-sorvall-x1-pro-md-120-240-v-10-50-60-hz-1/75009220</t>
  </si>
  <si>
    <t>Oven (for drying)</t>
  </si>
  <si>
    <t>Installation cost</t>
  </si>
  <si>
    <t>TOTAL CAPITAL COST</t>
  </si>
  <si>
    <t>Utility costs per 100,000 kg soil</t>
  </si>
  <si>
    <t>Quantity</t>
  </si>
  <si>
    <t>Price</t>
  </si>
  <si>
    <t>Total cost</t>
  </si>
  <si>
    <t>Water (1% solids loading)</t>
  </si>
  <si>
    <t>kg</t>
  </si>
  <si>
    <t>$/kg</t>
  </si>
  <si>
    <t>Power</t>
  </si>
  <si>
    <t>kWh</t>
  </si>
  <si>
    <t>$/kWh</t>
  </si>
  <si>
    <t>TOTAL UTILITY COST</t>
  </si>
  <si>
    <t xml:space="preserve">Material cost per 100,000 kg soil </t>
  </si>
  <si>
    <t>Gluconic acid (50%) ??</t>
  </si>
  <si>
    <t>$$$$$$$$$</t>
  </si>
  <si>
    <t>Bioleaching (WITH biolixiviant production)</t>
  </si>
  <si>
    <t>Biolixiviant bioreactor</t>
  </si>
  <si>
    <t xml:space="preserve">Equation from Thompson et al. </t>
  </si>
  <si>
    <t>Water (for biolixiviant production)</t>
  </si>
  <si>
    <t>Scaled based on Thompson et al</t>
  </si>
  <si>
    <t xml:space="preserve">Steam </t>
  </si>
  <si>
    <t>Glucose (for biolixiant production)</t>
  </si>
  <si>
    <t>TOTAL MATERIAL COST</t>
  </si>
  <si>
    <t>Material costs (per 100,000 kg soil processed)</t>
  </si>
  <si>
    <t>REO (from bioleaching)</t>
  </si>
  <si>
    <t>-</t>
  </si>
  <si>
    <t>Salt (Lithium chloride/potassium chloride)</t>
  </si>
  <si>
    <t>250 g salt + 25g ReCl3 --&gt;10 g salt/g ReCl3 from Dr. Raja's document https://www.sigmaaldrich.com/US/en/product/aldrich/479330</t>
  </si>
  <si>
    <t>Argon gas</t>
  </si>
  <si>
    <t>cubic ft</t>
  </si>
  <si>
    <t>20 cf/hour, 10 hours , https://www.airgas.com/product/Gases/Argon/p/AR%20200</t>
  </si>
  <si>
    <t>Utility costs (per 100,000 kg soil processed)</t>
  </si>
  <si>
    <t>Unit</t>
  </si>
  <si>
    <t>Unit price</t>
  </si>
  <si>
    <t>Total $ per 100,000 kg</t>
  </si>
  <si>
    <t>Electricity</t>
  </si>
  <si>
    <t>3.35 kWh/kg --&gt; From Dr. Raja's document</t>
  </si>
  <si>
    <t xml:space="preserve">Tungsten electrode </t>
  </si>
  <si>
    <t>https://www.mcmaster.com/8000A191/</t>
  </si>
  <si>
    <t>Muffle furnace</t>
  </si>
  <si>
    <t>https://www.labdepotinc.com/p-5337-thermo-scientific-thermolyne-benchtop-1100c-muffle-furnaces?gclid=CjwKCAiAoL6eBhA3EiwAXDom5rGRaBdRdyjhfWs3pfLL07dMBwFQQsYhwnQNalVozIu7D5oOYlFC2BoCuHgQAvD_BwE</t>
  </si>
  <si>
    <t>Glove box</t>
  </si>
  <si>
    <t>https://www.globallabsupply.com/Two-Port-Containment-Glovebox-Acrlic-p/2300-2-a.htm?utm_source=Google%20Shopping&amp;utm_campaign=google_product_gls&amp;utm_medium=cpc&amp;utm_term=6067&amp;gclid=CjwKCAiAoL6eBhA3EiwAXDom5uj1Iw3iIZ9EcnRJ9QwnpeYDC_LytIbii5VldJi2BFXyq0cPcS6JDhoCrD4QAvD_BwE</t>
  </si>
  <si>
    <t>Alumina crucible</t>
  </si>
  <si>
    <t>https://www.mtixtl.com/aluminacruciblehighpurity100diax80hmm530mlcylindricalwithcoveringlid-ca-d100h80.aspx  ... scaled up based on our reactor filled 1/3 of the way with 350 g of salt</t>
  </si>
  <si>
    <t xml:space="preserve">Alumina tubing </t>
  </si>
  <si>
    <t>https://www.mcmaster.com/8746K15/</t>
  </si>
  <si>
    <t>Alumina tubing closed one end</t>
  </si>
  <si>
    <t>https://www.advaluetech.com/products/alumina/alumina-closed-one-end-tubes</t>
  </si>
  <si>
    <t>Salt (lithium chloride/potassium chloride)</t>
  </si>
  <si>
    <t>Operating labor</t>
  </si>
  <si>
    <t>Labor wage from Matt's paper ($35), 260 days, 12 hour shifts</t>
  </si>
  <si>
    <t>Operating supervision</t>
  </si>
  <si>
    <t>Equations from Thompson et al. supplementary materials</t>
  </si>
  <si>
    <t>Quality control</t>
  </si>
  <si>
    <t>Maintenance</t>
  </si>
  <si>
    <t>Operating supplies</t>
  </si>
  <si>
    <t>Fringe benefits</t>
  </si>
  <si>
    <t>Overhead (less fringe benefits)</t>
  </si>
  <si>
    <t>Property tax</t>
  </si>
  <si>
    <t>Administrative</t>
  </si>
  <si>
    <t xml:space="preserve">Marketing </t>
  </si>
  <si>
    <t>Research and development</t>
  </si>
  <si>
    <t>TOTAL</t>
  </si>
  <si>
    <t>Soil processed per year (kg)</t>
  </si>
  <si>
    <t xml:space="preserve">REE percentage in soil </t>
  </si>
  <si>
    <t>REEs present in soil (kg)</t>
  </si>
  <si>
    <t>Bioleaching yield (kg)</t>
  </si>
  <si>
    <t xml:space="preserve">Metallurgy yield </t>
  </si>
  <si>
    <t>Total yield (kg)</t>
  </si>
  <si>
    <t>Market price ($/kg)</t>
  </si>
  <si>
    <t>Bioleaching + metallurgy revenue</t>
  </si>
  <si>
    <t>** If solids loading was increased to 50%</t>
  </si>
  <si>
    <t>https://mineralprices.com/rare-earth-metals/</t>
  </si>
  <si>
    <t>Year</t>
  </si>
  <si>
    <t>Payback period</t>
  </si>
  <si>
    <t>Process #1 Continuous Ultrasound</t>
  </si>
  <si>
    <t>Equipment</t>
  </si>
  <si>
    <t>Ultrasound</t>
  </si>
  <si>
    <t>Oven</t>
  </si>
  <si>
    <t>Manual</t>
  </si>
  <si>
    <t>W</t>
  </si>
  <si>
    <t>https://sustainability.ucsc.edu/engage/green-certified/green-labs/resources/Energy%20Efficiency/energy_consumption.pdf</t>
  </si>
  <si>
    <t>EnergyCost</t>
  </si>
  <si>
    <t>https://www.fishersci.com/shop/products/fisher-scientific-isotemp-500-series-economy-lab-ovens/13246516GAQ#?keyword=</t>
  </si>
  <si>
    <t>Time</t>
  </si>
  <si>
    <t>hr</t>
  </si>
  <si>
    <t>Incubator</t>
  </si>
  <si>
    <t>https://www.fishersci.com/shop/products/fisher-scientific-isotemp-undercounter-bod-refrigerated-incubator/97990E#?keyword=</t>
  </si>
  <si>
    <t>Energy Cost</t>
  </si>
  <si>
    <t>Shaker</t>
  </si>
  <si>
    <t>https://www.fishersci.com/shop/products/multi-platfrom-shakers/88861021#?keyword=orbital%20shaker</t>
  </si>
  <si>
    <t>Total Time w/oven</t>
  </si>
  <si>
    <t>Total Time w/o oven</t>
  </si>
  <si>
    <t>Energy</t>
  </si>
  <si>
    <t>Total Cost w/ oven</t>
  </si>
  <si>
    <t>Total Cost w/o oven</t>
  </si>
  <si>
    <t>https://www.energysage.com/local-data/electricity-cost/id/</t>
  </si>
  <si>
    <t>Process #2 Orbital Shaker/Incubator</t>
  </si>
  <si>
    <t>Energy Price</t>
  </si>
  <si>
    <t>Process #3 Low Temp Shaker</t>
  </si>
  <si>
    <t>Total Time w/ oven</t>
  </si>
  <si>
    <t>*Keep in mind capacity during the processes (how many samples can be put in shaker/incubator vs ultrasound in one run)</t>
  </si>
  <si>
    <t>Process 1</t>
  </si>
  <si>
    <t>Small scale (lab/bench)</t>
  </si>
  <si>
    <t xml:space="preserve">Large scale per day </t>
  </si>
  <si>
    <t>Scaling factor</t>
  </si>
  <si>
    <t>Capacity  (L)</t>
  </si>
  <si>
    <t>Soil loaded (kg)</t>
  </si>
  <si>
    <t>REE leached (kg)</t>
  </si>
  <si>
    <t>Volume acid per batch (L)</t>
  </si>
  <si>
    <t>Ultrasound power</t>
  </si>
  <si>
    <t>kW</t>
  </si>
  <si>
    <t>Energy price</t>
  </si>
  <si>
    <t>hour</t>
  </si>
  <si>
    <t>Centrifuge power</t>
  </si>
  <si>
    <t>Oven power</t>
  </si>
  <si>
    <t xml:space="preserve">hour </t>
  </si>
  <si>
    <t>Process 2</t>
  </si>
  <si>
    <t>Large scale per day (385 kg soil)</t>
  </si>
  <si>
    <t>Capacity (# of flasks)</t>
  </si>
  <si>
    <t>Volume acid per batch (mL)</t>
  </si>
  <si>
    <t xml:space="preserve">Shaker power </t>
  </si>
  <si>
    <t xml:space="preserve">Time </t>
  </si>
  <si>
    <t>Incubator power</t>
  </si>
  <si>
    <t xml:space="preserve">Process 3 </t>
  </si>
  <si>
    <t xml:space="preserve">TOTAL </t>
  </si>
  <si>
    <t>Energy and emissions</t>
  </si>
  <si>
    <t>Case study scaled up - HT, RT, and continuous ultrasound</t>
  </si>
  <si>
    <t>Per 385 kg soil processed (per day)</t>
  </si>
  <si>
    <t>Power (kWh)</t>
  </si>
  <si>
    <t>Total CO2</t>
  </si>
  <si>
    <t>Total N2O</t>
  </si>
  <si>
    <t>Total CH4</t>
  </si>
  <si>
    <t>kg mixed REEs</t>
  </si>
  <si>
    <t>Time (hours)</t>
  </si>
  <si>
    <t>kg REE/h</t>
  </si>
  <si>
    <t xml:space="preserve">Case 1 </t>
  </si>
  <si>
    <t>case 1</t>
  </si>
  <si>
    <t>case 2</t>
  </si>
  <si>
    <t>case 3</t>
  </si>
  <si>
    <t>Per 100,000 kg of soil processed (per year, 260 days)</t>
  </si>
  <si>
    <t xml:space="preserve">case 2 </t>
  </si>
  <si>
    <t>Per 1,000 kg (metric ton)</t>
  </si>
  <si>
    <t>GWP</t>
  </si>
  <si>
    <t>Case 2</t>
  </si>
  <si>
    <t>% relative to case 3</t>
  </si>
  <si>
    <t>% reduction in CO2</t>
  </si>
  <si>
    <t>case 1 vs case 3</t>
  </si>
  <si>
    <t>case 2 vs case 3</t>
  </si>
  <si>
    <t>Case 3</t>
  </si>
  <si>
    <t xml:space="preserve">kg soil </t>
  </si>
  <si>
    <t>RT leach yield (%)</t>
  </si>
  <si>
    <t>US leach yield (%)</t>
  </si>
  <si>
    <t>RT leach yield (kg)</t>
  </si>
  <si>
    <t>US leach yield (kg)</t>
  </si>
  <si>
    <t xml:space="preserve">RT </t>
  </si>
  <si>
    <t>REEs leached</t>
  </si>
  <si>
    <t>CO2 produced per kg REE leached</t>
  </si>
  <si>
    <t>REEs leached (kg)</t>
  </si>
  <si>
    <t>1% solids</t>
  </si>
  <si>
    <t>5% solids</t>
  </si>
  <si>
    <t>10% solids</t>
  </si>
  <si>
    <t>Room temperature</t>
  </si>
  <si>
    <t>% reduction in co2 compared to 1% solids</t>
  </si>
  <si>
    <t>Energy (kWh)</t>
  </si>
  <si>
    <t>Energy price ($/kWh)</t>
  </si>
  <si>
    <t>Total price</t>
  </si>
  <si>
    <t>mass processed (kg)</t>
  </si>
  <si>
    <t>$/hr</t>
  </si>
  <si>
    <t xml:space="preserve">dummy 1 </t>
  </si>
  <si>
    <t>dummy 2</t>
  </si>
  <si>
    <t>LCA data</t>
  </si>
  <si>
    <t>Paper</t>
  </si>
  <si>
    <t>Material leached</t>
  </si>
  <si>
    <t>Recovered</t>
  </si>
  <si>
    <t>Method</t>
  </si>
  <si>
    <t>Link</t>
  </si>
  <si>
    <t>Ozone depletion</t>
  </si>
  <si>
    <t>Global warming</t>
  </si>
  <si>
    <t>Smog</t>
  </si>
  <si>
    <t>Acidification</t>
  </si>
  <si>
    <t>Eutrophication</t>
  </si>
  <si>
    <t>Carcinogenics</t>
  </si>
  <si>
    <t>Noncarcinogenics</t>
  </si>
  <si>
    <t>Respiratory effects</t>
  </si>
  <si>
    <t xml:space="preserve">Ecotoxicity </t>
  </si>
  <si>
    <t>Fossil fuel depletion</t>
  </si>
  <si>
    <t>Revenue total</t>
  </si>
  <si>
    <t>REE sales total</t>
  </si>
  <si>
    <t xml:space="preserve">Tipping fee </t>
  </si>
  <si>
    <t>Amount of material processsed (tonnes)</t>
  </si>
  <si>
    <t>Thompson et al. 2018</t>
  </si>
  <si>
    <t>Industrial waste (fluid cracking catalysts)</t>
  </si>
  <si>
    <t>REEs</t>
  </si>
  <si>
    <t>Bioleaching</t>
  </si>
  <si>
    <t>https://doi.org/10.1021/acssuschemeng.7b02771</t>
  </si>
  <si>
    <t>Jin et al. 2019</t>
  </si>
  <si>
    <t>https://doi.org/10.1021/acssuschemeng.9b02584</t>
  </si>
  <si>
    <t>Owens patent</t>
  </si>
  <si>
    <t>Nitric acid leaching</t>
  </si>
  <si>
    <t>https://patents.google.com/patent/WO2012082597A2/en</t>
  </si>
  <si>
    <t>This paper</t>
  </si>
  <si>
    <t>Global warming potential per ton material processed</t>
  </si>
  <si>
    <t>% difference compared with this study</t>
  </si>
  <si>
    <t>REE sales revenue</t>
  </si>
  <si>
    <t>Cost per year ($)</t>
  </si>
  <si>
    <t>Cost per ton</t>
  </si>
  <si>
    <t>Cost per ton (bioleaching only)</t>
  </si>
  <si>
    <t>Thompson</t>
  </si>
  <si>
    <t>***bioleaching ONLY</t>
  </si>
  <si>
    <t>***assuming 50% solids loading</t>
  </si>
  <si>
    <t>Owens</t>
  </si>
  <si>
    <t>N/A</t>
  </si>
  <si>
    <t>***upstream + bioleaching + metallurgy</t>
  </si>
  <si>
    <t>***assuming 1% solids loading</t>
  </si>
  <si>
    <t>Jin et 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</si>
</sst>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164" formatCode="&quot;$&quot;#,##0.00"/>
    <numFmt numFmtId="165" formatCode="&quot;$&quot;#,##0.000_);[Red]\(&quot;$&quot;#,##0.000\)"/>
    <numFmt numFmtId="166" formatCode="0.0000"/>
    <numFmt numFmtId="167" formatCode="0.0000E+00"/>
    <numFmt numFmtId="168" formatCode="0.0E+00"/>
  </numFmts>
  <fonts count="12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 (Body)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 applyNumberFormat="0" applyFill="0" applyBorder="0" applyAlignment="0" applyProtection="0"/>
    <xf numFmtId="0" fontId="10" fillId="0" borderId="0"/>
    <xf numFmtId="0" fontId="11" fillId="0" borderId="0" applyNumberFormat="0" applyFill="0" applyBorder="0" applyAlignment="0" applyProtection="0"/>
  </cellStyleXfs>
  <cellXfs count="114">
    <xf numFmtId="0" fontId="0" fillId="0" borderId="0" xfId="0"/>
    <xf numFmtId="3" fontId="0" fillId="0" borderId="0" xfId="0" applyNumberFormat="1"/>
    <xf numFmtId="4" fontId="0" fillId="0" borderId="0" xfId="0" applyNumberFormat="1"/>
    <xf numFmtId="0" fontId="2" fillId="0" borderId="0" xfId="0" applyFont="1"/>
    <xf numFmtId="2" fontId="0" fillId="0" borderId="0" xfId="0" applyNumberFormat="1"/>
    <xf numFmtId="10" fontId="0" fillId="0" borderId="0" xfId="0" applyNumberFormat="1"/>
    <xf numFmtId="0" fontId="3" fillId="0" borderId="0" xfId="0" applyFont="1"/>
    <xf numFmtId="164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164" fontId="0" fillId="0" borderId="0" xfId="0" quotePrefix="1" applyNumberFormat="1"/>
    <xf numFmtId="164" fontId="2" fillId="0" borderId="0" xfId="0" applyNumberFormat="1" applyFont="1"/>
    <xf numFmtId="0" fontId="2" fillId="0" borderId="0" xfId="0" quotePrefix="1" applyFont="1"/>
    <xf numFmtId="164" fontId="2" fillId="0" borderId="0" xfId="0" quotePrefix="1" applyNumberFormat="1" applyFont="1"/>
    <xf numFmtId="10" fontId="2" fillId="0" borderId="0" xfId="0" applyNumberFormat="1" applyFont="1"/>
    <xf numFmtId="0" fontId="0" fillId="0" borderId="3" xfId="0" applyBorder="1"/>
    <xf numFmtId="0" fontId="0" fillId="0" borderId="4" xfId="0" applyBorder="1"/>
    <xf numFmtId="164" fontId="0" fillId="0" borderId="6" xfId="0" applyNumberFormat="1" applyBorder="1"/>
    <xf numFmtId="0" fontId="2" fillId="0" borderId="7" xfId="0" applyFont="1" applyBorder="1"/>
    <xf numFmtId="0" fontId="0" fillId="0" borderId="8" xfId="0" applyBorder="1"/>
    <xf numFmtId="164" fontId="0" fillId="0" borderId="4" xfId="0" applyNumberFormat="1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7" fillId="4" borderId="0" xfId="0" applyFont="1" applyFill="1"/>
    <xf numFmtId="0" fontId="0" fillId="4" borderId="0" xfId="0" applyFill="1"/>
    <xf numFmtId="0" fontId="2" fillId="4" borderId="7" xfId="0" applyFont="1" applyFill="1" applyBorder="1"/>
    <xf numFmtId="0" fontId="0" fillId="4" borderId="8" xfId="0" applyFill="1" applyBorder="1"/>
    <xf numFmtId="0" fontId="0" fillId="4" borderId="3" xfId="0" applyFill="1" applyBorder="1"/>
    <xf numFmtId="164" fontId="0" fillId="4" borderId="4" xfId="0" applyNumberFormat="1" applyFill="1" applyBorder="1"/>
    <xf numFmtId="0" fontId="0" fillId="4" borderId="5" xfId="0" applyFill="1" applyBorder="1"/>
    <xf numFmtId="164" fontId="0" fillId="4" borderId="6" xfId="0" applyNumberFormat="1" applyFill="1" applyBorder="1"/>
    <xf numFmtId="0" fontId="2" fillId="4" borderId="0" xfId="0" applyFont="1" applyFill="1"/>
    <xf numFmtId="164" fontId="0" fillId="4" borderId="0" xfId="0" applyNumberFormat="1" applyFill="1"/>
    <xf numFmtId="164" fontId="0" fillId="4" borderId="9" xfId="0" applyNumberFormat="1" applyFill="1" applyBorder="1"/>
    <xf numFmtId="0" fontId="0" fillId="4" borderId="9" xfId="0" applyFill="1" applyBorder="1"/>
    <xf numFmtId="4" fontId="0" fillId="4" borderId="0" xfId="0" applyNumberFormat="1" applyFill="1"/>
    <xf numFmtId="165" fontId="0" fillId="4" borderId="0" xfId="0" applyNumberFormat="1" applyFill="1"/>
    <xf numFmtId="165" fontId="0" fillId="4" borderId="4" xfId="0" applyNumberFormat="1" applyFill="1" applyBorder="1"/>
    <xf numFmtId="0" fontId="0" fillId="4" borderId="10" xfId="0" applyFill="1" applyBorder="1"/>
    <xf numFmtId="8" fontId="0" fillId="4" borderId="10" xfId="0" applyNumberFormat="1" applyFill="1" applyBorder="1"/>
    <xf numFmtId="8" fontId="0" fillId="4" borderId="6" xfId="0" applyNumberFormat="1" applyFill="1" applyBorder="1"/>
    <xf numFmtId="8" fontId="0" fillId="4" borderId="0" xfId="0" applyNumberFormat="1" applyFill="1"/>
    <xf numFmtId="0" fontId="7" fillId="5" borderId="0" xfId="0" applyFont="1" applyFill="1"/>
    <xf numFmtId="0" fontId="0" fillId="5" borderId="0" xfId="0" applyFill="1"/>
    <xf numFmtId="0" fontId="2" fillId="5" borderId="7" xfId="0" applyFont="1" applyFill="1" applyBorder="1"/>
    <xf numFmtId="0" fontId="0" fillId="5" borderId="8" xfId="0" applyFill="1" applyBorder="1"/>
    <xf numFmtId="0" fontId="0" fillId="5" borderId="3" xfId="0" applyFill="1" applyBorder="1"/>
    <xf numFmtId="164" fontId="0" fillId="5" borderId="4" xfId="0" applyNumberFormat="1" applyFill="1" applyBorder="1"/>
    <xf numFmtId="0" fontId="0" fillId="5" borderId="5" xfId="0" applyFill="1" applyBorder="1"/>
    <xf numFmtId="164" fontId="0" fillId="5" borderId="6" xfId="0" applyNumberFormat="1" applyFill="1" applyBorder="1"/>
    <xf numFmtId="164" fontId="0" fillId="5" borderId="0" xfId="0" applyNumberFormat="1" applyFill="1"/>
    <xf numFmtId="0" fontId="0" fillId="5" borderId="9" xfId="0" applyFill="1" applyBorder="1"/>
    <xf numFmtId="165" fontId="0" fillId="5" borderId="0" xfId="0" applyNumberFormat="1" applyFill="1"/>
    <xf numFmtId="165" fontId="0" fillId="5" borderId="4" xfId="0" applyNumberFormat="1" applyFill="1" applyBorder="1"/>
    <xf numFmtId="8" fontId="0" fillId="5" borderId="4" xfId="0" applyNumberFormat="1" applyFill="1" applyBorder="1"/>
    <xf numFmtId="8" fontId="0" fillId="5" borderId="0" xfId="0" applyNumberFormat="1" applyFill="1"/>
    <xf numFmtId="0" fontId="0" fillId="5" borderId="10" xfId="0" applyFill="1" applyBorder="1"/>
    <xf numFmtId="8" fontId="0" fillId="5" borderId="6" xfId="0" applyNumberFormat="1" applyFill="1" applyBorder="1"/>
    <xf numFmtId="0" fontId="2" fillId="5" borderId="9" xfId="0" applyFont="1" applyFill="1" applyBorder="1"/>
    <xf numFmtId="0" fontId="0" fillId="5" borderId="6" xfId="0" applyFill="1" applyBorder="1"/>
    <xf numFmtId="0" fontId="2" fillId="5" borderId="0" xfId="0" applyFont="1" applyFill="1"/>
    <xf numFmtId="0" fontId="9" fillId="0" borderId="0" xfId="1"/>
    <xf numFmtId="0" fontId="7" fillId="0" borderId="0" xfId="2" applyFont="1"/>
    <xf numFmtId="0" fontId="10" fillId="0" borderId="0" xfId="2"/>
    <xf numFmtId="0" fontId="8" fillId="0" borderId="0" xfId="2" applyFont="1"/>
    <xf numFmtId="0" fontId="8" fillId="0" borderId="1" xfId="2" applyFont="1" applyBorder="1" applyAlignment="1">
      <alignment horizontal="center"/>
    </xf>
    <xf numFmtId="0" fontId="8" fillId="0" borderId="2" xfId="2" applyFont="1" applyBorder="1" applyAlignment="1">
      <alignment horizontal="center"/>
    </xf>
    <xf numFmtId="0" fontId="10" fillId="0" borderId="3" xfId="2" applyBorder="1"/>
    <xf numFmtId="0" fontId="10" fillId="0" borderId="4" xfId="2" applyBorder="1"/>
    <xf numFmtId="0" fontId="11" fillId="0" borderId="0" xfId="3"/>
    <xf numFmtId="8" fontId="10" fillId="0" borderId="3" xfId="2" applyNumberFormat="1" applyBorder="1"/>
    <xf numFmtId="2" fontId="10" fillId="0" borderId="3" xfId="2" applyNumberFormat="1" applyBorder="1"/>
    <xf numFmtId="164" fontId="10" fillId="0" borderId="5" xfId="2" applyNumberFormat="1" applyBorder="1"/>
    <xf numFmtId="164" fontId="10" fillId="0" borderId="6" xfId="2" applyNumberFormat="1" applyBorder="1"/>
    <xf numFmtId="0" fontId="10" fillId="0" borderId="6" xfId="2" applyBorder="1"/>
    <xf numFmtId="0" fontId="10" fillId="3" borderId="0" xfId="2" applyFill="1"/>
    <xf numFmtId="164" fontId="10" fillId="3" borderId="0" xfId="2" applyNumberFormat="1" applyFill="1"/>
    <xf numFmtId="0" fontId="8" fillId="0" borderId="11" xfId="2" applyFont="1" applyBorder="1" applyAlignment="1">
      <alignment horizontal="center"/>
    </xf>
    <xf numFmtId="8" fontId="10" fillId="0" borderId="0" xfId="2" applyNumberFormat="1"/>
    <xf numFmtId="164" fontId="10" fillId="0" borderId="10" xfId="2" applyNumberFormat="1" applyBorder="1"/>
    <xf numFmtId="0" fontId="2" fillId="0" borderId="9" xfId="0" applyFont="1" applyBorder="1"/>
    <xf numFmtId="0" fontId="2" fillId="0" borderId="8" xfId="0" applyFont="1" applyBorder="1"/>
    <xf numFmtId="164" fontId="0" fillId="0" borderId="8" xfId="0" applyNumberFormat="1" applyBorder="1"/>
    <xf numFmtId="0" fontId="10" fillId="6" borderId="0" xfId="2" applyFill="1"/>
    <xf numFmtId="3" fontId="10" fillId="0" borderId="0" xfId="2" applyNumberFormat="1"/>
    <xf numFmtId="0" fontId="10" fillId="7" borderId="0" xfId="2" applyFill="1"/>
    <xf numFmtId="8" fontId="10" fillId="6" borderId="0" xfId="2" applyNumberFormat="1" applyFill="1"/>
    <xf numFmtId="164" fontId="10" fillId="0" borderId="0" xfId="2" applyNumberFormat="1"/>
    <xf numFmtId="8" fontId="10" fillId="7" borderId="0" xfId="2" applyNumberFormat="1" applyFill="1"/>
    <xf numFmtId="0" fontId="10" fillId="0" borderId="9" xfId="2" applyBorder="1"/>
    <xf numFmtId="0" fontId="10" fillId="6" borderId="9" xfId="2" applyFill="1" applyBorder="1"/>
    <xf numFmtId="4" fontId="10" fillId="7" borderId="9" xfId="2" applyNumberFormat="1" applyFill="1" applyBorder="1"/>
    <xf numFmtId="0" fontId="10" fillId="0" borderId="10" xfId="2" applyBorder="1"/>
    <xf numFmtId="0" fontId="10" fillId="6" borderId="10" xfId="2" applyFill="1" applyBorder="1"/>
    <xf numFmtId="0" fontId="10" fillId="7" borderId="10" xfId="2" applyFill="1" applyBorder="1"/>
    <xf numFmtId="0" fontId="10" fillId="7" borderId="9" xfId="2" applyFill="1" applyBorder="1"/>
    <xf numFmtId="10" fontId="10" fillId="0" borderId="0" xfId="2" applyNumberFormat="1"/>
    <xf numFmtId="166" fontId="10" fillId="6" borderId="0" xfId="2" applyNumberFormat="1" applyFill="1"/>
    <xf numFmtId="167" fontId="10" fillId="6" borderId="0" xfId="2" applyNumberFormat="1" applyFill="1"/>
    <xf numFmtId="2" fontId="10" fillId="7" borderId="0" xfId="2" applyNumberFormat="1" applyFill="1"/>
    <xf numFmtId="2" fontId="10" fillId="7" borderId="9" xfId="2" applyNumberFormat="1" applyFill="1" applyBorder="1"/>
    <xf numFmtId="2" fontId="10" fillId="0" borderId="0" xfId="2" applyNumberFormat="1"/>
    <xf numFmtId="9" fontId="0" fillId="0" borderId="0" xfId="0" applyNumberFormat="1"/>
    <xf numFmtId="11" fontId="0" fillId="0" borderId="0" xfId="0" applyNumberFormat="1"/>
    <xf numFmtId="0" fontId="1" fillId="0" borderId="0" xfId="2" applyFont="1"/>
    <xf numFmtId="165" fontId="0" fillId="0" borderId="0" xfId="0" applyNumberFormat="1"/>
    <xf numFmtId="168" fontId="0" fillId="0" borderId="0" xfId="0" applyNumberFormat="1"/>
    <xf numFmtId="0" fontId="2" fillId="2" borderId="0" xfId="0" applyFont="1" applyFill="1" applyAlignment="1">
      <alignment horizontal="center"/>
    </xf>
    <xf numFmtId="0" fontId="8" fillId="0" borderId="1" xfId="2" applyFont="1" applyBorder="1" applyAlignment="1">
      <alignment horizontal="center"/>
    </xf>
    <xf numFmtId="0" fontId="8" fillId="0" borderId="2" xfId="2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4">
    <cellStyle name="Hyperlink" xfId="1" builtinId="8"/>
    <cellStyle name="Hyperlink 2" xfId="3" xr:uid="{6709EE60-C247-6F4E-A923-819A4CB4D739}"/>
    <cellStyle name="Normal" xfId="0" builtinId="0"/>
    <cellStyle name="Normal 2" xfId="2" xr:uid="{18D35432-3F8C-9C4E-9BB9-2CE4D400231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Sensitivity!$I$15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Sensitivity!$H$16:$H$18</c:f>
              <c:strCache>
                <c:ptCount val="3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</c:strCache>
            </c:strRef>
          </c:cat>
          <c:val>
            <c:numRef>
              <c:f>Sensitivity!$I$16:$I$18</c:f>
              <c:numCache>
                <c:formatCode>0.0E+00</c:formatCode>
                <c:ptCount val="3"/>
                <c:pt idx="0">
                  <c:v>6151145</c:v>
                </c:pt>
                <c:pt idx="1">
                  <c:v>35354519.200000003</c:v>
                </c:pt>
                <c:pt idx="2">
                  <c:v>18048030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4-A74B-9E5A-59B09BEEED46}"/>
            </c:ext>
          </c:extLst>
        </c:ser>
        <c:ser>
          <c:idx val="1"/>
          <c:order val="1"/>
          <c:tx>
            <c:strRef>
              <c:f>Sensitivity!#REF!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Sensitivity!$H$16:$H$18</c:f>
              <c:strCache>
                <c:ptCount val="3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</c:strCache>
            </c:strRef>
          </c:cat>
          <c:val>
            <c:numRef>
              <c:f>Sensitivity!#REF!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74-A74B-9E5A-59B09BEEE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5546463"/>
        <c:axId val="1643238207"/>
      </c:barChart>
      <c:barChart>
        <c:barDir val="col"/>
        <c:grouping val="clustered"/>
        <c:varyColors val="0"/>
        <c:ser>
          <c:idx val="2"/>
          <c:order val="2"/>
          <c:tx>
            <c:strRef>
              <c:f>Sensitivity!#REF!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Sensitivity!$H$16:$H$18</c:f>
              <c:strCache>
                <c:ptCount val="3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</c:strCache>
            </c:strRef>
          </c:cat>
          <c:val>
            <c:numRef>
              <c:f>Sensitivity!#REF!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74-A74B-9E5A-59B09BEEED46}"/>
            </c:ext>
          </c:extLst>
        </c:ser>
        <c:ser>
          <c:idx val="3"/>
          <c:order val="3"/>
          <c:tx>
            <c:strRef>
              <c:f>Sensitivity!$J$15</c:f>
              <c:strCache>
                <c:ptCount val="1"/>
                <c:pt idx="0">
                  <c:v>GWP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Sensitivity!$H$16:$H$18</c:f>
              <c:strCache>
                <c:ptCount val="3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</c:strCache>
            </c:strRef>
          </c:cat>
          <c:val>
            <c:numRef>
              <c:f>Sensitivity!$J$16:$J$18</c:f>
              <c:numCache>
                <c:formatCode>0.00E+00</c:formatCode>
                <c:ptCount val="3"/>
                <c:pt idx="0">
                  <c:v>166066.12859375001</c:v>
                </c:pt>
                <c:pt idx="1">
                  <c:v>3657192.4157189475</c:v>
                </c:pt>
                <c:pt idx="2">
                  <c:v>1866949.9664605267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74-A74B-9E5A-59B09BEEE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7506367"/>
        <c:axId val="1697938543"/>
      </c:barChart>
      <c:catAx>
        <c:axId val="164554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238207"/>
        <c:crosses val="autoZero"/>
        <c:auto val="1"/>
        <c:lblAlgn val="ctr"/>
        <c:lblOffset val="100"/>
        <c:noMultiLvlLbl val="0"/>
      </c:catAx>
      <c:valAx>
        <c:axId val="164323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>
                    <a:solidFill>
                      <a:schemeClr val="tx1"/>
                    </a:solidFill>
                  </a:rPr>
                  <a:t>Process</a:t>
                </a:r>
                <a:r>
                  <a:rPr lang="en-US" sz="1800" b="0" baseline="0">
                    <a:solidFill>
                      <a:schemeClr val="tx1"/>
                    </a:solidFill>
                  </a:rPr>
                  <a:t> energy (</a:t>
                </a:r>
                <a:r>
                  <a:rPr lang="en-US" sz="1800" b="0">
                    <a:solidFill>
                      <a:schemeClr val="tx1"/>
                    </a:solidFill>
                  </a:rPr>
                  <a:t>kWh)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546463"/>
        <c:crosses val="autoZero"/>
        <c:crossBetween val="between"/>
      </c:valAx>
      <c:valAx>
        <c:axId val="169793854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>
                    <a:solidFill>
                      <a:schemeClr val="tx1"/>
                    </a:solidFill>
                  </a:rPr>
                  <a:t>GWP </a:t>
                </a:r>
                <a:r>
                  <a:rPr lang="en-US" sz="1800" b="0" baseline="0">
                    <a:solidFill>
                      <a:schemeClr val="tx1"/>
                    </a:solidFill>
                  </a:rPr>
                  <a:t>(kg CO</a:t>
                </a:r>
                <a:r>
                  <a:rPr lang="en-US" sz="1800" b="0" baseline="-25000">
                    <a:solidFill>
                      <a:schemeClr val="tx1"/>
                    </a:solidFill>
                  </a:rPr>
                  <a:t>2</a:t>
                </a:r>
                <a:r>
                  <a:rPr lang="en-US" sz="1800" b="0" baseline="0">
                    <a:solidFill>
                      <a:schemeClr val="tx1"/>
                    </a:solidFill>
                  </a:rPr>
                  <a:t> eq. per metric ton)</a:t>
                </a:r>
                <a:endParaRPr lang="en-US" sz="1800" b="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506367"/>
        <c:crosses val="max"/>
        <c:crossBetween val="between"/>
      </c:valAx>
      <c:catAx>
        <c:axId val="17075063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79385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Sensitivity!$I$48</c:f>
              <c:strCache>
                <c:ptCount val="1"/>
                <c:pt idx="0">
                  <c:v>GWP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Sensitivity!$H$49:$H$51</c:f>
              <c:numCache>
                <c:formatCode>0%</c:formatCode>
                <c:ptCount val="3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</c:numCache>
            </c:numRef>
          </c:cat>
          <c:val>
            <c:numRef>
              <c:f>Sensitivity!$I$49:$I$51</c:f>
              <c:numCache>
                <c:formatCode>General</c:formatCode>
                <c:ptCount val="3"/>
                <c:pt idx="0">
                  <c:v>166066.12859375001</c:v>
                </c:pt>
                <c:pt idx="1">
                  <c:v>166066.12859375001</c:v>
                </c:pt>
                <c:pt idx="2">
                  <c:v>166066.12859375001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A-024B-8B43-E92204A96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9031519"/>
        <c:axId val="1622633679"/>
      </c:barChart>
      <c:lineChart>
        <c:grouping val="standard"/>
        <c:varyColors val="0"/>
        <c:ser>
          <c:idx val="1"/>
          <c:order val="1"/>
          <c:tx>
            <c:strRef>
              <c:f>Sensitivity!$J$48</c:f>
              <c:strCache>
                <c:ptCount val="1"/>
                <c:pt idx="0">
                  <c:v>REEs leached</c:v>
                </c:pt>
              </c:strCache>
            </c:strRef>
          </c:tx>
          <c:spPr>
            <a:ln w="571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Sensitivity!$H$49:$H$51</c:f>
              <c:numCache>
                <c:formatCode>0%</c:formatCode>
                <c:ptCount val="3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</c:numCache>
            </c:numRef>
          </c:cat>
          <c:val>
            <c:numRef>
              <c:f>Sensitivity!$J$49:$J$51</c:f>
              <c:numCache>
                <c:formatCode>General</c:formatCode>
                <c:ptCount val="3"/>
                <c:pt idx="0">
                  <c:v>11.165000000000001</c:v>
                </c:pt>
                <c:pt idx="1">
                  <c:v>28.525000000000006</c:v>
                </c:pt>
                <c:pt idx="2">
                  <c:v>31.850000000000005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4A-024B-8B43-E92204A96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119807"/>
        <c:axId val="1735656079"/>
      </c:lineChart>
      <c:catAx>
        <c:axId val="1709031519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633679"/>
        <c:crosses val="autoZero"/>
        <c:auto val="1"/>
        <c:lblAlgn val="ctr"/>
        <c:lblOffset val="100"/>
        <c:noMultiLvlLbl val="0"/>
      </c:catAx>
      <c:valAx>
        <c:axId val="162263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kern="1200" baseline="0">
                    <a:solidFill>
                      <a:schemeClr val="tx1"/>
                    </a:solidFill>
                  </a:rPr>
                  <a:t>GWP (kg CO</a:t>
                </a:r>
                <a:r>
                  <a:rPr lang="en-US" sz="1800" b="0" i="0" u="none" strike="noStrike" kern="1200" baseline="-25000">
                    <a:solidFill>
                      <a:schemeClr val="tx1"/>
                    </a:solidFill>
                  </a:rPr>
                  <a:t>2</a:t>
                </a:r>
                <a:r>
                  <a:rPr lang="en-US" sz="1800" b="0" i="0" u="none" strike="noStrike" kern="1200" baseline="0">
                    <a:solidFill>
                      <a:schemeClr val="tx1"/>
                    </a:solidFill>
                  </a:rPr>
                  <a:t> eq. per metric ton)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031519"/>
        <c:crosses val="autoZero"/>
        <c:crossBetween val="between"/>
      </c:valAx>
      <c:valAx>
        <c:axId val="173565607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>
                    <a:solidFill>
                      <a:schemeClr val="tx1"/>
                    </a:solidFill>
                  </a:rPr>
                  <a:t>Mass</a:t>
                </a:r>
                <a:r>
                  <a:rPr lang="en-US" sz="1800" b="0" baseline="0">
                    <a:solidFill>
                      <a:schemeClr val="tx1"/>
                    </a:solidFill>
                  </a:rPr>
                  <a:t> REEs leached (kg)</a:t>
                </a:r>
                <a:endParaRPr lang="en-US" sz="1800" b="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119807"/>
        <c:crosses val="max"/>
        <c:crossBetween val="between"/>
      </c:valAx>
      <c:catAx>
        <c:axId val="1671119807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17356560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Sensitivity!$N$54</c:f>
              <c:strCache>
                <c:ptCount val="1"/>
                <c:pt idx="0">
                  <c:v>Ultrasound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Sensitivity!$M$55:$M$57</c:f>
              <c:numCache>
                <c:formatCode>0%</c:formatCode>
                <c:ptCount val="3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</c:numCache>
            </c:numRef>
          </c:cat>
          <c:val>
            <c:numRef>
              <c:f>Sensitivity!$N$55:$N$57</c:f>
              <c:numCache>
                <c:formatCode>General</c:formatCode>
                <c:ptCount val="3"/>
                <c:pt idx="0">
                  <c:v>14873.813577586207</c:v>
                </c:pt>
                <c:pt idx="1">
                  <c:v>5821.7748849693244</c:v>
                </c:pt>
                <c:pt idx="2">
                  <c:v>5214.0071771978019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0-4141-87B4-5126956CC0A1}"/>
            </c:ext>
          </c:extLst>
        </c:ser>
        <c:ser>
          <c:idx val="1"/>
          <c:order val="1"/>
          <c:tx>
            <c:strRef>
              <c:f>Sensitivity!$O$54</c:f>
              <c:strCache>
                <c:ptCount val="1"/>
                <c:pt idx="0">
                  <c:v>Room temperature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Sensitivity!$M$55:$M$57</c:f>
              <c:numCache>
                <c:formatCode>0%</c:formatCode>
                <c:ptCount val="3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</c:numCache>
            </c:numRef>
          </c:cat>
          <c:val>
            <c:numRef>
              <c:f>Sensitivity!$O$55:$O$57</c:f>
              <c:numCache>
                <c:formatCode>General</c:formatCode>
                <c:ptCount val="3"/>
                <c:pt idx="0">
                  <c:v>142243.80696842109</c:v>
                </c:pt>
                <c:pt idx="1">
                  <c:v>53880.229912280702</c:v>
                </c:pt>
                <c:pt idx="2">
                  <c:v>35560.951742105266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20-4141-87B4-5126956CC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6938447"/>
        <c:axId val="1760414431"/>
      </c:barChart>
      <c:catAx>
        <c:axId val="169693844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414431"/>
        <c:crosses val="autoZero"/>
        <c:auto val="1"/>
        <c:lblAlgn val="ctr"/>
        <c:lblOffset val="100"/>
        <c:noMultiLvlLbl val="0"/>
      </c:catAx>
      <c:valAx>
        <c:axId val="176041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>
                    <a:solidFill>
                      <a:schemeClr val="tx1"/>
                    </a:solidFill>
                  </a:rPr>
                  <a:t>Emissions (kg</a:t>
                </a:r>
                <a:r>
                  <a:rPr lang="en-US" sz="1800" b="0" baseline="0">
                    <a:solidFill>
                      <a:schemeClr val="tx1"/>
                    </a:solidFill>
                  </a:rPr>
                  <a:t> CO</a:t>
                </a:r>
                <a:r>
                  <a:rPr lang="en-US" sz="1800" b="0" baseline="-25000">
                    <a:solidFill>
                      <a:schemeClr val="tx1"/>
                    </a:solidFill>
                  </a:rPr>
                  <a:t>2 </a:t>
                </a:r>
                <a:r>
                  <a:rPr lang="en-US" sz="1800" b="0" baseline="0">
                    <a:solidFill>
                      <a:schemeClr val="tx1"/>
                    </a:solidFill>
                  </a:rPr>
                  <a:t>eq./kg REE leached)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93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Sensitivity!$H$93</c:f>
              <c:strCache>
                <c:ptCount val="1"/>
                <c:pt idx="0">
                  <c:v>$/kg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Sensitivity!$G$94:$G$96</c:f>
              <c:strCache>
                <c:ptCount val="3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</c:strCache>
            </c:strRef>
          </c:cat>
          <c:val>
            <c:numRef>
              <c:f>Sensitivity!$H$94:$H$96</c:f>
              <c:numCache>
                <c:formatCode>"$"#,##0.00</c:formatCode>
                <c:ptCount val="3"/>
                <c:pt idx="0">
                  <c:v>6.7662594999999994</c:v>
                </c:pt>
                <c:pt idx="1">
                  <c:v>38.889971119999998</c:v>
                </c:pt>
                <c:pt idx="2">
                  <c:v>19.852833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73-7A4C-B391-75680EDDBDB7}"/>
            </c:ext>
          </c:extLst>
        </c:ser>
        <c:ser>
          <c:idx val="1"/>
          <c:order val="1"/>
          <c:tx>
            <c:strRef>
              <c:f>Sensitivity!$I$93</c:f>
              <c:strCache>
                <c:ptCount val="1"/>
                <c:pt idx="0">
                  <c:v>dummy 1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Sensitivity!$G$94:$G$96</c:f>
              <c:strCache>
                <c:ptCount val="3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</c:strCache>
            </c:strRef>
          </c:cat>
          <c:val>
            <c:numRef>
              <c:f>Sensitivity!$I$94:$I$96</c:f>
              <c:numCache>
                <c:formatCode>"$"#,##0.00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1E73-7A4C-B391-75680EDDB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3930303"/>
        <c:axId val="949240591"/>
      </c:barChart>
      <c:barChart>
        <c:barDir val="col"/>
        <c:grouping val="clustered"/>
        <c:varyColors val="0"/>
        <c:ser>
          <c:idx val="2"/>
          <c:order val="2"/>
          <c:tx>
            <c:strRef>
              <c:f>Sensitivity!$J$93</c:f>
              <c:strCache>
                <c:ptCount val="1"/>
                <c:pt idx="0">
                  <c:v>dummy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Sensitivity!$G$94:$G$96</c:f>
              <c:strCache>
                <c:ptCount val="3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</c:strCache>
            </c:strRef>
          </c:cat>
          <c:val>
            <c:numRef>
              <c:f>Sensitivity!$J$94:$J$96</c:f>
              <c:numCache>
                <c:formatCode>"$"#,##0.00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1E73-7A4C-B391-75680EDDBDB7}"/>
            </c:ext>
          </c:extLst>
        </c:ser>
        <c:ser>
          <c:idx val="3"/>
          <c:order val="3"/>
          <c:tx>
            <c:strRef>
              <c:f>Sensitivity!$K$93</c:f>
              <c:strCache>
                <c:ptCount val="1"/>
                <c:pt idx="0">
                  <c:v>$/hr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Sensitivity!$G$94:$G$96</c:f>
              <c:strCache>
                <c:ptCount val="3"/>
                <c:pt idx="0">
                  <c:v>case 1</c:v>
                </c:pt>
                <c:pt idx="1">
                  <c:v>case 2</c:v>
                </c:pt>
                <c:pt idx="2">
                  <c:v>case 3</c:v>
                </c:pt>
              </c:strCache>
            </c:strRef>
          </c:cat>
          <c:val>
            <c:numRef>
              <c:f>Sensitivity!$K$94:$K$96</c:f>
              <c:numCache>
                <c:formatCode>"$"#,##0.00</c:formatCode>
                <c:ptCount val="3"/>
                <c:pt idx="0">
                  <c:v>27527.5</c:v>
                </c:pt>
                <c:pt idx="1">
                  <c:v>53953.9</c:v>
                </c:pt>
                <c:pt idx="2">
                  <c:v>41291.25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73-7A4C-B391-75680EDDB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4078351"/>
        <c:axId val="938898399"/>
      </c:barChart>
      <c:catAx>
        <c:axId val="92393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240591"/>
        <c:crosses val="autoZero"/>
        <c:auto val="1"/>
        <c:lblAlgn val="ctr"/>
        <c:lblOffset val="100"/>
        <c:noMultiLvlLbl val="0"/>
      </c:catAx>
      <c:valAx>
        <c:axId val="94924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Process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930303"/>
        <c:crosses val="autoZero"/>
        <c:crossBetween val="between"/>
      </c:valAx>
      <c:valAx>
        <c:axId val="938898399"/>
        <c:scaling>
          <c:orientation val="minMax"/>
        </c:scaling>
        <c:delete val="0"/>
        <c:axPos val="r"/>
        <c:numFmt formatCode="&quot;$&quot;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078351"/>
        <c:crosses val="max"/>
        <c:crossBetween val="between"/>
      </c:valAx>
      <c:catAx>
        <c:axId val="9240783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388983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342900</xdr:colOff>
      <xdr:row>1</xdr:row>
      <xdr:rowOff>0</xdr:rowOff>
    </xdr:from>
    <xdr:to>
      <xdr:col>18</xdr:col>
      <xdr:colOff>685800</xdr:colOff>
      <xdr:row>24</xdr:row>
      <xdr:rowOff>106564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CA5722-1521-F250-CFC6-B6654656A4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75700" y="0"/>
          <a:ext cx="7772400" cy="4780164"/>
        </a:xfrm>
        <a:prstGeom prst="rect">
          <a:avLst/>
        </a:prstGeom>
      </xdr:spPr>
    </xdr:pic>
    <xdr:clientData/>
  </xdr:twoCellAnchor>
  <xdr:twoCellAnchor editAs="oneCell">
    <xdr:from>
      <xdr:col>9</xdr:col>
      <xdr:colOff>723900</xdr:colOff>
      <xdr:row>25</xdr:row>
      <xdr:rowOff>50800</xdr:rowOff>
    </xdr:from>
    <xdr:to>
      <xdr:col>19</xdr:col>
      <xdr:colOff>114300</xdr:colOff>
      <xdr:row>48</xdr:row>
      <xdr:rowOff>79828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37159FE-3DB1-51D6-EC7D-258909B657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87000" y="5130800"/>
          <a:ext cx="7772400" cy="47026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797278</xdr:colOff>
      <xdr:row>13</xdr:row>
      <xdr:rowOff>9877</xdr:rowOff>
    </xdr:from>
    <xdr:to>
      <xdr:col>20</xdr:col>
      <xdr:colOff>129823</xdr:colOff>
      <xdr:row>43</xdr:row>
      <xdr:rowOff>67733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FDC4C9-64A6-3842-A943-B8E995C85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43834" y="2620433"/>
          <a:ext cx="7658100" cy="564162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85826</xdr:colOff>
      <xdr:row>19</xdr:row>
      <xdr:rowOff>502</xdr:rowOff>
    </xdr:from>
    <xdr:to>
      <xdr:col>11</xdr:col>
      <xdr:colOff>1948231</xdr:colOff>
      <xdr:row>41</xdr:row>
      <xdr:rowOff>157979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B4A51CA-1219-FD7C-9476-CDD7C6A21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75045</xdr:colOff>
      <xdr:row>58</xdr:row>
      <xdr:rowOff>83126</xdr:rowOff>
    </xdr:from>
    <xdr:to>
      <xdr:col>11</xdr:col>
      <xdr:colOff>1666875</xdr:colOff>
      <xdr:row>82</xdr:row>
      <xdr:rowOff>142875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5D612DD-732E-60E1-A8D6-A9A6551C8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40409</xdr:colOff>
      <xdr:row>58</xdr:row>
      <xdr:rowOff>51313</xdr:rowOff>
    </xdr:from>
    <xdr:to>
      <xdr:col>17</xdr:col>
      <xdr:colOff>1420091</xdr:colOff>
      <xdr:row>81</xdr:row>
      <xdr:rowOff>118276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C7F8751-F477-4E39-4508-151D68BE3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114300</xdr:colOff>
      <xdr:row>99</xdr:row>
      <xdr:rowOff>114300</xdr:rowOff>
    </xdr:from>
    <xdr:to>
      <xdr:col>11</xdr:col>
      <xdr:colOff>2044700</xdr:colOff>
      <xdr:row>120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AB50422-8A3F-FA31-BA54-4B8385C62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patents.google.com/patent/WO2012082597A2/en" TargetMode="External"/><Relationship Id="rId2" Type="http://schemas.openxmlformats.org/officeDocument/2006/relationships/hyperlink" Target="https://doi.org/10.1021/acssuschemeng.7b02771" TargetMode="External"/><Relationship Id="rId1" Type="http://schemas.openxmlformats.org/officeDocument/2006/relationships/hyperlink" Target="https://doi.org/10.1021/acssuschemeng.9b02584" TargetMode="External"/><Relationship Id="rId4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fs.usda.gov/Internet/FSE_DOCUMENTS/stelprdb5247321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mineralprices.com/rare-earth-metals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nergysage.com/local-data/electricity-cost/id/" TargetMode="External"/><Relationship Id="rId2" Type="http://schemas.openxmlformats.org/officeDocument/2006/relationships/hyperlink" Target="https://www.fishersci.com/shop/products/multi-platfrom-shakers/88861021" TargetMode="External"/><Relationship Id="rId1" Type="http://schemas.openxmlformats.org/officeDocument/2006/relationships/hyperlink" Target="https://sustainability.ucsc.edu/engage/green-certified/green-labs/resources/Energy%20Efficiency/energy_consumption.pdf" TargetMode="External"/><Relationship Id="rId4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8B1AA-2449-BC4C-B9C8-F91674CF60EE}">
  <dimension ref="A1:G30"/>
  <sheetViews>
    <sheetView zoomScale="110" zoomScaleNormal="110" workbookViewId="0">
      <selection activeCell="C11" sqref="C11"/>
    </sheetView>
  </sheetViews>
  <sheetFormatPr defaultColWidth="11" defaultRowHeight="15.95"/>
  <cols>
    <col min="1" max="1" width="26.5" customWidth="1"/>
    <col min="2" max="2" width="20" bestFit="1" customWidth="1"/>
    <col min="3" max="4" width="31.125" customWidth="1"/>
    <col min="5" max="5" width="17.625" customWidth="1"/>
    <col min="7" max="7" width="17.125" bestFit="1" customWidth="1"/>
  </cols>
  <sheetData>
    <row r="1" spans="1:7">
      <c r="B1" s="109" t="s">
        <v>0</v>
      </c>
      <c r="C1" s="109"/>
      <c r="D1" s="109"/>
      <c r="E1" s="109"/>
    </row>
    <row r="2" spans="1:7" s="3" customFormat="1">
      <c r="A2" s="3" t="s">
        <v>1</v>
      </c>
      <c r="B2" s="3" t="s">
        <v>2</v>
      </c>
      <c r="C2" s="3" t="s">
        <v>0</v>
      </c>
      <c r="D2" s="3" t="s">
        <v>3</v>
      </c>
      <c r="E2" s="3" t="s">
        <v>4</v>
      </c>
    </row>
    <row r="3" spans="1:7">
      <c r="A3" t="s">
        <v>5</v>
      </c>
      <c r="B3" s="2">
        <v>100000</v>
      </c>
      <c r="C3" s="7">
        <f>'Collect &amp; Transport TEA'!B17+'Collect &amp; Transport TEA'!B18</f>
        <v>35338.364100000006</v>
      </c>
      <c r="D3" s="11">
        <f>C3</f>
        <v>35338.364100000006</v>
      </c>
      <c r="E3" s="5">
        <f>D3/D12</f>
        <v>3.2567820019073455E-2</v>
      </c>
      <c r="G3" s="5"/>
    </row>
    <row r="4" spans="1:7">
      <c r="A4" t="s">
        <v>6</v>
      </c>
      <c r="B4" s="2">
        <v>100000</v>
      </c>
      <c r="C4" s="7">
        <f>'Collect &amp; Transport TEA'!B9</f>
        <v>4863.8813162942197</v>
      </c>
      <c r="D4" s="11">
        <f>C4</f>
        <v>4863.8813162942197</v>
      </c>
      <c r="E4" s="5">
        <f>D4/D12</f>
        <v>4.4825507727225041E-3</v>
      </c>
      <c r="G4" s="5"/>
    </row>
    <row r="5" spans="1:7">
      <c r="A5" t="s">
        <v>7</v>
      </c>
      <c r="B5" s="2">
        <v>100000</v>
      </c>
      <c r="C5" s="7">
        <f>'RT Bioleaching TEA'!C24</f>
        <v>140648.82236096082</v>
      </c>
      <c r="D5" s="11">
        <f>C5/20</f>
        <v>7032.4411180480411</v>
      </c>
      <c r="E5" s="5">
        <f>D5/D12</f>
        <v>6.4810944835819451E-3</v>
      </c>
      <c r="G5" s="5"/>
    </row>
    <row r="6" spans="1:7">
      <c r="A6" t="s">
        <v>8</v>
      </c>
      <c r="B6" s="2">
        <v>100000</v>
      </c>
      <c r="C6" s="7">
        <f>'RT Bioleaching TEA'!G31</f>
        <v>22692.036713026861</v>
      </c>
      <c r="D6" s="7">
        <f>C6</f>
        <v>22692.036713026861</v>
      </c>
      <c r="E6" s="5">
        <f>D6/D12</f>
        <v>2.0912970545121128E-2</v>
      </c>
      <c r="G6" s="5"/>
    </row>
    <row r="7" spans="1:7">
      <c r="A7" t="s">
        <v>9</v>
      </c>
      <c r="B7" s="2">
        <v>100000</v>
      </c>
      <c r="C7" s="7">
        <f>'RT Bioleaching TEA'!G35</f>
        <v>6966.4000000000005</v>
      </c>
      <c r="D7" s="11">
        <f>C7</f>
        <v>6966.4000000000005</v>
      </c>
      <c r="E7" s="5">
        <f>D7/D12</f>
        <v>6.4202310197169904E-3</v>
      </c>
      <c r="G7" s="5"/>
    </row>
    <row r="8" spans="1:7">
      <c r="A8" t="s">
        <v>10</v>
      </c>
      <c r="B8" s="2">
        <v>100000</v>
      </c>
      <c r="C8" s="7">
        <f>'Metallurgy TEA'!C21</f>
        <v>6253641.6036971426</v>
      </c>
      <c r="D8" s="11">
        <f>C8/20</f>
        <v>312682.08018485713</v>
      </c>
      <c r="E8" s="5">
        <f>D8/D12</f>
        <v>0.28816766055817278</v>
      </c>
      <c r="G8" s="5"/>
    </row>
    <row r="9" spans="1:7">
      <c r="A9" t="s">
        <v>11</v>
      </c>
      <c r="B9" s="2">
        <v>100000</v>
      </c>
      <c r="C9" s="7">
        <f>'Metallurgy TEA'!F10</f>
        <v>505.95050000000003</v>
      </c>
      <c r="D9" s="7">
        <f>C9</f>
        <v>505.95050000000003</v>
      </c>
      <c r="E9" s="5">
        <f>D9/D12</f>
        <v>4.6628374691968898E-4</v>
      </c>
      <c r="G9" s="5"/>
    </row>
    <row r="10" spans="1:7">
      <c r="A10" t="s">
        <v>12</v>
      </c>
      <c r="B10" s="2">
        <v>100000</v>
      </c>
      <c r="C10" s="7">
        <f>'Metallurgy TEA'!F6</f>
        <v>23109</v>
      </c>
      <c r="D10" s="7">
        <f>C10</f>
        <v>23109</v>
      </c>
      <c r="E10" s="5">
        <f>D10/D12</f>
        <v>2.1297243717650426E-2</v>
      </c>
      <c r="G10" s="5"/>
    </row>
    <row r="11" spans="1:7">
      <c r="A11" t="s">
        <v>13</v>
      </c>
      <c r="B11" s="2">
        <v>100000</v>
      </c>
      <c r="C11" s="7">
        <f>'Variable costs'!B13</f>
        <v>671879.83476532786</v>
      </c>
      <c r="D11" s="11">
        <f>C11</f>
        <v>671879.83476532786</v>
      </c>
      <c r="E11" s="5">
        <f>D11/D12</f>
        <v>0.61920414513704114</v>
      </c>
      <c r="G11" s="5"/>
    </row>
    <row r="12" spans="1:7" s="3" customFormat="1">
      <c r="A12" s="3" t="s">
        <v>14</v>
      </c>
      <c r="B12" s="12"/>
      <c r="C12" s="13"/>
      <c r="D12" s="14">
        <f>SUM(D3:D11)</f>
        <v>1085069.988697554</v>
      </c>
      <c r="E12" s="12"/>
      <c r="G12" s="15"/>
    </row>
    <row r="13" spans="1:7">
      <c r="B13" s="7"/>
    </row>
    <row r="16" spans="1:7">
      <c r="B16" t="s">
        <v>15</v>
      </c>
      <c r="C16" t="s">
        <v>16</v>
      </c>
    </row>
    <row r="17" spans="1:4">
      <c r="A17" s="3"/>
      <c r="B17" s="4">
        <f>'RT Bioleaching TEA'!C27+'RT Bioleaching TEA'!C28</f>
        <v>9900000</v>
      </c>
      <c r="C17" s="4">
        <f>'RT Bioleaching TEA'!C29+'Metallurgy TEA'!C9</f>
        <v>27325.338300244188</v>
      </c>
      <c r="D17" s="3"/>
    </row>
    <row r="18" spans="1:4">
      <c r="B18" s="7" t="s">
        <v>17</v>
      </c>
      <c r="C18" s="7" t="s">
        <v>18</v>
      </c>
    </row>
    <row r="19" spans="1:4">
      <c r="B19" s="7">
        <f>B17*'RT Bioleaching TEA'!E28</f>
        <v>19800</v>
      </c>
      <c r="C19" s="7">
        <f>C17*'RT Bioleaching TEA'!E29</f>
        <v>3005.7872130268606</v>
      </c>
      <c r="D19" s="7"/>
    </row>
    <row r="20" spans="1:4">
      <c r="B20" s="7" t="s">
        <v>19</v>
      </c>
      <c r="C20" s="7"/>
      <c r="D20" s="7"/>
    </row>
    <row r="21" spans="1:4">
      <c r="B21" s="7">
        <f>C3+C4+C5+C8</f>
        <v>6434492.6714743972</v>
      </c>
      <c r="C21" s="7"/>
      <c r="D21" s="7"/>
    </row>
    <row r="22" spans="1:4">
      <c r="B22" s="7"/>
      <c r="C22" s="7"/>
      <c r="D22" s="7"/>
    </row>
    <row r="23" spans="1:4">
      <c r="B23" s="7"/>
      <c r="C23" s="7"/>
      <c r="D23" s="7"/>
    </row>
    <row r="24" spans="1:4">
      <c r="B24" s="7"/>
      <c r="C24" s="7"/>
      <c r="D24" s="7"/>
    </row>
    <row r="25" spans="1:4">
      <c r="B25" s="7"/>
      <c r="C25" s="7"/>
      <c r="D25" s="7"/>
    </row>
    <row r="26" spans="1:4">
      <c r="D26" s="7"/>
    </row>
    <row r="27" spans="1:4">
      <c r="D27" s="7"/>
    </row>
    <row r="28" spans="1:4">
      <c r="D28" s="7"/>
    </row>
    <row r="30" spans="1:4">
      <c r="D30" s="7"/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9BB4D-2DC1-4A56-A4F5-4390C723AFD5}">
  <dimension ref="A1:S23"/>
  <sheetViews>
    <sheetView topLeftCell="D1" workbookViewId="0">
      <selection activeCell="C14" sqref="C14"/>
    </sheetView>
  </sheetViews>
  <sheetFormatPr defaultColWidth="8.875" defaultRowHeight="15.95"/>
  <cols>
    <col min="1" max="1" width="20.375" bestFit="1" customWidth="1"/>
    <col min="2" max="2" width="44.625" bestFit="1" customWidth="1"/>
    <col min="3" max="3" width="32.875" bestFit="1" customWidth="1"/>
    <col min="4" max="4" width="28.875" bestFit="1" customWidth="1"/>
    <col min="5" max="5" width="42" bestFit="1" customWidth="1"/>
    <col min="6" max="6" width="15.125" bestFit="1" customWidth="1"/>
    <col min="7" max="7" width="34.875" bestFit="1" customWidth="1"/>
    <col min="8" max="8" width="8.375" bestFit="1" customWidth="1"/>
    <col min="9" max="9" width="11.625" bestFit="1" customWidth="1"/>
    <col min="10" max="10" width="13.875" bestFit="1" customWidth="1"/>
    <col min="11" max="11" width="12.5" bestFit="1" customWidth="1"/>
    <col min="12" max="12" width="16.125" bestFit="1" customWidth="1"/>
    <col min="13" max="13" width="17.125" bestFit="1" customWidth="1"/>
    <col min="14" max="14" width="10.625" bestFit="1" customWidth="1"/>
    <col min="15" max="15" width="18.125" bestFit="1" customWidth="1"/>
    <col min="16" max="16" width="13.125" bestFit="1" customWidth="1"/>
    <col min="17" max="17" width="13.375" bestFit="1" customWidth="1"/>
    <col min="18" max="18" width="12.375" bestFit="1" customWidth="1"/>
    <col min="19" max="19" width="35.875" bestFit="1" customWidth="1"/>
  </cols>
  <sheetData>
    <row r="1" spans="1:19">
      <c r="F1" s="112" t="s">
        <v>223</v>
      </c>
      <c r="G1" s="112"/>
      <c r="H1" s="112"/>
      <c r="I1" s="112"/>
      <c r="J1" s="112"/>
      <c r="K1" s="112"/>
      <c r="L1" s="112"/>
      <c r="M1" s="112"/>
      <c r="N1" s="112"/>
      <c r="O1" s="112"/>
    </row>
    <row r="2" spans="1:19">
      <c r="A2" s="3" t="s">
        <v>224</v>
      </c>
      <c r="B2" s="3" t="s">
        <v>225</v>
      </c>
      <c r="C2" s="3" t="s">
        <v>226</v>
      </c>
      <c r="D2" s="3" t="s">
        <v>227</v>
      </c>
      <c r="E2" s="3" t="s">
        <v>228</v>
      </c>
      <c r="F2" s="3" t="s">
        <v>229</v>
      </c>
      <c r="G2" s="3" t="s">
        <v>230</v>
      </c>
      <c r="H2" s="3" t="s">
        <v>231</v>
      </c>
      <c r="I2" s="3" t="s">
        <v>232</v>
      </c>
      <c r="J2" s="3" t="s">
        <v>233</v>
      </c>
      <c r="K2" s="3" t="s">
        <v>234</v>
      </c>
      <c r="L2" s="3" t="s">
        <v>235</v>
      </c>
      <c r="M2" s="3" t="s">
        <v>236</v>
      </c>
      <c r="N2" s="3" t="s">
        <v>237</v>
      </c>
      <c r="O2" s="3" t="s">
        <v>238</v>
      </c>
      <c r="P2" s="3" t="s">
        <v>239</v>
      </c>
      <c r="Q2" s="3" t="s">
        <v>240</v>
      </c>
      <c r="R2" s="3" t="s">
        <v>241</v>
      </c>
      <c r="S2" s="3" t="s">
        <v>242</v>
      </c>
    </row>
    <row r="3" spans="1:19">
      <c r="A3" t="s">
        <v>243</v>
      </c>
      <c r="B3" t="s">
        <v>244</v>
      </c>
      <c r="C3" t="s">
        <v>245</v>
      </c>
      <c r="D3" t="s">
        <v>246</v>
      </c>
      <c r="E3" s="63" t="s">
        <v>247</v>
      </c>
      <c r="F3" s="105">
        <v>0.35699999999999998</v>
      </c>
      <c r="G3" s="105">
        <v>4310000</v>
      </c>
      <c r="H3" s="105">
        <v>145000</v>
      </c>
      <c r="I3" s="105">
        <v>20600</v>
      </c>
      <c r="J3" s="105">
        <v>46900</v>
      </c>
      <c r="K3" s="105">
        <v>0.27100000000000002</v>
      </c>
      <c r="L3" s="105">
        <v>3.21</v>
      </c>
      <c r="M3" s="105">
        <v>9560</v>
      </c>
      <c r="N3" s="105">
        <v>30500000</v>
      </c>
      <c r="O3" s="105">
        <v>4300000</v>
      </c>
      <c r="P3" s="7">
        <v>3880000</v>
      </c>
      <c r="Q3" s="7">
        <v>116000</v>
      </c>
      <c r="R3" s="7">
        <f>P3-Q3</f>
        <v>3764000</v>
      </c>
      <c r="S3" s="2">
        <v>18838</v>
      </c>
    </row>
    <row r="4" spans="1:19">
      <c r="A4" t="s">
        <v>248</v>
      </c>
      <c r="B4" t="s">
        <v>244</v>
      </c>
      <c r="C4" t="s">
        <v>245</v>
      </c>
      <c r="D4" t="s">
        <v>246</v>
      </c>
      <c r="E4" s="63" t="s">
        <v>249</v>
      </c>
      <c r="F4" s="105">
        <v>2.6999999999999999E-5</v>
      </c>
      <c r="G4" s="105">
        <v>279</v>
      </c>
      <c r="H4" s="105">
        <v>10.3</v>
      </c>
      <c r="I4" s="105">
        <v>1.2</v>
      </c>
      <c r="J4" s="105">
        <v>2.41</v>
      </c>
      <c r="K4" s="105">
        <v>1.8E-5</v>
      </c>
      <c r="L4" s="105">
        <v>1.55E-4</v>
      </c>
      <c r="M4" s="105">
        <v>0.56299999999999994</v>
      </c>
      <c r="N4" s="105">
        <v>1670</v>
      </c>
      <c r="O4" s="105">
        <v>267</v>
      </c>
      <c r="S4">
        <v>1</v>
      </c>
    </row>
    <row r="5" spans="1:19">
      <c r="A5" t="s">
        <v>250</v>
      </c>
      <c r="B5" t="s">
        <v>244</v>
      </c>
      <c r="C5" t="s">
        <v>245</v>
      </c>
      <c r="D5" t="s">
        <v>251</v>
      </c>
      <c r="E5" s="63" t="s">
        <v>252</v>
      </c>
      <c r="F5" s="105">
        <v>1.04</v>
      </c>
      <c r="G5" s="105">
        <v>16200000</v>
      </c>
      <c r="H5" s="105">
        <v>648000</v>
      </c>
      <c r="I5" s="105">
        <v>58900</v>
      </c>
      <c r="J5" s="105">
        <v>45700</v>
      </c>
      <c r="K5" s="105">
        <v>0.48699999999999999</v>
      </c>
      <c r="L5" s="105">
        <v>2.19</v>
      </c>
      <c r="M5" s="105">
        <v>17500</v>
      </c>
      <c r="N5" s="105">
        <v>64700000</v>
      </c>
      <c r="O5" s="105">
        <v>10100000</v>
      </c>
      <c r="S5" s="2">
        <v>18838</v>
      </c>
    </row>
    <row r="6" spans="1:19">
      <c r="A6" t="s">
        <v>253</v>
      </c>
      <c r="G6" s="105">
        <v>1200000</v>
      </c>
      <c r="J6" s="105">
        <v>2.54</v>
      </c>
      <c r="S6" s="1">
        <v>100</v>
      </c>
    </row>
    <row r="7" spans="1:19">
      <c r="G7" s="105"/>
      <c r="J7" s="105"/>
      <c r="S7" s="1"/>
    </row>
    <row r="8" spans="1:19">
      <c r="G8" s="105"/>
      <c r="J8" s="105"/>
      <c r="S8" s="1"/>
    </row>
    <row r="10" spans="1:19">
      <c r="B10" t="s">
        <v>254</v>
      </c>
      <c r="C10" t="s">
        <v>255</v>
      </c>
      <c r="D10" t="s">
        <v>256</v>
      </c>
      <c r="E10" t="s">
        <v>257</v>
      </c>
      <c r="F10" t="s">
        <v>258</v>
      </c>
      <c r="H10" s="105"/>
      <c r="J10" t="s">
        <v>259</v>
      </c>
      <c r="K10" s="105"/>
    </row>
    <row r="11" spans="1:19">
      <c r="A11" t="s">
        <v>260</v>
      </c>
      <c r="B11" s="105">
        <f>G3/S3</f>
        <v>228.79286548465868</v>
      </c>
      <c r="C11" s="5">
        <f>(B13-B11)/B13</f>
        <v>0.98093392787627853</v>
      </c>
      <c r="D11" s="7">
        <f>Q3</f>
        <v>116000</v>
      </c>
      <c r="E11" s="7">
        <v>3030000</v>
      </c>
      <c r="F11" s="7">
        <f>E11/S3</f>
        <v>160.84510032912198</v>
      </c>
      <c r="G11" t="s">
        <v>261</v>
      </c>
      <c r="J11" s="7">
        <f>F11</f>
        <v>160.84510032912198</v>
      </c>
      <c r="K11" t="s">
        <v>262</v>
      </c>
    </row>
    <row r="12" spans="1:19">
      <c r="A12" t="s">
        <v>263</v>
      </c>
      <c r="B12" s="105">
        <f>G5/S5</f>
        <v>859.96390274976113</v>
      </c>
      <c r="C12" s="5">
        <f>(B13-B12)/B13</f>
        <v>0.92833634143751986</v>
      </c>
    </row>
    <row r="13" spans="1:19">
      <c r="A13" t="s">
        <v>253</v>
      </c>
      <c r="B13" s="105">
        <f>G6/100</f>
        <v>12000</v>
      </c>
      <c r="C13" t="s">
        <v>264</v>
      </c>
      <c r="D13" s="7">
        <f>Revenue!B5</f>
        <v>29389.500000000004</v>
      </c>
      <c r="E13" s="7">
        <f>'Main page'!D12</f>
        <v>1085069.988697554</v>
      </c>
      <c r="F13" s="7">
        <f>E13/100</f>
        <v>10850.699886975541</v>
      </c>
      <c r="G13" t="s">
        <v>265</v>
      </c>
      <c r="J13" s="7">
        <f>('Main page'!D5+'Main page'!D6+'Main page'!D7)/100</f>
        <v>366.90877831074903</v>
      </c>
      <c r="K13" t="s">
        <v>266</v>
      </c>
      <c r="L13" s="7"/>
    </row>
    <row r="14" spans="1:19">
      <c r="A14" t="s">
        <v>267</v>
      </c>
      <c r="B14" s="105">
        <f>G4</f>
        <v>279</v>
      </c>
      <c r="C14" s="5">
        <f>(B13-B14)/B13</f>
        <v>0.97675000000000001</v>
      </c>
    </row>
    <row r="19" spans="2:5">
      <c r="E19" s="7"/>
    </row>
    <row r="21" spans="2:5">
      <c r="B21" s="3"/>
      <c r="C21" s="3"/>
      <c r="E21" s="7"/>
    </row>
    <row r="22" spans="2:5">
      <c r="C22" s="105"/>
    </row>
    <row r="23" spans="2:5">
      <c r="C23" s="105"/>
    </row>
  </sheetData>
  <mergeCells count="1">
    <mergeCell ref="F1:O1"/>
  </mergeCells>
  <hyperlinks>
    <hyperlink ref="E4" r:id="rId1" tooltip="DOI URL" xr:uid="{C644DB8C-D89E-4E24-AA0B-289103868395}"/>
    <hyperlink ref="E3" r:id="rId2" tooltip="DOI URL" xr:uid="{8AD07DF8-7C1F-4321-87CE-B243EA46B45D}"/>
    <hyperlink ref="E5" r:id="rId3" xr:uid="{5E67D002-1D1C-4ECD-B523-2FC683E32DA2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79805-67A3-0542-8838-76AA662EC5A6}">
  <dimension ref="A1:D18"/>
  <sheetViews>
    <sheetView tabSelected="1" workbookViewId="0">
      <selection activeCell="C19" sqref="C19"/>
    </sheetView>
  </sheetViews>
  <sheetFormatPr defaultColWidth="11" defaultRowHeight="15.95"/>
  <cols>
    <col min="1" max="1" width="37.375" bestFit="1" customWidth="1"/>
    <col min="2" max="2" width="11.125" bestFit="1" customWidth="1"/>
  </cols>
  <sheetData>
    <row r="1" spans="1:4" s="3" customFormat="1">
      <c r="A1" s="3" t="s">
        <v>6</v>
      </c>
      <c r="B1" s="3" t="s">
        <v>20</v>
      </c>
    </row>
    <row r="2" spans="1:4">
      <c r="A2" t="s">
        <v>21</v>
      </c>
      <c r="B2">
        <f>166.255/124.7</f>
        <v>1.3332397754611065</v>
      </c>
      <c r="D2" t="s">
        <v>22</v>
      </c>
    </row>
    <row r="3" spans="1:4">
      <c r="A3" t="s">
        <v>23</v>
      </c>
      <c r="B3">
        <v>1.0793393412057177</v>
      </c>
      <c r="D3" t="s">
        <v>24</v>
      </c>
    </row>
    <row r="4" spans="1:4">
      <c r="A4" t="s">
        <v>25</v>
      </c>
      <c r="B4">
        <f>(B2*B3)</f>
        <v>1.4390181409154497</v>
      </c>
    </row>
    <row r="5" spans="1:4">
      <c r="A5" t="s">
        <v>26</v>
      </c>
      <c r="B5">
        <v>13</v>
      </c>
      <c r="D5" t="s">
        <v>27</v>
      </c>
    </row>
    <row r="6" spans="1:4">
      <c r="A6" t="s">
        <v>28</v>
      </c>
      <c r="B6">
        <f>100000/260</f>
        <v>384.61538461538464</v>
      </c>
    </row>
    <row r="7" spans="1:4">
      <c r="A7" t="s">
        <v>29</v>
      </c>
      <c r="B7" s="7">
        <f>(B4*B5)</f>
        <v>18.707235831900846</v>
      </c>
    </row>
    <row r="8" spans="1:4">
      <c r="A8" t="s">
        <v>30</v>
      </c>
      <c r="B8" s="7">
        <f>B7/B6</f>
        <v>4.8638813162942197E-2</v>
      </c>
    </row>
    <row r="9" spans="1:4">
      <c r="A9" t="s">
        <v>31</v>
      </c>
      <c r="B9" s="7">
        <f>B8*100000</f>
        <v>4863.8813162942197</v>
      </c>
    </row>
    <row r="10" spans="1:4">
      <c r="B10" s="7"/>
    </row>
    <row r="11" spans="1:4">
      <c r="B11" s="7"/>
    </row>
    <row r="12" spans="1:4">
      <c r="A12" s="3" t="s">
        <v>5</v>
      </c>
      <c r="B12" s="3" t="s">
        <v>20</v>
      </c>
    </row>
    <row r="13" spans="1:4">
      <c r="A13" t="s">
        <v>32</v>
      </c>
      <c r="B13">
        <v>60.7</v>
      </c>
      <c r="D13" s="63" t="s">
        <v>33</v>
      </c>
    </row>
    <row r="14" spans="1:4">
      <c r="A14" t="s">
        <v>34</v>
      </c>
      <c r="B14">
        <f>166.255/100</f>
        <v>1.66255</v>
      </c>
      <c r="D14" t="s">
        <v>35</v>
      </c>
    </row>
    <row r="15" spans="1:4">
      <c r="A15" t="s">
        <v>36</v>
      </c>
      <c r="B15">
        <f>B13*B14</f>
        <v>100.916785</v>
      </c>
    </row>
    <row r="16" spans="1:4">
      <c r="A16" t="s">
        <v>37</v>
      </c>
      <c r="B16">
        <f>B15*1</f>
        <v>100.916785</v>
      </c>
      <c r="D16" t="s">
        <v>38</v>
      </c>
    </row>
    <row r="17" spans="1:4">
      <c r="A17" t="s">
        <v>39</v>
      </c>
      <c r="B17" s="7">
        <f>B16*260</f>
        <v>26238.364100000003</v>
      </c>
      <c r="D17" t="s">
        <v>40</v>
      </c>
    </row>
    <row r="18" spans="1:4">
      <c r="A18" t="s">
        <v>41</v>
      </c>
      <c r="B18" s="7">
        <f>35*1*260</f>
        <v>9100</v>
      </c>
    </row>
  </sheetData>
  <hyperlinks>
    <hyperlink ref="D13" r:id="rId1" xr:uid="{307684B5-53E3-7442-B0B5-F543FC0CA50E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DAB1D-F7AF-2D45-B9AC-93A4C76B4BE5}">
  <dimension ref="B1:I40"/>
  <sheetViews>
    <sheetView topLeftCell="A16" zoomScale="90" zoomScaleNormal="90" workbookViewId="0">
      <selection activeCell="B45" sqref="B45"/>
    </sheetView>
  </sheetViews>
  <sheetFormatPr defaultColWidth="11" defaultRowHeight="15.95"/>
  <cols>
    <col min="2" max="2" width="46" bestFit="1" customWidth="1"/>
    <col min="3" max="3" width="15" customWidth="1"/>
    <col min="4" max="4" width="5.375" customWidth="1"/>
    <col min="5" max="5" width="10.875" customWidth="1"/>
    <col min="7" max="7" width="15.625" customWidth="1"/>
    <col min="8" max="8" width="11.5" bestFit="1" customWidth="1"/>
  </cols>
  <sheetData>
    <row r="1" spans="2:7" ht="18.95" hidden="1">
      <c r="B1" s="25" t="s">
        <v>42</v>
      </c>
      <c r="C1" s="26"/>
      <c r="D1" s="26"/>
      <c r="E1" s="26"/>
      <c r="F1" s="26"/>
      <c r="G1" s="26"/>
    </row>
    <row r="2" spans="2:7" hidden="1">
      <c r="B2" s="27" t="s">
        <v>43</v>
      </c>
      <c r="C2" s="28"/>
      <c r="D2" s="26"/>
      <c r="E2" s="26" t="s">
        <v>44</v>
      </c>
      <c r="F2" s="26"/>
      <c r="G2" s="26"/>
    </row>
    <row r="3" spans="2:7" hidden="1">
      <c r="B3" s="29" t="s">
        <v>45</v>
      </c>
      <c r="C3" s="30">
        <f>64842*((100000/300000)^0.7)</f>
        <v>30051.871527208066</v>
      </c>
      <c r="D3" s="26"/>
      <c r="E3" s="26" t="s">
        <v>46</v>
      </c>
      <c r="F3" s="26"/>
      <c r="G3" s="26"/>
    </row>
    <row r="4" spans="2:7" hidden="1">
      <c r="B4" s="29" t="s">
        <v>47</v>
      </c>
      <c r="C4" s="30">
        <v>10292</v>
      </c>
      <c r="D4" s="26"/>
      <c r="E4" s="26" t="s">
        <v>48</v>
      </c>
      <c r="F4" s="26"/>
      <c r="G4" s="26"/>
    </row>
    <row r="5" spans="2:7" hidden="1">
      <c r="B5" s="29" t="s">
        <v>49</v>
      </c>
      <c r="C5" s="30">
        <f>43732*((100000/333000)^0.7)</f>
        <v>18840.324382929961</v>
      </c>
      <c r="D5" s="26"/>
      <c r="E5" s="26" t="s">
        <v>46</v>
      </c>
      <c r="F5" s="26"/>
      <c r="G5" s="26"/>
    </row>
    <row r="6" spans="2:7" hidden="1">
      <c r="B6" s="31" t="s">
        <v>50</v>
      </c>
      <c r="C6" s="32">
        <f>0.7*(C3+C4+C5)</f>
        <v>41428.937137096618</v>
      </c>
      <c r="D6" s="26"/>
      <c r="E6" s="26"/>
      <c r="F6" s="26"/>
      <c r="G6" s="26"/>
    </row>
    <row r="7" spans="2:7" hidden="1">
      <c r="B7" s="33" t="s">
        <v>51</v>
      </c>
      <c r="C7" s="34">
        <f>SUM(C3:C6)</f>
        <v>100613.13304723465</v>
      </c>
      <c r="D7" s="26"/>
      <c r="E7" s="26"/>
      <c r="F7" s="26"/>
      <c r="G7" s="26"/>
    </row>
    <row r="8" spans="2:7" hidden="1">
      <c r="B8" s="33"/>
      <c r="C8" s="34"/>
      <c r="D8" s="26"/>
      <c r="E8" s="26"/>
      <c r="F8" s="26"/>
      <c r="G8" s="26"/>
    </row>
    <row r="9" spans="2:7" hidden="1">
      <c r="B9" s="27" t="s">
        <v>52</v>
      </c>
      <c r="C9" s="35" t="s">
        <v>53</v>
      </c>
      <c r="D9" s="36"/>
      <c r="E9" s="36" t="s">
        <v>54</v>
      </c>
      <c r="F9" s="36"/>
      <c r="G9" s="28" t="s">
        <v>55</v>
      </c>
    </row>
    <row r="10" spans="2:7" hidden="1">
      <c r="B10" s="29" t="s">
        <v>56</v>
      </c>
      <c r="C10" s="37">
        <f>100000*99</f>
        <v>9900000</v>
      </c>
      <c r="D10" s="26" t="s">
        <v>57</v>
      </c>
      <c r="E10" s="38">
        <v>2E-3</v>
      </c>
      <c r="F10" s="26" t="s">
        <v>58</v>
      </c>
      <c r="G10" s="39">
        <f>C10*E10</f>
        <v>19800</v>
      </c>
    </row>
    <row r="11" spans="2:7" hidden="1">
      <c r="B11" s="31" t="s">
        <v>59</v>
      </c>
      <c r="C11" s="40"/>
      <c r="D11" s="40" t="s">
        <v>60</v>
      </c>
      <c r="E11" s="41">
        <v>0.11</v>
      </c>
      <c r="F11" s="40" t="s">
        <v>61</v>
      </c>
      <c r="G11" s="42"/>
    </row>
    <row r="12" spans="2:7" hidden="1">
      <c r="B12" s="33" t="s">
        <v>62</v>
      </c>
      <c r="C12" s="38">
        <f>G10+G11</f>
        <v>19800</v>
      </c>
      <c r="D12" s="26"/>
      <c r="E12" s="43"/>
      <c r="F12" s="26"/>
      <c r="G12" s="26"/>
    </row>
    <row r="13" spans="2:7" hidden="1">
      <c r="B13" s="26"/>
      <c r="C13" s="26"/>
      <c r="D13" s="26"/>
      <c r="E13" s="43"/>
      <c r="F13" s="26"/>
      <c r="G13" s="26"/>
    </row>
    <row r="14" spans="2:7" hidden="1">
      <c r="B14" s="33" t="s">
        <v>63</v>
      </c>
      <c r="C14" s="26"/>
      <c r="D14" s="26"/>
      <c r="E14" s="43"/>
      <c r="F14" s="26"/>
      <c r="G14" s="26"/>
    </row>
    <row r="15" spans="2:7" hidden="1">
      <c r="B15" s="33" t="s">
        <v>64</v>
      </c>
      <c r="C15" s="26" t="s">
        <v>65</v>
      </c>
      <c r="D15" s="26"/>
      <c r="E15" s="43"/>
      <c r="F15" s="26"/>
      <c r="G15" s="26"/>
    </row>
    <row r="17" spans="2:9" ht="18.95">
      <c r="B17" s="44" t="s">
        <v>66</v>
      </c>
      <c r="C17" s="45"/>
      <c r="D17" s="45"/>
      <c r="E17" s="45"/>
      <c r="F17" s="45"/>
      <c r="G17" s="45"/>
    </row>
    <row r="18" spans="2:9">
      <c r="B18" s="46" t="s">
        <v>43</v>
      </c>
      <c r="C18" s="47"/>
      <c r="D18" s="45"/>
      <c r="E18" s="45" t="s">
        <v>44</v>
      </c>
      <c r="F18" s="45"/>
      <c r="G18" s="45"/>
    </row>
    <row r="19" spans="2:9">
      <c r="B19" s="48" t="s">
        <v>45</v>
      </c>
      <c r="C19" s="49">
        <f>64842*((100000/300000)^0.7)</f>
        <v>30051.871527208066</v>
      </c>
      <c r="D19" s="45"/>
      <c r="E19" s="45" t="s">
        <v>46</v>
      </c>
      <c r="F19" s="45"/>
      <c r="G19" s="45"/>
    </row>
    <row r="20" spans="2:9">
      <c r="B20" s="48" t="s">
        <v>47</v>
      </c>
      <c r="C20" s="49">
        <v>10292</v>
      </c>
      <c r="D20" s="45"/>
      <c r="E20" s="45" t="s">
        <v>48</v>
      </c>
      <c r="F20" s="45"/>
      <c r="G20" s="45"/>
    </row>
    <row r="21" spans="2:9">
      <c r="B21" s="48" t="s">
        <v>49</v>
      </c>
      <c r="C21" s="49">
        <f>43732*((100000/333000)^0.7)</f>
        <v>18840.324382929961</v>
      </c>
      <c r="D21" s="45"/>
      <c r="E21" s="45" t="s">
        <v>46</v>
      </c>
      <c r="F21" s="45"/>
      <c r="G21" s="45"/>
    </row>
    <row r="22" spans="2:9">
      <c r="B22" s="48" t="s">
        <v>67</v>
      </c>
      <c r="C22" s="49">
        <f>54665*((100000/333000)^0.7)</f>
        <v>23550.405478662451</v>
      </c>
      <c r="D22" s="45"/>
      <c r="E22" s="45" t="s">
        <v>46</v>
      </c>
      <c r="F22" s="45"/>
      <c r="G22" s="45"/>
    </row>
    <row r="23" spans="2:9">
      <c r="B23" s="50" t="s">
        <v>50</v>
      </c>
      <c r="C23" s="51">
        <f>0.7*(C19+C20+C21+C22)</f>
        <v>57914.220972160336</v>
      </c>
      <c r="D23" s="45"/>
      <c r="E23" s="45" t="s">
        <v>68</v>
      </c>
      <c r="F23" s="45"/>
      <c r="G23" s="45"/>
    </row>
    <row r="24" spans="2:9">
      <c r="B24" s="62" t="s">
        <v>51</v>
      </c>
      <c r="C24" s="52">
        <f>SUM(C19:C23)</f>
        <v>140648.82236096082</v>
      </c>
      <c r="D24" s="45"/>
      <c r="E24" s="45"/>
      <c r="F24" s="45"/>
      <c r="G24" s="45"/>
    </row>
    <row r="25" spans="2:9">
      <c r="B25" s="45"/>
      <c r="C25" s="45"/>
      <c r="D25" s="45"/>
      <c r="E25" s="45"/>
      <c r="F25" s="45"/>
      <c r="G25" s="45"/>
    </row>
    <row r="26" spans="2:9">
      <c r="B26" s="46" t="s">
        <v>52</v>
      </c>
      <c r="C26" s="53" t="s">
        <v>53</v>
      </c>
      <c r="D26" s="53"/>
      <c r="E26" s="53" t="s">
        <v>54</v>
      </c>
      <c r="F26" s="53"/>
      <c r="G26" s="47" t="s">
        <v>55</v>
      </c>
      <c r="I26" t="s">
        <v>44</v>
      </c>
    </row>
    <row r="27" spans="2:9">
      <c r="B27" s="48" t="s">
        <v>56</v>
      </c>
      <c r="C27" s="45">
        <f>(100000*99)-C28</f>
        <v>9574946</v>
      </c>
      <c r="D27" s="45" t="s">
        <v>57</v>
      </c>
      <c r="E27" s="54">
        <v>2E-3</v>
      </c>
      <c r="F27" s="45" t="s">
        <v>58</v>
      </c>
      <c r="G27" s="55">
        <f>C27*E27</f>
        <v>19149.892</v>
      </c>
    </row>
    <row r="28" spans="2:9">
      <c r="B28" s="48" t="s">
        <v>69</v>
      </c>
      <c r="C28" s="45">
        <f>3250.54*100</f>
        <v>325054</v>
      </c>
      <c r="D28" s="45" t="s">
        <v>57</v>
      </c>
      <c r="E28" s="54">
        <v>2E-3</v>
      </c>
      <c r="F28" s="45" t="s">
        <v>58</v>
      </c>
      <c r="G28" s="56">
        <f>C28*E28</f>
        <v>650.10800000000006</v>
      </c>
      <c r="I28" t="s">
        <v>70</v>
      </c>
    </row>
    <row r="29" spans="2:9">
      <c r="B29" s="48" t="s">
        <v>59</v>
      </c>
      <c r="C29" s="45">
        <f>(4281084/18838)*100</f>
        <v>22725.788300244189</v>
      </c>
      <c r="D29" s="45" t="s">
        <v>60</v>
      </c>
      <c r="E29" s="57">
        <v>0.11</v>
      </c>
      <c r="F29" s="45" t="s">
        <v>61</v>
      </c>
      <c r="G29" s="56">
        <f>C29*E29</f>
        <v>2499.8367130268607</v>
      </c>
      <c r="I29" t="s">
        <v>70</v>
      </c>
    </row>
    <row r="30" spans="2:9">
      <c r="B30" s="50" t="s">
        <v>71</v>
      </c>
      <c r="C30" s="58">
        <f>74*100</f>
        <v>7400</v>
      </c>
      <c r="D30" s="58" t="s">
        <v>57</v>
      </c>
      <c r="E30" s="58">
        <v>5.2999999999999999E-2</v>
      </c>
      <c r="F30" s="58" t="s">
        <v>58</v>
      </c>
      <c r="G30" s="59">
        <f>C30*E30</f>
        <v>392.2</v>
      </c>
      <c r="I30" t="s">
        <v>70</v>
      </c>
    </row>
    <row r="31" spans="2:9">
      <c r="B31" s="60" t="s">
        <v>62</v>
      </c>
      <c r="C31" s="45"/>
      <c r="D31" s="45"/>
      <c r="E31" s="45"/>
      <c r="F31" s="45"/>
      <c r="G31" s="54">
        <f>SUM(G27:G30)</f>
        <v>22692.036713026861</v>
      </c>
    </row>
    <row r="32" spans="2:9">
      <c r="B32" s="45"/>
      <c r="C32" s="45"/>
      <c r="D32" s="45"/>
      <c r="E32" s="45"/>
      <c r="F32" s="45"/>
      <c r="G32" s="45"/>
    </row>
    <row r="33" spans="2:8">
      <c r="B33" s="46" t="s">
        <v>63</v>
      </c>
      <c r="C33" s="53" t="s">
        <v>53</v>
      </c>
      <c r="D33" s="53"/>
      <c r="E33" s="53" t="s">
        <v>54</v>
      </c>
      <c r="F33" s="53"/>
      <c r="G33" s="47" t="s">
        <v>55</v>
      </c>
    </row>
    <row r="34" spans="2:8">
      <c r="B34" s="50" t="s">
        <v>72</v>
      </c>
      <c r="C34" s="58">
        <f>80*100</f>
        <v>8000</v>
      </c>
      <c r="D34" s="58" t="s">
        <v>57</v>
      </c>
      <c r="E34" s="58">
        <v>0.87080000000000002</v>
      </c>
      <c r="F34" s="58" t="s">
        <v>58</v>
      </c>
      <c r="G34" s="61">
        <f>C34*E34</f>
        <v>6966.4000000000005</v>
      </c>
    </row>
    <row r="35" spans="2:8">
      <c r="B35" s="62" t="s">
        <v>73</v>
      </c>
      <c r="C35" s="45"/>
      <c r="D35" s="45"/>
      <c r="E35" s="45"/>
      <c r="F35" s="45"/>
      <c r="G35" s="52">
        <f>G34</f>
        <v>6966.4000000000005</v>
      </c>
    </row>
    <row r="40" spans="2:8">
      <c r="H40" s="10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B7ABA-52B1-D346-B6F8-A2294BC7DA8F}">
  <dimension ref="B2:H37"/>
  <sheetViews>
    <sheetView workbookViewId="0">
      <selection activeCell="H5" sqref="H5"/>
    </sheetView>
  </sheetViews>
  <sheetFormatPr defaultColWidth="11" defaultRowHeight="15.95"/>
  <cols>
    <col min="2" max="2" width="41" customWidth="1"/>
    <col min="3" max="3" width="16.375" bestFit="1" customWidth="1"/>
    <col min="4" max="4" width="15.125" customWidth="1"/>
    <col min="6" max="6" width="19.625" bestFit="1" customWidth="1"/>
    <col min="7" max="7" width="18.125" bestFit="1" customWidth="1"/>
    <col min="8" max="8" width="14.625" bestFit="1" customWidth="1"/>
  </cols>
  <sheetData>
    <row r="2" spans="2:8">
      <c r="B2" s="19" t="s">
        <v>74</v>
      </c>
      <c r="C2" s="23"/>
      <c r="D2" s="23"/>
      <c r="E2" s="23"/>
      <c r="F2" s="20"/>
    </row>
    <row r="3" spans="2:8">
      <c r="B3" s="16" t="s">
        <v>75</v>
      </c>
      <c r="C3">
        <v>1312</v>
      </c>
      <c r="D3" t="s">
        <v>57</v>
      </c>
      <c r="E3" t="s">
        <v>76</v>
      </c>
      <c r="F3" s="17" t="s">
        <v>76</v>
      </c>
      <c r="H3" t="s">
        <v>44</v>
      </c>
    </row>
    <row r="4" spans="2:8">
      <c r="B4" s="16" t="s">
        <v>77</v>
      </c>
      <c r="C4">
        <f>C3*10</f>
        <v>13120</v>
      </c>
      <c r="D4" t="s">
        <v>57</v>
      </c>
      <c r="E4">
        <f>(339/50)*35</f>
        <v>237.3</v>
      </c>
      <c r="F4" s="21">
        <f>C4*E4</f>
        <v>3113376</v>
      </c>
      <c r="G4" s="7"/>
      <c r="H4" t="s">
        <v>78</v>
      </c>
    </row>
    <row r="5" spans="2:8">
      <c r="B5" s="22" t="s">
        <v>79</v>
      </c>
      <c r="C5" s="24">
        <f>200*100</f>
        <v>20000</v>
      </c>
      <c r="D5" s="24" t="s">
        <v>80</v>
      </c>
      <c r="E5" s="24">
        <f>231.09/200</f>
        <v>1.1554500000000001</v>
      </c>
      <c r="F5" s="18">
        <f>C5*E5</f>
        <v>23109</v>
      </c>
      <c r="G5" s="7"/>
      <c r="H5" t="s">
        <v>81</v>
      </c>
    </row>
    <row r="6" spans="2:8">
      <c r="B6" s="3" t="s">
        <v>73</v>
      </c>
      <c r="F6" s="7">
        <f>F5</f>
        <v>23109</v>
      </c>
    </row>
    <row r="8" spans="2:8">
      <c r="B8" s="19" t="s">
        <v>82</v>
      </c>
      <c r="C8" s="82" t="s">
        <v>53</v>
      </c>
      <c r="D8" s="82" t="s">
        <v>83</v>
      </c>
      <c r="E8" s="82" t="s">
        <v>84</v>
      </c>
      <c r="F8" s="83" t="s">
        <v>85</v>
      </c>
      <c r="G8" s="3"/>
    </row>
    <row r="9" spans="2:8">
      <c r="B9" s="22" t="s">
        <v>86</v>
      </c>
      <c r="C9" s="24">
        <f>(3.35*13.73)*100</f>
        <v>4599.55</v>
      </c>
      <c r="D9" s="24" t="s">
        <v>60</v>
      </c>
      <c r="E9" s="24">
        <v>0.11</v>
      </c>
      <c r="F9" s="18">
        <f>C9*E9</f>
        <v>505.95050000000003</v>
      </c>
      <c r="G9" s="7"/>
      <c r="H9" t="s">
        <v>87</v>
      </c>
    </row>
    <row r="10" spans="2:8">
      <c r="B10" s="3" t="s">
        <v>62</v>
      </c>
      <c r="C10" s="11"/>
      <c r="F10" s="12">
        <f>F9</f>
        <v>505.95050000000003</v>
      </c>
      <c r="G10" s="7"/>
      <c r="H10" s="7"/>
    </row>
    <row r="12" spans="2:8">
      <c r="B12" s="19" t="s">
        <v>43</v>
      </c>
      <c r="C12" s="84" t="s">
        <v>54</v>
      </c>
    </row>
    <row r="13" spans="2:8">
      <c r="B13" s="16" t="s">
        <v>88</v>
      </c>
      <c r="C13" s="21">
        <f>(13730/250)*20.81</f>
        <v>1142.8851999999999</v>
      </c>
      <c r="D13" s="7"/>
      <c r="F13" s="7"/>
      <c r="H13" t="s">
        <v>89</v>
      </c>
    </row>
    <row r="14" spans="2:8">
      <c r="B14" s="16" t="s">
        <v>90</v>
      </c>
      <c r="C14" s="21">
        <v>1773</v>
      </c>
      <c r="D14" s="7"/>
      <c r="F14" s="7"/>
      <c r="H14" t="s">
        <v>91</v>
      </c>
    </row>
    <row r="15" spans="2:8">
      <c r="B15" s="16" t="s">
        <v>92</v>
      </c>
      <c r="C15" s="21">
        <v>3070</v>
      </c>
      <c r="D15" s="7"/>
      <c r="F15" s="7"/>
      <c r="H15" t="s">
        <v>93</v>
      </c>
    </row>
    <row r="16" spans="2:8">
      <c r="B16" s="16" t="s">
        <v>94</v>
      </c>
      <c r="C16" s="21">
        <f>(13730/350)*95.5</f>
        <v>3746.3285714285712</v>
      </c>
      <c r="D16" s="7"/>
      <c r="F16" s="7"/>
      <c r="H16" t="s">
        <v>95</v>
      </c>
    </row>
    <row r="17" spans="2:8">
      <c r="B17" s="16" t="s">
        <v>96</v>
      </c>
      <c r="C17" s="21">
        <f>(13730/350)*21.81*3</f>
        <v>2566.725428571428</v>
      </c>
      <c r="D17" s="7"/>
      <c r="F17" s="7"/>
      <c r="H17" t="s">
        <v>97</v>
      </c>
    </row>
    <row r="18" spans="2:8">
      <c r="B18" s="16" t="s">
        <v>98</v>
      </c>
      <c r="C18" s="21">
        <f>(13730/350)*33.58</f>
        <v>1317.2954285714284</v>
      </c>
      <c r="D18" s="7"/>
      <c r="F18" s="7"/>
      <c r="H18" t="s">
        <v>99</v>
      </c>
    </row>
    <row r="19" spans="2:8">
      <c r="B19" s="16" t="s">
        <v>100</v>
      </c>
      <c r="C19" s="21">
        <f>F4</f>
        <v>3113376</v>
      </c>
      <c r="D19" s="11"/>
      <c r="F19" s="7"/>
    </row>
    <row r="20" spans="2:8">
      <c r="B20" s="22" t="s">
        <v>50</v>
      </c>
      <c r="C20" s="18">
        <f>0.7*C13+C14+C15+C16+C17+C18+C19</f>
        <v>3126649.3690685714</v>
      </c>
      <c r="D20" s="7"/>
      <c r="F20" s="7"/>
    </row>
    <row r="21" spans="2:8">
      <c r="B21" s="3" t="s">
        <v>51</v>
      </c>
      <c r="C21" s="7">
        <f>SUM(C13:C20)</f>
        <v>6253641.6036971426</v>
      </c>
    </row>
    <row r="22" spans="2:8">
      <c r="B22" s="3"/>
      <c r="C22" s="3"/>
    </row>
    <row r="23" spans="2:8">
      <c r="B23" s="9"/>
      <c r="H23" s="10"/>
    </row>
    <row r="24" spans="2:8">
      <c r="B24" s="9"/>
      <c r="C24" s="7"/>
      <c r="H24" s="10"/>
    </row>
    <row r="25" spans="2:8">
      <c r="B25" s="9"/>
      <c r="H25" s="10"/>
    </row>
    <row r="26" spans="2:8">
      <c r="B26" s="9"/>
      <c r="C26" s="7"/>
      <c r="H26" s="10"/>
    </row>
    <row r="27" spans="2:8">
      <c r="B27" s="9"/>
      <c r="C27" s="7"/>
      <c r="H27" s="10"/>
    </row>
    <row r="28" spans="2:8">
      <c r="B28" s="9"/>
      <c r="C28" s="7"/>
      <c r="H28" s="10"/>
    </row>
    <row r="29" spans="2:8">
      <c r="B29" s="9"/>
      <c r="C29" s="7"/>
      <c r="H29" s="10"/>
    </row>
    <row r="30" spans="2:8">
      <c r="B30" s="9"/>
      <c r="C30" s="7"/>
      <c r="H30" s="10"/>
    </row>
    <row r="31" spans="2:8">
      <c r="B31" s="9"/>
      <c r="C31" s="7"/>
      <c r="H31" s="10"/>
    </row>
    <row r="32" spans="2:8">
      <c r="B32" s="9"/>
      <c r="C32" s="7"/>
      <c r="H32" s="10"/>
    </row>
    <row r="33" spans="2:8">
      <c r="B33" s="9"/>
      <c r="C33" s="7"/>
      <c r="H33" s="10"/>
    </row>
    <row r="34" spans="2:8">
      <c r="B34" s="9"/>
      <c r="C34" s="7"/>
      <c r="H34" s="10"/>
    </row>
    <row r="37" spans="2:8">
      <c r="B37" s="9"/>
      <c r="C37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74CFA-F3A2-6F45-8C57-46980AB5C9F7}">
  <dimension ref="A2:D13"/>
  <sheetViews>
    <sheetView workbookViewId="0">
      <selection activeCell="B13" sqref="B13"/>
    </sheetView>
  </sheetViews>
  <sheetFormatPr defaultColWidth="11" defaultRowHeight="15.95"/>
  <cols>
    <col min="1" max="1" width="27" bestFit="1" customWidth="1"/>
    <col min="2" max="2" width="13.625" bestFit="1" customWidth="1"/>
  </cols>
  <sheetData>
    <row r="2" spans="1:4">
      <c r="A2" t="s">
        <v>101</v>
      </c>
      <c r="B2" s="7">
        <f>35*260*12</f>
        <v>109200</v>
      </c>
      <c r="D2" s="10" t="s">
        <v>102</v>
      </c>
    </row>
    <row r="3" spans="1:4">
      <c r="A3" t="s">
        <v>103</v>
      </c>
      <c r="B3" s="7">
        <f>0.2*B2</f>
        <v>21840</v>
      </c>
      <c r="D3" s="10" t="s">
        <v>104</v>
      </c>
    </row>
    <row r="4" spans="1:4">
      <c r="A4" t="s">
        <v>105</v>
      </c>
      <c r="B4" s="7">
        <f>0.15*B2</f>
        <v>16380</v>
      </c>
      <c r="D4" s="10" t="s">
        <v>104</v>
      </c>
    </row>
    <row r="5" spans="1:4">
      <c r="A5" t="s">
        <v>106</v>
      </c>
      <c r="B5" s="7">
        <f>0.018*('RT Bioleaching TEA'!C24+'Metallurgy TEA'!C21)</f>
        <v>115097.22766904585</v>
      </c>
      <c r="D5" s="10" t="s">
        <v>104</v>
      </c>
    </row>
    <row r="6" spans="1:4">
      <c r="A6" s="9" t="s">
        <v>107</v>
      </c>
      <c r="B6" s="7">
        <f>0.0075*('RT Bioleaching TEA'!C24+'Metallurgy TEA'!C21)</f>
        <v>47957.178195435772</v>
      </c>
      <c r="D6" s="10" t="s">
        <v>104</v>
      </c>
    </row>
    <row r="7" spans="1:4">
      <c r="A7" s="9" t="s">
        <v>108</v>
      </c>
      <c r="B7" s="7">
        <f>0.22*(B2+B3)</f>
        <v>28828.799999999999</v>
      </c>
      <c r="D7" s="10" t="s">
        <v>104</v>
      </c>
    </row>
    <row r="8" spans="1:4">
      <c r="A8" s="9" t="s">
        <v>109</v>
      </c>
      <c r="B8" s="7">
        <f>0.5*(B2+B3)</f>
        <v>65520</v>
      </c>
      <c r="D8" s="10" t="s">
        <v>104</v>
      </c>
    </row>
    <row r="9" spans="1:4">
      <c r="A9" s="9" t="s">
        <v>110</v>
      </c>
      <c r="B9" s="7">
        <f>0.02*('RT Bioleaching TEA'!C24+'Metallurgy TEA'!C21)</f>
        <v>127885.80852116206</v>
      </c>
      <c r="D9" s="10" t="s">
        <v>104</v>
      </c>
    </row>
    <row r="10" spans="1:4">
      <c r="A10" s="9" t="s">
        <v>111</v>
      </c>
      <c r="B10" s="7">
        <f>0.045*('RT Bioleaching TEA'!G35+'RT Bioleaching TEA'!G31+'Metallurgy TEA'!F10+'Metallurgy TEA'!F6+'Variable costs'!B2+'Variable costs'!B3+'Variable costs'!B4+'Variable costs'!B5+'Variable costs'!B6+'Variable costs'!B7+'Variable costs'!B8+'Variable costs'!B9)</f>
        <v>26369.208071940171</v>
      </c>
      <c r="D10" s="10" t="s">
        <v>104</v>
      </c>
    </row>
    <row r="11" spans="1:4">
      <c r="A11" s="9" t="s">
        <v>112</v>
      </c>
      <c r="B11" s="7">
        <f>0.135*('RT Bioleaching TEA'!G35+'RT Bioleaching TEA'!G31+'Metallurgy TEA'!F10+'Metallurgy TEA'!F6+'Variable costs'!B2+'Variable costs'!B3+'Variable costs'!B4+'Variable costs'!B5+'Variable costs'!B6+'Variable costs'!B7+'Variable costs'!B8+'Variable costs'!B9)</f>
        <v>79107.624215820528</v>
      </c>
      <c r="D11" s="10" t="s">
        <v>104</v>
      </c>
    </row>
    <row r="12" spans="1:4">
      <c r="A12" s="9" t="s">
        <v>113</v>
      </c>
      <c r="B12" s="7">
        <f>0.0575*('RT Bioleaching TEA'!G35+'RT Bioleaching TEA'!G31+'Metallurgy TEA'!F10+'Metallurgy TEA'!F6+'Variable costs'!B2+'Variable costs'!B3+'Variable costs'!B4+'Variable costs'!B5+'Variable costs'!B6+'Variable costs'!B7+'Variable costs'!B8+'Variable costs'!B9)</f>
        <v>33693.988091923558</v>
      </c>
      <c r="D12" s="10" t="s">
        <v>104</v>
      </c>
    </row>
    <row r="13" spans="1:4">
      <c r="A13" s="8" t="s">
        <v>114</v>
      </c>
      <c r="B13" s="7">
        <f>SUM(B2:B12)</f>
        <v>671879.83476532786</v>
      </c>
      <c r="D13" s="10" t="s">
        <v>104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16D6E-14AB-634C-AF93-8D64A53917B9}">
  <dimension ref="A1:F20"/>
  <sheetViews>
    <sheetView workbookViewId="0">
      <selection activeCell="D14" sqref="D14"/>
    </sheetView>
  </sheetViews>
  <sheetFormatPr defaultColWidth="11" defaultRowHeight="15.95"/>
  <cols>
    <col min="1" max="1" width="24.625" customWidth="1"/>
    <col min="2" max="2" width="21.5" bestFit="1" customWidth="1"/>
    <col min="3" max="3" width="33" bestFit="1" customWidth="1"/>
    <col min="4" max="4" width="19.125" bestFit="1" customWidth="1"/>
    <col min="5" max="5" width="23.125" bestFit="1" customWidth="1"/>
    <col min="6" max="6" width="14.875" bestFit="1" customWidth="1"/>
  </cols>
  <sheetData>
    <row r="1" spans="1:6">
      <c r="A1" t="s">
        <v>115</v>
      </c>
      <c r="B1" t="s">
        <v>116</v>
      </c>
      <c r="C1" t="s">
        <v>117</v>
      </c>
      <c r="D1" t="s">
        <v>118</v>
      </c>
      <c r="E1" t="s">
        <v>119</v>
      </c>
      <c r="F1" t="s">
        <v>120</v>
      </c>
    </row>
    <row r="2" spans="1:6">
      <c r="A2" s="1">
        <v>100000</v>
      </c>
      <c r="B2" s="5">
        <v>3.5000000000000003E-2</v>
      </c>
      <c r="C2">
        <f>A2*B2</f>
        <v>3500.0000000000005</v>
      </c>
      <c r="D2" s="4">
        <f>0.375*C2</f>
        <v>1312.5000000000002</v>
      </c>
      <c r="E2" s="5">
        <v>0.9</v>
      </c>
      <c r="F2">
        <f>D2*E2</f>
        <v>1181.2500000000002</v>
      </c>
    </row>
    <row r="4" spans="1:6">
      <c r="A4" t="s">
        <v>121</v>
      </c>
      <c r="B4" t="s">
        <v>122</v>
      </c>
    </row>
    <row r="5" spans="1:6">
      <c r="A5">
        <v>24.88</v>
      </c>
      <c r="B5" s="7">
        <f>A5*(D2*E2)</f>
        <v>29389.500000000004</v>
      </c>
      <c r="C5" s="7"/>
    </row>
    <row r="6" spans="1:6">
      <c r="B6" s="7">
        <f>B5*50</f>
        <v>1469475.0000000002</v>
      </c>
      <c r="C6" t="s">
        <v>123</v>
      </c>
    </row>
    <row r="12" spans="1:6">
      <c r="A12" s="63" t="s">
        <v>124</v>
      </c>
    </row>
    <row r="18" spans="1:2">
      <c r="A18" s="3"/>
    </row>
    <row r="20" spans="1:2">
      <c r="A20" s="1"/>
      <c r="B20" s="5"/>
    </row>
  </sheetData>
  <hyperlinks>
    <hyperlink ref="A12" r:id="rId1" xr:uid="{8BF17977-EF01-48F5-8C60-4E42516CEFBC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DB084-2DCB-1947-9926-BAC67E0C1715}">
  <dimension ref="A1:B4"/>
  <sheetViews>
    <sheetView workbookViewId="0">
      <selection activeCell="C4" sqref="C4"/>
    </sheetView>
  </sheetViews>
  <sheetFormatPr defaultColWidth="11" defaultRowHeight="15.95"/>
  <cols>
    <col min="2" max="2" width="26.125" bestFit="1" customWidth="1"/>
    <col min="3" max="3" width="23.625" bestFit="1" customWidth="1"/>
  </cols>
  <sheetData>
    <row r="1" spans="1:2">
      <c r="A1" t="s">
        <v>125</v>
      </c>
    </row>
    <row r="2" spans="1:2">
      <c r="A2">
        <v>0</v>
      </c>
      <c r="B2" s="6"/>
    </row>
    <row r="3" spans="1:2">
      <c r="A3">
        <v>1</v>
      </c>
    </row>
    <row r="4" spans="1:2">
      <c r="B4" t="s">
        <v>126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34ECC-0488-6A42-9D4A-97CF666A928E}">
  <dimension ref="A1:M88"/>
  <sheetViews>
    <sheetView workbookViewId="0">
      <selection activeCell="M8" sqref="M8"/>
    </sheetView>
  </sheetViews>
  <sheetFormatPr defaultColWidth="8.875" defaultRowHeight="15"/>
  <cols>
    <col min="1" max="1" width="21.875" style="65" customWidth="1"/>
    <col min="2" max="2" width="18.625" style="65" customWidth="1"/>
    <col min="3" max="3" width="22.625" style="65" customWidth="1"/>
    <col min="4" max="4" width="26.5" style="65" customWidth="1"/>
    <col min="5" max="5" width="19.125" style="65" customWidth="1"/>
    <col min="6" max="6" width="11.875" style="65" bestFit="1" customWidth="1"/>
    <col min="7" max="7" width="13.5" style="65" customWidth="1"/>
    <col min="8" max="11" width="8.875" style="65"/>
    <col min="12" max="12" width="11.375" style="65" bestFit="1" customWidth="1"/>
    <col min="13" max="13" width="10.125" style="65" bestFit="1" customWidth="1"/>
    <col min="14" max="16384" width="8.875" style="65"/>
  </cols>
  <sheetData>
    <row r="1" spans="1:13" ht="18.95">
      <c r="A1" s="64" t="s">
        <v>127</v>
      </c>
      <c r="L1" s="66" t="s">
        <v>128</v>
      </c>
      <c r="M1" s="66" t="s">
        <v>44</v>
      </c>
    </row>
    <row r="2" spans="1:13">
      <c r="B2" s="110" t="s">
        <v>129</v>
      </c>
      <c r="C2" s="111"/>
      <c r="D2" s="110" t="s">
        <v>47</v>
      </c>
      <c r="E2" s="111"/>
      <c r="F2" s="110" t="s">
        <v>130</v>
      </c>
      <c r="G2" s="111"/>
      <c r="L2" s="65" t="s">
        <v>129</v>
      </c>
      <c r="M2" s="65" t="s">
        <v>131</v>
      </c>
    </row>
    <row r="3" spans="1:13">
      <c r="A3" s="65" t="s">
        <v>59</v>
      </c>
      <c r="B3" s="69">
        <v>300</v>
      </c>
      <c r="C3" s="70" t="s">
        <v>132</v>
      </c>
      <c r="D3" s="69">
        <v>1400</v>
      </c>
      <c r="E3" s="70" t="s">
        <v>132</v>
      </c>
      <c r="F3" s="69">
        <v>800</v>
      </c>
      <c r="G3" s="70" t="s">
        <v>132</v>
      </c>
      <c r="L3" s="65" t="s">
        <v>47</v>
      </c>
      <c r="M3" s="71" t="s">
        <v>133</v>
      </c>
    </row>
    <row r="4" spans="1:13">
      <c r="A4" s="65" t="s">
        <v>134</v>
      </c>
      <c r="B4" s="72">
        <v>0.11</v>
      </c>
      <c r="C4" s="70" t="s">
        <v>61</v>
      </c>
      <c r="D4" s="72">
        <v>0.11</v>
      </c>
      <c r="E4" s="70" t="s">
        <v>61</v>
      </c>
      <c r="F4" s="72">
        <v>0.11</v>
      </c>
      <c r="G4" s="70" t="s">
        <v>61</v>
      </c>
      <c r="L4" s="65" t="s">
        <v>130</v>
      </c>
      <c r="M4" s="65" t="s">
        <v>135</v>
      </c>
    </row>
    <row r="5" spans="1:13">
      <c r="A5" s="65" t="s">
        <v>136</v>
      </c>
      <c r="B5" s="69">
        <v>0.5</v>
      </c>
      <c r="C5" s="70" t="s">
        <v>137</v>
      </c>
      <c r="D5" s="73">
        <f>5/60</f>
        <v>8.3333333333333329E-2</v>
      </c>
      <c r="E5" s="70" t="s">
        <v>137</v>
      </c>
      <c r="F5" s="69">
        <v>24</v>
      </c>
      <c r="G5" s="70" t="s">
        <v>137</v>
      </c>
      <c r="L5" s="65" t="s">
        <v>138</v>
      </c>
      <c r="M5" s="65" t="s">
        <v>139</v>
      </c>
    </row>
    <row r="6" spans="1:13" ht="15.95">
      <c r="A6" s="65" t="s">
        <v>140</v>
      </c>
      <c r="B6" s="74">
        <f>B3*B5*B4/1000</f>
        <v>1.6500000000000001E-2</v>
      </c>
      <c r="C6" s="75"/>
      <c r="D6" s="74">
        <f>D3*D5*D4/1000</f>
        <v>1.2833333333333332E-2</v>
      </c>
      <c r="E6" s="75"/>
      <c r="F6" s="74">
        <f t="shared" ref="F6" si="0">F3*F5*F4/1000</f>
        <v>2.1120000000000001</v>
      </c>
      <c r="G6" s="76"/>
      <c r="L6" s="65" t="s">
        <v>141</v>
      </c>
      <c r="M6" s="63" t="s">
        <v>142</v>
      </c>
    </row>
    <row r="7" spans="1:13">
      <c r="A7" s="65" t="s">
        <v>143</v>
      </c>
      <c r="B7" s="65">
        <f>48.5</f>
        <v>48.5</v>
      </c>
      <c r="C7" s="65" t="s">
        <v>137</v>
      </c>
      <c r="E7" s="65" t="s">
        <v>144</v>
      </c>
      <c r="F7" s="65">
        <v>0.5</v>
      </c>
      <c r="G7" s="65" t="s">
        <v>137</v>
      </c>
      <c r="L7" s="66" t="s">
        <v>145</v>
      </c>
    </row>
    <row r="8" spans="1:13" ht="15.95">
      <c r="A8" s="77" t="s">
        <v>146</v>
      </c>
      <c r="B8" s="78">
        <f>B6+F6+D6</f>
        <v>2.1413333333333338</v>
      </c>
      <c r="E8" s="77" t="s">
        <v>147</v>
      </c>
      <c r="F8" s="78">
        <f>B6+D6</f>
        <v>2.9333333333333333E-2</v>
      </c>
      <c r="L8" s="65" t="s">
        <v>140</v>
      </c>
      <c r="M8" s="63" t="s">
        <v>148</v>
      </c>
    </row>
    <row r="10" spans="1:13" ht="18.95">
      <c r="A10" s="64" t="s">
        <v>149</v>
      </c>
    </row>
    <row r="11" spans="1:13">
      <c r="B11" s="67" t="s">
        <v>141</v>
      </c>
      <c r="C11" s="68"/>
      <c r="D11" s="67" t="s">
        <v>138</v>
      </c>
      <c r="E11" s="68"/>
      <c r="F11" s="110" t="s">
        <v>47</v>
      </c>
      <c r="G11" s="111"/>
      <c r="H11" s="79" t="s">
        <v>130</v>
      </c>
      <c r="I11" s="68"/>
    </row>
    <row r="12" spans="1:13">
      <c r="A12" s="65" t="s">
        <v>59</v>
      </c>
      <c r="B12" s="69">
        <v>50</v>
      </c>
      <c r="C12" s="70" t="s">
        <v>132</v>
      </c>
      <c r="D12" s="69">
        <v>690</v>
      </c>
      <c r="E12" s="70" t="s">
        <v>132</v>
      </c>
      <c r="F12" s="69">
        <v>1400</v>
      </c>
      <c r="G12" s="70" t="s">
        <v>132</v>
      </c>
      <c r="H12" s="65">
        <v>800</v>
      </c>
      <c r="I12" s="70" t="s">
        <v>132</v>
      </c>
    </row>
    <row r="13" spans="1:13">
      <c r="A13" s="65" t="s">
        <v>150</v>
      </c>
      <c r="B13" s="72">
        <v>0.11</v>
      </c>
      <c r="C13" s="70" t="s">
        <v>61</v>
      </c>
      <c r="D13" s="72">
        <v>0.11</v>
      </c>
      <c r="E13" s="70" t="s">
        <v>61</v>
      </c>
      <c r="F13" s="72">
        <v>0.11</v>
      </c>
      <c r="G13" s="70" t="s">
        <v>61</v>
      </c>
      <c r="H13" s="80">
        <v>0.11</v>
      </c>
      <c r="I13" s="70" t="s">
        <v>61</v>
      </c>
    </row>
    <row r="14" spans="1:13">
      <c r="A14" s="65" t="s">
        <v>136</v>
      </c>
      <c r="B14" s="69">
        <v>24</v>
      </c>
      <c r="C14" s="70" t="s">
        <v>137</v>
      </c>
      <c r="D14" s="69">
        <v>24</v>
      </c>
      <c r="E14" s="70" t="s">
        <v>137</v>
      </c>
      <c r="F14" s="73">
        <f>5/60</f>
        <v>8.3333333333333329E-2</v>
      </c>
      <c r="G14" s="70" t="s">
        <v>137</v>
      </c>
      <c r="H14" s="65">
        <v>24</v>
      </c>
      <c r="I14" s="70" t="s">
        <v>137</v>
      </c>
    </row>
    <row r="15" spans="1:13">
      <c r="A15" s="65" t="s">
        <v>140</v>
      </c>
      <c r="B15" s="74">
        <f>B12*B14*B13/1000</f>
        <v>0.13200000000000001</v>
      </c>
      <c r="C15" s="75"/>
      <c r="D15" s="74">
        <f>D12*D14*D13/1000</f>
        <v>1.8215999999999999</v>
      </c>
      <c r="E15" s="76"/>
      <c r="F15" s="74">
        <f>F12*F14*F13/1000</f>
        <v>1.2833333333333332E-2</v>
      </c>
      <c r="G15" s="75"/>
      <c r="H15" s="81">
        <f>H12*H14*H13/1000</f>
        <v>2.1120000000000001</v>
      </c>
      <c r="I15" s="76"/>
    </row>
    <row r="16" spans="1:13">
      <c r="A16" s="65" t="s">
        <v>143</v>
      </c>
      <c r="B16" s="65">
        <v>48</v>
      </c>
      <c r="C16" s="65" t="s">
        <v>137</v>
      </c>
      <c r="E16" s="65" t="s">
        <v>144</v>
      </c>
      <c r="F16" s="65">
        <v>48</v>
      </c>
      <c r="G16" s="65" t="s">
        <v>137</v>
      </c>
    </row>
    <row r="17" spans="1:7">
      <c r="A17" s="77" t="s">
        <v>146</v>
      </c>
      <c r="B17" s="78">
        <f>D15+B15+H15+F15</f>
        <v>4.0784333333333329</v>
      </c>
      <c r="E17" s="77" t="s">
        <v>147</v>
      </c>
      <c r="F17" s="78">
        <f>B15+D15+F15</f>
        <v>1.966433333333333</v>
      </c>
    </row>
    <row r="19" spans="1:7" ht="18.95">
      <c r="A19" s="64" t="s">
        <v>151</v>
      </c>
    </row>
    <row r="20" spans="1:7">
      <c r="B20" s="67" t="s">
        <v>141</v>
      </c>
      <c r="C20" s="68"/>
      <c r="D20" s="67" t="s">
        <v>47</v>
      </c>
      <c r="E20" s="68"/>
      <c r="F20" s="79" t="s">
        <v>130</v>
      </c>
      <c r="G20" s="68"/>
    </row>
    <row r="21" spans="1:7">
      <c r="A21" s="65" t="s">
        <v>59</v>
      </c>
      <c r="B21" s="69">
        <v>50</v>
      </c>
      <c r="C21" s="70" t="s">
        <v>132</v>
      </c>
      <c r="D21" s="69">
        <v>1400</v>
      </c>
      <c r="E21" s="70" t="s">
        <v>132</v>
      </c>
      <c r="F21" s="65">
        <v>800</v>
      </c>
      <c r="G21" s="70" t="s">
        <v>132</v>
      </c>
    </row>
    <row r="22" spans="1:7">
      <c r="A22" s="65" t="s">
        <v>150</v>
      </c>
      <c r="B22" s="72">
        <v>0.11</v>
      </c>
      <c r="C22" s="70" t="s">
        <v>61</v>
      </c>
      <c r="D22" s="72">
        <v>0.11</v>
      </c>
      <c r="E22" s="70" t="s">
        <v>61</v>
      </c>
      <c r="F22" s="80">
        <v>0.11</v>
      </c>
      <c r="G22" s="70" t="s">
        <v>61</v>
      </c>
    </row>
    <row r="23" spans="1:7">
      <c r="A23" s="65" t="s">
        <v>136</v>
      </c>
      <c r="B23" s="69">
        <v>24</v>
      </c>
      <c r="C23" s="70" t="s">
        <v>137</v>
      </c>
      <c r="D23" s="73">
        <f>5/60</f>
        <v>8.3333333333333329E-2</v>
      </c>
      <c r="E23" s="70" t="s">
        <v>137</v>
      </c>
      <c r="F23" s="65">
        <v>24</v>
      </c>
      <c r="G23" s="70" t="s">
        <v>137</v>
      </c>
    </row>
    <row r="24" spans="1:7">
      <c r="A24" s="65" t="s">
        <v>140</v>
      </c>
      <c r="B24" s="74">
        <f>B21*B23*B22/1000</f>
        <v>0.13200000000000001</v>
      </c>
      <c r="C24" s="75"/>
      <c r="D24" s="74">
        <f>D21*D23*D22/1000</f>
        <v>1.2833333333333332E-2</v>
      </c>
      <c r="E24" s="75"/>
      <c r="F24" s="81">
        <f>F21*F23*F22/1000</f>
        <v>2.1120000000000001</v>
      </c>
      <c r="G24" s="76"/>
    </row>
    <row r="25" spans="1:7">
      <c r="A25" s="65" t="s">
        <v>152</v>
      </c>
      <c r="B25" s="65">
        <v>96</v>
      </c>
      <c r="C25" s="65" t="s">
        <v>137</v>
      </c>
      <c r="E25" s="65" t="s">
        <v>144</v>
      </c>
      <c r="F25" s="65">
        <v>48</v>
      </c>
      <c r="G25" s="65" t="s">
        <v>137</v>
      </c>
    </row>
    <row r="26" spans="1:7">
      <c r="A26" s="77" t="s">
        <v>146</v>
      </c>
      <c r="B26" s="78">
        <f>B24+F24+D24</f>
        <v>2.2568333333333337</v>
      </c>
      <c r="E26" s="77" t="s">
        <v>147</v>
      </c>
      <c r="F26" s="78">
        <f>B24+D24</f>
        <v>0.14483333333333334</v>
      </c>
    </row>
    <row r="29" spans="1:7">
      <c r="A29" s="65" t="s">
        <v>153</v>
      </c>
    </row>
    <row r="31" spans="1:7" ht="18.95">
      <c r="A31" s="64" t="s">
        <v>154</v>
      </c>
      <c r="B31" s="85" t="s">
        <v>155</v>
      </c>
      <c r="C31" s="85"/>
      <c r="D31" s="87" t="s">
        <v>156</v>
      </c>
      <c r="E31" s="65" t="s">
        <v>157</v>
      </c>
    </row>
    <row r="32" spans="1:7">
      <c r="A32" s="65" t="s">
        <v>158</v>
      </c>
      <c r="B32" s="85">
        <v>1</v>
      </c>
      <c r="C32" s="85"/>
      <c r="D32" s="101">
        <v>38500</v>
      </c>
      <c r="E32" s="65">
        <f>D32/B32</f>
        <v>38500</v>
      </c>
    </row>
    <row r="33" spans="1:6">
      <c r="A33" s="65" t="s">
        <v>159</v>
      </c>
      <c r="B33" s="99">
        <f>0.01*B32</f>
        <v>0.01</v>
      </c>
      <c r="C33" s="85"/>
      <c r="D33" s="101">
        <f>B33*E32</f>
        <v>385</v>
      </c>
      <c r="E33" s="103"/>
    </row>
    <row r="34" spans="1:6">
      <c r="A34" s="65" t="s">
        <v>160</v>
      </c>
      <c r="B34" s="100">
        <f>B33*0.035*0.319</f>
        <v>1.1165000000000002E-4</v>
      </c>
      <c r="C34" s="85"/>
      <c r="D34" s="101">
        <f>B34*E32</f>
        <v>4.2985250000000006</v>
      </c>
    </row>
    <row r="35" spans="1:6">
      <c r="A35" s="65" t="s">
        <v>161</v>
      </c>
      <c r="B35" s="99">
        <f>1-B33</f>
        <v>0.99</v>
      </c>
      <c r="C35" s="85"/>
      <c r="D35" s="101">
        <f>B35*E32</f>
        <v>38115</v>
      </c>
    </row>
    <row r="36" spans="1:6">
      <c r="A36" s="91" t="s">
        <v>162</v>
      </c>
      <c r="B36" s="92">
        <f>300/1000</f>
        <v>0.3</v>
      </c>
      <c r="C36" s="92" t="s">
        <v>163</v>
      </c>
      <c r="D36" s="102">
        <f>B36*E32</f>
        <v>11550</v>
      </c>
    </row>
    <row r="37" spans="1:6">
      <c r="A37" s="65" t="s">
        <v>164</v>
      </c>
      <c r="B37" s="88">
        <v>0.11</v>
      </c>
      <c r="C37" s="85" t="s">
        <v>61</v>
      </c>
      <c r="D37" s="90">
        <f>B37</f>
        <v>0.11</v>
      </c>
    </row>
    <row r="38" spans="1:6">
      <c r="A38" s="94" t="s">
        <v>136</v>
      </c>
      <c r="B38" s="95">
        <v>0.5</v>
      </c>
      <c r="C38" s="95" t="s">
        <v>165</v>
      </c>
      <c r="D38" s="96">
        <f>B38</f>
        <v>0.5</v>
      </c>
      <c r="F38" s="103"/>
    </row>
    <row r="39" spans="1:6">
      <c r="A39" s="65" t="s">
        <v>166</v>
      </c>
      <c r="B39" s="85">
        <f>1400/1000</f>
        <v>1.4</v>
      </c>
      <c r="C39" s="85" t="s">
        <v>163</v>
      </c>
      <c r="D39" s="101">
        <f>B39*E32</f>
        <v>53900</v>
      </c>
    </row>
    <row r="40" spans="1:6">
      <c r="A40" s="65" t="s">
        <v>164</v>
      </c>
      <c r="B40" s="88">
        <v>0.11</v>
      </c>
      <c r="C40" s="85" t="s">
        <v>61</v>
      </c>
      <c r="D40" s="90">
        <f>B40</f>
        <v>0.11</v>
      </c>
    </row>
    <row r="41" spans="1:6">
      <c r="A41" s="65" t="s">
        <v>136</v>
      </c>
      <c r="B41" s="85">
        <v>0.08</v>
      </c>
      <c r="C41" s="85" t="s">
        <v>165</v>
      </c>
      <c r="D41" s="87">
        <f>B41</f>
        <v>0.08</v>
      </c>
    </row>
    <row r="42" spans="1:6">
      <c r="A42" s="91" t="s">
        <v>167</v>
      </c>
      <c r="B42" s="92">
        <f>800/1000</f>
        <v>0.8</v>
      </c>
      <c r="C42" s="92" t="s">
        <v>163</v>
      </c>
      <c r="D42" s="102">
        <f>B42*E32</f>
        <v>30800</v>
      </c>
    </row>
    <row r="43" spans="1:6">
      <c r="A43" s="65" t="s">
        <v>164</v>
      </c>
      <c r="B43" s="88">
        <v>0.11</v>
      </c>
      <c r="C43" s="85" t="s">
        <v>61</v>
      </c>
      <c r="D43" s="90">
        <f>B43</f>
        <v>0.11</v>
      </c>
    </row>
    <row r="44" spans="1:6">
      <c r="A44" s="65" t="s">
        <v>136</v>
      </c>
      <c r="B44" s="85">
        <v>24</v>
      </c>
      <c r="C44" s="85" t="s">
        <v>168</v>
      </c>
      <c r="D44" s="87">
        <f>B44</f>
        <v>24</v>
      </c>
    </row>
    <row r="45" spans="1:6">
      <c r="C45" s="65" t="s">
        <v>114</v>
      </c>
      <c r="D45" s="80">
        <f>(D36*D37*D38)+(D39*D40*D41)+(D42*D43*D44)</f>
        <v>82421.570000000007</v>
      </c>
    </row>
    <row r="47" spans="1:6" ht="18.95">
      <c r="A47" s="64" t="s">
        <v>169</v>
      </c>
      <c r="B47" s="85" t="s">
        <v>155</v>
      </c>
      <c r="C47" s="85"/>
      <c r="D47" s="87" t="s">
        <v>170</v>
      </c>
      <c r="E47" s="65" t="s">
        <v>157</v>
      </c>
    </row>
    <row r="48" spans="1:6">
      <c r="A48" s="65" t="s">
        <v>171</v>
      </c>
      <c r="B48" s="85">
        <v>6</v>
      </c>
      <c r="C48" s="85"/>
      <c r="D48" s="87"/>
    </row>
    <row r="49" spans="1:6">
      <c r="A49" s="65" t="s">
        <v>159</v>
      </c>
      <c r="B49" s="85">
        <f>(1*B48)/1000</f>
        <v>6.0000000000000001E-3</v>
      </c>
      <c r="C49" s="85"/>
      <c r="D49" s="87">
        <v>385</v>
      </c>
      <c r="E49" s="103">
        <f>D49/B49</f>
        <v>64166.666666666664</v>
      </c>
    </row>
    <row r="50" spans="1:6">
      <c r="A50" s="65" t="s">
        <v>160</v>
      </c>
      <c r="B50" s="85">
        <f>B49*0.035*0.402</f>
        <v>8.4420000000000022E-5</v>
      </c>
      <c r="C50" s="85"/>
      <c r="D50" s="87">
        <f>B50*E49</f>
        <v>5.4169500000000008</v>
      </c>
    </row>
    <row r="51" spans="1:6">
      <c r="A51" s="65" t="s">
        <v>172</v>
      </c>
      <c r="B51" s="85">
        <f>99*B48</f>
        <v>594</v>
      </c>
      <c r="C51" s="85"/>
      <c r="D51" s="87">
        <f>B51*E49</f>
        <v>38115000</v>
      </c>
    </row>
    <row r="52" spans="1:6">
      <c r="A52" s="91" t="s">
        <v>173</v>
      </c>
      <c r="B52" s="92">
        <f>50/1000</f>
        <v>0.05</v>
      </c>
      <c r="C52" s="92" t="s">
        <v>163</v>
      </c>
      <c r="D52" s="93">
        <f>B52*E49</f>
        <v>3208.3333333333335</v>
      </c>
    </row>
    <row r="53" spans="1:6">
      <c r="A53" s="65" t="s">
        <v>164</v>
      </c>
      <c r="B53" s="88">
        <v>0.11</v>
      </c>
      <c r="C53" s="85" t="s">
        <v>61</v>
      </c>
      <c r="D53" s="90">
        <v>0.11</v>
      </c>
      <c r="F53" s="98"/>
    </row>
    <row r="54" spans="1:6">
      <c r="A54" s="94" t="s">
        <v>136</v>
      </c>
      <c r="B54" s="95">
        <v>24</v>
      </c>
      <c r="C54" s="95" t="s">
        <v>165</v>
      </c>
      <c r="D54" s="96">
        <v>24</v>
      </c>
    </row>
    <row r="55" spans="1:6">
      <c r="A55" s="65" t="s">
        <v>166</v>
      </c>
      <c r="B55" s="85">
        <f>1400/1000</f>
        <v>1.4</v>
      </c>
      <c r="C55" s="85" t="s">
        <v>163</v>
      </c>
      <c r="D55" s="87">
        <f>B55*E49</f>
        <v>89833.333333333328</v>
      </c>
    </row>
    <row r="56" spans="1:6">
      <c r="A56" s="65" t="s">
        <v>164</v>
      </c>
      <c r="B56" s="88">
        <v>0.11</v>
      </c>
      <c r="C56" s="85" t="s">
        <v>61</v>
      </c>
      <c r="D56" s="90">
        <v>0.11</v>
      </c>
    </row>
    <row r="57" spans="1:6">
      <c r="A57" s="65" t="s">
        <v>174</v>
      </c>
      <c r="B57" s="85">
        <v>0.08</v>
      </c>
      <c r="C57" s="85" t="s">
        <v>165</v>
      </c>
      <c r="D57" s="87">
        <v>0.08</v>
      </c>
    </row>
    <row r="58" spans="1:6">
      <c r="A58" s="91" t="s">
        <v>167</v>
      </c>
      <c r="B58" s="92">
        <f>800/1000</f>
        <v>0.8</v>
      </c>
      <c r="C58" s="92" t="s">
        <v>163</v>
      </c>
      <c r="D58" s="97">
        <f>B58*E49</f>
        <v>51333.333333333336</v>
      </c>
    </row>
    <row r="59" spans="1:6">
      <c r="A59" s="65" t="s">
        <v>164</v>
      </c>
      <c r="B59" s="88">
        <v>0.11</v>
      </c>
      <c r="C59" s="85" t="s">
        <v>61</v>
      </c>
      <c r="D59" s="90">
        <v>0.11</v>
      </c>
    </row>
    <row r="60" spans="1:6">
      <c r="A60" s="94" t="s">
        <v>136</v>
      </c>
      <c r="B60" s="95">
        <v>24</v>
      </c>
      <c r="C60" s="95" t="s">
        <v>165</v>
      </c>
      <c r="D60" s="96">
        <v>24</v>
      </c>
    </row>
    <row r="61" spans="1:6">
      <c r="A61" s="65" t="s">
        <v>175</v>
      </c>
      <c r="B61" s="85">
        <f>690/1000</f>
        <v>0.69</v>
      </c>
      <c r="C61" s="85" t="s">
        <v>163</v>
      </c>
      <c r="D61" s="87">
        <f>B61*E49</f>
        <v>44274.999999999993</v>
      </c>
    </row>
    <row r="62" spans="1:6">
      <c r="A62" s="65" t="s">
        <v>164</v>
      </c>
      <c r="B62" s="88">
        <v>0.11</v>
      </c>
      <c r="C62" s="85" t="s">
        <v>61</v>
      </c>
      <c r="D62" s="90">
        <v>0.11</v>
      </c>
    </row>
    <row r="63" spans="1:6">
      <c r="A63" s="65" t="s">
        <v>136</v>
      </c>
      <c r="B63" s="85">
        <v>24</v>
      </c>
      <c r="C63" s="85" t="s">
        <v>165</v>
      </c>
      <c r="D63" s="87">
        <v>24</v>
      </c>
    </row>
    <row r="64" spans="1:6">
      <c r="C64" s="65" t="s">
        <v>114</v>
      </c>
      <c r="D64" s="80">
        <f>(D52*D53*D54)+(D56*D55*D57)+(D58*D59*D60)+(D61*D62*D63)</f>
        <v>261666.5333333333</v>
      </c>
    </row>
    <row r="66" spans="1:6">
      <c r="D66" s="80"/>
    </row>
    <row r="67" spans="1:6" ht="18.95">
      <c r="A67" s="64" t="s">
        <v>176</v>
      </c>
      <c r="B67" s="85" t="s">
        <v>155</v>
      </c>
      <c r="C67" s="85"/>
      <c r="D67" s="87" t="s">
        <v>170</v>
      </c>
      <c r="E67" s="65" t="s">
        <v>157</v>
      </c>
    </row>
    <row r="68" spans="1:6">
      <c r="A68" s="65" t="s">
        <v>171</v>
      </c>
      <c r="B68" s="85">
        <v>6</v>
      </c>
      <c r="C68" s="85"/>
      <c r="D68" s="87"/>
    </row>
    <row r="69" spans="1:6">
      <c r="A69" s="65" t="s">
        <v>159</v>
      </c>
      <c r="B69" s="85">
        <f>(1*B68)/1000</f>
        <v>6.0000000000000001E-3</v>
      </c>
      <c r="C69" s="85"/>
      <c r="D69" s="87">
        <v>385</v>
      </c>
      <c r="E69" s="103">
        <f>D69/B69</f>
        <v>64166.666666666664</v>
      </c>
      <c r="F69" s="86"/>
    </row>
    <row r="70" spans="1:6">
      <c r="A70" s="65" t="s">
        <v>160</v>
      </c>
      <c r="B70" s="85">
        <f>B69*0.035*0.375</f>
        <v>7.8750000000000017E-5</v>
      </c>
      <c r="C70" s="85"/>
      <c r="D70" s="87">
        <f>B70*E69</f>
        <v>5.0531250000000005</v>
      </c>
    </row>
    <row r="71" spans="1:6">
      <c r="A71" s="65" t="s">
        <v>172</v>
      </c>
      <c r="B71" s="85">
        <f>99*B68</f>
        <v>594</v>
      </c>
      <c r="C71" s="85"/>
      <c r="D71" s="87">
        <f>B71*E69</f>
        <v>38115000</v>
      </c>
    </row>
    <row r="72" spans="1:6">
      <c r="A72" s="91" t="s">
        <v>173</v>
      </c>
      <c r="B72" s="92">
        <f>50/1000</f>
        <v>0.05</v>
      </c>
      <c r="C72" s="92" t="s">
        <v>163</v>
      </c>
      <c r="D72" s="93">
        <f>B72*E69</f>
        <v>3208.3333333333335</v>
      </c>
    </row>
    <row r="73" spans="1:6">
      <c r="A73" s="65" t="s">
        <v>164</v>
      </c>
      <c r="B73" s="88">
        <v>0.11</v>
      </c>
      <c r="C73" s="85" t="s">
        <v>61</v>
      </c>
      <c r="D73" s="90">
        <v>0.11</v>
      </c>
    </row>
    <row r="74" spans="1:6">
      <c r="A74" s="94" t="s">
        <v>136</v>
      </c>
      <c r="B74" s="95">
        <v>24</v>
      </c>
      <c r="C74" s="95" t="s">
        <v>165</v>
      </c>
      <c r="D74" s="96">
        <v>24</v>
      </c>
      <c r="E74" s="89"/>
    </row>
    <row r="75" spans="1:6">
      <c r="A75" s="65" t="s">
        <v>166</v>
      </c>
      <c r="B75" s="85">
        <f>1400/1000</f>
        <v>1.4</v>
      </c>
      <c r="C75" s="85" t="s">
        <v>163</v>
      </c>
      <c r="D75" s="87">
        <f>B75*E69</f>
        <v>89833.333333333328</v>
      </c>
    </row>
    <row r="76" spans="1:6">
      <c r="A76" s="65" t="s">
        <v>164</v>
      </c>
      <c r="B76" s="88">
        <v>0.11</v>
      </c>
      <c r="C76" s="85" t="s">
        <v>61</v>
      </c>
      <c r="D76" s="90">
        <v>0.11</v>
      </c>
      <c r="F76" s="89"/>
    </row>
    <row r="77" spans="1:6">
      <c r="A77" s="65" t="s">
        <v>174</v>
      </c>
      <c r="B77" s="85">
        <v>0.08</v>
      </c>
      <c r="C77" s="85" t="s">
        <v>165</v>
      </c>
      <c r="D77" s="87">
        <v>0.08</v>
      </c>
    </row>
    <row r="78" spans="1:6">
      <c r="A78" s="91" t="s">
        <v>167</v>
      </c>
      <c r="B78" s="92">
        <f>800/1000</f>
        <v>0.8</v>
      </c>
      <c r="C78" s="92" t="s">
        <v>163</v>
      </c>
      <c r="D78" s="97">
        <f>B78*E69</f>
        <v>51333.333333333336</v>
      </c>
    </row>
    <row r="79" spans="1:6">
      <c r="A79" s="65" t="s">
        <v>164</v>
      </c>
      <c r="B79" s="88">
        <v>0.11</v>
      </c>
      <c r="C79" s="85" t="s">
        <v>61</v>
      </c>
      <c r="D79" s="90">
        <v>0.11</v>
      </c>
    </row>
    <row r="80" spans="1:6">
      <c r="A80" s="65" t="s">
        <v>136</v>
      </c>
      <c r="B80" s="85">
        <v>24</v>
      </c>
      <c r="C80" s="85" t="s">
        <v>165</v>
      </c>
      <c r="D80" s="87">
        <v>24</v>
      </c>
    </row>
    <row r="81" spans="2:4">
      <c r="C81" s="65" t="s">
        <v>177</v>
      </c>
      <c r="D81" s="80">
        <f>(D72*D74*D73)+(D75*D77*D76)+(D78*D80*D79)</f>
        <v>144780.53333333333</v>
      </c>
    </row>
    <row r="84" spans="2:4">
      <c r="D84" s="80"/>
    </row>
    <row r="85" spans="2:4">
      <c r="B85" s="106"/>
      <c r="C85" s="106"/>
    </row>
    <row r="86" spans="2:4">
      <c r="B86" s="106"/>
    </row>
    <row r="87" spans="2:4">
      <c r="B87" s="106"/>
    </row>
    <row r="88" spans="2:4">
      <c r="B88" s="106"/>
    </row>
  </sheetData>
  <mergeCells count="4">
    <mergeCell ref="B2:C2"/>
    <mergeCell ref="D2:E2"/>
    <mergeCell ref="F2:G2"/>
    <mergeCell ref="F11:G11"/>
  </mergeCells>
  <hyperlinks>
    <hyperlink ref="M3" r:id="rId1" xr:uid="{2E0516C4-5E4F-664C-A3A8-84DB808F1E52}"/>
    <hyperlink ref="M6" r:id="rId2" location="?keyword=orbital%20shaker" xr:uid="{6F7E72A9-3A61-A34B-85AD-6DB014D185F9}"/>
    <hyperlink ref="M8" r:id="rId3" xr:uid="{4BC22FC4-3706-4CE4-9B09-4E45C2847040}"/>
  </hyperlinks>
  <pageMargins left="0.7" right="0.7" top="0.75" bottom="0.75" header="0.3" footer="0.3"/>
  <pageSetup orientation="portrait"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58711-FA01-EC42-A5A3-F35C6CB1ED11}">
  <dimension ref="A1:R96"/>
  <sheetViews>
    <sheetView topLeftCell="A59" zoomScaleNormal="100" workbookViewId="0">
      <selection activeCell="K127" sqref="K127"/>
    </sheetView>
  </sheetViews>
  <sheetFormatPr defaultColWidth="11" defaultRowHeight="15.95"/>
  <cols>
    <col min="1" max="1" width="23.5" customWidth="1"/>
    <col min="2" max="2" width="18.5" bestFit="1" customWidth="1"/>
    <col min="3" max="3" width="6.375" bestFit="1" customWidth="1"/>
    <col min="4" max="4" width="24.625" bestFit="1" customWidth="1"/>
    <col min="8" max="8" width="14.5" customWidth="1"/>
    <col min="9" max="9" width="18.5" customWidth="1"/>
    <col min="10" max="10" width="16" customWidth="1"/>
    <col min="11" max="11" width="18.875" customWidth="1"/>
    <col min="12" max="12" width="28.5" customWidth="1"/>
    <col min="13" max="13" width="28.5" bestFit="1" customWidth="1"/>
    <col min="14" max="14" width="17.625" customWidth="1"/>
    <col min="15" max="15" width="17" customWidth="1"/>
    <col min="16" max="16" width="15.625" bestFit="1" customWidth="1"/>
    <col min="17" max="17" width="11.875" bestFit="1" customWidth="1"/>
    <col min="18" max="18" width="31.125" customWidth="1"/>
  </cols>
  <sheetData>
    <row r="1" spans="1:15">
      <c r="A1" t="s">
        <v>178</v>
      </c>
    </row>
    <row r="2" spans="1:15">
      <c r="A2" t="s">
        <v>179</v>
      </c>
      <c r="I2" s="113" t="s">
        <v>180</v>
      </c>
      <c r="J2" s="113"/>
      <c r="K2" s="113"/>
      <c r="L2" s="113"/>
      <c r="M2" s="113"/>
      <c r="N2" s="113"/>
      <c r="O2" s="113"/>
    </row>
    <row r="3" spans="1:15">
      <c r="I3" t="s">
        <v>181</v>
      </c>
      <c r="J3" t="s">
        <v>182</v>
      </c>
      <c r="K3" t="s">
        <v>183</v>
      </c>
      <c r="L3" t="s">
        <v>184</v>
      </c>
      <c r="M3" t="s">
        <v>185</v>
      </c>
      <c r="N3" t="s">
        <v>186</v>
      </c>
      <c r="O3" t="s">
        <v>187</v>
      </c>
    </row>
    <row r="4" spans="1:15" ht="18.95">
      <c r="A4" s="64" t="s">
        <v>188</v>
      </c>
      <c r="B4" s="85" t="s">
        <v>155</v>
      </c>
      <c r="C4" s="85"/>
      <c r="D4" s="87" t="s">
        <v>156</v>
      </c>
      <c r="E4" s="65" t="s">
        <v>157</v>
      </c>
      <c r="H4" t="s">
        <v>189</v>
      </c>
      <c r="I4" s="4">
        <f>(D9+D12+D15)*(D11+D14+D17)</f>
        <v>2365825</v>
      </c>
      <c r="J4" s="4">
        <v>63871.587920673082</v>
      </c>
      <c r="K4" s="4">
        <v>0.50046298076923079</v>
      </c>
      <c r="L4" s="4">
        <v>2.5648727764423076</v>
      </c>
      <c r="M4" s="4">
        <f>D7</f>
        <v>4.2985250000000006</v>
      </c>
      <c r="N4" s="4">
        <f>D11+D14+D17</f>
        <v>24.58</v>
      </c>
      <c r="O4" s="4">
        <f>M4/N4</f>
        <v>0.17487896663954439</v>
      </c>
    </row>
    <row r="5" spans="1:15">
      <c r="A5" s="65" t="s">
        <v>158</v>
      </c>
      <c r="B5" s="85">
        <v>1</v>
      </c>
      <c r="C5" s="85"/>
      <c r="D5" s="101">
        <v>38500</v>
      </c>
      <c r="E5" s="65">
        <f>D5/B5</f>
        <v>38500</v>
      </c>
      <c r="H5" t="s">
        <v>190</v>
      </c>
      <c r="I5" s="4">
        <f>(D25+D28+D31+D34)*(D27+D30+D33+D36)</f>
        <v>13597892</v>
      </c>
      <c r="J5" s="4">
        <v>1406612.4675842107</v>
      </c>
      <c r="K5" s="4">
        <v>11.021449305263157</v>
      </c>
      <c r="L5" s="4">
        <v>56.484927689473679</v>
      </c>
      <c r="M5" s="4">
        <f>D23</f>
        <v>5.4169500000000008</v>
      </c>
      <c r="N5" s="4">
        <f>D27+D30+D36</f>
        <v>48.08</v>
      </c>
      <c r="O5" s="4">
        <f t="shared" ref="O5:O6" si="0">M5/N5</f>
        <v>0.1126653494176373</v>
      </c>
    </row>
    <row r="6" spans="1:15">
      <c r="A6" s="65" t="s">
        <v>159</v>
      </c>
      <c r="B6" s="99">
        <f>0.01*B5</f>
        <v>0.01</v>
      </c>
      <c r="C6" s="85"/>
      <c r="D6" s="101">
        <f>B6*E5</f>
        <v>385</v>
      </c>
      <c r="E6" s="103"/>
      <c r="H6" t="s">
        <v>191</v>
      </c>
      <c r="I6" s="4">
        <f>(D45+D48+D51)*(D47+D50+D53)</f>
        <v>6941550</v>
      </c>
      <c r="J6" s="4">
        <v>718057.67940789484</v>
      </c>
      <c r="K6" s="4">
        <v>5.6263089473684218</v>
      </c>
      <c r="L6" s="4">
        <v>28.834833355263161</v>
      </c>
      <c r="M6" s="4">
        <f>D43</f>
        <v>5.0531250000000005</v>
      </c>
      <c r="N6" s="4">
        <f>D47+D50+D53</f>
        <v>48.08</v>
      </c>
      <c r="O6" s="4">
        <f t="shared" si="0"/>
        <v>0.10509827371048254</v>
      </c>
    </row>
    <row r="7" spans="1:15">
      <c r="A7" s="65" t="s">
        <v>160</v>
      </c>
      <c r="B7" s="100">
        <f>B6*0.035*0.319</f>
        <v>1.1165000000000002E-4</v>
      </c>
      <c r="C7" s="85"/>
      <c r="D7" s="101">
        <f>B7*E5</f>
        <v>4.2985250000000006</v>
      </c>
      <c r="E7" s="65"/>
      <c r="I7" s="4"/>
      <c r="J7" s="4"/>
      <c r="K7" s="4"/>
      <c r="L7" s="4"/>
      <c r="M7" s="4"/>
      <c r="N7" s="4"/>
      <c r="O7" s="4"/>
    </row>
    <row r="8" spans="1:15">
      <c r="A8" s="65" t="s">
        <v>161</v>
      </c>
      <c r="B8" s="99">
        <f>1-B6</f>
        <v>0.99</v>
      </c>
      <c r="C8" s="85"/>
      <c r="D8" s="101">
        <f>B8*E5</f>
        <v>38115</v>
      </c>
      <c r="E8" s="65"/>
      <c r="I8" s="113" t="s">
        <v>192</v>
      </c>
      <c r="J8" s="113"/>
      <c r="K8" s="113"/>
      <c r="L8" s="113"/>
      <c r="M8" s="113"/>
      <c r="N8" s="113"/>
      <c r="O8" s="113"/>
    </row>
    <row r="9" spans="1:15">
      <c r="A9" s="91" t="s">
        <v>162</v>
      </c>
      <c r="B9" s="92">
        <f>300/1000</f>
        <v>0.3</v>
      </c>
      <c r="C9" s="92" t="s">
        <v>163</v>
      </c>
      <c r="D9" s="102">
        <f>B9*E5</f>
        <v>11550</v>
      </c>
      <c r="E9" s="65"/>
      <c r="I9" t="s">
        <v>181</v>
      </c>
      <c r="J9" t="s">
        <v>182</v>
      </c>
      <c r="K9" t="s">
        <v>183</v>
      </c>
      <c r="L9" t="s">
        <v>184</v>
      </c>
      <c r="M9" t="s">
        <v>185</v>
      </c>
      <c r="N9" t="s">
        <v>186</v>
      </c>
      <c r="O9" t="s">
        <v>187</v>
      </c>
    </row>
    <row r="10" spans="1:15">
      <c r="A10" s="65" t="s">
        <v>164</v>
      </c>
      <c r="B10" s="88">
        <v>0.11</v>
      </c>
      <c r="C10" s="85" t="s">
        <v>61</v>
      </c>
      <c r="D10" s="90">
        <f>B10</f>
        <v>0.11</v>
      </c>
      <c r="E10" s="65"/>
      <c r="H10" t="s">
        <v>189</v>
      </c>
      <c r="I10">
        <f t="shared" ref="I10:N10" si="1">I4*260</f>
        <v>615114500</v>
      </c>
      <c r="J10">
        <f t="shared" si="1"/>
        <v>16606612.859375002</v>
      </c>
      <c r="K10">
        <f t="shared" si="1"/>
        <v>130.120375</v>
      </c>
      <c r="L10">
        <f t="shared" si="1"/>
        <v>666.866921875</v>
      </c>
      <c r="M10">
        <f t="shared" si="1"/>
        <v>1117.6165000000001</v>
      </c>
      <c r="N10">
        <f t="shared" si="1"/>
        <v>6390.7999999999993</v>
      </c>
      <c r="O10">
        <f>M10/N10</f>
        <v>0.17487896663954439</v>
      </c>
    </row>
    <row r="11" spans="1:15">
      <c r="A11" s="94" t="s">
        <v>136</v>
      </c>
      <c r="B11" s="95">
        <v>0.5</v>
      </c>
      <c r="C11" s="95" t="s">
        <v>165</v>
      </c>
      <c r="D11" s="96">
        <f>B11</f>
        <v>0.5</v>
      </c>
      <c r="E11" s="65"/>
      <c r="H11" t="s">
        <v>193</v>
      </c>
      <c r="I11">
        <f t="shared" ref="I11:M12" si="2">I5*260</f>
        <v>3535451920</v>
      </c>
      <c r="J11">
        <f t="shared" si="2"/>
        <v>365719241.57189476</v>
      </c>
      <c r="K11">
        <f t="shared" si="2"/>
        <v>2865.5768193684207</v>
      </c>
      <c r="L11">
        <f t="shared" si="2"/>
        <v>14686.081199263157</v>
      </c>
      <c r="M11">
        <f t="shared" si="2"/>
        <v>1408.4070000000002</v>
      </c>
      <c r="N11">
        <f>N5*260</f>
        <v>12500.8</v>
      </c>
      <c r="O11">
        <f>M11/N11</f>
        <v>0.11266534941763728</v>
      </c>
    </row>
    <row r="12" spans="1:15">
      <c r="A12" s="65" t="s">
        <v>166</v>
      </c>
      <c r="B12" s="85">
        <f>1400/1000</f>
        <v>1.4</v>
      </c>
      <c r="C12" s="85" t="s">
        <v>163</v>
      </c>
      <c r="D12" s="101">
        <f>B12*E5</f>
        <v>53900</v>
      </c>
      <c r="E12" s="65"/>
      <c r="H12" t="s">
        <v>191</v>
      </c>
      <c r="I12">
        <f t="shared" si="2"/>
        <v>1804803000</v>
      </c>
      <c r="J12">
        <f t="shared" si="2"/>
        <v>186694996.64605266</v>
      </c>
      <c r="K12">
        <f t="shared" si="2"/>
        <v>1462.8403263157898</v>
      </c>
      <c r="L12">
        <f t="shared" si="2"/>
        <v>7497.0566723684215</v>
      </c>
      <c r="M12">
        <f t="shared" si="2"/>
        <v>1313.8125000000002</v>
      </c>
      <c r="N12">
        <f>N6*260</f>
        <v>12500.8</v>
      </c>
      <c r="O12">
        <f>M12/N12</f>
        <v>0.10509827371048255</v>
      </c>
    </row>
    <row r="13" spans="1:15">
      <c r="A13" s="65" t="s">
        <v>164</v>
      </c>
      <c r="B13" s="88">
        <v>0.11</v>
      </c>
      <c r="C13" s="85" t="s">
        <v>61</v>
      </c>
      <c r="D13" s="90">
        <f>B13</f>
        <v>0.11</v>
      </c>
      <c r="E13" s="65"/>
    </row>
    <row r="14" spans="1:15">
      <c r="A14" s="65" t="s">
        <v>136</v>
      </c>
      <c r="B14" s="85">
        <v>0.08</v>
      </c>
      <c r="C14" s="85" t="s">
        <v>165</v>
      </c>
      <c r="D14" s="87">
        <f>B14</f>
        <v>0.08</v>
      </c>
      <c r="E14" s="65"/>
      <c r="I14" s="113" t="s">
        <v>194</v>
      </c>
      <c r="J14" s="113"/>
      <c r="K14" s="113"/>
      <c r="L14" s="113"/>
      <c r="M14" s="113"/>
      <c r="N14" s="113"/>
      <c r="O14" s="113"/>
    </row>
    <row r="15" spans="1:15">
      <c r="A15" s="91" t="s">
        <v>167</v>
      </c>
      <c r="B15" s="92">
        <f>800/1000</f>
        <v>0.8</v>
      </c>
      <c r="C15" s="92" t="s">
        <v>163</v>
      </c>
      <c r="D15" s="102">
        <f>B15*E5</f>
        <v>30800</v>
      </c>
      <c r="E15" s="65"/>
      <c r="I15" t="s">
        <v>145</v>
      </c>
      <c r="J15" t="s">
        <v>195</v>
      </c>
      <c r="K15" t="s">
        <v>183</v>
      </c>
      <c r="L15" t="s">
        <v>184</v>
      </c>
      <c r="M15" t="s">
        <v>185</v>
      </c>
      <c r="N15" t="s">
        <v>186</v>
      </c>
      <c r="O15" t="s">
        <v>187</v>
      </c>
    </row>
    <row r="16" spans="1:15">
      <c r="A16" s="65" t="s">
        <v>164</v>
      </c>
      <c r="B16" s="88">
        <v>0.11</v>
      </c>
      <c r="C16" s="85" t="s">
        <v>61</v>
      </c>
      <c r="D16" s="90">
        <f>B16</f>
        <v>0.11</v>
      </c>
      <c r="E16" s="65"/>
      <c r="H16" t="s">
        <v>189</v>
      </c>
      <c r="I16" s="108">
        <f t="shared" ref="I16:N16" si="3">I10/100</f>
        <v>6151145</v>
      </c>
      <c r="J16" s="105">
        <f t="shared" si="3"/>
        <v>166066.12859375001</v>
      </c>
      <c r="K16">
        <f t="shared" si="3"/>
        <v>1.30120375</v>
      </c>
      <c r="L16">
        <f t="shared" si="3"/>
        <v>6.6686692187499998</v>
      </c>
      <c r="M16">
        <f t="shared" si="3"/>
        <v>11.176165000000001</v>
      </c>
      <c r="N16">
        <f t="shared" si="3"/>
        <v>63.907999999999994</v>
      </c>
      <c r="O16">
        <f>M16/N16</f>
        <v>0.17487896663954439</v>
      </c>
    </row>
    <row r="17" spans="1:15">
      <c r="A17" s="65" t="s">
        <v>136</v>
      </c>
      <c r="B17" s="85">
        <v>24</v>
      </c>
      <c r="C17" s="85" t="s">
        <v>168</v>
      </c>
      <c r="D17" s="87">
        <f>B17</f>
        <v>24</v>
      </c>
      <c r="E17" s="65"/>
      <c r="H17" t="s">
        <v>190</v>
      </c>
      <c r="I17" s="108">
        <f t="shared" ref="I17:I18" si="4">I11/100</f>
        <v>35354519.200000003</v>
      </c>
      <c r="J17" s="105">
        <f t="shared" ref="J17:N18" si="5">J11/100</f>
        <v>3657192.4157189475</v>
      </c>
      <c r="K17">
        <f t="shared" si="5"/>
        <v>28.655768193684207</v>
      </c>
      <c r="L17">
        <f t="shared" si="5"/>
        <v>146.86081199263157</v>
      </c>
      <c r="M17">
        <f t="shared" si="5"/>
        <v>14.084070000000002</v>
      </c>
      <c r="N17">
        <f t="shared" si="5"/>
        <v>125.008</v>
      </c>
      <c r="O17">
        <f>M17/N17</f>
        <v>0.1126653494176373</v>
      </c>
    </row>
    <row r="18" spans="1:15">
      <c r="A18" s="65"/>
      <c r="B18" s="65"/>
      <c r="C18" s="65"/>
      <c r="D18" s="80"/>
      <c r="E18" s="65"/>
      <c r="H18" t="s">
        <v>191</v>
      </c>
      <c r="I18" s="108">
        <f t="shared" si="4"/>
        <v>18048030</v>
      </c>
      <c r="J18" s="105">
        <f t="shared" si="5"/>
        <v>1866949.9664605267</v>
      </c>
      <c r="K18">
        <f t="shared" si="5"/>
        <v>14.628403263157898</v>
      </c>
      <c r="L18">
        <f t="shared" si="5"/>
        <v>74.970566723684215</v>
      </c>
      <c r="M18">
        <f t="shared" si="5"/>
        <v>13.138125000000002</v>
      </c>
      <c r="N18">
        <f t="shared" si="5"/>
        <v>125.008</v>
      </c>
      <c r="O18">
        <f>M18/N18</f>
        <v>0.10509827371048255</v>
      </c>
    </row>
    <row r="19" spans="1:15">
      <c r="A19" s="65"/>
      <c r="B19" s="65"/>
      <c r="C19" s="65"/>
      <c r="D19" s="65"/>
      <c r="E19" s="65"/>
    </row>
    <row r="20" spans="1:15" ht="18.95">
      <c r="A20" s="64" t="s">
        <v>196</v>
      </c>
      <c r="B20" s="85" t="s">
        <v>155</v>
      </c>
      <c r="C20" s="85"/>
      <c r="D20" s="87" t="s">
        <v>170</v>
      </c>
      <c r="E20" s="65" t="s">
        <v>157</v>
      </c>
    </row>
    <row r="21" spans="1:15">
      <c r="A21" s="65" t="s">
        <v>171</v>
      </c>
      <c r="B21" s="85">
        <v>6</v>
      </c>
      <c r="C21" s="85"/>
      <c r="D21" s="87"/>
      <c r="E21" s="65"/>
    </row>
    <row r="22" spans="1:15">
      <c r="A22" s="65" t="s">
        <v>159</v>
      </c>
      <c r="B22" s="85">
        <f>(1*B21)/1000</f>
        <v>6.0000000000000001E-3</v>
      </c>
      <c r="C22" s="85"/>
      <c r="D22" s="87">
        <v>385</v>
      </c>
      <c r="E22" s="103">
        <f>D22/B22</f>
        <v>64166.666666666664</v>
      </c>
    </row>
    <row r="23" spans="1:15">
      <c r="A23" s="65" t="s">
        <v>160</v>
      </c>
      <c r="B23" s="85">
        <f>B22*0.035*0.402</f>
        <v>8.4420000000000022E-5</v>
      </c>
      <c r="C23" s="85"/>
      <c r="D23" s="87">
        <f>B23*E22</f>
        <v>5.4169500000000008</v>
      </c>
      <c r="E23" s="65"/>
      <c r="N23" t="s">
        <v>197</v>
      </c>
      <c r="O23" t="s">
        <v>198</v>
      </c>
    </row>
    <row r="24" spans="1:15">
      <c r="A24" s="65" t="s">
        <v>172</v>
      </c>
      <c r="B24" s="85">
        <f>99*B21</f>
        <v>594</v>
      </c>
      <c r="C24" s="85"/>
      <c r="D24" s="87">
        <f>B24*E22</f>
        <v>38115000</v>
      </c>
      <c r="E24" s="65"/>
      <c r="M24" t="s">
        <v>199</v>
      </c>
      <c r="N24" s="5">
        <f>J16/J18</f>
        <v>8.8950497644341223E-2</v>
      </c>
      <c r="O24" s="5">
        <f>1-N24</f>
        <v>0.91104950235565874</v>
      </c>
    </row>
    <row r="25" spans="1:15">
      <c r="A25" s="91" t="s">
        <v>173</v>
      </c>
      <c r="B25" s="92">
        <f>50/1000</f>
        <v>0.05</v>
      </c>
      <c r="C25" s="92" t="s">
        <v>163</v>
      </c>
      <c r="D25" s="93">
        <f>B25*E22</f>
        <v>3208.3333333333335</v>
      </c>
      <c r="E25" s="65"/>
      <c r="M25" t="s">
        <v>200</v>
      </c>
      <c r="N25" s="5">
        <f>J17/J18</f>
        <v>1.958912922906267</v>
      </c>
      <c r="O25" s="5">
        <f>1-N25</f>
        <v>-0.95891292290626695</v>
      </c>
    </row>
    <row r="26" spans="1:15">
      <c r="A26" s="65" t="s">
        <v>164</v>
      </c>
      <c r="B26" s="88">
        <v>0.11</v>
      </c>
      <c r="C26" s="85" t="s">
        <v>61</v>
      </c>
      <c r="D26" s="90">
        <v>0.11</v>
      </c>
      <c r="E26" s="65"/>
    </row>
    <row r="27" spans="1:15">
      <c r="A27" s="94" t="s">
        <v>136</v>
      </c>
      <c r="B27" s="95">
        <v>24</v>
      </c>
      <c r="C27" s="95" t="s">
        <v>165</v>
      </c>
      <c r="D27" s="96">
        <v>24</v>
      </c>
      <c r="E27" s="65"/>
    </row>
    <row r="28" spans="1:15">
      <c r="A28" s="65" t="s">
        <v>166</v>
      </c>
      <c r="B28" s="85">
        <f>1400/1000</f>
        <v>1.4</v>
      </c>
      <c r="C28" s="85" t="s">
        <v>163</v>
      </c>
      <c r="D28" s="87">
        <f>B28*E22</f>
        <v>89833.333333333328</v>
      </c>
      <c r="E28" s="65"/>
    </row>
    <row r="29" spans="1:15">
      <c r="A29" s="65" t="s">
        <v>164</v>
      </c>
      <c r="B29" s="88">
        <v>0.11</v>
      </c>
      <c r="C29" s="85" t="s">
        <v>61</v>
      </c>
      <c r="D29" s="90">
        <v>0.11</v>
      </c>
      <c r="E29" s="65"/>
    </row>
    <row r="30" spans="1:15">
      <c r="A30" s="65" t="s">
        <v>174</v>
      </c>
      <c r="B30" s="85">
        <v>0.08</v>
      </c>
      <c r="C30" s="85" t="s">
        <v>165</v>
      </c>
      <c r="D30" s="87">
        <v>0.08</v>
      </c>
      <c r="E30" s="65"/>
    </row>
    <row r="31" spans="1:15">
      <c r="A31" s="91" t="s">
        <v>167</v>
      </c>
      <c r="B31" s="92">
        <f>800/1000</f>
        <v>0.8</v>
      </c>
      <c r="C31" s="92" t="s">
        <v>163</v>
      </c>
      <c r="D31" s="97">
        <f>B31*E22</f>
        <v>51333.333333333336</v>
      </c>
      <c r="E31" s="65"/>
    </row>
    <row r="32" spans="1:15">
      <c r="A32" s="65" t="s">
        <v>164</v>
      </c>
      <c r="B32" s="88">
        <v>0.11</v>
      </c>
      <c r="C32" s="85" t="s">
        <v>61</v>
      </c>
      <c r="D32" s="90">
        <v>0.11</v>
      </c>
      <c r="E32" s="65"/>
    </row>
    <row r="33" spans="1:18">
      <c r="A33" s="94" t="s">
        <v>136</v>
      </c>
      <c r="B33" s="95">
        <v>24</v>
      </c>
      <c r="C33" s="95" t="s">
        <v>165</v>
      </c>
      <c r="D33" s="96">
        <v>24</v>
      </c>
      <c r="E33" s="65"/>
    </row>
    <row r="34" spans="1:18">
      <c r="A34" s="65" t="s">
        <v>175</v>
      </c>
      <c r="B34" s="85">
        <f>690/1000</f>
        <v>0.69</v>
      </c>
      <c r="C34" s="85" t="s">
        <v>163</v>
      </c>
      <c r="D34" s="87">
        <f>B34*E22</f>
        <v>44274.999999999993</v>
      </c>
      <c r="E34" s="65"/>
    </row>
    <row r="35" spans="1:18">
      <c r="A35" s="65" t="s">
        <v>164</v>
      </c>
      <c r="B35" s="88">
        <v>0.11</v>
      </c>
      <c r="C35" s="85" t="s">
        <v>61</v>
      </c>
      <c r="D35" s="90">
        <v>0.11</v>
      </c>
      <c r="E35" s="65"/>
    </row>
    <row r="36" spans="1:18">
      <c r="A36" s="65" t="s">
        <v>136</v>
      </c>
      <c r="B36" s="85">
        <v>24</v>
      </c>
      <c r="C36" s="85" t="s">
        <v>165</v>
      </c>
      <c r="D36" s="87">
        <v>24</v>
      </c>
      <c r="E36" s="65"/>
    </row>
    <row r="37" spans="1:18">
      <c r="A37" s="65"/>
      <c r="B37" s="65"/>
      <c r="C37" s="65"/>
      <c r="D37" s="80"/>
      <c r="E37" s="65"/>
    </row>
    <row r="38" spans="1:18">
      <c r="A38" s="65"/>
      <c r="B38" s="65"/>
      <c r="C38" s="65"/>
      <c r="D38" s="65"/>
      <c r="E38" s="65"/>
    </row>
    <row r="39" spans="1:18">
      <c r="A39" s="65"/>
      <c r="B39" s="65"/>
      <c r="C39" s="65"/>
      <c r="D39" s="80"/>
      <c r="E39" s="65"/>
    </row>
    <row r="40" spans="1:18" ht="18.95">
      <c r="A40" s="64" t="s">
        <v>201</v>
      </c>
      <c r="B40" s="85" t="s">
        <v>155</v>
      </c>
      <c r="C40" s="85"/>
      <c r="D40" s="87" t="s">
        <v>170</v>
      </c>
      <c r="E40" s="65" t="s">
        <v>157</v>
      </c>
    </row>
    <row r="41" spans="1:18">
      <c r="A41" s="65" t="s">
        <v>171</v>
      </c>
      <c r="B41" s="85">
        <v>6</v>
      </c>
      <c r="C41" s="85"/>
      <c r="D41" s="87"/>
      <c r="E41" s="65"/>
      <c r="I41" s="3"/>
      <c r="J41" s="3"/>
      <c r="K41" s="3"/>
      <c r="L41" s="3"/>
      <c r="M41" s="3"/>
      <c r="N41" s="3"/>
    </row>
    <row r="42" spans="1:18">
      <c r="A42" s="65" t="s">
        <v>159</v>
      </c>
      <c r="B42" s="85">
        <f>(1*B41)/1000</f>
        <v>6.0000000000000001E-3</v>
      </c>
      <c r="C42" s="85"/>
      <c r="D42" s="87">
        <v>385</v>
      </c>
      <c r="E42" s="103">
        <f>D42/B42</f>
        <v>64166.666666666664</v>
      </c>
      <c r="I42" t="s">
        <v>202</v>
      </c>
      <c r="J42" t="s">
        <v>203</v>
      </c>
      <c r="K42" t="s">
        <v>204</v>
      </c>
      <c r="L42" t="s">
        <v>205</v>
      </c>
      <c r="M42" t="s">
        <v>206</v>
      </c>
    </row>
    <row r="43" spans="1:18">
      <c r="A43" s="65" t="s">
        <v>160</v>
      </c>
      <c r="B43" s="85">
        <f>B42*0.035*0.375</f>
        <v>7.8750000000000017E-5</v>
      </c>
      <c r="C43" s="85"/>
      <c r="D43" s="87">
        <f>B43*E42</f>
        <v>5.0531250000000005</v>
      </c>
      <c r="E43" s="65"/>
      <c r="H43" s="104">
        <v>0.01</v>
      </c>
      <c r="I43">
        <v>1000</v>
      </c>
      <c r="J43">
        <v>0.375</v>
      </c>
      <c r="K43">
        <v>0.31900000000000001</v>
      </c>
      <c r="L43">
        <f>I43*0.035*J43</f>
        <v>13.125</v>
      </c>
      <c r="M43">
        <f>I43*0.035*K43</f>
        <v>11.165000000000001</v>
      </c>
    </row>
    <row r="44" spans="1:18">
      <c r="A44" s="65" t="s">
        <v>172</v>
      </c>
      <c r="B44" s="85">
        <f>99*B41</f>
        <v>594</v>
      </c>
      <c r="C44" s="85"/>
      <c r="D44" s="87">
        <f>B44*E42</f>
        <v>38115000</v>
      </c>
      <c r="E44" s="65"/>
      <c r="H44" s="104">
        <v>0.05</v>
      </c>
      <c r="I44">
        <f>I43*5</f>
        <v>5000</v>
      </c>
      <c r="J44">
        <v>0.19800000000000001</v>
      </c>
      <c r="K44">
        <v>0.16300000000000001</v>
      </c>
      <c r="L44">
        <f>I44*0.035*J44</f>
        <v>34.650000000000006</v>
      </c>
      <c r="M44">
        <f>I44*0.035*K44</f>
        <v>28.525000000000006</v>
      </c>
    </row>
    <row r="45" spans="1:18">
      <c r="A45" s="91" t="s">
        <v>173</v>
      </c>
      <c r="B45" s="92">
        <f>50/1000</f>
        <v>0.05</v>
      </c>
      <c r="C45" s="92" t="s">
        <v>163</v>
      </c>
      <c r="D45" s="93">
        <f>B45*E42</f>
        <v>3208.3333333333335</v>
      </c>
      <c r="E45" s="65"/>
      <c r="H45" s="104">
        <v>0.1</v>
      </c>
      <c r="I45">
        <f>I43*10</f>
        <v>10000</v>
      </c>
      <c r="J45">
        <v>0.15</v>
      </c>
      <c r="K45">
        <v>9.0999999999999998E-2</v>
      </c>
      <c r="L45">
        <f>I45*0.035*J45</f>
        <v>52.500000000000007</v>
      </c>
      <c r="M45">
        <f>I45*0.035*K45</f>
        <v>31.850000000000005</v>
      </c>
    </row>
    <row r="46" spans="1:18">
      <c r="A46" s="65" t="s">
        <v>164</v>
      </c>
      <c r="B46" s="88">
        <v>0.11</v>
      </c>
      <c r="C46" s="85" t="s">
        <v>61</v>
      </c>
      <c r="D46" s="90">
        <v>0.11</v>
      </c>
      <c r="E46" s="65"/>
      <c r="H46" s="104"/>
    </row>
    <row r="47" spans="1:18">
      <c r="A47" s="94" t="s">
        <v>136</v>
      </c>
      <c r="B47" s="95">
        <v>24</v>
      </c>
      <c r="C47" s="95" t="s">
        <v>165</v>
      </c>
      <c r="D47" s="96">
        <v>24</v>
      </c>
      <c r="E47" s="89"/>
      <c r="I47" s="113" t="s">
        <v>129</v>
      </c>
      <c r="J47" s="113"/>
      <c r="K47" s="113"/>
      <c r="O47" s="113" t="s">
        <v>207</v>
      </c>
      <c r="P47" s="113"/>
      <c r="Q47" s="113"/>
    </row>
    <row r="48" spans="1:18">
      <c r="A48" s="65" t="s">
        <v>166</v>
      </c>
      <c r="B48" s="85">
        <f>1400/1000</f>
        <v>1.4</v>
      </c>
      <c r="C48" s="85" t="s">
        <v>163</v>
      </c>
      <c r="D48" s="87">
        <f>B48*E42</f>
        <v>89833.333333333328</v>
      </c>
      <c r="E48" s="65"/>
      <c r="I48" t="s">
        <v>195</v>
      </c>
      <c r="J48" t="s">
        <v>208</v>
      </c>
      <c r="K48" t="s">
        <v>181</v>
      </c>
      <c r="L48" t="s">
        <v>209</v>
      </c>
      <c r="O48" t="s">
        <v>182</v>
      </c>
      <c r="P48" t="s">
        <v>210</v>
      </c>
      <c r="Q48" t="s">
        <v>181</v>
      </c>
      <c r="R48" t="s">
        <v>209</v>
      </c>
    </row>
    <row r="49" spans="1:18">
      <c r="A49" s="65" t="s">
        <v>164</v>
      </c>
      <c r="B49" s="88">
        <v>0.11</v>
      </c>
      <c r="C49" s="85" t="s">
        <v>61</v>
      </c>
      <c r="D49" s="90">
        <v>0.11</v>
      </c>
      <c r="E49" s="65"/>
      <c r="H49" s="104">
        <v>0.01</v>
      </c>
      <c r="I49">
        <f>J16</f>
        <v>166066.12859375001</v>
      </c>
      <c r="J49">
        <f>M43</f>
        <v>11.165000000000001</v>
      </c>
      <c r="K49">
        <f>I16</f>
        <v>6151145</v>
      </c>
      <c r="L49" s="4">
        <f>I49/J49</f>
        <v>14873.813577586207</v>
      </c>
      <c r="N49" s="104" t="s">
        <v>211</v>
      </c>
      <c r="O49">
        <f>J18</f>
        <v>1866949.9664605267</v>
      </c>
      <c r="P49">
        <f>L43</f>
        <v>13.125</v>
      </c>
      <c r="Q49">
        <f>I18</f>
        <v>18048030</v>
      </c>
      <c r="R49" s="4">
        <f>O49/P49</f>
        <v>142243.80696842109</v>
      </c>
    </row>
    <row r="50" spans="1:18">
      <c r="A50" s="65" t="s">
        <v>174</v>
      </c>
      <c r="B50" s="85">
        <v>0.08</v>
      </c>
      <c r="C50" s="85" t="s">
        <v>165</v>
      </c>
      <c r="D50" s="87">
        <v>0.08</v>
      </c>
      <c r="E50" s="65"/>
      <c r="H50" s="104">
        <v>0.05</v>
      </c>
      <c r="I50">
        <f>J16</f>
        <v>166066.12859375001</v>
      </c>
      <c r="J50">
        <f>M44</f>
        <v>28.525000000000006</v>
      </c>
      <c r="K50">
        <f>I16</f>
        <v>6151145</v>
      </c>
      <c r="L50" s="4">
        <f t="shared" ref="L50:L51" si="6">I50/J50</f>
        <v>5821.7748849693244</v>
      </c>
      <c r="N50" s="104" t="s">
        <v>212</v>
      </c>
      <c r="O50">
        <f>J18</f>
        <v>1866949.9664605267</v>
      </c>
      <c r="P50">
        <f>L44</f>
        <v>34.650000000000006</v>
      </c>
      <c r="Q50">
        <f>I18</f>
        <v>18048030</v>
      </c>
      <c r="R50" s="4">
        <f t="shared" ref="R50:R51" si="7">O50/P50</f>
        <v>53880.229912280702</v>
      </c>
    </row>
    <row r="51" spans="1:18">
      <c r="A51" s="91" t="s">
        <v>167</v>
      </c>
      <c r="B51" s="92">
        <f>800/1000</f>
        <v>0.8</v>
      </c>
      <c r="C51" s="92" t="s">
        <v>163</v>
      </c>
      <c r="D51" s="97">
        <f>B51*E42</f>
        <v>51333.333333333336</v>
      </c>
      <c r="E51" s="65"/>
      <c r="H51" s="104">
        <v>0.1</v>
      </c>
      <c r="I51">
        <f>J16</f>
        <v>166066.12859375001</v>
      </c>
      <c r="J51">
        <f>M45</f>
        <v>31.850000000000005</v>
      </c>
      <c r="K51">
        <f>I16</f>
        <v>6151145</v>
      </c>
      <c r="L51" s="4">
        <f t="shared" si="6"/>
        <v>5214.0071771978019</v>
      </c>
      <c r="N51" s="104" t="s">
        <v>213</v>
      </c>
      <c r="O51">
        <f>J18</f>
        <v>1866949.9664605267</v>
      </c>
      <c r="P51">
        <f>L45</f>
        <v>52.500000000000007</v>
      </c>
      <c r="Q51">
        <f>I18</f>
        <v>18048030</v>
      </c>
      <c r="R51" s="4">
        <f t="shared" si="7"/>
        <v>35560.951742105266</v>
      </c>
    </row>
    <row r="52" spans="1:18">
      <c r="A52" s="65" t="s">
        <v>164</v>
      </c>
      <c r="B52" s="88">
        <v>0.11</v>
      </c>
      <c r="C52" s="85" t="s">
        <v>61</v>
      </c>
      <c r="D52" s="90">
        <v>0.11</v>
      </c>
      <c r="E52" s="65"/>
    </row>
    <row r="53" spans="1:18">
      <c r="A53" s="65" t="s">
        <v>136</v>
      </c>
      <c r="B53" s="85">
        <v>24</v>
      </c>
      <c r="C53" s="85" t="s">
        <v>165</v>
      </c>
      <c r="D53" s="87">
        <v>24</v>
      </c>
      <c r="E53" s="65"/>
      <c r="N53" s="112" t="s">
        <v>209</v>
      </c>
      <c r="O53" s="112"/>
    </row>
    <row r="54" spans="1:18">
      <c r="A54" s="65"/>
      <c r="B54" s="65"/>
      <c r="C54" s="65"/>
      <c r="D54" s="80"/>
      <c r="E54" s="65"/>
      <c r="N54" s="104" t="s">
        <v>129</v>
      </c>
      <c r="O54" t="s">
        <v>214</v>
      </c>
    </row>
    <row r="55" spans="1:18">
      <c r="M55" s="104">
        <v>0.01</v>
      </c>
      <c r="N55">
        <f>L49</f>
        <v>14873.813577586207</v>
      </c>
      <c r="O55">
        <f>R49</f>
        <v>142243.80696842109</v>
      </c>
    </row>
    <row r="56" spans="1:18">
      <c r="M56" s="104">
        <v>0.05</v>
      </c>
      <c r="N56">
        <f>L50</f>
        <v>5821.7748849693244</v>
      </c>
      <c r="O56">
        <f>R50</f>
        <v>53880.229912280702</v>
      </c>
    </row>
    <row r="57" spans="1:18">
      <c r="M57" s="104">
        <v>0.1</v>
      </c>
      <c r="N57">
        <f>L51</f>
        <v>5214.0071771978019</v>
      </c>
      <c r="O57">
        <f>R51</f>
        <v>35560.951742105266</v>
      </c>
      <c r="Q57" s="5">
        <f>(N55-N57)/N55</f>
        <v>0.64945054945054947</v>
      </c>
      <c r="R57" t="s">
        <v>215</v>
      </c>
    </row>
    <row r="88" spans="7:13">
      <c r="H88" t="s">
        <v>216</v>
      </c>
      <c r="I88" t="s">
        <v>217</v>
      </c>
      <c r="J88" t="s">
        <v>218</v>
      </c>
      <c r="K88" t="s">
        <v>219</v>
      </c>
      <c r="L88" t="s">
        <v>58</v>
      </c>
      <c r="M88" t="s">
        <v>220</v>
      </c>
    </row>
    <row r="89" spans="7:13">
      <c r="G89" t="s">
        <v>189</v>
      </c>
      <c r="H89" s="4">
        <v>6151145</v>
      </c>
      <c r="I89" s="4">
        <v>0.11</v>
      </c>
      <c r="J89" s="7">
        <f>H89*I89</f>
        <v>676625.95</v>
      </c>
      <c r="K89" s="1">
        <v>100000</v>
      </c>
      <c r="L89" s="7">
        <f>J89/K89</f>
        <v>6.7662594999999994</v>
      </c>
      <c r="M89" s="7">
        <f>J89/(D11+D14+D17)</f>
        <v>27527.5</v>
      </c>
    </row>
    <row r="90" spans="7:13">
      <c r="G90" t="s">
        <v>190</v>
      </c>
      <c r="H90" s="4">
        <v>35354519.200000003</v>
      </c>
      <c r="I90" s="4">
        <v>0.11</v>
      </c>
      <c r="J90" s="7">
        <f t="shared" ref="J90:J91" si="8">H90*I90</f>
        <v>3888997.1120000002</v>
      </c>
      <c r="K90" s="1">
        <v>100000</v>
      </c>
      <c r="L90" s="7">
        <f t="shared" ref="L90:L91" si="9">J90/K90</f>
        <v>38.889971119999998</v>
      </c>
      <c r="M90" s="7">
        <f>J90/(D27+D30+D33+D36)</f>
        <v>53953.9</v>
      </c>
    </row>
    <row r="91" spans="7:13">
      <c r="G91" t="s">
        <v>191</v>
      </c>
      <c r="H91" s="4">
        <v>18048030</v>
      </c>
      <c r="I91" s="4">
        <v>0.11</v>
      </c>
      <c r="J91" s="7">
        <f t="shared" si="8"/>
        <v>1985283.3</v>
      </c>
      <c r="K91" s="1">
        <v>100000</v>
      </c>
      <c r="L91" s="7">
        <f t="shared" si="9"/>
        <v>19.852833</v>
      </c>
      <c r="M91" s="7">
        <f>J91/(D47+D50+D53)</f>
        <v>41291.25</v>
      </c>
    </row>
    <row r="93" spans="7:13">
      <c r="H93" t="s">
        <v>58</v>
      </c>
      <c r="I93" t="s">
        <v>221</v>
      </c>
      <c r="J93" t="s">
        <v>222</v>
      </c>
      <c r="K93" t="s">
        <v>220</v>
      </c>
    </row>
    <row r="94" spans="7:13">
      <c r="G94" t="s">
        <v>189</v>
      </c>
      <c r="H94" s="7">
        <f>L89</f>
        <v>6.7662594999999994</v>
      </c>
      <c r="I94" s="7"/>
      <c r="J94" s="7"/>
      <c r="K94" s="7">
        <f>M89</f>
        <v>27527.5</v>
      </c>
    </row>
    <row r="95" spans="7:13">
      <c r="G95" t="s">
        <v>190</v>
      </c>
      <c r="H95" s="7">
        <f>L90</f>
        <v>38.889971119999998</v>
      </c>
      <c r="I95" s="7"/>
      <c r="J95" s="7"/>
      <c r="K95" s="7">
        <f>M90</f>
        <v>53953.9</v>
      </c>
    </row>
    <row r="96" spans="7:13">
      <c r="G96" t="s">
        <v>191</v>
      </c>
      <c r="H96" s="7">
        <f>L91</f>
        <v>19.852833</v>
      </c>
      <c r="I96" s="7"/>
      <c r="J96" s="7"/>
      <c r="K96" s="7">
        <f>M91</f>
        <v>41291.25</v>
      </c>
    </row>
  </sheetData>
  <mergeCells count="6">
    <mergeCell ref="N53:O53"/>
    <mergeCell ref="I2:O2"/>
    <mergeCell ref="I8:O8"/>
    <mergeCell ref="I14:O14"/>
    <mergeCell ref="I47:K47"/>
    <mergeCell ref="O47:Q4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Brown, Rebecca (rebe9135@vandals.uidaho.edu)</cp:lastModifiedBy>
  <cp:revision/>
  <dcterms:created xsi:type="dcterms:W3CDTF">2022-05-08T19:43:21Z</dcterms:created>
  <dcterms:modified xsi:type="dcterms:W3CDTF">2023-07-18T00:23:09Z</dcterms:modified>
  <cp:category/>
  <cp:contentStatus/>
</cp:coreProperties>
</file>