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zia_000\Desktop\"/>
    </mc:Choice>
  </mc:AlternateContent>
  <bookViews>
    <workbookView xWindow="480" yWindow="108" windowWidth="14352" windowHeight="8508"/>
  </bookViews>
  <sheets>
    <sheet name="Chart IRRs" sheetId="12" r:id="rId1"/>
    <sheet name="Chart Time Series" sheetId="13" r:id="rId2"/>
    <sheet name="IIRR" sheetId="4" r:id="rId3"/>
    <sheet name="Hypothetical" sheetId="16" r:id="rId4"/>
    <sheet name="IRRh" sheetId="15" r:id="rId5"/>
    <sheet name="IRR Calcs" sheetId="2" r:id="rId6"/>
    <sheet name="IRR by year" sheetId="6" r:id="rId7"/>
    <sheet name="S&amp;P" sheetId="14" r:id="rId8"/>
    <sheet name="Sheet3" sheetId="5" r:id="rId9"/>
    <sheet name="Sheet1 (2)" sheetId="3" r:id="rId10"/>
    <sheet name="PE" sheetId="9" r:id="rId11"/>
    <sheet name="Sheet1" sheetId="1" r:id="rId12"/>
    <sheet name="HFR" sheetId="10" r:id="rId13"/>
  </sheets>
  <calcPr calcId="152511"/>
</workbook>
</file>

<file path=xl/calcChain.xml><?xml version="1.0" encoding="utf-8"?>
<calcChain xmlns="http://schemas.openxmlformats.org/spreadsheetml/2006/main">
  <c r="O18" i="9" l="1"/>
  <c r="O17" i="9"/>
  <c r="O16" i="9"/>
  <c r="B76" i="15"/>
  <c r="A76" i="15"/>
  <c r="S12" i="14"/>
  <c r="K523" i="14"/>
  <c r="K517" i="14"/>
  <c r="S11" i="14" s="1"/>
  <c r="F281" i="10"/>
  <c r="K281" i="10" s="1"/>
  <c r="K282" i="10" s="1"/>
  <c r="K283" i="10" s="1"/>
  <c r="K284" i="10" s="1"/>
  <c r="K285" i="10" s="1"/>
  <c r="K286" i="10" s="1"/>
  <c r="T19" i="10" s="1"/>
  <c r="F282" i="10"/>
  <c r="F283" i="10"/>
  <c r="F284" i="10"/>
  <c r="F285" i="10"/>
  <c r="F286" i="10"/>
  <c r="F280" i="10"/>
  <c r="F279" i="10"/>
  <c r="F278" i="10"/>
  <c r="F277" i="10"/>
  <c r="B72" i="15" l="1"/>
  <c r="A72" i="15"/>
  <c r="A71" i="15"/>
  <c r="X36" i="15" l="1"/>
  <c r="W36" i="15"/>
  <c r="V36" i="15"/>
  <c r="U36" i="15"/>
  <c r="T36" i="15"/>
  <c r="S36" i="15"/>
  <c r="P35" i="15"/>
  <c r="Q35" i="15"/>
  <c r="R35" i="15"/>
  <c r="S35" i="15"/>
  <c r="I36" i="15"/>
  <c r="P36" i="15"/>
  <c r="I2" i="15"/>
  <c r="P28" i="15"/>
  <c r="P32" i="15" s="1"/>
  <c r="D62" i="15"/>
  <c r="D66" i="15" s="1"/>
  <c r="G58" i="15"/>
  <c r="A45" i="15"/>
  <c r="P31" i="15"/>
  <c r="N24" i="15"/>
  <c r="N28" i="15" s="1"/>
  <c r="N32" i="15" s="1"/>
  <c r="N36" i="15" s="1"/>
  <c r="M19" i="15"/>
  <c r="M23" i="15" s="1"/>
  <c r="M27" i="15" s="1"/>
  <c r="M31" i="15" s="1"/>
  <c r="M35" i="15" s="1"/>
  <c r="L19" i="15"/>
  <c r="L23" i="15" s="1"/>
  <c r="L27" i="15" s="1"/>
  <c r="L31" i="15" s="1"/>
  <c r="L35" i="15" s="1"/>
  <c r="K19" i="15"/>
  <c r="K23" i="15" s="1"/>
  <c r="K27" i="15" s="1"/>
  <c r="K31" i="15" s="1"/>
  <c r="K35" i="15" s="1"/>
  <c r="J19" i="15"/>
  <c r="J23" i="15" s="1"/>
  <c r="J27" i="15" s="1"/>
  <c r="J31" i="15" s="1"/>
  <c r="J35" i="15" s="1"/>
  <c r="I12" i="15"/>
  <c r="I16" i="15" s="1"/>
  <c r="I20" i="15" s="1"/>
  <c r="I24" i="15" s="1"/>
  <c r="I28" i="15" s="1"/>
  <c r="I32" i="15" s="1"/>
  <c r="D8" i="15"/>
  <c r="D12" i="15" s="1"/>
  <c r="D16" i="15" s="1"/>
  <c r="D20" i="15" s="1"/>
  <c r="D24" i="15" s="1"/>
  <c r="D28" i="15" s="1"/>
  <c r="D32" i="15" s="1"/>
  <c r="D36" i="15" s="1"/>
  <c r="A4" i="15"/>
  <c r="A8" i="15" s="1"/>
  <c r="A12" i="15" s="1"/>
  <c r="A16" i="15" s="1"/>
  <c r="A3" i="15"/>
  <c r="A40" i="15" s="1"/>
  <c r="A20" i="15" l="1"/>
  <c r="A24" i="15" s="1"/>
  <c r="A28" i="15" s="1"/>
  <c r="A32" i="15" s="1"/>
  <c r="A36" i="15" s="1"/>
  <c r="D57" i="15"/>
  <c r="A44" i="15"/>
  <c r="A7" i="15"/>
  <c r="D70" i="15"/>
  <c r="A49" i="15"/>
  <c r="G62" i="15"/>
  <c r="G66" i="15" s="1"/>
  <c r="J58" i="15"/>
  <c r="S7" i="14"/>
  <c r="S6" i="14"/>
  <c r="S5" i="14"/>
  <c r="B49" i="15" s="1"/>
  <c r="S4" i="14"/>
  <c r="S3" i="14"/>
  <c r="B41" i="15" s="1"/>
  <c r="Q5" i="9"/>
  <c r="R477" i="14"/>
  <c r="R478" i="14" s="1"/>
  <c r="R479" i="14" s="1"/>
  <c r="R480" i="14" s="1"/>
  <c r="R481" i="14" s="1"/>
  <c r="R482" i="14" s="1"/>
  <c r="R483" i="14" s="1"/>
  <c r="R484" i="14" s="1"/>
  <c r="R485" i="14" s="1"/>
  <c r="R486" i="14" s="1"/>
  <c r="R487" i="14" s="1"/>
  <c r="R488" i="14" s="1"/>
  <c r="R489" i="14" s="1"/>
  <c r="R490" i="14" s="1"/>
  <c r="R491" i="14" s="1"/>
  <c r="R492" i="14" s="1"/>
  <c r="R493" i="14" s="1"/>
  <c r="S493" i="14" s="1"/>
  <c r="R476" i="14"/>
  <c r="B27" i="6"/>
  <c r="P466" i="14"/>
  <c r="P467" i="14" s="1"/>
  <c r="P468" i="14" s="1"/>
  <c r="P469" i="14" s="1"/>
  <c r="Q469" i="14" s="1"/>
  <c r="P465" i="14"/>
  <c r="N427" i="14"/>
  <c r="N428" i="14" s="1"/>
  <c r="N429" i="14" s="1"/>
  <c r="N430" i="14" s="1"/>
  <c r="N431" i="14" s="1"/>
  <c r="N432" i="14" s="1"/>
  <c r="N433" i="14" s="1"/>
  <c r="N434" i="14" s="1"/>
  <c r="N435" i="14" s="1"/>
  <c r="N436" i="14" s="1"/>
  <c r="N437" i="14" s="1"/>
  <c r="N438" i="14" s="1"/>
  <c r="N439" i="14" s="1"/>
  <c r="N440" i="14" s="1"/>
  <c r="O440" i="14" s="1"/>
  <c r="N426" i="14"/>
  <c r="L415" i="14"/>
  <c r="L416" i="14" s="1"/>
  <c r="L417" i="14" s="1"/>
  <c r="L418" i="14" s="1"/>
  <c r="L419" i="14" s="1"/>
  <c r="L420" i="14" s="1"/>
  <c r="L421" i="14" s="1"/>
  <c r="L422" i="14" s="1"/>
  <c r="L423" i="14" s="1"/>
  <c r="L424" i="14" s="1"/>
  <c r="L425" i="14" s="1"/>
  <c r="L426" i="14" s="1"/>
  <c r="L427" i="14" s="1"/>
  <c r="L428" i="14" s="1"/>
  <c r="L429" i="14" s="1"/>
  <c r="M429" i="14" s="1"/>
  <c r="F511" i="14"/>
  <c r="E511" i="14"/>
  <c r="F510" i="14"/>
  <c r="E510" i="14"/>
  <c r="F509" i="14"/>
  <c r="E509" i="14"/>
  <c r="F508" i="14"/>
  <c r="E508" i="14"/>
  <c r="F507" i="14"/>
  <c r="E507" i="14"/>
  <c r="F506" i="14"/>
  <c r="E506" i="14"/>
  <c r="F505" i="14"/>
  <c r="E505" i="14"/>
  <c r="F504" i="14"/>
  <c r="E504" i="14"/>
  <c r="F503" i="14"/>
  <c r="E503" i="14"/>
  <c r="F502" i="14"/>
  <c r="E502" i="14"/>
  <c r="F501" i="14"/>
  <c r="E501" i="14"/>
  <c r="F500" i="14"/>
  <c r="E500" i="14"/>
  <c r="F499" i="14"/>
  <c r="E499" i="14"/>
  <c r="F498" i="14"/>
  <c r="E498" i="14"/>
  <c r="F497" i="14"/>
  <c r="E497" i="14"/>
  <c r="F496" i="14"/>
  <c r="E496" i="14"/>
  <c r="F495" i="14"/>
  <c r="E495" i="14"/>
  <c r="F494" i="14"/>
  <c r="E494" i="14"/>
  <c r="F493" i="14"/>
  <c r="E493" i="14"/>
  <c r="F492" i="14"/>
  <c r="E492" i="14"/>
  <c r="F491" i="14"/>
  <c r="E491" i="14"/>
  <c r="F490" i="14"/>
  <c r="E490" i="14"/>
  <c r="F489" i="14"/>
  <c r="E489" i="14"/>
  <c r="F488" i="14"/>
  <c r="E488" i="14"/>
  <c r="F487" i="14"/>
  <c r="E487" i="14"/>
  <c r="F486" i="14"/>
  <c r="E486" i="14"/>
  <c r="F485" i="14"/>
  <c r="E485" i="14"/>
  <c r="F484" i="14"/>
  <c r="E484" i="14"/>
  <c r="F483" i="14"/>
  <c r="E483" i="14"/>
  <c r="F482" i="14"/>
  <c r="E482" i="14"/>
  <c r="F481" i="14"/>
  <c r="E481" i="14"/>
  <c r="F480" i="14"/>
  <c r="E480" i="14"/>
  <c r="F479" i="14"/>
  <c r="E479" i="14"/>
  <c r="F478" i="14"/>
  <c r="E478" i="14"/>
  <c r="F477" i="14"/>
  <c r="E477" i="14"/>
  <c r="F476" i="14"/>
  <c r="E476" i="14"/>
  <c r="F475" i="14"/>
  <c r="E475" i="14"/>
  <c r="F474" i="14"/>
  <c r="E474" i="14"/>
  <c r="F473" i="14"/>
  <c r="E473" i="14"/>
  <c r="F472" i="14"/>
  <c r="E472" i="14"/>
  <c r="F471" i="14"/>
  <c r="E471" i="14"/>
  <c r="F470" i="14"/>
  <c r="E470" i="14"/>
  <c r="F469" i="14"/>
  <c r="E469" i="14"/>
  <c r="F468" i="14"/>
  <c r="E468" i="14"/>
  <c r="F467" i="14"/>
  <c r="E467" i="14"/>
  <c r="F466" i="14"/>
  <c r="E466" i="14"/>
  <c r="F465" i="14"/>
  <c r="E465" i="14"/>
  <c r="F464" i="14"/>
  <c r="E464" i="14"/>
  <c r="F463" i="14"/>
  <c r="E463" i="14"/>
  <c r="F462" i="14"/>
  <c r="E462" i="14"/>
  <c r="F461" i="14"/>
  <c r="E461" i="14"/>
  <c r="F460" i="14"/>
  <c r="E460" i="14"/>
  <c r="F459" i="14"/>
  <c r="E459" i="14"/>
  <c r="F458" i="14"/>
  <c r="E458" i="14"/>
  <c r="F457" i="14"/>
  <c r="E457" i="14"/>
  <c r="F456" i="14"/>
  <c r="E456" i="14"/>
  <c r="F455" i="14"/>
  <c r="E455" i="14"/>
  <c r="F454" i="14"/>
  <c r="E454" i="14"/>
  <c r="F453" i="14"/>
  <c r="E453" i="14"/>
  <c r="F452" i="14"/>
  <c r="E452" i="14"/>
  <c r="F451" i="14"/>
  <c r="E451" i="14"/>
  <c r="F450" i="14"/>
  <c r="E450" i="14"/>
  <c r="F449" i="14"/>
  <c r="E449" i="14"/>
  <c r="F448" i="14"/>
  <c r="E448" i="14"/>
  <c r="F447" i="14"/>
  <c r="E447" i="14"/>
  <c r="F446" i="14"/>
  <c r="E446" i="14"/>
  <c r="F445" i="14"/>
  <c r="E445" i="14"/>
  <c r="F444" i="14"/>
  <c r="E444" i="14"/>
  <c r="F443" i="14"/>
  <c r="E443" i="14"/>
  <c r="F442" i="14"/>
  <c r="E442" i="14"/>
  <c r="F441" i="14"/>
  <c r="E441" i="14"/>
  <c r="F440" i="14"/>
  <c r="E440" i="14"/>
  <c r="F439" i="14"/>
  <c r="E439" i="14"/>
  <c r="F438" i="14"/>
  <c r="E438" i="14"/>
  <c r="F437" i="14"/>
  <c r="E437" i="14"/>
  <c r="F436" i="14"/>
  <c r="E436" i="14"/>
  <c r="F435" i="14"/>
  <c r="E435" i="14"/>
  <c r="F434" i="14"/>
  <c r="E434" i="14"/>
  <c r="F433" i="14"/>
  <c r="E433" i="14"/>
  <c r="F432" i="14"/>
  <c r="E432" i="14"/>
  <c r="F431" i="14"/>
  <c r="E431" i="14"/>
  <c r="F430" i="14"/>
  <c r="E430" i="14"/>
  <c r="F429" i="14"/>
  <c r="E429" i="14"/>
  <c r="F428" i="14"/>
  <c r="E428" i="14"/>
  <c r="F427" i="14"/>
  <c r="E427" i="14"/>
  <c r="F426" i="14"/>
  <c r="E426" i="14"/>
  <c r="F425" i="14"/>
  <c r="E425" i="14"/>
  <c r="F424" i="14"/>
  <c r="E424" i="14"/>
  <c r="F423" i="14"/>
  <c r="E423" i="14"/>
  <c r="F422" i="14"/>
  <c r="E422" i="14"/>
  <c r="F421" i="14"/>
  <c r="E421" i="14"/>
  <c r="F420" i="14"/>
  <c r="E420" i="14"/>
  <c r="F419" i="14"/>
  <c r="E419" i="14"/>
  <c r="F418" i="14"/>
  <c r="E418" i="14"/>
  <c r="F417" i="14"/>
  <c r="E417" i="14"/>
  <c r="F416" i="14"/>
  <c r="E416" i="14"/>
  <c r="F415" i="14"/>
  <c r="E415" i="14"/>
  <c r="F414" i="14"/>
  <c r="E414" i="14"/>
  <c r="F413" i="14"/>
  <c r="E413" i="14"/>
  <c r="F412" i="14"/>
  <c r="E412" i="14"/>
  <c r="F411" i="14"/>
  <c r="E411" i="14"/>
  <c r="H410" i="14"/>
  <c r="H411" i="14" s="1"/>
  <c r="H412" i="14" s="1"/>
  <c r="H413" i="14" s="1"/>
  <c r="H414" i="14" s="1"/>
  <c r="H415" i="14" s="1"/>
  <c r="H416" i="14" s="1"/>
  <c r="H417" i="14" s="1"/>
  <c r="H418" i="14" s="1"/>
  <c r="H419" i="14" s="1"/>
  <c r="H420" i="14" s="1"/>
  <c r="H421" i="14" s="1"/>
  <c r="H422" i="14" s="1"/>
  <c r="H423" i="14" s="1"/>
  <c r="H424" i="14" s="1"/>
  <c r="H425" i="14" s="1"/>
  <c r="H426" i="14" s="1"/>
  <c r="H427" i="14" s="1"/>
  <c r="H428" i="14" s="1"/>
  <c r="H429" i="14" s="1"/>
  <c r="H430" i="14" s="1"/>
  <c r="H431" i="14" s="1"/>
  <c r="H432" i="14" s="1"/>
  <c r="H433" i="14" s="1"/>
  <c r="H434" i="14" s="1"/>
  <c r="H435" i="14" s="1"/>
  <c r="H436" i="14" s="1"/>
  <c r="H437" i="14" s="1"/>
  <c r="H438" i="14" s="1"/>
  <c r="H439" i="14" s="1"/>
  <c r="H440" i="14" s="1"/>
  <c r="H441" i="14" s="1"/>
  <c r="H442" i="14" s="1"/>
  <c r="H443" i="14" s="1"/>
  <c r="H444" i="14" s="1"/>
  <c r="H445" i="14" s="1"/>
  <c r="H446" i="14" s="1"/>
  <c r="H447" i="14" s="1"/>
  <c r="H448" i="14" s="1"/>
  <c r="H449" i="14" s="1"/>
  <c r="H450" i="14" s="1"/>
  <c r="H451" i="14" s="1"/>
  <c r="H452" i="14" s="1"/>
  <c r="H453" i="14" s="1"/>
  <c r="H454" i="14" s="1"/>
  <c r="H455" i="14" s="1"/>
  <c r="H456" i="14" s="1"/>
  <c r="H457" i="14" s="1"/>
  <c r="H458" i="14" s="1"/>
  <c r="H459" i="14" s="1"/>
  <c r="H460" i="14" s="1"/>
  <c r="H461" i="14" s="1"/>
  <c r="H462" i="14" s="1"/>
  <c r="H463" i="14" s="1"/>
  <c r="H464" i="14" s="1"/>
  <c r="H465" i="14" s="1"/>
  <c r="H466" i="14" s="1"/>
  <c r="H467" i="14" s="1"/>
  <c r="H468" i="14" s="1"/>
  <c r="H469" i="14" s="1"/>
  <c r="H470" i="14" s="1"/>
  <c r="H471" i="14" s="1"/>
  <c r="H472" i="14" s="1"/>
  <c r="H473" i="14" s="1"/>
  <c r="H474" i="14" s="1"/>
  <c r="H475" i="14" s="1"/>
  <c r="H476" i="14" s="1"/>
  <c r="H477" i="14" s="1"/>
  <c r="H478" i="14" s="1"/>
  <c r="H479" i="14" s="1"/>
  <c r="H480" i="14" s="1"/>
  <c r="F410" i="14"/>
  <c r="E410" i="14"/>
  <c r="F409" i="14"/>
  <c r="E409" i="14"/>
  <c r="F408" i="14"/>
  <c r="E408" i="14"/>
  <c r="F407" i="14"/>
  <c r="E407" i="14"/>
  <c r="F406" i="14"/>
  <c r="E406" i="14"/>
  <c r="F405" i="14"/>
  <c r="E405" i="14"/>
  <c r="F404" i="14"/>
  <c r="E404" i="14"/>
  <c r="F403" i="14"/>
  <c r="E403" i="14"/>
  <c r="F402" i="14"/>
  <c r="E402" i="14"/>
  <c r="F401" i="14"/>
  <c r="E401" i="14"/>
  <c r="F400" i="14"/>
  <c r="E400" i="14"/>
  <c r="F399" i="14"/>
  <c r="E399" i="14"/>
  <c r="F398" i="14"/>
  <c r="E398" i="14"/>
  <c r="F397" i="14"/>
  <c r="E397" i="14"/>
  <c r="F396" i="14"/>
  <c r="E396" i="14"/>
  <c r="F395" i="14"/>
  <c r="E395" i="14"/>
  <c r="F394" i="14"/>
  <c r="E394" i="14"/>
  <c r="F393" i="14"/>
  <c r="E393" i="14"/>
  <c r="F392" i="14"/>
  <c r="E392" i="14"/>
  <c r="F391" i="14"/>
  <c r="E391" i="14"/>
  <c r="F390" i="14"/>
  <c r="E390" i="14"/>
  <c r="F389" i="14"/>
  <c r="E389" i="14"/>
  <c r="F388" i="14"/>
  <c r="E388" i="14"/>
  <c r="F387" i="14"/>
  <c r="E387" i="14"/>
  <c r="F386" i="14"/>
  <c r="E386" i="14"/>
  <c r="F385" i="14"/>
  <c r="E385" i="14"/>
  <c r="F384" i="14"/>
  <c r="E384" i="14"/>
  <c r="F383" i="14"/>
  <c r="E383" i="14"/>
  <c r="F382" i="14"/>
  <c r="E382" i="14"/>
  <c r="F381" i="14"/>
  <c r="E381" i="14"/>
  <c r="F380" i="14"/>
  <c r="E380" i="14"/>
  <c r="F379" i="14"/>
  <c r="E379" i="14"/>
  <c r="F378" i="14"/>
  <c r="E378" i="14"/>
  <c r="F377" i="14"/>
  <c r="E377" i="14"/>
  <c r="F376" i="14"/>
  <c r="E376" i="14"/>
  <c r="F375" i="14"/>
  <c r="E375" i="14"/>
  <c r="F374" i="14"/>
  <c r="E374" i="14"/>
  <c r="F373" i="14"/>
  <c r="E373" i="14"/>
  <c r="F372" i="14"/>
  <c r="E372" i="14"/>
  <c r="F371" i="14"/>
  <c r="E371" i="14"/>
  <c r="F370" i="14"/>
  <c r="E370" i="14"/>
  <c r="F369" i="14"/>
  <c r="E369" i="14"/>
  <c r="F368" i="14"/>
  <c r="E368" i="14"/>
  <c r="F367" i="14"/>
  <c r="E367" i="14"/>
  <c r="F366" i="14"/>
  <c r="E366" i="14"/>
  <c r="F365" i="14"/>
  <c r="E365" i="14"/>
  <c r="F364" i="14"/>
  <c r="E364" i="14"/>
  <c r="F363" i="14"/>
  <c r="E363" i="14"/>
  <c r="F362" i="14"/>
  <c r="E362" i="14"/>
  <c r="F361" i="14"/>
  <c r="E361" i="14"/>
  <c r="F360" i="14"/>
  <c r="E360" i="14"/>
  <c r="F359" i="14"/>
  <c r="E359" i="14"/>
  <c r="F358" i="14"/>
  <c r="E358" i="14"/>
  <c r="F357" i="14"/>
  <c r="E357" i="14"/>
  <c r="F356" i="14"/>
  <c r="E356" i="14"/>
  <c r="F355" i="14"/>
  <c r="E355" i="14"/>
  <c r="F354" i="14"/>
  <c r="E354" i="14"/>
  <c r="F353" i="14"/>
  <c r="E353" i="14"/>
  <c r="F352" i="14"/>
  <c r="E352" i="14"/>
  <c r="F351" i="14"/>
  <c r="E351" i="14"/>
  <c r="F350" i="14"/>
  <c r="E350" i="14"/>
  <c r="F349" i="14"/>
  <c r="E349" i="14"/>
  <c r="F348" i="14"/>
  <c r="E348" i="14"/>
  <c r="F347" i="14"/>
  <c r="E347" i="14"/>
  <c r="F346" i="14"/>
  <c r="E346" i="14"/>
  <c r="F345" i="14"/>
  <c r="E345" i="14"/>
  <c r="F344" i="14"/>
  <c r="E344" i="14"/>
  <c r="F343" i="14"/>
  <c r="E343" i="14"/>
  <c r="F342" i="14"/>
  <c r="E342" i="14"/>
  <c r="F341" i="14"/>
  <c r="E341" i="14"/>
  <c r="F340" i="14"/>
  <c r="E340" i="14"/>
  <c r="F339" i="14"/>
  <c r="E339" i="14"/>
  <c r="F338" i="14"/>
  <c r="E338" i="14"/>
  <c r="F337" i="14"/>
  <c r="E337" i="14"/>
  <c r="F336" i="14"/>
  <c r="E336" i="14"/>
  <c r="F335" i="14"/>
  <c r="E335" i="14"/>
  <c r="F334" i="14"/>
  <c r="E334" i="14"/>
  <c r="F333" i="14"/>
  <c r="E333" i="14"/>
  <c r="F332" i="14"/>
  <c r="E332" i="14"/>
  <c r="F331" i="14"/>
  <c r="E331" i="14"/>
  <c r="F330" i="14"/>
  <c r="E330" i="14"/>
  <c r="F329" i="14"/>
  <c r="E329" i="14"/>
  <c r="F328" i="14"/>
  <c r="E328" i="14"/>
  <c r="F327" i="14"/>
  <c r="E327" i="14"/>
  <c r="F326" i="14"/>
  <c r="E326" i="14"/>
  <c r="F325" i="14"/>
  <c r="E325" i="14"/>
  <c r="F324" i="14"/>
  <c r="E324" i="14"/>
  <c r="F323" i="14"/>
  <c r="E323" i="14"/>
  <c r="F322" i="14"/>
  <c r="E322" i="14"/>
  <c r="F321" i="14"/>
  <c r="E321" i="14"/>
  <c r="F320" i="14"/>
  <c r="E320" i="14"/>
  <c r="F319" i="14"/>
  <c r="E319" i="14"/>
  <c r="F318" i="14"/>
  <c r="E318" i="14"/>
  <c r="F317" i="14"/>
  <c r="E317" i="14"/>
  <c r="F316" i="14"/>
  <c r="E316" i="14"/>
  <c r="F315" i="14"/>
  <c r="E315" i="14"/>
  <c r="F314" i="14"/>
  <c r="E314" i="14"/>
  <c r="F313" i="14"/>
  <c r="E313" i="14"/>
  <c r="F312" i="14"/>
  <c r="E312" i="14"/>
  <c r="F311" i="14"/>
  <c r="E311" i="14"/>
  <c r="F310" i="14"/>
  <c r="E310" i="14"/>
  <c r="F309" i="14"/>
  <c r="E309" i="14"/>
  <c r="F308" i="14"/>
  <c r="E308" i="14"/>
  <c r="F307" i="14"/>
  <c r="E307" i="14"/>
  <c r="F306" i="14"/>
  <c r="E306" i="14"/>
  <c r="F305" i="14"/>
  <c r="E305" i="14"/>
  <c r="F304" i="14"/>
  <c r="E304" i="14"/>
  <c r="F303" i="14"/>
  <c r="E303" i="14"/>
  <c r="F302" i="14"/>
  <c r="E302" i="14"/>
  <c r="F301" i="14"/>
  <c r="E301" i="14"/>
  <c r="F300" i="14"/>
  <c r="E300" i="14"/>
  <c r="F299" i="14"/>
  <c r="E299" i="14"/>
  <c r="F298" i="14"/>
  <c r="E298" i="14"/>
  <c r="F297" i="14"/>
  <c r="E297" i="14"/>
  <c r="F296" i="14"/>
  <c r="E296" i="14"/>
  <c r="F295" i="14"/>
  <c r="E295" i="14"/>
  <c r="F294" i="14"/>
  <c r="E294" i="14"/>
  <c r="F293" i="14"/>
  <c r="E293" i="14"/>
  <c r="F292" i="14"/>
  <c r="E292" i="14"/>
  <c r="F291" i="14"/>
  <c r="E291" i="14"/>
  <c r="F290" i="14"/>
  <c r="E290" i="14"/>
  <c r="F289" i="14"/>
  <c r="E289" i="14"/>
  <c r="F288" i="14"/>
  <c r="E288" i="14"/>
  <c r="F287" i="14"/>
  <c r="E287" i="14"/>
  <c r="F286" i="14"/>
  <c r="E286" i="14"/>
  <c r="F285" i="14"/>
  <c r="E285" i="14"/>
  <c r="F284" i="14"/>
  <c r="E284" i="14"/>
  <c r="F283" i="14"/>
  <c r="E283" i="14"/>
  <c r="F282" i="14"/>
  <c r="E282" i="14"/>
  <c r="F281" i="14"/>
  <c r="E281" i="14"/>
  <c r="F280" i="14"/>
  <c r="E280" i="14"/>
  <c r="F279" i="14"/>
  <c r="E279" i="14"/>
  <c r="F278" i="14"/>
  <c r="E278" i="14"/>
  <c r="F277" i="14"/>
  <c r="E277" i="14"/>
  <c r="F276" i="14"/>
  <c r="E276" i="14"/>
  <c r="F275" i="14"/>
  <c r="E275" i="14"/>
  <c r="F274" i="14"/>
  <c r="E274" i="14"/>
  <c r="F273" i="14"/>
  <c r="E273" i="14"/>
  <c r="F272" i="14"/>
  <c r="E272" i="14"/>
  <c r="F271" i="14"/>
  <c r="E271" i="14"/>
  <c r="F270" i="14"/>
  <c r="E270" i="14"/>
  <c r="F269" i="14"/>
  <c r="E269" i="14"/>
  <c r="F268" i="14"/>
  <c r="E268" i="14"/>
  <c r="F267" i="14"/>
  <c r="E267" i="14"/>
  <c r="F266" i="14"/>
  <c r="E266" i="14"/>
  <c r="F265" i="14"/>
  <c r="E265" i="14"/>
  <c r="F264" i="14"/>
  <c r="E264" i="14"/>
  <c r="F263" i="14"/>
  <c r="E263" i="14"/>
  <c r="F262" i="14"/>
  <c r="E262" i="14"/>
  <c r="F261" i="14"/>
  <c r="E261" i="14"/>
  <c r="F260" i="14"/>
  <c r="E260" i="14"/>
  <c r="F259" i="14"/>
  <c r="E259" i="14"/>
  <c r="F258" i="14"/>
  <c r="E258" i="14"/>
  <c r="F257" i="14"/>
  <c r="E257" i="14"/>
  <c r="F256" i="14"/>
  <c r="E256" i="14"/>
  <c r="F255" i="14"/>
  <c r="E255" i="14"/>
  <c r="F254" i="14"/>
  <c r="E254" i="14"/>
  <c r="F253" i="14"/>
  <c r="E253" i="14"/>
  <c r="F252" i="14"/>
  <c r="E252" i="14"/>
  <c r="F251" i="14"/>
  <c r="E251" i="14"/>
  <c r="F250" i="14"/>
  <c r="E250" i="14"/>
  <c r="F249" i="14"/>
  <c r="E249" i="14"/>
  <c r="F248" i="14"/>
  <c r="E248" i="14"/>
  <c r="F247" i="14"/>
  <c r="E247" i="14"/>
  <c r="F246" i="14"/>
  <c r="E246" i="14"/>
  <c r="F245" i="14"/>
  <c r="E245" i="14"/>
  <c r="F244" i="14"/>
  <c r="E244" i="14"/>
  <c r="F243" i="14"/>
  <c r="E243" i="14"/>
  <c r="F242" i="14"/>
  <c r="E242" i="14"/>
  <c r="F241" i="14"/>
  <c r="E241" i="14"/>
  <c r="F240" i="14"/>
  <c r="E240" i="14"/>
  <c r="F239" i="14"/>
  <c r="E239" i="14"/>
  <c r="F238" i="14"/>
  <c r="E238" i="14"/>
  <c r="F237" i="14"/>
  <c r="E237" i="14"/>
  <c r="F236" i="14"/>
  <c r="E236" i="14"/>
  <c r="F235" i="14"/>
  <c r="E235" i="14"/>
  <c r="F234" i="14"/>
  <c r="E234" i="14"/>
  <c r="F233" i="14"/>
  <c r="E233" i="14"/>
  <c r="F232" i="14"/>
  <c r="E232" i="14"/>
  <c r="F231" i="14"/>
  <c r="E231" i="14"/>
  <c r="J230" i="14"/>
  <c r="F230" i="14"/>
  <c r="E230" i="14"/>
  <c r="J229" i="14"/>
  <c r="F229" i="14"/>
  <c r="E229" i="14"/>
  <c r="J228" i="14"/>
  <c r="F228" i="14"/>
  <c r="E228" i="14"/>
  <c r="J227" i="14"/>
  <c r="F227" i="14"/>
  <c r="E227" i="14"/>
  <c r="J226" i="14"/>
  <c r="F226" i="14"/>
  <c r="E226" i="14"/>
  <c r="J225" i="14"/>
  <c r="F225" i="14"/>
  <c r="E225" i="14"/>
  <c r="J224" i="14"/>
  <c r="F224" i="14"/>
  <c r="E224" i="14"/>
  <c r="J223" i="14"/>
  <c r="F223" i="14"/>
  <c r="E223" i="14"/>
  <c r="J222" i="14"/>
  <c r="F222" i="14"/>
  <c r="E222" i="14"/>
  <c r="J221" i="14"/>
  <c r="F221" i="14"/>
  <c r="E221" i="14"/>
  <c r="J220" i="14"/>
  <c r="F220" i="14"/>
  <c r="E220" i="14"/>
  <c r="J219" i="14"/>
  <c r="F219" i="14"/>
  <c r="E219" i="14"/>
  <c r="J218" i="14"/>
  <c r="I218" i="14"/>
  <c r="F218" i="14"/>
  <c r="E218" i="14"/>
  <c r="J217" i="14"/>
  <c r="I217" i="14"/>
  <c r="F217" i="14"/>
  <c r="E217" i="14"/>
  <c r="J216" i="14"/>
  <c r="I216" i="14"/>
  <c r="F216" i="14"/>
  <c r="E216" i="14"/>
  <c r="J215" i="14"/>
  <c r="I215" i="14"/>
  <c r="F215" i="14"/>
  <c r="E215" i="14"/>
  <c r="J214" i="14"/>
  <c r="I214" i="14"/>
  <c r="F214" i="14"/>
  <c r="E214" i="14"/>
  <c r="J213" i="14"/>
  <c r="I213" i="14"/>
  <c r="F213" i="14"/>
  <c r="E213" i="14"/>
  <c r="J212" i="14"/>
  <c r="I212" i="14"/>
  <c r="F212" i="14"/>
  <c r="E212" i="14"/>
  <c r="J211" i="14"/>
  <c r="I211" i="14"/>
  <c r="F211" i="14"/>
  <c r="E211" i="14"/>
  <c r="J210" i="14"/>
  <c r="I210" i="14"/>
  <c r="F210" i="14"/>
  <c r="E210" i="14"/>
  <c r="J209" i="14"/>
  <c r="I209" i="14"/>
  <c r="F209" i="14"/>
  <c r="E209" i="14"/>
  <c r="J208" i="14"/>
  <c r="I208" i="14"/>
  <c r="F208" i="14"/>
  <c r="E208" i="14"/>
  <c r="J207" i="14"/>
  <c r="I207" i="14"/>
  <c r="F207" i="14"/>
  <c r="E207" i="14"/>
  <c r="J206" i="14"/>
  <c r="I206" i="14"/>
  <c r="F206" i="14"/>
  <c r="E206" i="14"/>
  <c r="J205" i="14"/>
  <c r="I205" i="14"/>
  <c r="F205" i="14"/>
  <c r="E205" i="14"/>
  <c r="J204" i="14"/>
  <c r="I204" i="14"/>
  <c r="F204" i="14"/>
  <c r="E204" i="14"/>
  <c r="J203" i="14"/>
  <c r="I203" i="14"/>
  <c r="F203" i="14"/>
  <c r="E203" i="14"/>
  <c r="J202" i="14"/>
  <c r="I202" i="14"/>
  <c r="F202" i="14"/>
  <c r="E202" i="14"/>
  <c r="J201" i="14"/>
  <c r="I201" i="14"/>
  <c r="F201" i="14"/>
  <c r="E201" i="14"/>
  <c r="J200" i="14"/>
  <c r="I200" i="14"/>
  <c r="F200" i="14"/>
  <c r="E200" i="14"/>
  <c r="J199" i="14"/>
  <c r="I199" i="14"/>
  <c r="F199" i="14"/>
  <c r="E199" i="14"/>
  <c r="J198" i="14"/>
  <c r="I198" i="14"/>
  <c r="F198" i="14"/>
  <c r="E198" i="14"/>
  <c r="J197" i="14"/>
  <c r="I197" i="14"/>
  <c r="F197" i="14"/>
  <c r="E197" i="14"/>
  <c r="J196" i="14"/>
  <c r="I196" i="14"/>
  <c r="F196" i="14"/>
  <c r="E196" i="14"/>
  <c r="J195" i="14"/>
  <c r="I195" i="14"/>
  <c r="F195" i="14"/>
  <c r="E195" i="14"/>
  <c r="J194" i="14"/>
  <c r="I194" i="14"/>
  <c r="F194" i="14"/>
  <c r="E194" i="14"/>
  <c r="J193" i="14"/>
  <c r="I193" i="14"/>
  <c r="F193" i="14"/>
  <c r="E193" i="14"/>
  <c r="J192" i="14"/>
  <c r="I192" i="14"/>
  <c r="F192" i="14"/>
  <c r="E192" i="14"/>
  <c r="J191" i="14"/>
  <c r="I191" i="14"/>
  <c r="F191" i="14"/>
  <c r="E191" i="14"/>
  <c r="J190" i="14"/>
  <c r="I190" i="14"/>
  <c r="F190" i="14"/>
  <c r="E190" i="14"/>
  <c r="J189" i="14"/>
  <c r="I189" i="14"/>
  <c r="F189" i="14"/>
  <c r="E189" i="14"/>
  <c r="J188" i="14"/>
  <c r="I188" i="14"/>
  <c r="F188" i="14"/>
  <c r="E188" i="14"/>
  <c r="J187" i="14"/>
  <c r="I187" i="14"/>
  <c r="F187" i="14"/>
  <c r="E187" i="14"/>
  <c r="J186" i="14"/>
  <c r="I186" i="14"/>
  <c r="F186" i="14"/>
  <c r="E186" i="14"/>
  <c r="J185" i="14"/>
  <c r="I185" i="14"/>
  <c r="F185" i="14"/>
  <c r="E185" i="14"/>
  <c r="J184" i="14"/>
  <c r="I184" i="14"/>
  <c r="F184" i="14"/>
  <c r="E184" i="14"/>
  <c r="J183" i="14"/>
  <c r="I183" i="14"/>
  <c r="F183" i="14"/>
  <c r="E183" i="14"/>
  <c r="J182" i="14"/>
  <c r="I182" i="14"/>
  <c r="F182" i="14"/>
  <c r="E182" i="14"/>
  <c r="J181" i="14"/>
  <c r="I181" i="14"/>
  <c r="F181" i="14"/>
  <c r="E181" i="14"/>
  <c r="J180" i="14"/>
  <c r="I180" i="14"/>
  <c r="F180" i="14"/>
  <c r="E180" i="14"/>
  <c r="J179" i="14"/>
  <c r="I179" i="14"/>
  <c r="F179" i="14"/>
  <c r="E179" i="14"/>
  <c r="J178" i="14"/>
  <c r="I178" i="14"/>
  <c r="F178" i="14"/>
  <c r="E178" i="14"/>
  <c r="J177" i="14"/>
  <c r="I177" i="14"/>
  <c r="F177" i="14"/>
  <c r="E177" i="14"/>
  <c r="J176" i="14"/>
  <c r="I176" i="14"/>
  <c r="F176" i="14"/>
  <c r="E176" i="14"/>
  <c r="J175" i="14"/>
  <c r="I175" i="14"/>
  <c r="F175" i="14"/>
  <c r="E175" i="14"/>
  <c r="J174" i="14"/>
  <c r="I174" i="14"/>
  <c r="F174" i="14"/>
  <c r="E174" i="14"/>
  <c r="J173" i="14"/>
  <c r="I173" i="14"/>
  <c r="F173" i="14"/>
  <c r="E173" i="14"/>
  <c r="J172" i="14"/>
  <c r="I172" i="14"/>
  <c r="F172" i="14"/>
  <c r="E172" i="14"/>
  <c r="J171" i="14"/>
  <c r="I171" i="14"/>
  <c r="F171" i="14"/>
  <c r="E171" i="14"/>
  <c r="J170" i="14"/>
  <c r="I170" i="14"/>
  <c r="F170" i="14"/>
  <c r="E170" i="14"/>
  <c r="J169" i="14"/>
  <c r="I169" i="14"/>
  <c r="F169" i="14"/>
  <c r="E169" i="14"/>
  <c r="J168" i="14"/>
  <c r="I168" i="14"/>
  <c r="F168" i="14"/>
  <c r="E168" i="14"/>
  <c r="J167" i="14"/>
  <c r="I167" i="14"/>
  <c r="F167" i="14"/>
  <c r="E167" i="14"/>
  <c r="J166" i="14"/>
  <c r="I166" i="14"/>
  <c r="F166" i="14"/>
  <c r="E166" i="14"/>
  <c r="J165" i="14"/>
  <c r="I165" i="14"/>
  <c r="F165" i="14"/>
  <c r="E165" i="14"/>
  <c r="J164" i="14"/>
  <c r="I164" i="14"/>
  <c r="F164" i="14"/>
  <c r="E164" i="14"/>
  <c r="J163" i="14"/>
  <c r="I163" i="14"/>
  <c r="F163" i="14"/>
  <c r="E163" i="14"/>
  <c r="J162" i="14"/>
  <c r="I162" i="14"/>
  <c r="F162" i="14"/>
  <c r="E162" i="14"/>
  <c r="J161" i="14"/>
  <c r="I161" i="14"/>
  <c r="F161" i="14"/>
  <c r="E161" i="14"/>
  <c r="J160" i="14"/>
  <c r="I160" i="14"/>
  <c r="F160" i="14"/>
  <c r="E160" i="14"/>
  <c r="J159" i="14"/>
  <c r="I159" i="14"/>
  <c r="F159" i="14"/>
  <c r="E159" i="14"/>
  <c r="J158" i="14"/>
  <c r="I158" i="14"/>
  <c r="F158" i="14"/>
  <c r="E158" i="14"/>
  <c r="J157" i="14"/>
  <c r="I157" i="14"/>
  <c r="F157" i="14"/>
  <c r="E157" i="14"/>
  <c r="J156" i="14"/>
  <c r="I156" i="14"/>
  <c r="F156" i="14"/>
  <c r="E156" i="14"/>
  <c r="J155" i="14"/>
  <c r="I155" i="14"/>
  <c r="F155" i="14"/>
  <c r="E155" i="14"/>
  <c r="J154" i="14"/>
  <c r="I154" i="14"/>
  <c r="F154" i="14"/>
  <c r="E154" i="14"/>
  <c r="J153" i="14"/>
  <c r="I153" i="14"/>
  <c r="F153" i="14"/>
  <c r="E153" i="14"/>
  <c r="J152" i="14"/>
  <c r="I152" i="14"/>
  <c r="F152" i="14"/>
  <c r="E152" i="14"/>
  <c r="J151" i="14"/>
  <c r="I151" i="14"/>
  <c r="F151" i="14"/>
  <c r="E151" i="14"/>
  <c r="J150" i="14"/>
  <c r="I150" i="14"/>
  <c r="F150" i="14"/>
  <c r="E150" i="14"/>
  <c r="J149" i="14"/>
  <c r="I149" i="14"/>
  <c r="F149" i="14"/>
  <c r="E149" i="14"/>
  <c r="J148" i="14"/>
  <c r="I148" i="14"/>
  <c r="F148" i="14"/>
  <c r="E148" i="14"/>
  <c r="J147" i="14"/>
  <c r="I147" i="14"/>
  <c r="F147" i="14"/>
  <c r="E147" i="14"/>
  <c r="J146" i="14"/>
  <c r="I146" i="14"/>
  <c r="F146" i="14"/>
  <c r="E146" i="14"/>
  <c r="J145" i="14"/>
  <c r="I145" i="14"/>
  <c r="F145" i="14"/>
  <c r="E145" i="14"/>
  <c r="J144" i="14"/>
  <c r="I144" i="14"/>
  <c r="F144" i="14"/>
  <c r="E144" i="14"/>
  <c r="J143" i="14"/>
  <c r="I143" i="14"/>
  <c r="F143" i="14"/>
  <c r="E143" i="14"/>
  <c r="J142" i="14"/>
  <c r="I142" i="14"/>
  <c r="F142" i="14"/>
  <c r="E142" i="14"/>
  <c r="J141" i="14"/>
  <c r="I141" i="14"/>
  <c r="F141" i="14"/>
  <c r="E141" i="14"/>
  <c r="J140" i="14"/>
  <c r="I140" i="14"/>
  <c r="F140" i="14"/>
  <c r="E140" i="14"/>
  <c r="J139" i="14"/>
  <c r="I139" i="14"/>
  <c r="F139" i="14"/>
  <c r="E139" i="14"/>
  <c r="J138" i="14"/>
  <c r="I138" i="14"/>
  <c r="F138" i="14"/>
  <c r="E138" i="14"/>
  <c r="J137" i="14"/>
  <c r="I137" i="14"/>
  <c r="F137" i="14"/>
  <c r="E137" i="14"/>
  <c r="J136" i="14"/>
  <c r="I136" i="14"/>
  <c r="F136" i="14"/>
  <c r="E136" i="14"/>
  <c r="J135" i="14"/>
  <c r="I135" i="14"/>
  <c r="F135" i="14"/>
  <c r="E135" i="14"/>
  <c r="J134" i="14"/>
  <c r="I134" i="14"/>
  <c r="F134" i="14"/>
  <c r="E134" i="14"/>
  <c r="J133" i="14"/>
  <c r="I133" i="14"/>
  <c r="F133" i="14"/>
  <c r="E133" i="14"/>
  <c r="J132" i="14"/>
  <c r="I132" i="14"/>
  <c r="F132" i="14"/>
  <c r="E132" i="14"/>
  <c r="J131" i="14"/>
  <c r="I131" i="14"/>
  <c r="F131" i="14"/>
  <c r="E131" i="14"/>
  <c r="J130" i="14"/>
  <c r="I130" i="14"/>
  <c r="F130" i="14"/>
  <c r="E130" i="14"/>
  <c r="J129" i="14"/>
  <c r="I129" i="14"/>
  <c r="F129" i="14"/>
  <c r="E129" i="14"/>
  <c r="J128" i="14"/>
  <c r="I128" i="14"/>
  <c r="F128" i="14"/>
  <c r="E128" i="14"/>
  <c r="J127" i="14"/>
  <c r="I127" i="14"/>
  <c r="F127" i="14"/>
  <c r="E127" i="14"/>
  <c r="J126" i="14"/>
  <c r="I126" i="14"/>
  <c r="F126" i="14"/>
  <c r="E126" i="14"/>
  <c r="J125" i="14"/>
  <c r="I125" i="14"/>
  <c r="F125" i="14"/>
  <c r="E125" i="14"/>
  <c r="J124" i="14"/>
  <c r="I124" i="14"/>
  <c r="F124" i="14"/>
  <c r="E124" i="14"/>
  <c r="J123" i="14"/>
  <c r="I123" i="14"/>
  <c r="F123" i="14"/>
  <c r="E123" i="14"/>
  <c r="J122" i="14"/>
  <c r="I122" i="14"/>
  <c r="F122" i="14"/>
  <c r="E122" i="14"/>
  <c r="J121" i="14"/>
  <c r="I121" i="14"/>
  <c r="F121" i="14"/>
  <c r="E121" i="14"/>
  <c r="J120" i="14"/>
  <c r="I120" i="14"/>
  <c r="F120" i="14"/>
  <c r="E120" i="14"/>
  <c r="J119" i="14"/>
  <c r="I119" i="14"/>
  <c r="F119" i="14"/>
  <c r="E119" i="14"/>
  <c r="J118" i="14"/>
  <c r="I118" i="14"/>
  <c r="F118" i="14"/>
  <c r="E118" i="14"/>
  <c r="J117" i="14"/>
  <c r="I117" i="14"/>
  <c r="F117" i="14"/>
  <c r="E117" i="14"/>
  <c r="J116" i="14"/>
  <c r="I116" i="14"/>
  <c r="F116" i="14"/>
  <c r="E116" i="14"/>
  <c r="J115" i="14"/>
  <c r="I115" i="14"/>
  <c r="F115" i="14"/>
  <c r="E115" i="14"/>
  <c r="J114" i="14"/>
  <c r="I114" i="14"/>
  <c r="F114" i="14"/>
  <c r="E114" i="14"/>
  <c r="J113" i="14"/>
  <c r="I113" i="14"/>
  <c r="F113" i="14"/>
  <c r="E113" i="14"/>
  <c r="J112" i="14"/>
  <c r="I112" i="14"/>
  <c r="F112" i="14"/>
  <c r="E112" i="14"/>
  <c r="J111" i="14"/>
  <c r="I111" i="14"/>
  <c r="F111" i="14"/>
  <c r="E111" i="14"/>
  <c r="J110" i="14"/>
  <c r="I110" i="14"/>
  <c r="F110" i="14"/>
  <c r="E110" i="14"/>
  <c r="J109" i="14"/>
  <c r="I109" i="14"/>
  <c r="F109" i="14"/>
  <c r="E109" i="14"/>
  <c r="J108" i="14"/>
  <c r="I108" i="14"/>
  <c r="F108" i="14"/>
  <c r="E108" i="14"/>
  <c r="J107" i="14"/>
  <c r="I107" i="14"/>
  <c r="F107" i="14"/>
  <c r="E107" i="14"/>
  <c r="J106" i="14"/>
  <c r="I106" i="14"/>
  <c r="F106" i="14"/>
  <c r="E106" i="14"/>
  <c r="J105" i="14"/>
  <c r="I105" i="14"/>
  <c r="F105" i="14"/>
  <c r="E105" i="14"/>
  <c r="J104" i="14"/>
  <c r="I104" i="14"/>
  <c r="F104" i="14"/>
  <c r="E104" i="14"/>
  <c r="J103" i="14"/>
  <c r="I103" i="14"/>
  <c r="F103" i="14"/>
  <c r="E103" i="14"/>
  <c r="J102" i="14"/>
  <c r="I102" i="14"/>
  <c r="F102" i="14"/>
  <c r="E102" i="14"/>
  <c r="J101" i="14"/>
  <c r="I101" i="14"/>
  <c r="F101" i="14"/>
  <c r="E101" i="14"/>
  <c r="J100" i="14"/>
  <c r="I100" i="14"/>
  <c r="F100" i="14"/>
  <c r="E100" i="14"/>
  <c r="J99" i="14"/>
  <c r="I99" i="14"/>
  <c r="F99" i="14"/>
  <c r="E99" i="14"/>
  <c r="J98" i="14"/>
  <c r="I98" i="14"/>
  <c r="F98" i="14"/>
  <c r="E98" i="14"/>
  <c r="J97" i="14"/>
  <c r="I97" i="14"/>
  <c r="F97" i="14"/>
  <c r="E97" i="14"/>
  <c r="J96" i="14"/>
  <c r="I96" i="14"/>
  <c r="F96" i="14"/>
  <c r="E96" i="14"/>
  <c r="J95" i="14"/>
  <c r="I95" i="14"/>
  <c r="F95" i="14"/>
  <c r="E95" i="14"/>
  <c r="J94" i="14"/>
  <c r="I94" i="14"/>
  <c r="F94" i="14"/>
  <c r="E94" i="14"/>
  <c r="J93" i="14"/>
  <c r="I93" i="14"/>
  <c r="F93" i="14"/>
  <c r="E93" i="14"/>
  <c r="J92" i="14"/>
  <c r="I92" i="14"/>
  <c r="F92" i="14"/>
  <c r="E92" i="14"/>
  <c r="J91" i="14"/>
  <c r="I91" i="14"/>
  <c r="F91" i="14"/>
  <c r="E91" i="14"/>
  <c r="J90" i="14"/>
  <c r="I90" i="14"/>
  <c r="F90" i="14"/>
  <c r="E90" i="14"/>
  <c r="J89" i="14"/>
  <c r="I89" i="14"/>
  <c r="F89" i="14"/>
  <c r="E89" i="14"/>
  <c r="J88" i="14"/>
  <c r="I88" i="14"/>
  <c r="F88" i="14"/>
  <c r="E88" i="14"/>
  <c r="J87" i="14"/>
  <c r="I87" i="14"/>
  <c r="F87" i="14"/>
  <c r="E87" i="14"/>
  <c r="J86" i="14"/>
  <c r="I86" i="14"/>
  <c r="F86" i="14"/>
  <c r="E86" i="14"/>
  <c r="J85" i="14"/>
  <c r="I85" i="14"/>
  <c r="F85" i="14"/>
  <c r="E85" i="14"/>
  <c r="J84" i="14"/>
  <c r="I84" i="14"/>
  <c r="F84" i="14"/>
  <c r="E84" i="14"/>
  <c r="J83" i="14"/>
  <c r="I83" i="14"/>
  <c r="F83" i="14"/>
  <c r="E83" i="14"/>
  <c r="J82" i="14"/>
  <c r="I82" i="14"/>
  <c r="F82" i="14"/>
  <c r="E82" i="14"/>
  <c r="J81" i="14"/>
  <c r="I81" i="14"/>
  <c r="F81" i="14"/>
  <c r="E81" i="14"/>
  <c r="J80" i="14"/>
  <c r="I80" i="14"/>
  <c r="F80" i="14"/>
  <c r="E80" i="14"/>
  <c r="J79" i="14"/>
  <c r="I79" i="14"/>
  <c r="F79" i="14"/>
  <c r="E79" i="14"/>
  <c r="J78" i="14"/>
  <c r="I78" i="14"/>
  <c r="F78" i="14"/>
  <c r="E78" i="14"/>
  <c r="J77" i="14"/>
  <c r="I77" i="14"/>
  <c r="F77" i="14"/>
  <c r="E77" i="14"/>
  <c r="J76" i="14"/>
  <c r="I76" i="14"/>
  <c r="F76" i="14"/>
  <c r="E76" i="14"/>
  <c r="J75" i="14"/>
  <c r="I75" i="14"/>
  <c r="F75" i="14"/>
  <c r="E75" i="14"/>
  <c r="J74" i="14"/>
  <c r="I74" i="14"/>
  <c r="F74" i="14"/>
  <c r="E74" i="14"/>
  <c r="J73" i="14"/>
  <c r="I73" i="14"/>
  <c r="F73" i="14"/>
  <c r="E73" i="14"/>
  <c r="J72" i="14"/>
  <c r="I72" i="14"/>
  <c r="F72" i="14"/>
  <c r="E72" i="14"/>
  <c r="J71" i="14"/>
  <c r="I71" i="14"/>
  <c r="F71" i="14"/>
  <c r="E71" i="14"/>
  <c r="J70" i="14"/>
  <c r="I70" i="14"/>
  <c r="F70" i="14"/>
  <c r="E70" i="14"/>
  <c r="J69" i="14"/>
  <c r="I69" i="14"/>
  <c r="F69" i="14"/>
  <c r="E69" i="14"/>
  <c r="J68" i="14"/>
  <c r="I68" i="14"/>
  <c r="F68" i="14"/>
  <c r="E68" i="14"/>
  <c r="J67" i="14"/>
  <c r="I67" i="14"/>
  <c r="F67" i="14"/>
  <c r="E67" i="14"/>
  <c r="J66" i="14"/>
  <c r="I66" i="14"/>
  <c r="F66" i="14"/>
  <c r="E66" i="14"/>
  <c r="J65" i="14"/>
  <c r="I65" i="14"/>
  <c r="F65" i="14"/>
  <c r="E65" i="14"/>
  <c r="J64" i="14"/>
  <c r="I64" i="14"/>
  <c r="F64" i="14"/>
  <c r="E64" i="14"/>
  <c r="J63" i="14"/>
  <c r="I63" i="14"/>
  <c r="F63" i="14"/>
  <c r="E63" i="14"/>
  <c r="J62" i="14"/>
  <c r="I62" i="14"/>
  <c r="F62" i="14"/>
  <c r="E62" i="14"/>
  <c r="J61" i="14"/>
  <c r="I61" i="14"/>
  <c r="F61" i="14"/>
  <c r="E61" i="14"/>
  <c r="J60" i="14"/>
  <c r="I60" i="14"/>
  <c r="F60" i="14"/>
  <c r="E60" i="14"/>
  <c r="J59" i="14"/>
  <c r="I59" i="14"/>
  <c r="F59" i="14"/>
  <c r="E59" i="14"/>
  <c r="J58" i="14"/>
  <c r="I58" i="14"/>
  <c r="F58" i="14"/>
  <c r="E58" i="14"/>
  <c r="J57" i="14"/>
  <c r="I57" i="14"/>
  <c r="F57" i="14"/>
  <c r="E57" i="14"/>
  <c r="J56" i="14"/>
  <c r="I56" i="14"/>
  <c r="F56" i="14"/>
  <c r="E56" i="14"/>
  <c r="J55" i="14"/>
  <c r="I55" i="14"/>
  <c r="F55" i="14"/>
  <c r="E55" i="14"/>
  <c r="J54" i="14"/>
  <c r="I54" i="14"/>
  <c r="F54" i="14"/>
  <c r="E54" i="14"/>
  <c r="J53" i="14"/>
  <c r="I53" i="14"/>
  <c r="F53" i="14"/>
  <c r="E53" i="14"/>
  <c r="J52" i="14"/>
  <c r="I52" i="14"/>
  <c r="F52" i="14"/>
  <c r="E52" i="14"/>
  <c r="J51" i="14"/>
  <c r="I51" i="14"/>
  <c r="F51" i="14"/>
  <c r="E51" i="14"/>
  <c r="J50" i="14"/>
  <c r="I50" i="14"/>
  <c r="F50" i="14"/>
  <c r="E50" i="14"/>
  <c r="J49" i="14"/>
  <c r="I49" i="14"/>
  <c r="F49" i="14"/>
  <c r="E49" i="14"/>
  <c r="J48" i="14"/>
  <c r="I48" i="14"/>
  <c r="F48" i="14"/>
  <c r="E48" i="14"/>
  <c r="J47" i="14"/>
  <c r="I47" i="14"/>
  <c r="F47" i="14"/>
  <c r="E47" i="14"/>
  <c r="J46" i="14"/>
  <c r="I46" i="14"/>
  <c r="F46" i="14"/>
  <c r="E46" i="14"/>
  <c r="J45" i="14"/>
  <c r="I45" i="14"/>
  <c r="F45" i="14"/>
  <c r="E45" i="14"/>
  <c r="J44" i="14"/>
  <c r="I44" i="14"/>
  <c r="F44" i="14"/>
  <c r="E44" i="14"/>
  <c r="J43" i="14"/>
  <c r="I43" i="14"/>
  <c r="F43" i="14"/>
  <c r="E43" i="14"/>
  <c r="J42" i="14"/>
  <c r="I42" i="14"/>
  <c r="F42" i="14"/>
  <c r="E42" i="14"/>
  <c r="J41" i="14"/>
  <c r="I41" i="14"/>
  <c r="F41" i="14"/>
  <c r="E41" i="14"/>
  <c r="J40" i="14"/>
  <c r="I40" i="14"/>
  <c r="F40" i="14"/>
  <c r="E40" i="14"/>
  <c r="J39" i="14"/>
  <c r="I39" i="14"/>
  <c r="F39" i="14"/>
  <c r="E39" i="14"/>
  <c r="J38" i="14"/>
  <c r="I38" i="14"/>
  <c r="F38" i="14"/>
  <c r="E38" i="14"/>
  <c r="J37" i="14"/>
  <c r="I37" i="14"/>
  <c r="F37" i="14"/>
  <c r="E37" i="14"/>
  <c r="J36" i="14"/>
  <c r="I36" i="14"/>
  <c r="F36" i="14"/>
  <c r="E36" i="14"/>
  <c r="J35" i="14"/>
  <c r="I35" i="14"/>
  <c r="F35" i="14"/>
  <c r="E35" i="14"/>
  <c r="J34" i="14"/>
  <c r="I34" i="14"/>
  <c r="F34" i="14"/>
  <c r="E34" i="14"/>
  <c r="J33" i="14"/>
  <c r="I33" i="14"/>
  <c r="F33" i="14"/>
  <c r="E33" i="14"/>
  <c r="J32" i="14"/>
  <c r="I32" i="14"/>
  <c r="F32" i="14"/>
  <c r="E32" i="14"/>
  <c r="J31" i="14"/>
  <c r="I31" i="14"/>
  <c r="F31" i="14"/>
  <c r="E31" i="14"/>
  <c r="J30" i="14"/>
  <c r="I30" i="14"/>
  <c r="F30" i="14"/>
  <c r="E30" i="14"/>
  <c r="J29" i="14"/>
  <c r="I29" i="14"/>
  <c r="F29" i="14"/>
  <c r="E29" i="14"/>
  <c r="J28" i="14"/>
  <c r="I28" i="14"/>
  <c r="F28" i="14"/>
  <c r="E28" i="14"/>
  <c r="J27" i="14"/>
  <c r="I27" i="14"/>
  <c r="F27" i="14"/>
  <c r="E27" i="14"/>
  <c r="J26" i="14"/>
  <c r="I26" i="14"/>
  <c r="F26" i="14"/>
  <c r="E26" i="14"/>
  <c r="J25" i="14"/>
  <c r="I25" i="14"/>
  <c r="F25" i="14"/>
  <c r="E25" i="14"/>
  <c r="J24" i="14"/>
  <c r="I24" i="14"/>
  <c r="F24" i="14"/>
  <c r="E24" i="14"/>
  <c r="J23" i="14"/>
  <c r="I23" i="14"/>
  <c r="F23" i="14"/>
  <c r="E23" i="14"/>
  <c r="J22" i="14"/>
  <c r="I22" i="14"/>
  <c r="F22" i="14"/>
  <c r="E22" i="14"/>
  <c r="J21" i="14"/>
  <c r="I21" i="14"/>
  <c r="F21" i="14"/>
  <c r="E21" i="14"/>
  <c r="J20" i="14"/>
  <c r="I20" i="14"/>
  <c r="F20" i="14"/>
  <c r="E20" i="14"/>
  <c r="J19" i="14"/>
  <c r="I19" i="14"/>
  <c r="F19" i="14"/>
  <c r="E19" i="14"/>
  <c r="J18" i="14"/>
  <c r="I18" i="14"/>
  <c r="F18" i="14"/>
  <c r="E18" i="14"/>
  <c r="J17" i="14"/>
  <c r="I17" i="14"/>
  <c r="F17" i="14"/>
  <c r="E17" i="14"/>
  <c r="J16" i="14"/>
  <c r="I16" i="14"/>
  <c r="F16" i="14"/>
  <c r="E16" i="14"/>
  <c r="J15" i="14"/>
  <c r="I15" i="14"/>
  <c r="F15" i="14"/>
  <c r="E15" i="14"/>
  <c r="J14" i="14"/>
  <c r="I14" i="14"/>
  <c r="F14" i="14"/>
  <c r="E14" i="14"/>
  <c r="I13" i="14"/>
  <c r="E13" i="14"/>
  <c r="I12" i="14"/>
  <c r="E12" i="14"/>
  <c r="I11" i="14"/>
  <c r="E11" i="14"/>
  <c r="I10" i="14"/>
  <c r="E10" i="14"/>
  <c r="I9" i="14"/>
  <c r="E9" i="14"/>
  <c r="I8" i="14"/>
  <c r="E8" i="14"/>
  <c r="I7" i="14"/>
  <c r="E7" i="14"/>
  <c r="I6" i="14"/>
  <c r="E6" i="14"/>
  <c r="I5" i="14"/>
  <c r="E5" i="14"/>
  <c r="I4" i="14"/>
  <c r="E4" i="14"/>
  <c r="I3" i="14"/>
  <c r="E3" i="14"/>
  <c r="A14" i="6" l="1"/>
  <c r="P4" i="14"/>
  <c r="P6" i="14"/>
  <c r="A30" i="6"/>
  <c r="P3" i="14"/>
  <c r="A5" i="6"/>
  <c r="A26" i="6"/>
  <c r="P5" i="14"/>
  <c r="B57" i="15"/>
  <c r="B53" i="15"/>
  <c r="B37" i="4"/>
  <c r="B45" i="15"/>
  <c r="A53" i="15"/>
  <c r="D74" i="15"/>
  <c r="A11" i="15"/>
  <c r="A48" i="15"/>
  <c r="A52" i="15" s="1"/>
  <c r="A56" i="15" s="1"/>
  <c r="A60" i="15" s="1"/>
  <c r="A64" i="15" s="1"/>
  <c r="A68" i="15" s="1"/>
  <c r="K4" i="15"/>
  <c r="M58" i="15"/>
  <c r="J62" i="15"/>
  <c r="G70" i="15"/>
  <c r="G57" i="15"/>
  <c r="D61" i="15"/>
  <c r="C27" i="6"/>
  <c r="B30" i="6"/>
  <c r="H481" i="14"/>
  <c r="J480" i="14"/>
  <c r="G61" i="15" l="1"/>
  <c r="J57" i="15"/>
  <c r="J66" i="15"/>
  <c r="D65" i="15"/>
  <c r="G74" i="15"/>
  <c r="M62" i="15"/>
  <c r="A15" i="15"/>
  <c r="D78" i="15"/>
  <c r="L4" i="15"/>
  <c r="A57" i="15"/>
  <c r="M4" i="15"/>
  <c r="C30" i="6"/>
  <c r="H482" i="14"/>
  <c r="J481" i="14"/>
  <c r="S8" i="14" s="1"/>
  <c r="B61" i="15" l="1"/>
  <c r="A61" i="15"/>
  <c r="N4" i="15"/>
  <c r="A19" i="15"/>
  <c r="M66" i="15"/>
  <c r="G78" i="15"/>
  <c r="M57" i="15"/>
  <c r="J61" i="15"/>
  <c r="D82" i="15"/>
  <c r="D69" i="15"/>
  <c r="J70" i="15"/>
  <c r="G65" i="15"/>
  <c r="H483" i="14"/>
  <c r="J482" i="14"/>
  <c r="J65" i="15" l="1"/>
  <c r="M70" i="15"/>
  <c r="G69" i="15"/>
  <c r="J74" i="15"/>
  <c r="D73" i="15"/>
  <c r="D86" i="15"/>
  <c r="D90" i="15" s="1"/>
  <c r="M61" i="15"/>
  <c r="G82" i="15"/>
  <c r="A23" i="15"/>
  <c r="A65" i="15"/>
  <c r="O4" i="15"/>
  <c r="H484" i="14"/>
  <c r="J483" i="14"/>
  <c r="M65" i="15" l="1"/>
  <c r="A69" i="15"/>
  <c r="A27" i="15"/>
  <c r="G86" i="15"/>
  <c r="G90" i="15" s="1"/>
  <c r="D77" i="15"/>
  <c r="J78" i="15"/>
  <c r="G73" i="15"/>
  <c r="M74" i="15"/>
  <c r="J69" i="15"/>
  <c r="H485" i="14"/>
  <c r="J484" i="14"/>
  <c r="G94" i="15" l="1"/>
  <c r="J73" i="15"/>
  <c r="M78" i="15"/>
  <c r="G77" i="15"/>
  <c r="J82" i="15"/>
  <c r="D81" i="15"/>
  <c r="A31" i="15"/>
  <c r="A35" i="15" s="1"/>
  <c r="M69" i="15"/>
  <c r="H486" i="14"/>
  <c r="J485" i="14"/>
  <c r="M73" i="15" l="1"/>
  <c r="D85" i="15"/>
  <c r="J86" i="15"/>
  <c r="G81" i="15"/>
  <c r="M82" i="15"/>
  <c r="J77" i="15"/>
  <c r="H487" i="14"/>
  <c r="J486" i="14"/>
  <c r="D89" i="15" l="1"/>
  <c r="J81" i="15"/>
  <c r="M86" i="15"/>
  <c r="M90" i="15" s="1"/>
  <c r="G85" i="15"/>
  <c r="M77" i="15"/>
  <c r="H488" i="14"/>
  <c r="J487" i="14"/>
  <c r="M94" i="15" l="1"/>
  <c r="G89" i="15"/>
  <c r="M81" i="15"/>
  <c r="J85" i="15"/>
  <c r="H489" i="14"/>
  <c r="J488" i="14"/>
  <c r="M85" i="15" l="1"/>
  <c r="H490" i="14"/>
  <c r="J489" i="14"/>
  <c r="M89" i="15" l="1"/>
  <c r="H491" i="14"/>
  <c r="J490" i="14"/>
  <c r="H492" i="14" l="1"/>
  <c r="J491" i="14"/>
  <c r="H493" i="14" l="1"/>
  <c r="J492" i="14"/>
  <c r="H494" i="14" l="1"/>
  <c r="J493" i="14"/>
  <c r="S9" i="14" s="1"/>
  <c r="B65" i="15" l="1"/>
  <c r="P4" i="15" s="1"/>
  <c r="H495" i="14"/>
  <c r="J494" i="14"/>
  <c r="H496" i="14" l="1"/>
  <c r="J495" i="14"/>
  <c r="H497" i="14" l="1"/>
  <c r="J496" i="14"/>
  <c r="H498" i="14" l="1"/>
  <c r="J497" i="14"/>
  <c r="H499" i="14" l="1"/>
  <c r="J498" i="14"/>
  <c r="H500" i="14" l="1"/>
  <c r="J499" i="14"/>
  <c r="H501" i="14" l="1"/>
  <c r="J500" i="14"/>
  <c r="H502" i="14" l="1"/>
  <c r="J501" i="14"/>
  <c r="H503" i="14" l="1"/>
  <c r="J502" i="14"/>
  <c r="H504" i="14" l="1"/>
  <c r="J503" i="14"/>
  <c r="H505" i="14" l="1"/>
  <c r="J504" i="14"/>
  <c r="O16" i="6"/>
  <c r="H506" i="14" l="1"/>
  <c r="J505" i="14"/>
  <c r="S10" i="14" s="1"/>
  <c r="B69" i="15" s="1"/>
  <c r="Q4" i="15" s="1"/>
  <c r="O15" i="9"/>
  <c r="O14" i="9"/>
  <c r="O13" i="9"/>
  <c r="O12" i="9"/>
  <c r="O11" i="9"/>
  <c r="O10" i="9"/>
  <c r="N16" i="9"/>
  <c r="N15" i="9"/>
  <c r="N14" i="9"/>
  <c r="N13" i="9"/>
  <c r="N12" i="9"/>
  <c r="N11" i="9"/>
  <c r="N10" i="9"/>
  <c r="O9" i="9"/>
  <c r="N9" i="9"/>
  <c r="G54" i="4"/>
  <c r="J54" i="4" s="1"/>
  <c r="D58" i="4"/>
  <c r="D62" i="4" s="1"/>
  <c r="J38" i="6"/>
  <c r="J42" i="6" s="1"/>
  <c r="K42" i="6" s="1"/>
  <c r="H34" i="6"/>
  <c r="G38" i="6"/>
  <c r="D38" i="6"/>
  <c r="Q6" i="9"/>
  <c r="P6" i="9"/>
  <c r="P5" i="9"/>
  <c r="Q4" i="9"/>
  <c r="P4" i="9"/>
  <c r="Q3" i="9"/>
  <c r="K34" i="6" s="1"/>
  <c r="P3" i="9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Y178" i="10" s="1"/>
  <c r="Y179" i="10" s="1"/>
  <c r="Y180" i="10" s="1"/>
  <c r="Y181" i="10" s="1"/>
  <c r="Y182" i="10" s="1"/>
  <c r="Y183" i="10" s="1"/>
  <c r="Y184" i="10" s="1"/>
  <c r="T10" i="10" s="1"/>
  <c r="F179" i="10"/>
  <c r="F180" i="10"/>
  <c r="F181" i="10"/>
  <c r="F182" i="10"/>
  <c r="F183" i="10"/>
  <c r="F184" i="10"/>
  <c r="F185" i="10"/>
  <c r="AA185" i="10" s="1"/>
  <c r="AA186" i="10" s="1"/>
  <c r="AA187" i="10" s="1"/>
  <c r="AA188" i="10" s="1"/>
  <c r="AA189" i="10" s="1"/>
  <c r="AA190" i="10" s="1"/>
  <c r="AA191" i="10" s="1"/>
  <c r="AA192" i="10" s="1"/>
  <c r="AA193" i="10" s="1"/>
  <c r="AA194" i="10" s="1"/>
  <c r="AA195" i="10" s="1"/>
  <c r="AA196" i="10" s="1"/>
  <c r="T11" i="10" s="1"/>
  <c r="F186" i="10"/>
  <c r="F187" i="10"/>
  <c r="F188" i="10"/>
  <c r="F189" i="10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V5" i="10" s="1"/>
  <c r="F190" i="10"/>
  <c r="F191" i="10"/>
  <c r="F192" i="10"/>
  <c r="F193" i="10"/>
  <c r="F194" i="10"/>
  <c r="F195" i="10"/>
  <c r="F196" i="10"/>
  <c r="F197" i="10"/>
  <c r="AC197" i="10" s="1"/>
  <c r="AC198" i="10" s="1"/>
  <c r="AC199" i="10" s="1"/>
  <c r="AC200" i="10" s="1"/>
  <c r="AC201" i="10" s="1"/>
  <c r="AC202" i="10" s="1"/>
  <c r="AC203" i="10" s="1"/>
  <c r="AC204" i="10" s="1"/>
  <c r="AC205" i="10" s="1"/>
  <c r="AC206" i="10" s="1"/>
  <c r="AC207" i="10" s="1"/>
  <c r="AC208" i="10" s="1"/>
  <c r="T12" i="10" s="1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AE209" i="10" s="1"/>
  <c r="AE210" i="10" s="1"/>
  <c r="AE211" i="10" s="1"/>
  <c r="AE212" i="10" s="1"/>
  <c r="AE213" i="10" s="1"/>
  <c r="AE214" i="10" s="1"/>
  <c r="AE215" i="10" s="1"/>
  <c r="AE216" i="10" s="1"/>
  <c r="AE217" i="10" s="1"/>
  <c r="AE218" i="10" s="1"/>
  <c r="AE219" i="10" s="1"/>
  <c r="AE220" i="10" s="1"/>
  <c r="T13" i="10" s="1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AG221" i="10" s="1"/>
  <c r="AG222" i="10" s="1"/>
  <c r="AG223" i="10" s="1"/>
  <c r="AG224" i="10" s="1"/>
  <c r="AG225" i="10" s="1"/>
  <c r="AG226" i="10" s="1"/>
  <c r="AG227" i="10" s="1"/>
  <c r="AG228" i="10" s="1"/>
  <c r="AG229" i="10" s="1"/>
  <c r="AG230" i="10" s="1"/>
  <c r="AG231" i="10" s="1"/>
  <c r="AG232" i="10" s="1"/>
  <c r="T14" i="10" s="1"/>
  <c r="F222" i="10"/>
  <c r="F223" i="10"/>
  <c r="F224" i="10"/>
  <c r="F225" i="10"/>
  <c r="F226" i="10"/>
  <c r="F227" i="10"/>
  <c r="F228" i="10"/>
  <c r="L228" i="10" s="1"/>
  <c r="L229" i="10" s="1"/>
  <c r="L230" i="10" s="1"/>
  <c r="L231" i="10" s="1"/>
  <c r="L232" i="10" s="1"/>
  <c r="V6" i="10" s="1"/>
  <c r="F229" i="10"/>
  <c r="F230" i="10"/>
  <c r="F231" i="10"/>
  <c r="F232" i="10"/>
  <c r="F233" i="10"/>
  <c r="AI233" i="10" s="1"/>
  <c r="AI234" i="10" s="1"/>
  <c r="AI235" i="10" s="1"/>
  <c r="AI236" i="10" s="1"/>
  <c r="AI237" i="10" s="1"/>
  <c r="AI238" i="10" s="1"/>
  <c r="AI239" i="10" s="1"/>
  <c r="AI240" i="10" s="1"/>
  <c r="AI241" i="10" s="1"/>
  <c r="AI242" i="10" s="1"/>
  <c r="AI243" i="10" s="1"/>
  <c r="AI244" i="10" s="1"/>
  <c r="T15" i="10" s="1"/>
  <c r="F234" i="10"/>
  <c r="F235" i="10"/>
  <c r="F236" i="10"/>
  <c r="F237" i="10"/>
  <c r="F238" i="10"/>
  <c r="F239" i="10"/>
  <c r="N239" i="10" s="1"/>
  <c r="N240" i="10" s="1"/>
  <c r="N241" i="10" s="1"/>
  <c r="N242" i="10" s="1"/>
  <c r="N243" i="10" s="1"/>
  <c r="N244" i="10" s="1"/>
  <c r="N245" i="10" s="1"/>
  <c r="N246" i="10" s="1"/>
  <c r="N247" i="10" s="1"/>
  <c r="N248" i="10" s="1"/>
  <c r="N249" i="10" s="1"/>
  <c r="N250" i="10" s="1"/>
  <c r="N251" i="10" s="1"/>
  <c r="N252" i="10" s="1"/>
  <c r="N253" i="10" s="1"/>
  <c r="N254" i="10" s="1"/>
  <c r="N255" i="10" s="1"/>
  <c r="N256" i="10" s="1"/>
  <c r="V7" i="10" s="1"/>
  <c r="F240" i="10"/>
  <c r="F241" i="10"/>
  <c r="F242" i="10"/>
  <c r="F243" i="10"/>
  <c r="F244" i="10"/>
  <c r="F245" i="10"/>
  <c r="AK245" i="10" s="1"/>
  <c r="AK246" i="10" s="1"/>
  <c r="AK247" i="10" s="1"/>
  <c r="AK248" i="10" s="1"/>
  <c r="AK249" i="10" s="1"/>
  <c r="AK250" i="10" s="1"/>
  <c r="AK251" i="10" s="1"/>
  <c r="AK252" i="10" s="1"/>
  <c r="AK253" i="10" s="1"/>
  <c r="AK254" i="10" s="1"/>
  <c r="AK255" i="10" s="1"/>
  <c r="AK256" i="10" s="1"/>
  <c r="T16" i="10" s="1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AM257" i="10" s="1"/>
  <c r="AM258" i="10" s="1"/>
  <c r="AM259" i="10" s="1"/>
  <c r="AM260" i="10" s="1"/>
  <c r="AM261" i="10" s="1"/>
  <c r="AM262" i="10" s="1"/>
  <c r="AM263" i="10" s="1"/>
  <c r="AM264" i="10" s="1"/>
  <c r="AM265" i="10" s="1"/>
  <c r="AM266" i="10" s="1"/>
  <c r="AM267" i="10" s="1"/>
  <c r="AM268" i="10" s="1"/>
  <c r="T17" i="10" s="1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J269" i="10" s="1"/>
  <c r="J270" i="10" s="1"/>
  <c r="J271" i="10" s="1"/>
  <c r="J272" i="10" s="1"/>
  <c r="F270" i="10"/>
  <c r="F271" i="10"/>
  <c r="F272" i="10"/>
  <c r="F273" i="10"/>
  <c r="F274" i="10"/>
  <c r="F275" i="10"/>
  <c r="F276" i="10"/>
  <c r="F5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X178" i="10" s="1"/>
  <c r="X179" i="10" s="1"/>
  <c r="X180" i="10" s="1"/>
  <c r="X181" i="10" s="1"/>
  <c r="X182" i="10" s="1"/>
  <c r="X183" i="10" s="1"/>
  <c r="X184" i="10" s="1"/>
  <c r="S10" i="10" s="1"/>
  <c r="E179" i="10"/>
  <c r="E180" i="10"/>
  <c r="E181" i="10"/>
  <c r="E182" i="10"/>
  <c r="E183" i="10"/>
  <c r="E184" i="10"/>
  <c r="E185" i="10"/>
  <c r="Z185" i="10" s="1"/>
  <c r="Z186" i="10" s="1"/>
  <c r="Z187" i="10" s="1"/>
  <c r="Z188" i="10" s="1"/>
  <c r="Z189" i="10" s="1"/>
  <c r="Z190" i="10" s="1"/>
  <c r="Z191" i="10" s="1"/>
  <c r="Z192" i="10" s="1"/>
  <c r="Z193" i="10" s="1"/>
  <c r="Z194" i="10" s="1"/>
  <c r="Z195" i="10" s="1"/>
  <c r="Z196" i="10" s="1"/>
  <c r="S11" i="10" s="1"/>
  <c r="E186" i="10"/>
  <c r="E187" i="10"/>
  <c r="E188" i="10"/>
  <c r="E189" i="10"/>
  <c r="I189" i="10" s="1"/>
  <c r="I190" i="10" s="1"/>
  <c r="I191" i="10" s="1"/>
  <c r="I192" i="10" s="1"/>
  <c r="I193" i="10" s="1"/>
  <c r="I194" i="10" s="1"/>
  <c r="I195" i="10" s="1"/>
  <c r="I196" i="10" s="1"/>
  <c r="I197" i="10" s="1"/>
  <c r="I198" i="10" s="1"/>
  <c r="I199" i="10" s="1"/>
  <c r="I200" i="10" s="1"/>
  <c r="I201" i="10" s="1"/>
  <c r="I202" i="10" s="1"/>
  <c r="I203" i="10" s="1"/>
  <c r="U5" i="10" s="1"/>
  <c r="E38" i="6" s="1"/>
  <c r="E190" i="10"/>
  <c r="E191" i="10"/>
  <c r="E192" i="10"/>
  <c r="E193" i="10"/>
  <c r="E194" i="10"/>
  <c r="E195" i="10"/>
  <c r="E196" i="10"/>
  <c r="E197" i="10"/>
  <c r="AB197" i="10" s="1"/>
  <c r="AB198" i="10" s="1"/>
  <c r="AB199" i="10" s="1"/>
  <c r="AB200" i="10" s="1"/>
  <c r="AB201" i="10" s="1"/>
  <c r="AB202" i="10" s="1"/>
  <c r="AB203" i="10" s="1"/>
  <c r="AB204" i="10" s="1"/>
  <c r="AB205" i="10" s="1"/>
  <c r="AB206" i="10" s="1"/>
  <c r="AB207" i="10" s="1"/>
  <c r="AB208" i="10" s="1"/>
  <c r="S12" i="10" s="1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AD209" i="10" s="1"/>
  <c r="AD210" i="10" s="1"/>
  <c r="AD211" i="10" s="1"/>
  <c r="AD212" i="10" s="1"/>
  <c r="AD213" i="10" s="1"/>
  <c r="AD214" i="10" s="1"/>
  <c r="AD215" i="10" s="1"/>
  <c r="AD216" i="10" s="1"/>
  <c r="AD217" i="10" s="1"/>
  <c r="AD218" i="10" s="1"/>
  <c r="AD219" i="10" s="1"/>
  <c r="AD220" i="10" s="1"/>
  <c r="S13" i="10" s="1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AF221" i="10" s="1"/>
  <c r="AF222" i="10" s="1"/>
  <c r="AF223" i="10" s="1"/>
  <c r="AF224" i="10" s="1"/>
  <c r="AF225" i="10" s="1"/>
  <c r="AF226" i="10" s="1"/>
  <c r="AF227" i="10" s="1"/>
  <c r="AF228" i="10" s="1"/>
  <c r="AF229" i="10" s="1"/>
  <c r="AF230" i="10" s="1"/>
  <c r="AF231" i="10" s="1"/>
  <c r="AF232" i="10" s="1"/>
  <c r="S14" i="10" s="1"/>
  <c r="E222" i="10"/>
  <c r="E223" i="10"/>
  <c r="E224" i="10"/>
  <c r="E225" i="10"/>
  <c r="E226" i="10"/>
  <c r="E227" i="10"/>
  <c r="E228" i="10"/>
  <c r="K228" i="10" s="1"/>
  <c r="K229" i="10" s="1"/>
  <c r="K230" i="10" s="1"/>
  <c r="K231" i="10" s="1"/>
  <c r="K232" i="10" s="1"/>
  <c r="U6" i="10" s="1"/>
  <c r="E42" i="6" s="1"/>
  <c r="E229" i="10"/>
  <c r="E230" i="10"/>
  <c r="E231" i="10"/>
  <c r="E232" i="10"/>
  <c r="E233" i="10"/>
  <c r="AH233" i="10" s="1"/>
  <c r="AH234" i="10" s="1"/>
  <c r="AH235" i="10" s="1"/>
  <c r="AH236" i="10" s="1"/>
  <c r="AH237" i="10" s="1"/>
  <c r="AH238" i="10" s="1"/>
  <c r="AH239" i="10" s="1"/>
  <c r="AH240" i="10" s="1"/>
  <c r="AH241" i="10" s="1"/>
  <c r="AH242" i="10" s="1"/>
  <c r="AH243" i="10" s="1"/>
  <c r="AH244" i="10" s="1"/>
  <c r="S15" i="10" s="1"/>
  <c r="E234" i="10"/>
  <c r="E235" i="10"/>
  <c r="E236" i="10"/>
  <c r="E237" i="10"/>
  <c r="E238" i="10"/>
  <c r="E239" i="10"/>
  <c r="M239" i="10" s="1"/>
  <c r="M240" i="10" s="1"/>
  <c r="M241" i="10" s="1"/>
  <c r="M242" i="10" s="1"/>
  <c r="M243" i="10" s="1"/>
  <c r="M244" i="10" s="1"/>
  <c r="M245" i="10" s="1"/>
  <c r="M246" i="10" s="1"/>
  <c r="M247" i="10" s="1"/>
  <c r="M248" i="10" s="1"/>
  <c r="M249" i="10" s="1"/>
  <c r="M250" i="10" s="1"/>
  <c r="M251" i="10" s="1"/>
  <c r="M252" i="10" s="1"/>
  <c r="M253" i="10" s="1"/>
  <c r="M254" i="10" s="1"/>
  <c r="M255" i="10" s="1"/>
  <c r="M256" i="10" s="1"/>
  <c r="U7" i="10" s="1"/>
  <c r="E46" i="6" s="1"/>
  <c r="E240" i="10"/>
  <c r="E241" i="10"/>
  <c r="E242" i="10"/>
  <c r="E243" i="10"/>
  <c r="E244" i="10"/>
  <c r="E245" i="10"/>
  <c r="AJ245" i="10" s="1"/>
  <c r="AJ246" i="10" s="1"/>
  <c r="AJ247" i="10" s="1"/>
  <c r="AJ248" i="10" s="1"/>
  <c r="AJ249" i="10" s="1"/>
  <c r="AJ250" i="10" s="1"/>
  <c r="AJ251" i="10" s="1"/>
  <c r="AJ252" i="10" s="1"/>
  <c r="AJ253" i="10" s="1"/>
  <c r="AJ254" i="10" s="1"/>
  <c r="AJ255" i="10" s="1"/>
  <c r="AJ256" i="10" s="1"/>
  <c r="S16" i="10" s="1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AL257" i="10" s="1"/>
  <c r="AL258" i="10" s="1"/>
  <c r="AL259" i="10" s="1"/>
  <c r="AL260" i="10" s="1"/>
  <c r="AL261" i="10" s="1"/>
  <c r="AL262" i="10" s="1"/>
  <c r="AL263" i="10" s="1"/>
  <c r="AL264" i="10" s="1"/>
  <c r="AL265" i="10" s="1"/>
  <c r="AL266" i="10" s="1"/>
  <c r="AL267" i="10" s="1"/>
  <c r="AL268" i="10" s="1"/>
  <c r="S17" i="10" s="1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94" i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D105" i="1" s="1"/>
  <c r="B23" i="1" s="1"/>
  <c r="L2" i="6" s="1"/>
  <c r="E82" i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D93" i="1" s="1"/>
  <c r="B22" i="1" s="1"/>
  <c r="E70" i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D81" i="1" s="1"/>
  <c r="B21" i="1" s="1"/>
  <c r="M3" i="6" s="1"/>
  <c r="I58" i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H69" i="1" s="1"/>
  <c r="B20" i="1" s="1"/>
  <c r="I46" i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H57" i="1" s="1"/>
  <c r="B19" i="1" s="1"/>
  <c r="L4" i="6" s="1"/>
  <c r="M4" i="6" s="1"/>
  <c r="I34" i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H45" i="1" s="1"/>
  <c r="B18" i="1" s="1"/>
  <c r="L5" i="6" s="1"/>
  <c r="I22" i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H33" i="1" s="1"/>
  <c r="B17" i="1" s="1"/>
  <c r="M5" i="6" s="1"/>
  <c r="I10" i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H21" i="1" s="1"/>
  <c r="B16" i="1" s="1"/>
  <c r="L22" i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M39" i="1" s="1"/>
  <c r="L47" i="1"/>
  <c r="L48" i="1"/>
  <c r="L49" i="1"/>
  <c r="L50" i="1"/>
  <c r="M50" i="1" s="1"/>
  <c r="L46" i="1"/>
  <c r="H76" i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G89" i="1" s="1"/>
  <c r="H75" i="1"/>
  <c r="A38" i="6"/>
  <c r="L86" i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M100" i="1" s="1"/>
  <c r="A33" i="6"/>
  <c r="D33" i="6" s="1"/>
  <c r="G33" i="6" s="1"/>
  <c r="J33" i="6" s="1"/>
  <c r="L3" i="6" l="1"/>
  <c r="M2" i="6"/>
  <c r="E58" i="15"/>
  <c r="J6" i="15" s="1"/>
  <c r="E62" i="15"/>
  <c r="K6" i="15" s="1"/>
  <c r="E66" i="15"/>
  <c r="L6" i="15" s="1"/>
  <c r="E70" i="15"/>
  <c r="M6" i="15" s="1"/>
  <c r="E74" i="15"/>
  <c r="N6" i="15" s="1"/>
  <c r="E78" i="15"/>
  <c r="O6" i="15" s="1"/>
  <c r="E82" i="15"/>
  <c r="P6" i="15" s="1"/>
  <c r="E86" i="15"/>
  <c r="E58" i="4"/>
  <c r="E54" i="4"/>
  <c r="H62" i="15"/>
  <c r="K5" i="15" s="1"/>
  <c r="H58" i="15"/>
  <c r="J5" i="15" s="1"/>
  <c r="H66" i="15"/>
  <c r="L5" i="15" s="1"/>
  <c r="H70" i="15"/>
  <c r="M5" i="15" s="1"/>
  <c r="H74" i="15"/>
  <c r="N5" i="15" s="1"/>
  <c r="H78" i="15"/>
  <c r="O5" i="15" s="1"/>
  <c r="H82" i="15"/>
  <c r="P5" i="15" s="1"/>
  <c r="H86" i="15"/>
  <c r="B38" i="6"/>
  <c r="N58" i="15"/>
  <c r="J7" i="15" s="1"/>
  <c r="N78" i="15"/>
  <c r="O7" i="15" s="1"/>
  <c r="N62" i="15"/>
  <c r="K7" i="15" s="1"/>
  <c r="N74" i="15"/>
  <c r="N7" i="15" s="1"/>
  <c r="N66" i="15"/>
  <c r="L7" i="15" s="1"/>
  <c r="N86" i="15"/>
  <c r="N70" i="15"/>
  <c r="M7" i="15" s="1"/>
  <c r="N82" i="15"/>
  <c r="P7" i="15" s="1"/>
  <c r="H38" i="6"/>
  <c r="J273" i="10"/>
  <c r="J274" i="10" s="1"/>
  <c r="J275" i="10" s="1"/>
  <c r="J276" i="10" s="1"/>
  <c r="J277" i="10" s="1"/>
  <c r="J278" i="10" s="1"/>
  <c r="J279" i="10" s="1"/>
  <c r="J280" i="10" s="1"/>
  <c r="T18" i="10" s="1"/>
  <c r="G178" i="10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U4" i="10" s="1"/>
  <c r="E34" i="6" s="1"/>
  <c r="H178" i="10"/>
  <c r="H179" i="10" s="1"/>
  <c r="H180" i="10" s="1"/>
  <c r="H181" i="10" s="1"/>
  <c r="H182" i="10" s="1"/>
  <c r="H183" i="10" s="1"/>
  <c r="H184" i="10" s="1"/>
  <c r="H185" i="10" s="1"/>
  <c r="H186" i="10" s="1"/>
  <c r="H187" i="10" s="1"/>
  <c r="H188" i="10" s="1"/>
  <c r="H189" i="10" s="1"/>
  <c r="H190" i="10" s="1"/>
  <c r="H191" i="10" s="1"/>
  <c r="H192" i="10" s="1"/>
  <c r="V4" i="10" s="1"/>
  <c r="B34" i="6" s="1"/>
  <c r="K58" i="15"/>
  <c r="J9" i="15" s="1"/>
  <c r="K82" i="15"/>
  <c r="P9" i="15" s="1"/>
  <c r="K78" i="15"/>
  <c r="O9" i="15" s="1"/>
  <c r="K62" i="15"/>
  <c r="K9" i="15" s="1"/>
  <c r="K74" i="15"/>
  <c r="N9" i="15" s="1"/>
  <c r="K66" i="15"/>
  <c r="L9" i="15" s="1"/>
  <c r="K86" i="15"/>
  <c r="Q9" i="15" s="1"/>
  <c r="K70" i="15"/>
  <c r="M9" i="15" s="1"/>
  <c r="A42" i="6"/>
  <c r="H507" i="14"/>
  <c r="J506" i="14"/>
  <c r="G58" i="4"/>
  <c r="G62" i="4" s="1"/>
  <c r="G66" i="4" s="1"/>
  <c r="H54" i="4"/>
  <c r="K54" i="4"/>
  <c r="M54" i="4"/>
  <c r="M58" i="4" s="1"/>
  <c r="J58" i="4"/>
  <c r="E62" i="4"/>
  <c r="H58" i="4"/>
  <c r="K38" i="6"/>
  <c r="D66" i="4"/>
  <c r="J46" i="6"/>
  <c r="G42" i="6"/>
  <c r="D42" i="6"/>
  <c r="J4" i="6"/>
  <c r="B23" i="6"/>
  <c r="S22" i="6" s="1"/>
  <c r="E18" i="6"/>
  <c r="D18" i="6"/>
  <c r="C18" i="6"/>
  <c r="B18" i="6"/>
  <c r="B15" i="6"/>
  <c r="C15" i="6" s="1"/>
  <c r="H11" i="6"/>
  <c r="C6" i="6"/>
  <c r="H90" i="15" l="1"/>
  <c r="Q5" i="15"/>
  <c r="N90" i="15"/>
  <c r="Q7" i="15"/>
  <c r="E90" i="15"/>
  <c r="R6" i="15" s="1"/>
  <c r="Q6" i="15"/>
  <c r="B26" i="6"/>
  <c r="P20" i="6"/>
  <c r="S6" i="10"/>
  <c r="A41" i="6"/>
  <c r="D41" i="6" s="1"/>
  <c r="C26" i="6"/>
  <c r="T6" i="10"/>
  <c r="B41" i="6"/>
  <c r="E41" i="6" s="1"/>
  <c r="H41" i="6" s="1"/>
  <c r="K41" i="6" s="1"/>
  <c r="B42" i="6"/>
  <c r="K4" i="6" s="1"/>
  <c r="J18" i="6" s="1"/>
  <c r="A46" i="6"/>
  <c r="H508" i="14"/>
  <c r="J507" i="14"/>
  <c r="H62" i="4"/>
  <c r="E66" i="4"/>
  <c r="J62" i="4"/>
  <c r="K78" i="4"/>
  <c r="K70" i="4"/>
  <c r="K62" i="4"/>
  <c r="K82" i="4"/>
  <c r="K74" i="4"/>
  <c r="K66" i="4"/>
  <c r="K58" i="4"/>
  <c r="H66" i="4"/>
  <c r="M62" i="4"/>
  <c r="N78" i="4"/>
  <c r="N70" i="4"/>
  <c r="N62" i="4"/>
  <c r="N82" i="4"/>
  <c r="N74" i="4"/>
  <c r="N66" i="4"/>
  <c r="N58" i="4"/>
  <c r="N54" i="4"/>
  <c r="M66" i="4"/>
  <c r="K46" i="6"/>
  <c r="G70" i="4"/>
  <c r="H42" i="6"/>
  <c r="D70" i="4"/>
  <c r="G46" i="6"/>
  <c r="D46" i="6"/>
  <c r="C3" i="6"/>
  <c r="B3" i="6"/>
  <c r="B2" i="6"/>
  <c r="A41" i="4"/>
  <c r="N24" i="4"/>
  <c r="N28" i="4" s="1"/>
  <c r="N32" i="4" s="1"/>
  <c r="M19" i="4"/>
  <c r="M23" i="4" s="1"/>
  <c r="M27" i="4" s="1"/>
  <c r="M31" i="4" s="1"/>
  <c r="L19" i="4"/>
  <c r="L23" i="4" s="1"/>
  <c r="L27" i="4" s="1"/>
  <c r="L31" i="4" s="1"/>
  <c r="K19" i="4"/>
  <c r="K23" i="4" s="1"/>
  <c r="K27" i="4" s="1"/>
  <c r="K31" i="4" s="1"/>
  <c r="J19" i="4"/>
  <c r="J23" i="4" s="1"/>
  <c r="J27" i="4" s="1"/>
  <c r="J31" i="4" s="1"/>
  <c r="I12" i="4"/>
  <c r="I16" i="4" s="1"/>
  <c r="I20" i="4" s="1"/>
  <c r="I24" i="4" s="1"/>
  <c r="I28" i="4" s="1"/>
  <c r="I32" i="4" s="1"/>
  <c r="D8" i="4"/>
  <c r="A3" i="4"/>
  <c r="A7" i="4" s="1"/>
  <c r="A11" i="4" s="1"/>
  <c r="A15" i="4" s="1"/>
  <c r="A19" i="4" s="1"/>
  <c r="A23" i="4" s="1"/>
  <c r="A27" i="4" s="1"/>
  <c r="A31" i="4" s="1"/>
  <c r="A4" i="4"/>
  <c r="A8" i="4" s="1"/>
  <c r="A12" i="4" s="1"/>
  <c r="A16" i="4" s="1"/>
  <c r="A20" i="4" s="1"/>
  <c r="A24" i="4" s="1"/>
  <c r="A28" i="4" s="1"/>
  <c r="A32" i="4" s="1"/>
  <c r="P3" i="2"/>
  <c r="A45" i="4" l="1"/>
  <c r="B69" i="4"/>
  <c r="B65" i="4"/>
  <c r="B53" i="4"/>
  <c r="B49" i="4"/>
  <c r="B61" i="4"/>
  <c r="B45" i="4"/>
  <c r="B57" i="4"/>
  <c r="B41" i="4"/>
  <c r="N94" i="15"/>
  <c r="S7" i="15" s="1"/>
  <c r="R7" i="15"/>
  <c r="H94" i="15"/>
  <c r="S5" i="15" s="1"/>
  <c r="R5" i="15"/>
  <c r="S16" i="6"/>
  <c r="H4" i="6"/>
  <c r="I18" i="6" s="1"/>
  <c r="B5" i="6"/>
  <c r="B46" i="6"/>
  <c r="G41" i="6"/>
  <c r="J41" i="6" s="1"/>
  <c r="P4" i="6" s="1"/>
  <c r="L18" i="6" s="1"/>
  <c r="N4" i="6"/>
  <c r="K18" i="6" s="1"/>
  <c r="H509" i="14"/>
  <c r="J508" i="14"/>
  <c r="A49" i="4"/>
  <c r="E70" i="4"/>
  <c r="H70" i="4"/>
  <c r="J66" i="4"/>
  <c r="M70" i="4"/>
  <c r="G74" i="4"/>
  <c r="H46" i="6"/>
  <c r="D74" i="4"/>
  <c r="A36" i="4"/>
  <c r="D53" i="4" s="1"/>
  <c r="D12" i="4"/>
  <c r="D16" i="4" s="1"/>
  <c r="D20" i="4" s="1"/>
  <c r="D24" i="4" s="1"/>
  <c r="D28" i="4" s="1"/>
  <c r="D32" i="4" s="1"/>
  <c r="A40" i="4"/>
  <c r="B73" i="4" l="1"/>
  <c r="B77" i="15" s="1"/>
  <c r="B73" i="15"/>
  <c r="O4" i="6"/>
  <c r="H510" i="14"/>
  <c r="J509" i="14"/>
  <c r="D57" i="4"/>
  <c r="G53" i="4"/>
  <c r="J5" i="4"/>
  <c r="J70" i="4"/>
  <c r="A53" i="4"/>
  <c r="E74" i="4"/>
  <c r="H74" i="4"/>
  <c r="M74" i="4"/>
  <c r="G78" i="4"/>
  <c r="D78" i="4"/>
  <c r="A44" i="4"/>
  <c r="K3" i="4"/>
  <c r="H511" i="14" l="1"/>
  <c r="J511" i="14" s="1"/>
  <c r="J510" i="14"/>
  <c r="E78" i="4"/>
  <c r="J53" i="4"/>
  <c r="J9" i="4" s="1"/>
  <c r="J4" i="4"/>
  <c r="G57" i="4"/>
  <c r="H78" i="4"/>
  <c r="A57" i="4"/>
  <c r="J74" i="4"/>
  <c r="D61" i="4"/>
  <c r="K5" i="4"/>
  <c r="M78" i="4"/>
  <c r="G82" i="4"/>
  <c r="D82" i="4"/>
  <c r="A48" i="4"/>
  <c r="L3" i="4"/>
  <c r="D25" i="2"/>
  <c r="C18" i="2"/>
  <c r="C15" i="2"/>
  <c r="C12" i="2"/>
  <c r="M3" i="2"/>
  <c r="M4" i="2"/>
  <c r="M5" i="2"/>
  <c r="M6" i="2"/>
  <c r="M7" i="2"/>
  <c r="M8" i="2"/>
  <c r="M9" i="2"/>
  <c r="M10" i="2"/>
  <c r="M11" i="2"/>
  <c r="M12" i="2"/>
  <c r="M13" i="2"/>
  <c r="M14" i="2"/>
  <c r="M16" i="2"/>
  <c r="M17" i="2"/>
  <c r="M18" i="2"/>
  <c r="M19" i="2"/>
  <c r="M20" i="2"/>
  <c r="M22" i="2"/>
  <c r="M23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1" i="2"/>
  <c r="M53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3" i="2"/>
  <c r="M74" i="2"/>
  <c r="M75" i="2"/>
  <c r="M76" i="2"/>
  <c r="M77" i="2"/>
  <c r="M78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2" i="2"/>
  <c r="P4" i="2" s="1"/>
  <c r="J83" i="2"/>
  <c r="R32" i="15" s="1"/>
  <c r="R36" i="15" s="1"/>
  <c r="H72" i="2"/>
  <c r="E50" i="2"/>
  <c r="F54" i="2"/>
  <c r="I15" i="3"/>
  <c r="E9" i="3"/>
  <c r="G9" i="3" s="1"/>
  <c r="E7" i="3"/>
  <c r="G7" i="3" s="1"/>
  <c r="G2" i="3"/>
  <c r="I2" i="3" s="1"/>
  <c r="O28" i="15" l="1"/>
  <c r="C23" i="6"/>
  <c r="O28" i="4"/>
  <c r="H79" i="2"/>
  <c r="E52" i="2"/>
  <c r="J20" i="15"/>
  <c r="J24" i="15" s="1"/>
  <c r="J28" i="15" s="1"/>
  <c r="J32" i="15" s="1"/>
  <c r="J36" i="15" s="1"/>
  <c r="B19" i="6"/>
  <c r="J20" i="4"/>
  <c r="J24" i="4" s="1"/>
  <c r="J28" i="4" s="1"/>
  <c r="J32" i="4" s="1"/>
  <c r="M72" i="2"/>
  <c r="M15" i="2"/>
  <c r="C8" i="15"/>
  <c r="C12" i="15" s="1"/>
  <c r="C16" i="15" s="1"/>
  <c r="C20" i="15" s="1"/>
  <c r="C24" i="15" s="1"/>
  <c r="C28" i="15" s="1"/>
  <c r="C32" i="15" s="1"/>
  <c r="C36" i="15" s="1"/>
  <c r="C11" i="6"/>
  <c r="C8" i="4"/>
  <c r="C12" i="4" s="1"/>
  <c r="C16" i="4" s="1"/>
  <c r="C20" i="4" s="1"/>
  <c r="C24" i="4" s="1"/>
  <c r="C28" i="4" s="1"/>
  <c r="C32" i="4" s="1"/>
  <c r="Q6" i="2"/>
  <c r="M25" i="2"/>
  <c r="H12" i="15"/>
  <c r="H16" i="15" s="1"/>
  <c r="H20" i="15" s="1"/>
  <c r="H24" i="15" s="1"/>
  <c r="H28" i="15" s="1"/>
  <c r="H32" i="15" s="1"/>
  <c r="H36" i="15" s="1"/>
  <c r="G11" i="6"/>
  <c r="H12" i="4"/>
  <c r="H16" i="4" s="1"/>
  <c r="H20" i="4" s="1"/>
  <c r="H24" i="4" s="1"/>
  <c r="H28" i="4" s="1"/>
  <c r="H32" i="4" s="1"/>
  <c r="M54" i="2"/>
  <c r="M50" i="2"/>
  <c r="E8" i="15"/>
  <c r="E12" i="15" s="1"/>
  <c r="E16" i="15" s="1"/>
  <c r="E20" i="15" s="1"/>
  <c r="E24" i="15" s="1"/>
  <c r="E28" i="15" s="1"/>
  <c r="E32" i="15" s="1"/>
  <c r="E36" i="15" s="1"/>
  <c r="D11" i="6"/>
  <c r="S6" i="2"/>
  <c r="E8" i="4"/>
  <c r="E12" i="4" s="1"/>
  <c r="E16" i="4" s="1"/>
  <c r="E20" i="4" s="1"/>
  <c r="E24" i="4" s="1"/>
  <c r="E28" i="4" s="1"/>
  <c r="E32" i="4" s="1"/>
  <c r="L20" i="15"/>
  <c r="L24" i="15" s="1"/>
  <c r="L28" i="15" s="1"/>
  <c r="L32" i="15" s="1"/>
  <c r="L36" i="15" s="1"/>
  <c r="D19" i="6"/>
  <c r="S20" i="6" s="1"/>
  <c r="L20" i="4"/>
  <c r="L24" i="4" s="1"/>
  <c r="L28" i="4" s="1"/>
  <c r="L32" i="4" s="1"/>
  <c r="F55" i="2"/>
  <c r="B8" i="15"/>
  <c r="B12" i="15" s="1"/>
  <c r="B16" i="15" s="1"/>
  <c r="B20" i="15" s="1"/>
  <c r="B24" i="15" s="1"/>
  <c r="B28" i="15" s="1"/>
  <c r="B32" i="15" s="1"/>
  <c r="B36" i="15" s="1"/>
  <c r="B11" i="6"/>
  <c r="O9" i="2"/>
  <c r="P6" i="2"/>
  <c r="B8" i="4"/>
  <c r="B12" i="4" s="1"/>
  <c r="B16" i="4" s="1"/>
  <c r="B20" i="4" s="1"/>
  <c r="B24" i="4" s="1"/>
  <c r="B28" i="4" s="1"/>
  <c r="B32" i="4" s="1"/>
  <c r="C21" i="2"/>
  <c r="E82" i="4"/>
  <c r="J78" i="4"/>
  <c r="A61" i="4"/>
  <c r="G61" i="4"/>
  <c r="K4" i="4"/>
  <c r="J57" i="4"/>
  <c r="K9" i="4" s="1"/>
  <c r="M53" i="4"/>
  <c r="H82" i="4"/>
  <c r="D65" i="4"/>
  <c r="L5" i="4"/>
  <c r="M82" i="4"/>
  <c r="M3" i="4"/>
  <c r="A52" i="4"/>
  <c r="H9" i="3"/>
  <c r="I9" i="3" s="1"/>
  <c r="H7" i="3"/>
  <c r="I7" i="3" s="1"/>
  <c r="A3" i="2"/>
  <c r="A4" i="2" l="1"/>
  <c r="A5" i="2" s="1"/>
  <c r="A6" i="2" s="1"/>
  <c r="A7" i="2" s="1"/>
  <c r="A8" i="2" s="1"/>
  <c r="F12" i="15"/>
  <c r="E11" i="6"/>
  <c r="T6" i="2"/>
  <c r="F12" i="4"/>
  <c r="C24" i="2"/>
  <c r="M21" i="2"/>
  <c r="O11" i="2"/>
  <c r="M20" i="15"/>
  <c r="M24" i="15" s="1"/>
  <c r="M28" i="15" s="1"/>
  <c r="M32" i="15" s="1"/>
  <c r="M36" i="15" s="1"/>
  <c r="E19" i="6"/>
  <c r="R20" i="6" s="1"/>
  <c r="O20" i="6" s="1"/>
  <c r="O21" i="6" s="1"/>
  <c r="M20" i="4"/>
  <c r="M24" i="4" s="1"/>
  <c r="M28" i="4" s="1"/>
  <c r="M32" i="4" s="1"/>
  <c r="M55" i="2"/>
  <c r="G4" i="6"/>
  <c r="H18" i="6" s="1"/>
  <c r="O32" i="4"/>
  <c r="O13" i="6"/>
  <c r="S18" i="6"/>
  <c r="F105" i="2"/>
  <c r="K20" i="15"/>
  <c r="K24" i="15" s="1"/>
  <c r="K28" i="15" s="1"/>
  <c r="K32" i="15" s="1"/>
  <c r="K36" i="15" s="1"/>
  <c r="C19" i="6"/>
  <c r="K20" i="4"/>
  <c r="K24" i="4" s="1"/>
  <c r="K28" i="4" s="1"/>
  <c r="K32" i="4" s="1"/>
  <c r="M52" i="2"/>
  <c r="O32" i="15"/>
  <c r="O36" i="15" s="1"/>
  <c r="T20" i="6"/>
  <c r="V20" i="6" s="1"/>
  <c r="Q32" i="15"/>
  <c r="Q36" i="15" s="1"/>
  <c r="D23" i="6"/>
  <c r="R22" i="6" s="1"/>
  <c r="O22" i="6" s="1"/>
  <c r="P28" i="4"/>
  <c r="P32" i="4" s="1"/>
  <c r="M79" i="2"/>
  <c r="F101" i="2"/>
  <c r="F103" i="2" s="1"/>
  <c r="M57" i="4"/>
  <c r="J6" i="4"/>
  <c r="A65" i="4"/>
  <c r="A69" i="4" s="1"/>
  <c r="J82" i="4"/>
  <c r="D69" i="4"/>
  <c r="M5" i="4"/>
  <c r="J61" i="4"/>
  <c r="L9" i="4" s="1"/>
  <c r="G65" i="4"/>
  <c r="L4" i="4"/>
  <c r="N3" i="4"/>
  <c r="A56" i="4"/>
  <c r="T22" i="6" l="1"/>
  <c r="T16" i="6"/>
  <c r="A73" i="4"/>
  <c r="A77" i="15" s="1"/>
  <c r="S4" i="15" s="1"/>
  <c r="A73" i="15"/>
  <c r="R4" i="15" s="1"/>
  <c r="G12" i="15"/>
  <c r="G16" i="15" s="1"/>
  <c r="G20" i="15" s="1"/>
  <c r="G24" i="15" s="1"/>
  <c r="G28" i="15" s="1"/>
  <c r="G32" i="15" s="1"/>
  <c r="G36" i="15" s="1"/>
  <c r="F11" i="6"/>
  <c r="R18" i="6" s="1"/>
  <c r="O18" i="6" s="1"/>
  <c r="G12" i="4"/>
  <c r="G16" i="4" s="1"/>
  <c r="G20" i="4" s="1"/>
  <c r="G24" i="4" s="1"/>
  <c r="G28" i="4" s="1"/>
  <c r="G32" i="4" s="1"/>
  <c r="M24" i="2"/>
  <c r="F16" i="15"/>
  <c r="F20" i="15" s="1"/>
  <c r="F24" i="15" s="1"/>
  <c r="F28" i="15" s="1"/>
  <c r="F32" i="15" s="1"/>
  <c r="F36" i="15" s="1"/>
  <c r="T18" i="6"/>
  <c r="F16" i="4"/>
  <c r="F20" i="4" s="1"/>
  <c r="F24" i="4" s="1"/>
  <c r="F28" i="4" s="1"/>
  <c r="F32" i="4" s="1"/>
  <c r="A9" i="2"/>
  <c r="A10" i="2" s="1"/>
  <c r="A11" i="2" s="1"/>
  <c r="A12" i="2" s="1"/>
  <c r="Q3" i="2"/>
  <c r="G69" i="4"/>
  <c r="M4" i="4"/>
  <c r="J65" i="4"/>
  <c r="M9" i="4" s="1"/>
  <c r="D73" i="4"/>
  <c r="N5" i="4"/>
  <c r="M61" i="4"/>
  <c r="K6" i="4"/>
  <c r="A60" i="4"/>
  <c r="O3" i="4"/>
  <c r="A13" i="2" l="1"/>
  <c r="A14" i="2" s="1"/>
  <c r="A15" i="2" s="1"/>
  <c r="B7" i="15"/>
  <c r="B10" i="6"/>
  <c r="B7" i="4"/>
  <c r="P5" i="2"/>
  <c r="B3" i="15"/>
  <c r="B3" i="4"/>
  <c r="M65" i="4"/>
  <c r="L6" i="4"/>
  <c r="D77" i="4"/>
  <c r="O5" i="4"/>
  <c r="J69" i="4"/>
  <c r="N9" i="4" s="1"/>
  <c r="G73" i="4"/>
  <c r="N4" i="4"/>
  <c r="A64" i="4"/>
  <c r="Q3" i="4" s="1"/>
  <c r="P3" i="4"/>
  <c r="B36" i="4" l="1"/>
  <c r="J3" i="4" s="1"/>
  <c r="B11" i="4"/>
  <c r="B40" i="15"/>
  <c r="J4" i="15" s="1"/>
  <c r="B14" i="6"/>
  <c r="A37" i="6"/>
  <c r="B11" i="15"/>
  <c r="B15" i="15" s="1"/>
  <c r="B19" i="15" s="1"/>
  <c r="B23" i="15" s="1"/>
  <c r="B27" i="15" s="1"/>
  <c r="A16" i="2"/>
  <c r="C7" i="15"/>
  <c r="C11" i="15" s="1"/>
  <c r="C15" i="15" s="1"/>
  <c r="C19" i="15" s="1"/>
  <c r="C23" i="15" s="1"/>
  <c r="C27" i="15" s="1"/>
  <c r="C31" i="15" s="1"/>
  <c r="C35" i="15" s="1"/>
  <c r="C10" i="6"/>
  <c r="C7" i="4"/>
  <c r="C11" i="4" s="1"/>
  <c r="C15" i="4" s="1"/>
  <c r="C19" i="4" s="1"/>
  <c r="C23" i="4" s="1"/>
  <c r="C27" i="4" s="1"/>
  <c r="C31" i="4" s="1"/>
  <c r="Q5" i="2"/>
  <c r="G77" i="4"/>
  <c r="O4" i="4"/>
  <c r="J73" i="4"/>
  <c r="O9" i="4" s="1"/>
  <c r="D81" i="4"/>
  <c r="Q5" i="4" s="1"/>
  <c r="P5" i="4"/>
  <c r="M69" i="4"/>
  <c r="M6" i="4"/>
  <c r="A17" i="2" l="1"/>
  <c r="D7" i="15"/>
  <c r="D7" i="4"/>
  <c r="R5" i="2"/>
  <c r="C2" i="6"/>
  <c r="Q4" i="2"/>
  <c r="B101" i="2"/>
  <c r="D37" i="6"/>
  <c r="B31" i="15"/>
  <c r="B35" i="15" s="1"/>
  <c r="B15" i="4"/>
  <c r="M73" i="4"/>
  <c r="N6" i="4"/>
  <c r="J77" i="4"/>
  <c r="P9" i="4" s="1"/>
  <c r="G81" i="4"/>
  <c r="Q4" i="4" s="1"/>
  <c r="P4" i="4"/>
  <c r="B19" i="4" l="1"/>
  <c r="D111" i="2"/>
  <c r="B103" i="2"/>
  <c r="B105" i="2"/>
  <c r="D11" i="4"/>
  <c r="B4" i="4"/>
  <c r="J2" i="4" s="1"/>
  <c r="J2" i="15" s="1"/>
  <c r="R6" i="2"/>
  <c r="S4" i="2"/>
  <c r="D11" i="15"/>
  <c r="D15" i="15" s="1"/>
  <c r="D19" i="15" s="1"/>
  <c r="D23" i="15" s="1"/>
  <c r="D27" i="15" s="1"/>
  <c r="B4" i="15"/>
  <c r="G37" i="6"/>
  <c r="B33" i="6"/>
  <c r="G2" i="6"/>
  <c r="P16" i="6"/>
  <c r="O17" i="6" s="1"/>
  <c r="A18" i="2"/>
  <c r="J81" i="4"/>
  <c r="Q9" i="4" s="1"/>
  <c r="M77" i="4"/>
  <c r="O6" i="4"/>
  <c r="E33" i="6" l="1"/>
  <c r="K2" i="6"/>
  <c r="J16" i="6" s="1"/>
  <c r="D31" i="15"/>
  <c r="D35" i="15" s="1"/>
  <c r="A19" i="2"/>
  <c r="E7" i="15"/>
  <c r="E11" i="15" s="1"/>
  <c r="E15" i="15" s="1"/>
  <c r="E19" i="15" s="1"/>
  <c r="E23" i="15" s="1"/>
  <c r="E27" i="15" s="1"/>
  <c r="E31" i="15" s="1"/>
  <c r="E35" i="15" s="1"/>
  <c r="D10" i="6"/>
  <c r="S5" i="2"/>
  <c r="E7" i="4"/>
  <c r="E11" i="4" s="1"/>
  <c r="E15" i="4" s="1"/>
  <c r="E19" i="4" s="1"/>
  <c r="E23" i="4" s="1"/>
  <c r="E27" i="4" s="1"/>
  <c r="E31" i="4" s="1"/>
  <c r="J37" i="6"/>
  <c r="D15" i="4"/>
  <c r="V16" i="6"/>
  <c r="H16" i="6"/>
  <c r="J3" i="15"/>
  <c r="B23" i="4"/>
  <c r="M81" i="4"/>
  <c r="Q6" i="4" s="1"/>
  <c r="P6" i="4"/>
  <c r="A20" i="2" l="1"/>
  <c r="A21" i="2" s="1"/>
  <c r="C5" i="6"/>
  <c r="H2" i="6" s="1"/>
  <c r="D19" i="4"/>
  <c r="B27" i="4"/>
  <c r="H33" i="6"/>
  <c r="N2" i="6"/>
  <c r="K16" i="6" s="1"/>
  <c r="I16" i="6" l="1"/>
  <c r="K33" i="6"/>
  <c r="P2" i="6" s="1"/>
  <c r="O2" i="6"/>
  <c r="B31" i="4"/>
  <c r="D23" i="4"/>
  <c r="A22" i="2"/>
  <c r="A23" i="2" s="1"/>
  <c r="A24" i="2" s="1"/>
  <c r="C101" i="2" s="1"/>
  <c r="F11" i="15"/>
  <c r="E10" i="6"/>
  <c r="F11" i="4"/>
  <c r="T5" i="2"/>
  <c r="C103" i="2" l="1"/>
  <c r="C105" i="2"/>
  <c r="D27" i="4"/>
  <c r="F15" i="15"/>
  <c r="F19" i="15" s="1"/>
  <c r="F23" i="15" s="1"/>
  <c r="F27" i="15" s="1"/>
  <c r="F31" i="15" s="1"/>
  <c r="F35" i="15" s="1"/>
  <c r="A25" i="2"/>
  <c r="G11" i="15"/>
  <c r="G15" i="15" s="1"/>
  <c r="G19" i="15" s="1"/>
  <c r="G23" i="15" s="1"/>
  <c r="G27" i="15" s="1"/>
  <c r="G31" i="15" s="1"/>
  <c r="G35" i="15" s="1"/>
  <c r="F10" i="6"/>
  <c r="G11" i="4"/>
  <c r="G15" i="4" s="1"/>
  <c r="G19" i="4" s="1"/>
  <c r="G23" i="4" s="1"/>
  <c r="G27" i="4" s="1"/>
  <c r="G31" i="4" s="1"/>
  <c r="F15" i="4"/>
  <c r="F8" i="4"/>
  <c r="K2" i="4" s="1"/>
  <c r="K2" i="15" s="1"/>
  <c r="K3" i="15" s="1"/>
  <c r="L16" i="6"/>
  <c r="F19" i="4" l="1"/>
  <c r="F8" i="15"/>
  <c r="A26" i="2"/>
  <c r="A27" i="2" s="1"/>
  <c r="H11" i="15"/>
  <c r="H15" i="15" s="1"/>
  <c r="H19" i="15" s="1"/>
  <c r="H23" i="15" s="1"/>
  <c r="H27" i="15" s="1"/>
  <c r="H31" i="15" s="1"/>
  <c r="H35" i="15" s="1"/>
  <c r="G10" i="6"/>
  <c r="H11" i="4"/>
  <c r="D101" i="2"/>
  <c r="D31" i="4"/>
  <c r="D103" i="2" l="1"/>
  <c r="D105" i="2"/>
  <c r="A28" i="2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1" i="2" s="1"/>
  <c r="I11" i="15"/>
  <c r="I15" i="15" s="1"/>
  <c r="I19" i="15" s="1"/>
  <c r="I23" i="15" s="1"/>
  <c r="I27" i="15" s="1"/>
  <c r="I31" i="15" s="1"/>
  <c r="I35" i="15" s="1"/>
  <c r="H10" i="6"/>
  <c r="I11" i="4"/>
  <c r="I15" i="4" s="1"/>
  <c r="I19" i="4" s="1"/>
  <c r="I23" i="4" s="1"/>
  <c r="I27" i="4" s="1"/>
  <c r="I31" i="4" s="1"/>
  <c r="H15" i="4"/>
  <c r="L2" i="4"/>
  <c r="L2" i="15" s="1"/>
  <c r="L3" i="15" s="1"/>
  <c r="F23" i="4"/>
  <c r="A53" i="2" l="1"/>
  <c r="A56" i="2" s="1"/>
  <c r="A57" i="2" s="1"/>
  <c r="A58" i="2" s="1"/>
  <c r="A59" i="2" s="1"/>
  <c r="A60" i="2" s="1"/>
  <c r="E101" i="2"/>
  <c r="H19" i="4"/>
  <c r="M2" i="4"/>
  <c r="M2" i="15" s="1"/>
  <c r="M3" i="15" s="1"/>
  <c r="F27" i="4"/>
  <c r="C14" i="6"/>
  <c r="H3" i="6" s="1"/>
  <c r="B37" i="6"/>
  <c r="T5" i="10"/>
  <c r="P18" i="6"/>
  <c r="O19" i="6" s="1"/>
  <c r="G3" i="6"/>
  <c r="H17" i="6" l="1"/>
  <c r="I17" i="6"/>
  <c r="H23" i="4"/>
  <c r="N2" i="4"/>
  <c r="N2" i="15" s="1"/>
  <c r="N3" i="15" s="1"/>
  <c r="V18" i="6"/>
  <c r="E103" i="2"/>
  <c r="E105" i="2"/>
  <c r="E37" i="6"/>
  <c r="K3" i="6"/>
  <c r="J17" i="6" s="1"/>
  <c r="F31" i="4"/>
  <c r="A61" i="2"/>
  <c r="H27" i="4" l="1"/>
  <c r="A62" i="2"/>
  <c r="N23" i="15"/>
  <c r="B22" i="6"/>
  <c r="N23" i="4"/>
  <c r="H37" i="6"/>
  <c r="N3" i="6"/>
  <c r="K17" i="6" s="1"/>
  <c r="K37" i="6" l="1"/>
  <c r="P3" i="6" s="1"/>
  <c r="O3" i="6"/>
  <c r="N27" i="15"/>
  <c r="N31" i="15" s="1"/>
  <c r="N35" i="15" s="1"/>
  <c r="A63" i="2"/>
  <c r="N27" i="4"/>
  <c r="N31" i="4" s="1"/>
  <c r="S7" i="10"/>
  <c r="B29" i="6"/>
  <c r="A45" i="6"/>
  <c r="H31" i="4"/>
  <c r="L17" i="6" l="1"/>
  <c r="A64" i="2"/>
  <c r="D45" i="6"/>
  <c r="G45" i="6" l="1"/>
  <c r="A65" i="2"/>
  <c r="A66" i="2" s="1"/>
  <c r="A67" i="2" s="1"/>
  <c r="A68" i="2" s="1"/>
  <c r="A69" i="2" s="1"/>
  <c r="A70" i="2" s="1"/>
  <c r="A71" i="2" s="1"/>
  <c r="A72" i="2" s="1"/>
  <c r="A73" i="2" l="1"/>
  <c r="O27" i="15"/>
  <c r="C22" i="6"/>
  <c r="O27" i="4"/>
  <c r="J45" i="6"/>
  <c r="O31" i="4" l="1"/>
  <c r="O31" i="15"/>
  <c r="O35" i="15" s="1"/>
  <c r="O24" i="15"/>
  <c r="A74" i="2"/>
  <c r="A75" i="2" l="1"/>
  <c r="A76" i="2" s="1"/>
  <c r="A77" i="2" s="1"/>
  <c r="A78" i="2" s="1"/>
  <c r="A79" i="2" s="1"/>
  <c r="A80" i="2" l="1"/>
  <c r="A81" i="2" s="1"/>
  <c r="A82" i="2" s="1"/>
  <c r="A83" i="2" s="1"/>
  <c r="D22" i="6"/>
  <c r="P27" i="4"/>
  <c r="H101" i="2"/>
  <c r="H103" i="2" l="1"/>
  <c r="H105" i="2"/>
  <c r="M105" i="2" s="1"/>
  <c r="P31" i="4"/>
  <c r="O24" i="4"/>
  <c r="O2" i="4" s="1"/>
  <c r="O2" i="15" s="1"/>
  <c r="O3" i="15" s="1"/>
  <c r="P2" i="4"/>
  <c r="P2" i="15" s="1"/>
  <c r="Q2" i="15" s="1"/>
  <c r="R2" i="15" s="1"/>
  <c r="S2" i="15" s="1"/>
  <c r="B45" i="6"/>
  <c r="T7" i="10"/>
  <c r="C29" i="6"/>
  <c r="H5" i="6" s="1"/>
  <c r="P22" i="6"/>
  <c r="O23" i="6" s="1"/>
  <c r="G5" i="6"/>
  <c r="A84" i="2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I19" i="6" l="1"/>
  <c r="A95" i="2"/>
  <c r="U35" i="15"/>
  <c r="V22" i="6"/>
  <c r="V24" i="6" s="1"/>
  <c r="X16" i="6"/>
  <c r="H19" i="6"/>
  <c r="G7" i="6"/>
  <c r="E45" i="6"/>
  <c r="K5" i="6"/>
  <c r="J19" i="6" s="1"/>
  <c r="O103" i="2"/>
  <c r="H45" i="6" l="1"/>
  <c r="N5" i="6"/>
  <c r="K19" i="6" s="1"/>
  <c r="H22" i="6"/>
  <c r="Q29" i="6"/>
  <c r="H24" i="6"/>
  <c r="H23" i="6"/>
  <c r="H21" i="6"/>
  <c r="P29" i="6"/>
  <c r="A96" i="2"/>
  <c r="A97" i="2" s="1"/>
  <c r="A98" i="2" s="1"/>
  <c r="A99" i="2" s="1"/>
  <c r="V35" i="15"/>
  <c r="K101" i="2"/>
  <c r="K103" i="2" s="1"/>
  <c r="P103" i="2" s="1"/>
  <c r="J101" i="2"/>
  <c r="J103" i="2" s="1"/>
  <c r="J24" i="6"/>
  <c r="J21" i="6"/>
  <c r="J23" i="6"/>
  <c r="J22" i="6"/>
  <c r="R31" i="6"/>
  <c r="L7" i="6"/>
  <c r="I22" i="6"/>
  <c r="I21" i="6"/>
  <c r="Q30" i="6"/>
  <c r="I23" i="6"/>
  <c r="I24" i="6"/>
  <c r="R30" i="6"/>
  <c r="A100" i="2" l="1"/>
  <c r="Q28" i="15" s="1"/>
  <c r="P3" i="15" s="1"/>
  <c r="W35" i="15"/>
  <c r="K23" i="6"/>
  <c r="K24" i="6"/>
  <c r="K21" i="6"/>
  <c r="K22" i="6"/>
  <c r="S32" i="15"/>
  <c r="Q3" i="15" s="1"/>
  <c r="R29" i="6"/>
  <c r="K45" i="6"/>
  <c r="P5" i="6" s="1"/>
  <c r="O5" i="6"/>
  <c r="J7" i="6" l="1"/>
  <c r="K7" i="6"/>
  <c r="H7" i="6"/>
  <c r="L19" i="6"/>
  <c r="I7" i="6"/>
  <c r="X35" i="15"/>
  <c r="R3" i="15" s="1"/>
  <c r="S3" i="15" s="1"/>
  <c r="G101" i="2"/>
  <c r="I101" i="2"/>
  <c r="L101" i="2"/>
  <c r="L103" i="2" s="1"/>
  <c r="L24" i="6" l="1"/>
  <c r="L21" i="6"/>
  <c r="L22" i="6"/>
  <c r="L23" i="6"/>
  <c r="S29" i="6"/>
  <c r="S31" i="6"/>
  <c r="S30" i="6"/>
  <c r="S32" i="6"/>
  <c r="M101" i="2"/>
  <c r="M103" i="2" s="1"/>
</calcChain>
</file>

<file path=xl/comments1.xml><?xml version="1.0" encoding="utf-8"?>
<comments xmlns="http://schemas.openxmlformats.org/spreadsheetml/2006/main">
  <authors>
    <author>Amirreza</author>
  </authors>
  <commentList>
    <comment ref="S11" authorId="0" shapeId="0">
      <text>
        <r>
          <rPr>
            <b/>
            <sz val="9"/>
            <color indexed="81"/>
            <rFont val="Tahoma"/>
            <family val="2"/>
          </rPr>
          <t>Amirreza:</t>
        </r>
        <r>
          <rPr>
            <sz val="9"/>
            <color indexed="81"/>
            <rFont val="Tahoma"/>
            <family val="2"/>
          </rPr>
          <t xml:space="preserve">
Used SPRDS SPY S&amp;P 500 ETF Trust as a proxy</t>
        </r>
      </text>
    </comment>
  </commentList>
</comments>
</file>

<file path=xl/comments2.xml><?xml version="1.0" encoding="utf-8"?>
<comments xmlns="http://schemas.openxmlformats.org/spreadsheetml/2006/main">
  <authors>
    <author>Amirreza</author>
  </authors>
  <commentList>
    <comment ref="O16" authorId="0" shapeId="0">
      <text>
        <r>
          <rPr>
            <b/>
            <sz val="9"/>
            <color indexed="81"/>
            <rFont val="Tahoma"/>
            <family val="2"/>
          </rPr>
          <t>Amirreza:</t>
        </r>
        <r>
          <rPr>
            <sz val="9"/>
            <color indexed="81"/>
            <rFont val="Tahoma"/>
            <family val="2"/>
          </rPr>
          <t xml:space="preserve">
new values for quarters after Q2 2012 are not matching the previous ones we pulled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Amirreza:</t>
        </r>
        <r>
          <rPr>
            <sz val="9"/>
            <color indexed="81"/>
            <rFont val="Tahoma"/>
            <family val="2"/>
          </rPr>
          <t xml:space="preserve">
new values pulled on 7/13/2013 are not matching the ones previously pulled. These are the new values.</t>
        </r>
      </text>
    </comment>
  </commentList>
</comments>
</file>

<file path=xl/sharedStrings.xml><?xml version="1.0" encoding="utf-8"?>
<sst xmlns="http://schemas.openxmlformats.org/spreadsheetml/2006/main" count="595" uniqueCount="389">
  <si>
    <t>Deal Name</t>
  </si>
  <si>
    <t>Transaction Date</t>
  </si>
  <si>
    <t>Transaction Type</t>
  </si>
  <si>
    <t>Chuck Bush/</t>
  </si>
  <si>
    <t>GRC Role</t>
  </si>
  <si>
    <t>Transaction Amount ($MM)</t>
  </si>
  <si>
    <t>Estimated IRR</t>
  </si>
  <si>
    <t>Material Girls</t>
  </si>
  <si>
    <t>Breakeven</t>
  </si>
  <si>
    <t>Breakeven*</t>
  </si>
  <si>
    <t>&gt;35%</t>
  </si>
  <si>
    <t>&gt;200%</t>
  </si>
  <si>
    <t>N/A</t>
  </si>
  <si>
    <t>IRR</t>
  </si>
  <si>
    <t>Total</t>
  </si>
  <si>
    <t>S&amp;P 500 Total Return</t>
  </si>
  <si>
    <t>S&amp;P</t>
  </si>
  <si>
    <t>Lord of war</t>
  </si>
  <si>
    <t>Material girls</t>
  </si>
  <si>
    <t>Cinemax</t>
  </si>
  <si>
    <t>Kids</t>
  </si>
  <si>
    <t>HFRI FOF</t>
  </si>
  <si>
    <t>HFRI Same year</t>
  </si>
  <si>
    <t>HFRI Next Year</t>
  </si>
  <si>
    <t>S&amp;P Same Period</t>
  </si>
  <si>
    <t>S&amp;P Same year</t>
  </si>
  <si>
    <t>S&amp;P Next year</t>
  </si>
  <si>
    <t>HFRI FOF Same period</t>
  </si>
  <si>
    <t>Chuck</t>
  </si>
  <si>
    <t>Quarter</t>
  </si>
  <si>
    <t>Private Equity</t>
  </si>
  <si>
    <t>Buyout</t>
  </si>
  <si>
    <t>Venture</t>
  </si>
  <si>
    <t>31/03/2004 00:00:00</t>
  </si>
  <si>
    <t>30/06/2004 00:00:00</t>
  </si>
  <si>
    <t>30/09/2004 00:00:00</t>
  </si>
  <si>
    <t>31/12/2004 00:00:00</t>
  </si>
  <si>
    <t>31/03/2005 00:00:00</t>
  </si>
  <si>
    <t>30/06/2005 00:00:00</t>
  </si>
  <si>
    <t>30/09/2005 00:00:00</t>
  </si>
  <si>
    <t>31/12/2005 00:00:00</t>
  </si>
  <si>
    <t>31/03/2006 00:00:00</t>
  </si>
  <si>
    <t>30/06/2006 00:00:00</t>
  </si>
  <si>
    <t>30/09/2006 00:00:00</t>
  </si>
  <si>
    <t>31/12/2006 00:00:00</t>
  </si>
  <si>
    <t>31/03/2007 00:00:00</t>
  </si>
  <si>
    <t>30/06/2007 00:00:00</t>
  </si>
  <si>
    <t>30/09/2007 00:00:00</t>
  </si>
  <si>
    <t>31/12/2007 00:00:00</t>
  </si>
  <si>
    <t>31/03/2008 00:00:00</t>
  </si>
  <si>
    <t>30/06/2008 00:00:00</t>
  </si>
  <si>
    <t>30/09/2008 00:00:00</t>
  </si>
  <si>
    <t>31/12/2008 00:00:00</t>
  </si>
  <si>
    <t>31/03/2009 00:00:00</t>
  </si>
  <si>
    <t>30/06/2009 00:00:00</t>
  </si>
  <si>
    <t>30/09/2009 00:00:00</t>
  </si>
  <si>
    <t>31/12/2009 00:00:00</t>
  </si>
  <si>
    <t>31/03/2010 00:00:00</t>
  </si>
  <si>
    <t>30/06/2010 00:00:00</t>
  </si>
  <si>
    <t>30/09/2010 00:00:00</t>
  </si>
  <si>
    <t>31/12/2010 00:00:00</t>
  </si>
  <si>
    <t>31/03/2011 00:00:00</t>
  </si>
  <si>
    <t>30/06/2011 00:00:00</t>
  </si>
  <si>
    <t>30/09/2011 00:00:00</t>
  </si>
  <si>
    <t>31/12/2011 00:00:00</t>
  </si>
  <si>
    <t>HFRI ED</t>
  </si>
  <si>
    <t xml:space="preserve"> Private Issue/Regulation D Index</t>
  </si>
  <si>
    <t>HFRI Fund of Funds Composite Index</t>
  </si>
  <si>
    <t>Date</t>
  </si>
  <si>
    <t>01-1990</t>
  </si>
  <si>
    <t>02-1990</t>
  </si>
  <si>
    <t>03-1990</t>
  </si>
  <si>
    <t>04-1990</t>
  </si>
  <si>
    <t>05-1990</t>
  </si>
  <si>
    <t>06-1990</t>
  </si>
  <si>
    <t>07-1990</t>
  </si>
  <si>
    <t>08-1990</t>
  </si>
  <si>
    <t>09-1990</t>
  </si>
  <si>
    <t>10-1990</t>
  </si>
  <si>
    <t>11-1990</t>
  </si>
  <si>
    <t>12-1990</t>
  </si>
  <si>
    <t>01-1991</t>
  </si>
  <si>
    <t>02-1991</t>
  </si>
  <si>
    <t>03-1991</t>
  </si>
  <si>
    <t>04-1991</t>
  </si>
  <si>
    <t>05-1991</t>
  </si>
  <si>
    <t>06-1991</t>
  </si>
  <si>
    <t>07-1991</t>
  </si>
  <si>
    <t>08-1991</t>
  </si>
  <si>
    <t>09-1991</t>
  </si>
  <si>
    <t>10-1991</t>
  </si>
  <si>
    <t>11-1991</t>
  </si>
  <si>
    <t>12-1991</t>
  </si>
  <si>
    <t>01-1992</t>
  </si>
  <si>
    <t>02-1992</t>
  </si>
  <si>
    <t>03-1992</t>
  </si>
  <si>
    <t>04-1992</t>
  </si>
  <si>
    <t>05-1992</t>
  </si>
  <si>
    <t>06-1992</t>
  </si>
  <si>
    <t>07-1992</t>
  </si>
  <si>
    <t>08-1992</t>
  </si>
  <si>
    <t>09-1992</t>
  </si>
  <si>
    <t>10-1992</t>
  </si>
  <si>
    <t>11-1992</t>
  </si>
  <si>
    <t>12-1992</t>
  </si>
  <si>
    <t>01-1993</t>
  </si>
  <si>
    <t>02-1993</t>
  </si>
  <si>
    <t>03-1993</t>
  </si>
  <si>
    <t>04-1993</t>
  </si>
  <si>
    <t>05-1993</t>
  </si>
  <si>
    <t>06-1993</t>
  </si>
  <si>
    <t>07-1993</t>
  </si>
  <si>
    <t>08-1993</t>
  </si>
  <si>
    <t>09-1993</t>
  </si>
  <si>
    <t>10-1993</t>
  </si>
  <si>
    <t>11-1993</t>
  </si>
  <si>
    <t>12-1993</t>
  </si>
  <si>
    <t>01-1994</t>
  </si>
  <si>
    <t>02-1994</t>
  </si>
  <si>
    <t>03-1994</t>
  </si>
  <si>
    <t>04-1994</t>
  </si>
  <si>
    <t>05-1994</t>
  </si>
  <si>
    <t>06-1994</t>
  </si>
  <si>
    <t>07-1994</t>
  </si>
  <si>
    <t>08-1994</t>
  </si>
  <si>
    <t>09-1994</t>
  </si>
  <si>
    <t>10-1994</t>
  </si>
  <si>
    <t>11-1994</t>
  </si>
  <si>
    <t>12-1994</t>
  </si>
  <si>
    <t>01-1995</t>
  </si>
  <si>
    <t>02-1995</t>
  </si>
  <si>
    <t>03-1995</t>
  </si>
  <si>
    <t>04-1995</t>
  </si>
  <si>
    <t>05-1995</t>
  </si>
  <si>
    <t>06-1995</t>
  </si>
  <si>
    <t>07-1995</t>
  </si>
  <si>
    <t>08-1995</t>
  </si>
  <si>
    <t>09-1995</t>
  </si>
  <si>
    <t>10-1995</t>
  </si>
  <si>
    <t>11-1995</t>
  </si>
  <si>
    <t>12-1995</t>
  </si>
  <si>
    <t>01-1996</t>
  </si>
  <si>
    <t>02-1996</t>
  </si>
  <si>
    <t>03-1996</t>
  </si>
  <si>
    <t>04-1996</t>
  </si>
  <si>
    <t>05-1996</t>
  </si>
  <si>
    <t>06-1996</t>
  </si>
  <si>
    <t>07-1996</t>
  </si>
  <si>
    <t>08-1996</t>
  </si>
  <si>
    <t>09-1996</t>
  </si>
  <si>
    <t>10-1996</t>
  </si>
  <si>
    <t>11-1996</t>
  </si>
  <si>
    <t>12-1996</t>
  </si>
  <si>
    <t>01-1997</t>
  </si>
  <si>
    <t>02-1997</t>
  </si>
  <si>
    <t>03-1997</t>
  </si>
  <si>
    <t>04-1997</t>
  </si>
  <si>
    <t>05-1997</t>
  </si>
  <si>
    <t>06-1997</t>
  </si>
  <si>
    <t>07-1997</t>
  </si>
  <si>
    <t>08-1997</t>
  </si>
  <si>
    <t>09-1997</t>
  </si>
  <si>
    <t>10-1997</t>
  </si>
  <si>
    <t>11-1997</t>
  </si>
  <si>
    <t>12-1997</t>
  </si>
  <si>
    <t>01-1998</t>
  </si>
  <si>
    <t>02-1998</t>
  </si>
  <si>
    <t>03-1998</t>
  </si>
  <si>
    <t>04-1998</t>
  </si>
  <si>
    <t>05-1998</t>
  </si>
  <si>
    <t>06-1998</t>
  </si>
  <si>
    <t>07-1998</t>
  </si>
  <si>
    <t>08-1998</t>
  </si>
  <si>
    <t>09-1998</t>
  </si>
  <si>
    <t>10-1998</t>
  </si>
  <si>
    <t>11-1998</t>
  </si>
  <si>
    <t>12-1998</t>
  </si>
  <si>
    <t>01-1999</t>
  </si>
  <si>
    <t>02-1999</t>
  </si>
  <si>
    <t>03-1999</t>
  </si>
  <si>
    <t>04-1999</t>
  </si>
  <si>
    <t>05-1999</t>
  </si>
  <si>
    <t>06-1999</t>
  </si>
  <si>
    <t>07-1999</t>
  </si>
  <si>
    <t>08-1999</t>
  </si>
  <si>
    <t>09-1999</t>
  </si>
  <si>
    <t>10-1999</t>
  </si>
  <si>
    <t>11-1999</t>
  </si>
  <si>
    <t>12-1999</t>
  </si>
  <si>
    <t>01-2000</t>
  </si>
  <si>
    <t>02-2000</t>
  </si>
  <si>
    <t>03-2000</t>
  </si>
  <si>
    <t>04-2000</t>
  </si>
  <si>
    <t>05-2000</t>
  </si>
  <si>
    <t>06-2000</t>
  </si>
  <si>
    <t>07-2000</t>
  </si>
  <si>
    <t>08-2000</t>
  </si>
  <si>
    <t>09-2000</t>
  </si>
  <si>
    <t>10-2000</t>
  </si>
  <si>
    <t>11-2000</t>
  </si>
  <si>
    <t>12-2000</t>
  </si>
  <si>
    <t>01-2001</t>
  </si>
  <si>
    <t>02-2001</t>
  </si>
  <si>
    <t>03-2001</t>
  </si>
  <si>
    <t>04-2001</t>
  </si>
  <si>
    <t>05-2001</t>
  </si>
  <si>
    <t>06-2001</t>
  </si>
  <si>
    <t>07-2001</t>
  </si>
  <si>
    <t>08-2001</t>
  </si>
  <si>
    <t>09-2001</t>
  </si>
  <si>
    <t>10-2001</t>
  </si>
  <si>
    <t>11-2001</t>
  </si>
  <si>
    <t>12-2001</t>
  </si>
  <si>
    <t>01-2002</t>
  </si>
  <si>
    <t>02-2002</t>
  </si>
  <si>
    <t>03-2002</t>
  </si>
  <si>
    <t>04-2002</t>
  </si>
  <si>
    <t>05-2002</t>
  </si>
  <si>
    <t>06-2002</t>
  </si>
  <si>
    <t>07-2002</t>
  </si>
  <si>
    <t>08-2002</t>
  </si>
  <si>
    <t>09-2002</t>
  </si>
  <si>
    <t>10-2002</t>
  </si>
  <si>
    <t>11-2002</t>
  </si>
  <si>
    <t>12-2002</t>
  </si>
  <si>
    <t>01-2003</t>
  </si>
  <si>
    <t>02-2003</t>
  </si>
  <si>
    <t>03-2003</t>
  </si>
  <si>
    <t>04-2003</t>
  </si>
  <si>
    <t>05-2003</t>
  </si>
  <si>
    <t>06-2003</t>
  </si>
  <si>
    <t>07-2003</t>
  </si>
  <si>
    <t>08-2003</t>
  </si>
  <si>
    <t>09-2003</t>
  </si>
  <si>
    <t>10-2003</t>
  </si>
  <si>
    <t>11-2003</t>
  </si>
  <si>
    <t>12-2003</t>
  </si>
  <si>
    <t>01-2004</t>
  </si>
  <si>
    <t>02-2004</t>
  </si>
  <si>
    <t>03-2004</t>
  </si>
  <si>
    <t>04-2004</t>
  </si>
  <si>
    <t>05-2004</t>
  </si>
  <si>
    <t>06-2004</t>
  </si>
  <si>
    <t>07-2004</t>
  </si>
  <si>
    <t>08-2004</t>
  </si>
  <si>
    <t>09-2004</t>
  </si>
  <si>
    <t>10-2004</t>
  </si>
  <si>
    <t>11-2004</t>
  </si>
  <si>
    <t>12-2004</t>
  </si>
  <si>
    <t>01-2005</t>
  </si>
  <si>
    <t>02-2005</t>
  </si>
  <si>
    <t>03-2005</t>
  </si>
  <si>
    <t>04-2005</t>
  </si>
  <si>
    <t>05-2005</t>
  </si>
  <si>
    <t>06-2005</t>
  </si>
  <si>
    <t>07-2005</t>
  </si>
  <si>
    <t>08-2005</t>
  </si>
  <si>
    <t>09-2005</t>
  </si>
  <si>
    <t>10-2005</t>
  </si>
  <si>
    <t>11-2005</t>
  </si>
  <si>
    <t>12-2005</t>
  </si>
  <si>
    <t>01-2006</t>
  </si>
  <si>
    <t>02-2006</t>
  </si>
  <si>
    <t>03-2006</t>
  </si>
  <si>
    <t>04-2006</t>
  </si>
  <si>
    <t>05-2006</t>
  </si>
  <si>
    <t>06-2006</t>
  </si>
  <si>
    <t>07-2006</t>
  </si>
  <si>
    <t>08-2006</t>
  </si>
  <si>
    <t>09-2006</t>
  </si>
  <si>
    <t>10-2006</t>
  </si>
  <si>
    <t>11-2006</t>
  </si>
  <si>
    <t>12-2006</t>
  </si>
  <si>
    <t>01-2007</t>
  </si>
  <si>
    <t>02-2007</t>
  </si>
  <si>
    <t>03-2007</t>
  </si>
  <si>
    <t>04-2007</t>
  </si>
  <si>
    <t>05-2007</t>
  </si>
  <si>
    <t>06-2007</t>
  </si>
  <si>
    <t>07-2007</t>
  </si>
  <si>
    <t>08-2007</t>
  </si>
  <si>
    <t>09-2007</t>
  </si>
  <si>
    <t>10-2007</t>
  </si>
  <si>
    <t>11-2007</t>
  </si>
  <si>
    <t>12-2007</t>
  </si>
  <si>
    <t>01-2008</t>
  </si>
  <si>
    <t>02-2008</t>
  </si>
  <si>
    <t>03-2008</t>
  </si>
  <si>
    <t>04-2008</t>
  </si>
  <si>
    <t>05-2008</t>
  </si>
  <si>
    <t>06-2008</t>
  </si>
  <si>
    <t>07-2008</t>
  </si>
  <si>
    <t>08-2008</t>
  </si>
  <si>
    <t>09-2008</t>
  </si>
  <si>
    <t>10-2008</t>
  </si>
  <si>
    <t>11-2008</t>
  </si>
  <si>
    <t>12-2008</t>
  </si>
  <si>
    <t>01-2009</t>
  </si>
  <si>
    <t>02-2009</t>
  </si>
  <si>
    <t>03-2009</t>
  </si>
  <si>
    <t>04-2009</t>
  </si>
  <si>
    <t>05-2009</t>
  </si>
  <si>
    <t>06-2009</t>
  </si>
  <si>
    <t>07-2009</t>
  </si>
  <si>
    <t>08-2009</t>
  </si>
  <si>
    <t>09-2009</t>
  </si>
  <si>
    <t>10-2009</t>
  </si>
  <si>
    <t>11-2009</t>
  </si>
  <si>
    <t>12-2009</t>
  </si>
  <si>
    <t>01-2010</t>
  </si>
  <si>
    <t>02-2010</t>
  </si>
  <si>
    <t>03-2010</t>
  </si>
  <si>
    <t>04-2010</t>
  </si>
  <si>
    <t>05-2010</t>
  </si>
  <si>
    <t>06-2010</t>
  </si>
  <si>
    <t>07-2010</t>
  </si>
  <si>
    <t>08-2010</t>
  </si>
  <si>
    <t>09-2010</t>
  </si>
  <si>
    <t>10-2010</t>
  </si>
  <si>
    <t>11-2010</t>
  </si>
  <si>
    <t>12-2010</t>
  </si>
  <si>
    <t>01-2011</t>
  </si>
  <si>
    <t>02-2011</t>
  </si>
  <si>
    <t>03-2011</t>
  </si>
  <si>
    <t>04-2011</t>
  </si>
  <si>
    <t>05-2011</t>
  </si>
  <si>
    <t>06-2011</t>
  </si>
  <si>
    <t>07-2011</t>
  </si>
  <si>
    <t>08-2011</t>
  </si>
  <si>
    <t>09-2011</t>
  </si>
  <si>
    <t>10-2011</t>
  </si>
  <si>
    <t>11-2011</t>
  </si>
  <si>
    <t>12-2011</t>
  </si>
  <si>
    <t>01-2012</t>
  </si>
  <si>
    <t>02-2012</t>
  </si>
  <si>
    <t>03-2012</t>
  </si>
  <si>
    <t>04-2012</t>
  </si>
  <si>
    <t>05-2012</t>
  </si>
  <si>
    <t>06-2012</t>
  </si>
  <si>
    <t>07-2012</t>
  </si>
  <si>
    <t>08-2012</t>
  </si>
  <si>
    <t>Beg Date</t>
  </si>
  <si>
    <t>End Date</t>
  </si>
  <si>
    <t xml:space="preserve">Lord </t>
  </si>
  <si>
    <t>Material</t>
  </si>
  <si>
    <t>ED</t>
  </si>
  <si>
    <t>FOF</t>
  </si>
  <si>
    <t>PE</t>
  </si>
  <si>
    <t>HFRI Private Issue</t>
  </si>
  <si>
    <t>VC</t>
  </si>
  <si>
    <t>Average</t>
  </si>
  <si>
    <t>STD</t>
  </si>
  <si>
    <t>Kurtosis</t>
  </si>
  <si>
    <t>Skewness</t>
  </si>
  <si>
    <t>HFRI Reg D</t>
  </si>
  <si>
    <t>Reg D</t>
  </si>
  <si>
    <t>S&amp;P 500</t>
  </si>
  <si>
    <t>GRC</t>
  </si>
  <si>
    <t>Average Annualized Return of the four projects</t>
  </si>
  <si>
    <t>Sort</t>
  </si>
  <si>
    <t>Volume</t>
  </si>
  <si>
    <t>Close Price</t>
  </si>
  <si>
    <t>1 Month Capital Return</t>
  </si>
  <si>
    <t>12 Month Capital Return</t>
  </si>
  <si>
    <t>Close Value w/ Dividends</t>
  </si>
  <si>
    <t>1 Month Total Return</t>
  </si>
  <si>
    <t>12 Month Total Return</t>
  </si>
  <si>
    <t>-</t>
  </si>
  <si>
    <t>HFRI Private Issue/Reg D Index</t>
  </si>
  <si>
    <t>Preqin Venture Capital Benchmark</t>
  </si>
  <si>
    <t>Scrapped</t>
  </si>
  <si>
    <t>Time Series</t>
  </si>
  <si>
    <t>Correlation Table</t>
  </si>
  <si>
    <t>GRC (*)</t>
  </si>
  <si>
    <t>31/03/2012 00:00:00</t>
  </si>
  <si>
    <t>30/06/2012 00:00:00</t>
  </si>
  <si>
    <t xml:space="preserve"> 09-2012</t>
  </si>
  <si>
    <t xml:space="preserve"> 10-2012</t>
  </si>
  <si>
    <t xml:space="preserve"> 11-2012</t>
  </si>
  <si>
    <t xml:space="preserve"> 12-2012</t>
  </si>
  <si>
    <t xml:space="preserve"> 01-2013</t>
  </si>
  <si>
    <t xml:space="preserve"> 02-2013</t>
  </si>
  <si>
    <t xml:space="preserve"> 03-2013</t>
  </si>
  <si>
    <t xml:space="preserve"> 04-2013</t>
  </si>
  <si>
    <t xml:space="preserve"> 05-2013</t>
  </si>
  <si>
    <t xml:space="preserve"> 06-2013</t>
  </si>
  <si>
    <t>31/12/2012</t>
  </si>
  <si>
    <t>30/09/2012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</si>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</sst>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%"/>
    <numFmt numFmtId="167" formatCode="mm/yyyy"/>
    <numFmt numFmtId="168" formatCode="[$-409]mmmm\ yyyy;@"/>
  </numFmts>
  <fonts count="16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8"/>
      <color rgb="FFFFFFFF"/>
      <name val="Arial"/>
      <family val="2"/>
    </font>
    <font>
      <sz val="8"/>
      <color rgb="FF000000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5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066AFF"/>
        <bgColor indexed="64"/>
      </patternFill>
    </fill>
    <fill>
      <patternFill patternType="solid">
        <fgColor rgb="FFCCD4FF"/>
        <bgColor indexed="64"/>
      </patternFill>
    </fill>
    <fill>
      <patternFill patternType="solid">
        <fgColor rgb="FFE7EB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  <fill>
      <patternFill patternType="lightGray"/>
    </fill>
    <fill>
      <patternFill patternType="lightGray">
        <bgColor rgb="FFFFFF00"/>
      </patternFill>
    </fill>
  </fills>
  <borders count="2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1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7" fillId="6" borderId="0" applyNumberFormat="0" applyBorder="0" applyAlignment="0" applyProtection="0"/>
    <xf numFmtId="0" fontId="8" fillId="7" borderId="0" applyNumberFormat="0" applyBorder="0" applyAlignment="0" applyProtection="0"/>
    <xf numFmtId="0" fontId="9" fillId="8" borderId="0" applyNumberFormat="0" applyBorder="0" applyAlignment="0" applyProtection="0"/>
    <xf numFmtId="0" fontId="10" fillId="9" borderId="10" applyNumberFormat="0" applyAlignment="0" applyProtection="0"/>
    <xf numFmtId="0" fontId="11" fillId="10" borderId="0" applyNumberFormat="0" applyBorder="0" applyAlignment="0" applyProtection="0"/>
    <xf numFmtId="0" fontId="1" fillId="11" borderId="0" applyNumberFormat="0" applyBorder="0" applyAlignment="0" applyProtection="0"/>
    <xf numFmtId="0" fontId="11" fillId="12" borderId="0" applyNumberFormat="0" applyBorder="0" applyAlignment="0" applyProtection="0"/>
  </cellStyleXfs>
  <cellXfs count="149">
    <xf numFmtId="0" fontId="0" fillId="0" borderId="0" xfId="0"/>
    <xf numFmtId="0" fontId="3" fillId="2" borderId="1" xfId="0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left" vertical="center" wrapText="1" readingOrder="1"/>
    </xf>
    <xf numFmtId="17" fontId="0" fillId="0" borderId="0" xfId="0" applyNumberFormat="1"/>
    <xf numFmtId="17" fontId="4" fillId="3" borderId="3" xfId="0" applyNumberFormat="1" applyFont="1" applyFill="1" applyBorder="1" applyAlignment="1">
      <alignment horizontal="left" vertical="center" wrapText="1" readingOrder="1"/>
    </xf>
    <xf numFmtId="0" fontId="4" fillId="3" borderId="3" xfId="0" applyFont="1" applyFill="1" applyBorder="1" applyAlignment="1">
      <alignment horizontal="left" vertical="center" wrapText="1" readingOrder="1"/>
    </xf>
    <xf numFmtId="0" fontId="4" fillId="3" borderId="3" xfId="0" applyFont="1" applyFill="1" applyBorder="1" applyAlignment="1">
      <alignment horizontal="right" vertical="center" wrapText="1" readingOrder="1"/>
    </xf>
    <xf numFmtId="9" fontId="4" fillId="3" borderId="3" xfId="0" applyNumberFormat="1" applyFont="1" applyFill="1" applyBorder="1" applyAlignment="1">
      <alignment horizontal="right" vertical="center" wrapText="1" readingOrder="1"/>
    </xf>
    <xf numFmtId="0" fontId="3" fillId="2" borderId="4" xfId="0" applyFont="1" applyFill="1" applyBorder="1" applyAlignment="1">
      <alignment horizontal="left" vertical="center" wrapText="1" readingOrder="1"/>
    </xf>
    <xf numFmtId="17" fontId="4" fillId="4" borderId="4" xfId="0" applyNumberFormat="1" applyFont="1" applyFill="1" applyBorder="1" applyAlignment="1">
      <alignment horizontal="left" vertical="center" wrapText="1" readingOrder="1"/>
    </xf>
    <xf numFmtId="0" fontId="4" fillId="4" borderId="4" xfId="0" applyFont="1" applyFill="1" applyBorder="1" applyAlignment="1">
      <alignment horizontal="left" vertical="center" wrapText="1" readingOrder="1"/>
    </xf>
    <xf numFmtId="0" fontId="4" fillId="4" borderId="4" xfId="0" applyFont="1" applyFill="1" applyBorder="1" applyAlignment="1">
      <alignment horizontal="right" vertical="center" wrapText="1" readingOrder="1"/>
    </xf>
    <xf numFmtId="10" fontId="4" fillId="4" borderId="4" xfId="0" applyNumberFormat="1" applyFont="1" applyFill="1" applyBorder="1" applyAlignment="1">
      <alignment horizontal="right" vertical="center" wrapText="1" readingOrder="1"/>
    </xf>
    <xf numFmtId="17" fontId="4" fillId="3" borderId="4" xfId="0" applyNumberFormat="1" applyFont="1" applyFill="1" applyBorder="1" applyAlignment="1">
      <alignment horizontal="left" vertical="center" wrapText="1" readingOrder="1"/>
    </xf>
    <xf numFmtId="0" fontId="4" fillId="3" borderId="4" xfId="0" applyFont="1" applyFill="1" applyBorder="1" applyAlignment="1">
      <alignment horizontal="left" vertical="center" wrapText="1" readingOrder="1"/>
    </xf>
    <xf numFmtId="0" fontId="4" fillId="3" borderId="4" xfId="0" applyFont="1" applyFill="1" applyBorder="1" applyAlignment="1">
      <alignment horizontal="right" vertical="center" wrapText="1" readingOrder="1"/>
    </xf>
    <xf numFmtId="9" fontId="4" fillId="4" borderId="4" xfId="0" applyNumberFormat="1" applyFont="1" applyFill="1" applyBorder="1" applyAlignment="1">
      <alignment horizontal="right" vertical="center" wrapText="1" readingOrder="1"/>
    </xf>
    <xf numFmtId="9" fontId="4" fillId="3" borderId="4" xfId="0" applyNumberFormat="1" applyFont="1" applyFill="1" applyBorder="1" applyAlignment="1">
      <alignment horizontal="right" vertical="center" wrapText="1" readingOrder="1"/>
    </xf>
    <xf numFmtId="15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 wrapText="1"/>
    </xf>
    <xf numFmtId="165" fontId="0" fillId="0" borderId="0" xfId="1" applyNumberFormat="1" applyFont="1"/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165" fontId="0" fillId="0" borderId="6" xfId="1" applyNumberFormat="1" applyFont="1" applyBorder="1" applyAlignment="1">
      <alignment horizontal="right" vertical="center" wrapText="1"/>
    </xf>
    <xf numFmtId="9" fontId="0" fillId="0" borderId="6" xfId="0" applyNumberFormat="1" applyBorder="1" applyAlignment="1">
      <alignment horizontal="right" vertical="center" wrapText="1"/>
    </xf>
    <xf numFmtId="165" fontId="0" fillId="0" borderId="0" xfId="0" applyNumberFormat="1"/>
    <xf numFmtId="166" fontId="0" fillId="0" borderId="0" xfId="2" applyNumberFormat="1" applyFont="1"/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165" fontId="0" fillId="0" borderId="8" xfId="1" applyNumberFormat="1" applyFont="1" applyBorder="1" applyAlignment="1">
      <alignment horizontal="right" vertical="center" wrapText="1"/>
    </xf>
    <xf numFmtId="10" fontId="0" fillId="0" borderId="8" xfId="0" applyNumberFormat="1" applyBorder="1" applyAlignment="1">
      <alignment horizontal="right" vertical="center" wrapText="1"/>
    </xf>
    <xf numFmtId="0" fontId="0" fillId="0" borderId="8" xfId="0" applyBorder="1" applyAlignment="1">
      <alignment horizontal="right" vertical="center" wrapText="1"/>
    </xf>
    <xf numFmtId="14" fontId="0" fillId="0" borderId="0" xfId="0" applyNumberFormat="1"/>
    <xf numFmtId="17" fontId="0" fillId="0" borderId="8" xfId="0" applyNumberFormat="1" applyBorder="1" applyAlignment="1">
      <alignment vertical="center" wrapText="1"/>
    </xf>
    <xf numFmtId="9" fontId="0" fillId="0" borderId="8" xfId="0" applyNumberFormat="1" applyBorder="1" applyAlignment="1">
      <alignment horizontal="right" vertical="center" wrapText="1"/>
    </xf>
    <xf numFmtId="9" fontId="0" fillId="0" borderId="0" xfId="2" applyFont="1"/>
    <xf numFmtId="15" fontId="0" fillId="5" borderId="0" xfId="0" applyNumberFormat="1" applyFill="1"/>
    <xf numFmtId="164" fontId="0" fillId="0" borderId="0" xfId="0" applyNumberFormat="1"/>
    <xf numFmtId="166" fontId="0" fillId="0" borderId="0" xfId="2" applyNumberFormat="1" applyFont="1" applyAlignment="1">
      <alignment horizontal="right"/>
    </xf>
    <xf numFmtId="44" fontId="0" fillId="0" borderId="0" xfId="3" applyFont="1"/>
    <xf numFmtId="43" fontId="0" fillId="0" borderId="0" xfId="0" applyNumberFormat="1"/>
    <xf numFmtId="9" fontId="0" fillId="0" borderId="0" xfId="0" applyNumberFormat="1"/>
    <xf numFmtId="0" fontId="5" fillId="0" borderId="0" xfId="0" applyFont="1"/>
    <xf numFmtId="44" fontId="0" fillId="0" borderId="0" xfId="0" applyNumberFormat="1"/>
    <xf numFmtId="10" fontId="0" fillId="0" borderId="0" xfId="2" applyNumberFormat="1" applyFont="1"/>
    <xf numFmtId="166" fontId="0" fillId="0" borderId="0" xfId="0" applyNumberFormat="1"/>
    <xf numFmtId="10" fontId="0" fillId="0" borderId="0" xfId="0" applyNumberFormat="1"/>
    <xf numFmtId="9" fontId="0" fillId="0" borderId="0" xfId="2" applyFont="1" applyFill="1"/>
    <xf numFmtId="0" fontId="6" fillId="0" borderId="9" xfId="0" applyFont="1" applyBorder="1" applyAlignment="1">
      <alignment wrapText="1"/>
    </xf>
    <xf numFmtId="0" fontId="0" fillId="0" borderId="9" xfId="0" applyBorder="1" applyAlignment="1">
      <alignment wrapText="1"/>
    </xf>
    <xf numFmtId="2" fontId="0" fillId="0" borderId="0" xfId="2" applyNumberFormat="1" applyFont="1"/>
    <xf numFmtId="2" fontId="0" fillId="0" borderId="0" xfId="0" applyNumberFormat="1"/>
    <xf numFmtId="0" fontId="0" fillId="0" borderId="12" xfId="0" applyBorder="1"/>
    <xf numFmtId="0" fontId="0" fillId="0" borderId="13" xfId="0" applyBorder="1"/>
    <xf numFmtId="0" fontId="0" fillId="0" borderId="16" xfId="0" applyBorder="1"/>
    <xf numFmtId="0" fontId="7" fillId="6" borderId="11" xfId="4" applyBorder="1"/>
    <xf numFmtId="0" fontId="9" fillId="8" borderId="0" xfId="6"/>
    <xf numFmtId="0" fontId="7" fillId="6" borderId="0" xfId="4"/>
    <xf numFmtId="15" fontId="7" fillId="6" borderId="0" xfId="4" applyNumberFormat="1"/>
    <xf numFmtId="44" fontId="7" fillId="6" borderId="0" xfId="4" applyNumberFormat="1"/>
    <xf numFmtId="0" fontId="10" fillId="9" borderId="10" xfId="7"/>
    <xf numFmtId="15" fontId="10" fillId="9" borderId="10" xfId="7" applyNumberFormat="1"/>
    <xf numFmtId="44" fontId="10" fillId="9" borderId="10" xfId="7" applyNumberFormat="1"/>
    <xf numFmtId="0" fontId="7" fillId="6" borderId="12" xfId="4" applyBorder="1"/>
    <xf numFmtId="0" fontId="7" fillId="6" borderId="13" xfId="4" applyBorder="1"/>
    <xf numFmtId="0" fontId="7" fillId="6" borderId="14" xfId="4" applyBorder="1"/>
    <xf numFmtId="15" fontId="7" fillId="6" borderId="0" xfId="4" applyNumberFormat="1" applyBorder="1"/>
    <xf numFmtId="15" fontId="7" fillId="6" borderId="15" xfId="4" applyNumberFormat="1" applyBorder="1"/>
    <xf numFmtId="0" fontId="7" fillId="6" borderId="16" xfId="4" applyBorder="1"/>
    <xf numFmtId="44" fontId="7" fillId="6" borderId="17" xfId="4" applyNumberFormat="1" applyBorder="1"/>
    <xf numFmtId="44" fontId="7" fillId="6" borderId="8" xfId="4" applyNumberFormat="1" applyBorder="1"/>
    <xf numFmtId="0" fontId="8" fillId="7" borderId="0" xfId="5"/>
    <xf numFmtId="9" fontId="10" fillId="9" borderId="10" xfId="7" applyNumberFormat="1"/>
    <xf numFmtId="0" fontId="1" fillId="11" borderId="11" xfId="9" applyBorder="1"/>
    <xf numFmtId="0" fontId="0" fillId="0" borderId="0" xfId="0" applyBorder="1"/>
    <xf numFmtId="44" fontId="0" fillId="0" borderId="0" xfId="0" applyNumberFormat="1" applyBorder="1"/>
    <xf numFmtId="9" fontId="0" fillId="0" borderId="0" xfId="2" applyFont="1" applyBorder="1"/>
    <xf numFmtId="10" fontId="0" fillId="0" borderId="15" xfId="0" applyNumberFormat="1" applyBorder="1"/>
    <xf numFmtId="9" fontId="7" fillId="6" borderId="14" xfId="4" applyNumberFormat="1" applyBorder="1"/>
    <xf numFmtId="0" fontId="0" fillId="0" borderId="15" xfId="0" applyBorder="1"/>
    <xf numFmtId="9" fontId="0" fillId="0" borderId="14" xfId="2" applyFont="1" applyBorder="1"/>
    <xf numFmtId="9" fontId="7" fillId="6" borderId="14" xfId="2" applyFont="1" applyFill="1" applyBorder="1"/>
    <xf numFmtId="0" fontId="0" fillId="0" borderId="17" xfId="0" applyBorder="1"/>
    <xf numFmtId="10" fontId="0" fillId="0" borderId="17" xfId="0" applyNumberFormat="1" applyBorder="1"/>
    <xf numFmtId="0" fontId="0" fillId="0" borderId="8" xfId="0" applyBorder="1"/>
    <xf numFmtId="0" fontId="6" fillId="0" borderId="0" xfId="0" applyFont="1" applyAlignment="1">
      <alignment horizontal="right"/>
    </xf>
    <xf numFmtId="49" fontId="6" fillId="0" borderId="18" xfId="0" applyNumberFormat="1" applyFont="1" applyBorder="1" applyAlignment="1">
      <alignment horizontal="right" wrapText="1"/>
    </xf>
    <xf numFmtId="3" fontId="6" fillId="0" borderId="18" xfId="0" applyNumberFormat="1" applyFont="1" applyBorder="1" applyAlignment="1">
      <alignment horizontal="right" wrapText="1"/>
    </xf>
    <xf numFmtId="4" fontId="6" fillId="0" borderId="18" xfId="0" applyNumberFormat="1" applyFont="1" applyFill="1" applyBorder="1" applyAlignment="1">
      <alignment horizontal="right" wrapText="1"/>
    </xf>
    <xf numFmtId="10" fontId="6" fillId="0" borderId="18" xfId="0" applyNumberFormat="1" applyFont="1" applyFill="1" applyBorder="1" applyAlignment="1">
      <alignment horizontal="right" wrapText="1"/>
    </xf>
    <xf numFmtId="10" fontId="6" fillId="13" borderId="19" xfId="0" applyNumberFormat="1" applyFont="1" applyFill="1" applyBorder="1" applyAlignment="1">
      <alignment horizontal="right" wrapText="1"/>
    </xf>
    <xf numFmtId="4" fontId="6" fillId="0" borderId="20" xfId="0" applyNumberFormat="1" applyFont="1" applyFill="1" applyBorder="1" applyAlignment="1">
      <alignment horizontal="right" wrapText="1"/>
    </xf>
    <xf numFmtId="49" fontId="6" fillId="0" borderId="18" xfId="0" applyNumberFormat="1" applyFont="1" applyFill="1" applyBorder="1" applyAlignment="1">
      <alignment horizontal="right" wrapText="1"/>
    </xf>
    <xf numFmtId="49" fontId="6" fillId="0" borderId="21" xfId="0" applyNumberFormat="1" applyFont="1" applyFill="1" applyBorder="1" applyAlignment="1">
      <alignment horizontal="right" wrapText="1"/>
    </xf>
    <xf numFmtId="167" fontId="0" fillId="0" borderId="22" xfId="0" applyNumberFormat="1" applyBorder="1" applyAlignment="1"/>
    <xf numFmtId="3" fontId="0" fillId="0" borderId="22" xfId="0" applyNumberFormat="1" applyBorder="1" applyAlignment="1"/>
    <xf numFmtId="4" fontId="0" fillId="0" borderId="22" xfId="0" applyNumberFormat="1" applyFill="1" applyBorder="1" applyAlignment="1"/>
    <xf numFmtId="10" fontId="0" fillId="0" borderId="22" xfId="0" applyNumberFormat="1" applyFill="1" applyBorder="1" applyAlignment="1"/>
    <xf numFmtId="10" fontId="0" fillId="0" borderId="22" xfId="0" applyNumberFormat="1" applyFill="1" applyBorder="1" applyAlignment="1">
      <alignment horizontal="center"/>
    </xf>
    <xf numFmtId="10" fontId="0" fillId="13" borderId="22" xfId="0" applyNumberFormat="1" applyFill="1" applyBorder="1" applyAlignment="1"/>
    <xf numFmtId="167" fontId="0" fillId="5" borderId="22" xfId="0" applyNumberFormat="1" applyFill="1" applyBorder="1" applyAlignment="1"/>
    <xf numFmtId="3" fontId="0" fillId="5" borderId="22" xfId="0" applyNumberFormat="1" applyFill="1" applyBorder="1" applyAlignment="1"/>
    <xf numFmtId="4" fontId="0" fillId="5" borderId="22" xfId="0" applyNumberFormat="1" applyFill="1" applyBorder="1" applyAlignment="1"/>
    <xf numFmtId="10" fontId="0" fillId="5" borderId="22" xfId="0" applyNumberFormat="1" applyFill="1" applyBorder="1" applyAlignment="1"/>
    <xf numFmtId="10" fontId="0" fillId="5" borderId="22" xfId="0" applyNumberFormat="1" applyFill="1" applyBorder="1" applyAlignment="1">
      <alignment horizontal="center"/>
    </xf>
    <xf numFmtId="10" fontId="0" fillId="14" borderId="22" xfId="0" applyNumberFormat="1" applyFill="1" applyBorder="1" applyAlignment="1"/>
    <xf numFmtId="4" fontId="0" fillId="5" borderId="22" xfId="0" applyNumberFormat="1" applyFill="1" applyBorder="1"/>
    <xf numFmtId="4" fontId="0" fillId="0" borderId="22" xfId="0" applyNumberFormat="1" applyBorder="1"/>
    <xf numFmtId="10" fontId="0" fillId="0" borderId="22" xfId="0" applyNumberFormat="1" applyBorder="1"/>
    <xf numFmtId="10" fontId="0" fillId="5" borderId="22" xfId="0" applyNumberFormat="1" applyFill="1" applyBorder="1"/>
    <xf numFmtId="4" fontId="0" fillId="0" borderId="22" xfId="0" applyNumberFormat="1" applyFill="1" applyBorder="1" applyAlignment="1">
      <alignment horizontal="right"/>
    </xf>
    <xf numFmtId="4" fontId="0" fillId="5" borderId="22" xfId="0" applyNumberFormat="1" applyFill="1" applyBorder="1" applyAlignment="1">
      <alignment horizontal="right"/>
    </xf>
    <xf numFmtId="3" fontId="0" fillId="0" borderId="22" xfId="0" applyNumberFormat="1" applyBorder="1"/>
    <xf numFmtId="10" fontId="0" fillId="13" borderId="22" xfId="0" applyNumberFormat="1" applyFill="1" applyBorder="1"/>
    <xf numFmtId="3" fontId="0" fillId="5" borderId="22" xfId="0" applyNumberFormat="1" applyFill="1" applyBorder="1"/>
    <xf numFmtId="10" fontId="0" fillId="14" borderId="22" xfId="0" applyNumberFormat="1" applyFill="1" applyBorder="1"/>
    <xf numFmtId="167" fontId="0" fillId="0" borderId="22" xfId="0" applyNumberFormat="1" applyFill="1" applyBorder="1" applyAlignment="1"/>
    <xf numFmtId="3" fontId="0" fillId="0" borderId="22" xfId="1" applyNumberFormat="1" applyFont="1" applyFill="1" applyBorder="1"/>
    <xf numFmtId="4" fontId="12" fillId="0" borderId="22" xfId="0" applyNumberFormat="1" applyFont="1" applyFill="1" applyBorder="1" applyAlignment="1">
      <alignment horizontal="right"/>
    </xf>
    <xf numFmtId="10" fontId="0" fillId="0" borderId="22" xfId="0" applyNumberFormat="1" applyFill="1" applyBorder="1"/>
    <xf numFmtId="3" fontId="0" fillId="0" borderId="22" xfId="1" applyNumberFormat="1" applyFont="1" applyBorder="1"/>
    <xf numFmtId="4" fontId="12" fillId="0" borderId="22" xfId="0" applyNumberFormat="1" applyFont="1" applyBorder="1" applyAlignment="1">
      <alignment horizontal="right"/>
    </xf>
    <xf numFmtId="10" fontId="12" fillId="0" borderId="22" xfId="0" applyNumberFormat="1" applyFont="1" applyBorder="1" applyAlignment="1">
      <alignment horizontal="right"/>
    </xf>
    <xf numFmtId="3" fontId="0" fillId="5" borderId="22" xfId="1" applyNumberFormat="1" applyFont="1" applyFill="1" applyBorder="1"/>
    <xf numFmtId="4" fontId="0" fillId="0" borderId="22" xfId="0" applyNumberFormat="1" applyFill="1" applyBorder="1"/>
    <xf numFmtId="10" fontId="0" fillId="13" borderId="0" xfId="0" applyNumberFormat="1" applyFill="1" applyBorder="1"/>
    <xf numFmtId="10" fontId="0" fillId="14" borderId="0" xfId="0" applyNumberFormat="1" applyFill="1" applyBorder="1"/>
    <xf numFmtId="10" fontId="10" fillId="9" borderId="10" xfId="7" applyNumberFormat="1"/>
    <xf numFmtId="0" fontId="11" fillId="10" borderId="0" xfId="8"/>
    <xf numFmtId="168" fontId="11" fillId="10" borderId="0" xfId="8" applyNumberFormat="1"/>
    <xf numFmtId="9" fontId="11" fillId="10" borderId="0" xfId="8" applyNumberFormat="1"/>
    <xf numFmtId="10" fontId="11" fillId="10" borderId="0" xfId="8" applyNumberFormat="1"/>
    <xf numFmtId="14" fontId="11" fillId="10" borderId="0" xfId="8" applyNumberFormat="1"/>
    <xf numFmtId="0" fontId="13" fillId="0" borderId="0" xfId="0" applyFont="1"/>
    <xf numFmtId="0" fontId="11" fillId="12" borderId="0" xfId="10"/>
    <xf numFmtId="2" fontId="11" fillId="12" borderId="0" xfId="10" applyNumberFormat="1"/>
    <xf numFmtId="2" fontId="11" fillId="10" borderId="0" xfId="8" applyNumberFormat="1"/>
    <xf numFmtId="44" fontId="7" fillId="0" borderId="0" xfId="4" applyNumberFormat="1" applyFill="1"/>
    <xf numFmtId="0" fontId="0" fillId="0" borderId="0" xfId="0" applyFill="1"/>
    <xf numFmtId="10" fontId="11" fillId="10" borderId="0" xfId="2" applyNumberFormat="1" applyFont="1" applyFill="1"/>
    <xf numFmtId="0" fontId="0" fillId="0" borderId="23" xfId="0" applyFill="1" applyBorder="1" applyAlignment="1">
      <alignment wrapText="1"/>
    </xf>
    <xf numFmtId="0" fontId="0" fillId="5" borderId="23" xfId="0" applyFill="1" applyBorder="1" applyAlignment="1">
      <alignment wrapText="1"/>
    </xf>
    <xf numFmtId="0" fontId="0" fillId="5" borderId="24" xfId="0" applyFill="1" applyBorder="1" applyAlignment="1">
      <alignment wrapText="1"/>
    </xf>
    <xf numFmtId="0" fontId="3" fillId="2" borderId="1" xfId="0" applyFont="1" applyFill="1" applyBorder="1" applyAlignment="1">
      <alignment horizontal="left" vertical="center" wrapText="1" readingOrder="1"/>
    </xf>
    <xf numFmtId="0" fontId="3" fillId="2" borderId="2" xfId="0" applyFont="1" applyFill="1" applyBorder="1" applyAlignment="1">
      <alignment horizontal="left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</cellXfs>
  <cellStyles count="11">
    <cellStyle name="40% - Accent1" xfId="9" builtinId="31"/>
    <cellStyle name="Accent1" xfId="8" builtinId="29"/>
    <cellStyle name="Accent5" xfId="10" builtinId="45"/>
    <cellStyle name="Bad" xfId="5" builtinId="27"/>
    <cellStyle name="Comma" xfId="1" builtinId="3"/>
    <cellStyle name="Currency" xfId="3" builtinId="4"/>
    <cellStyle name="Good" xfId="4" builtinId="26"/>
    <cellStyle name="Input" xfId="7" builtinId="20"/>
    <cellStyle name="Neutral" xfId="6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9.xml"/><Relationship Id="rId17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8.xml"/><Relationship Id="rId5" Type="http://schemas.openxmlformats.org/officeDocument/2006/relationships/worksheet" Target="worksheets/sheet2.xml"/><Relationship Id="rId15" Type="http://schemas.openxmlformats.org/officeDocument/2006/relationships/styles" Target="styles.xml"/><Relationship Id="rId10" Type="http://schemas.openxmlformats.org/officeDocument/2006/relationships/worksheet" Target="worksheets/sheet7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6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'IRR by year'!$H$15</c:f>
              <c:strCache>
                <c:ptCount val="1"/>
                <c:pt idx="0">
                  <c:v>GRC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'IRR by year'!$G$16:$G$19</c:f>
              <c:strCache>
                <c:ptCount val="4"/>
                <c:pt idx="0">
                  <c:v>X</c:v>
                </c:pt>
                <c:pt idx="1">
                  <c:v>X</c:v>
                </c:pt>
                <c:pt idx="2">
                  <c:v>X</c:v>
                </c:pt>
                <c:pt idx="3">
                  <c:v>X</c:v>
                </c:pt>
              </c:strCache>
            </c:strRef>
          </c:cat>
          <c:val>
            <c:numRef>
              <c:f>'IRR by year'!$H$16:$H$19</c:f>
              <c:numCache>
                <c:formatCode>0%</c:formatCode>
                <c:ptCount val="4"/>
                <c:pt idx="0">
                  <c:v>9.3757364153862002E-2</c:v>
                </c:pt>
                <c:pt idx="1">
                  <c:v>0.14170669913291931</c:v>
                </c:pt>
                <c:pt idx="2">
                  <c:v>3.5608174085617068</c:v>
                </c:pt>
                <c:pt idx="3">
                  <c:v>0.46886292099952698</c:v>
                </c:pt>
              </c:numCache>
            </c:numRef>
          </c:val>
        </c:ser>
        <c:ser>
          <c:idx val="1"/>
          <c:order val="1"/>
          <c:tx>
            <c:strRef>
              <c:f>'IRR by year'!$I$15</c:f>
              <c:strCache>
                <c:ptCount val="1"/>
                <c:pt idx="0">
                  <c:v>S&amp;P 500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'IRR by year'!$G$16:$G$19</c:f>
              <c:strCache>
                <c:ptCount val="4"/>
                <c:pt idx="0">
                  <c:v>X</c:v>
                </c:pt>
                <c:pt idx="1">
                  <c:v>X</c:v>
                </c:pt>
                <c:pt idx="2">
                  <c:v>X</c:v>
                </c:pt>
                <c:pt idx="3">
                  <c:v>X</c:v>
                </c:pt>
              </c:strCache>
            </c:strRef>
          </c:cat>
          <c:val>
            <c:numRef>
              <c:f>'IRR by year'!$I$16:$I$19</c:f>
              <c:numCache>
                <c:formatCode>0%</c:formatCode>
                <c:ptCount val="4"/>
                <c:pt idx="0">
                  <c:v>7.5097331404685982E-2</c:v>
                </c:pt>
                <c:pt idx="1">
                  <c:v>0.102054101228714</c:v>
                </c:pt>
                <c:pt idx="2">
                  <c:v>-0.54131573811173461</c:v>
                </c:pt>
                <c:pt idx="3">
                  <c:v>0.25684058070182803</c:v>
                </c:pt>
              </c:numCache>
            </c:numRef>
          </c:val>
        </c:ser>
        <c:ser>
          <c:idx val="2"/>
          <c:order val="2"/>
          <c:tx>
            <c:strRef>
              <c:f>'IRR by year'!$J$15</c:f>
              <c:strCache>
                <c:ptCount val="1"/>
                <c:pt idx="0">
                  <c:v>HFRI Fund of Funds Composite Index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'IRR by year'!$G$16:$G$19</c:f>
              <c:strCache>
                <c:ptCount val="4"/>
                <c:pt idx="0">
                  <c:v>X</c:v>
                </c:pt>
                <c:pt idx="1">
                  <c:v>X</c:v>
                </c:pt>
                <c:pt idx="2">
                  <c:v>X</c:v>
                </c:pt>
                <c:pt idx="3">
                  <c:v>X</c:v>
                </c:pt>
              </c:strCache>
            </c:strRef>
          </c:cat>
          <c:val>
            <c:numRef>
              <c:f>'IRR by year'!$J$16:$J$19</c:f>
              <c:numCache>
                <c:formatCode>0%</c:formatCode>
                <c:ptCount val="4"/>
                <c:pt idx="0">
                  <c:v>7.3461487889289884E-2</c:v>
                </c:pt>
                <c:pt idx="1">
                  <c:v>9.8311489820480352E-2</c:v>
                </c:pt>
                <c:pt idx="2">
                  <c:v>-0.36287073269486436</c:v>
                </c:pt>
                <c:pt idx="3">
                  <c:v>7.8322800993919375E-2</c:v>
                </c:pt>
              </c:numCache>
            </c:numRef>
          </c:val>
        </c:ser>
        <c:ser>
          <c:idx val="3"/>
          <c:order val="3"/>
          <c:tx>
            <c:strRef>
              <c:f>'IRR by year'!$K$15</c:f>
              <c:strCache>
                <c:ptCount val="1"/>
                <c:pt idx="0">
                  <c:v>HFRI Private Issue/Reg D Index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'IRR by year'!$G$16:$G$19</c:f>
              <c:strCache>
                <c:ptCount val="4"/>
                <c:pt idx="0">
                  <c:v>X</c:v>
                </c:pt>
                <c:pt idx="1">
                  <c:v>X</c:v>
                </c:pt>
                <c:pt idx="2">
                  <c:v>X</c:v>
                </c:pt>
                <c:pt idx="3">
                  <c:v>X</c:v>
                </c:pt>
              </c:strCache>
            </c:strRef>
          </c:cat>
          <c:val>
            <c:numRef>
              <c:f>'IRR by year'!$K$16:$K$19</c:f>
              <c:numCache>
                <c:formatCode>0%</c:formatCode>
                <c:ptCount val="4"/>
                <c:pt idx="0">
                  <c:v>0.10699284672737125</c:v>
                </c:pt>
                <c:pt idx="1">
                  <c:v>9.0292140841484084E-2</c:v>
                </c:pt>
                <c:pt idx="2">
                  <c:v>-0.23479106798768051</c:v>
                </c:pt>
                <c:pt idx="3">
                  <c:v>6.2688586115837081E-2</c:v>
                </c:pt>
              </c:numCache>
            </c:numRef>
          </c:val>
        </c:ser>
        <c:ser>
          <c:idx val="5"/>
          <c:order val="4"/>
          <c:tx>
            <c:strRef>
              <c:f>'IRR by year'!$L$15</c:f>
              <c:strCache>
                <c:ptCount val="1"/>
                <c:pt idx="0">
                  <c:v>Preqin Venture Capital Benchmark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'IRR by year'!$G$16:$G$19</c:f>
              <c:strCache>
                <c:ptCount val="4"/>
                <c:pt idx="0">
                  <c:v>X</c:v>
                </c:pt>
                <c:pt idx="1">
                  <c:v>X</c:v>
                </c:pt>
                <c:pt idx="2">
                  <c:v>X</c:v>
                </c:pt>
                <c:pt idx="3">
                  <c:v>X</c:v>
                </c:pt>
              </c:strCache>
            </c:strRef>
          </c:cat>
          <c:val>
            <c:numRef>
              <c:f>'IRR by year'!$L$16:$L$19</c:f>
              <c:numCache>
                <c:formatCode>0%</c:formatCode>
                <c:ptCount val="4"/>
                <c:pt idx="0">
                  <c:v>4.0834066271781932E-2</c:v>
                </c:pt>
                <c:pt idx="1">
                  <c:v>0.10945816636085509</c:v>
                </c:pt>
                <c:pt idx="2">
                  <c:v>-0.23549605980515487</c:v>
                </c:pt>
                <c:pt idx="3">
                  <c:v>9.8450094461441068E-2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0317984"/>
        <c:axId val="-170317440"/>
      </c:barChart>
      <c:catAx>
        <c:axId val="-17031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500" b="1"/>
            </a:pPr>
            <a:endParaRPr lang="en-US"/>
          </a:p>
        </c:txPr>
        <c:crossAx val="-170317440"/>
        <c:crosses val="autoZero"/>
        <c:auto val="1"/>
        <c:lblAlgn val="ctr"/>
        <c:lblOffset val="100"/>
        <c:noMultiLvlLbl val="0"/>
      </c:catAx>
      <c:valAx>
        <c:axId val="-170317440"/>
        <c:scaling>
          <c:orientation val="minMax"/>
          <c:max val="0.6000000000000000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Internal Rate of Return (IRR)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170317984"/>
        <c:crosses val="autoZero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8.9054200211053883E-2"/>
          <c:y val="0.61097259045150998"/>
          <c:w val="0.45694123621856292"/>
          <c:h val="0.21349785707166352"/>
        </c:manualLayout>
      </c:layout>
      <c:overlay val="1"/>
      <c:txPr>
        <a:bodyPr/>
        <a:lstStyle/>
        <a:p>
          <a:pPr>
            <a:defRPr sz="1500"/>
          </a:pPr>
          <a:endParaRPr lang="en-US"/>
        </a:p>
      </c:txPr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IIRR!$H$2</c:f>
              <c:strCache>
                <c:ptCount val="1"/>
                <c:pt idx="0">
                  <c:v>GRC</c:v>
                </c:pt>
              </c:strCache>
            </c:strRef>
          </c:tx>
          <c:invertIfNegative val="0"/>
          <c:cat>
            <c:numRef>
              <c:f>IIRR!$J$1:$Q$1</c:f>
              <c:numCache>
                <c:formatCode>[$-409]mmmm\ yyyy;@</c:formatCode>
                <c:ptCount val="8"/>
                <c:pt idx="0">
                  <c:v>38322</c:v>
                </c:pt>
                <c:pt idx="1">
                  <c:v>38687</c:v>
                </c:pt>
                <c:pt idx="2">
                  <c:v>39052</c:v>
                </c:pt>
                <c:pt idx="3">
                  <c:v>39417</c:v>
                </c:pt>
                <c:pt idx="4">
                  <c:v>39783</c:v>
                </c:pt>
                <c:pt idx="5">
                  <c:v>40148</c:v>
                </c:pt>
                <c:pt idx="6">
                  <c:v>40513</c:v>
                </c:pt>
                <c:pt idx="7">
                  <c:v>40878</c:v>
                </c:pt>
              </c:numCache>
            </c:numRef>
          </c:cat>
          <c:val>
            <c:numRef>
              <c:f>IIRR!$J$2:$Q$2</c:f>
              <c:numCache>
                <c:formatCode>0.00%</c:formatCode>
                <c:ptCount val="8"/>
                <c:pt idx="0">
                  <c:v>-0.68169146701693539</c:v>
                </c:pt>
                <c:pt idx="1">
                  <c:v>4.8674085736274714E-2</c:v>
                </c:pt>
                <c:pt idx="2">
                  <c:v>0.10041553378105164</c:v>
                </c:pt>
                <c:pt idx="3">
                  <c:v>0.10041553378105164</c:v>
                </c:pt>
                <c:pt idx="4">
                  <c:v>0.10151496529579163</c:v>
                </c:pt>
                <c:pt idx="5">
                  <c:v>0.10052960515022277</c:v>
                </c:pt>
                <c:pt idx="6">
                  <c:v>0.10266627669334413</c:v>
                </c:pt>
              </c:numCache>
            </c:numRef>
          </c:val>
        </c:ser>
        <c:ser>
          <c:idx val="1"/>
          <c:order val="1"/>
          <c:tx>
            <c:strRef>
              <c:f>IIRR!$H$3</c:f>
              <c:strCache>
                <c:ptCount val="1"/>
                <c:pt idx="0">
                  <c:v>S&amp;P 500 Total Return</c:v>
                </c:pt>
              </c:strCache>
            </c:strRef>
          </c:tx>
          <c:invertIfNegative val="0"/>
          <c:cat>
            <c:numRef>
              <c:f>IIRR!$J$1:$Q$1</c:f>
              <c:numCache>
                <c:formatCode>[$-409]mmmm\ yyyy;@</c:formatCode>
                <c:ptCount val="8"/>
                <c:pt idx="0">
                  <c:v>38322</c:v>
                </c:pt>
                <c:pt idx="1">
                  <c:v>38687</c:v>
                </c:pt>
                <c:pt idx="2">
                  <c:v>39052</c:v>
                </c:pt>
                <c:pt idx="3">
                  <c:v>39417</c:v>
                </c:pt>
                <c:pt idx="4">
                  <c:v>39783</c:v>
                </c:pt>
                <c:pt idx="5">
                  <c:v>40148</c:v>
                </c:pt>
                <c:pt idx="6">
                  <c:v>40513</c:v>
                </c:pt>
                <c:pt idx="7">
                  <c:v>40878</c:v>
                </c:pt>
              </c:numCache>
            </c:numRef>
          </c:cat>
          <c:val>
            <c:numRef>
              <c:f>IIRR!$J$3:$Q$3</c:f>
              <c:numCache>
                <c:formatCode>0.00%</c:formatCode>
                <c:ptCount val="8"/>
                <c:pt idx="0">
                  <c:v>0.16668623089790346</c:v>
                </c:pt>
                <c:pt idx="1">
                  <c:v>9.0616664290428167E-2</c:v>
                </c:pt>
                <c:pt idx="2">
                  <c:v>0.11628126502037048</c:v>
                </c:pt>
                <c:pt idx="3">
                  <c:v>9.8773735761642473E-2</c:v>
                </c:pt>
                <c:pt idx="4">
                  <c:v>-2.6981928944587709E-2</c:v>
                </c:pt>
                <c:pt idx="5">
                  <c:v>1.9833609461784366E-2</c:v>
                </c:pt>
                <c:pt idx="6">
                  <c:v>3.8698568940162673E-2</c:v>
                </c:pt>
                <c:pt idx="7">
                  <c:v>3.6368110775947565E-2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3298464"/>
        <c:axId val="-83295744"/>
      </c:barChart>
      <c:dateAx>
        <c:axId val="-83298464"/>
        <c:scaling>
          <c:orientation val="minMax"/>
        </c:scaling>
        <c:delete val="0"/>
        <c:axPos val="b"/>
        <c:numFmt formatCode="[$-409]mmmm\ yyyy;@" sourceLinked="1"/>
        <c:majorTickMark val="out"/>
        <c:minorTickMark val="none"/>
        <c:tickLblPos val="nextTo"/>
        <c:crossAx val="-83295744"/>
        <c:crosses val="autoZero"/>
        <c:auto val="1"/>
        <c:lblOffset val="100"/>
        <c:baseTimeUnit val="years"/>
      </c:dateAx>
      <c:valAx>
        <c:axId val="-8329574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8329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IIRR!$H$2</c:f>
              <c:strCache>
                <c:ptCount val="1"/>
                <c:pt idx="0">
                  <c:v>GRC</c:v>
                </c:pt>
              </c:strCache>
            </c:strRef>
          </c:tx>
          <c:invertIfNegative val="0"/>
          <c:cat>
            <c:numRef>
              <c:f>IIRR!$K$1:$Q$1</c:f>
              <c:numCache>
                <c:formatCode>[$-409]mmmm\ yyyy;@</c:formatCode>
                <c:ptCount val="7"/>
                <c:pt idx="0">
                  <c:v>38687</c:v>
                </c:pt>
                <c:pt idx="1">
                  <c:v>39052</c:v>
                </c:pt>
                <c:pt idx="2">
                  <c:v>39417</c:v>
                </c:pt>
                <c:pt idx="3">
                  <c:v>39783</c:v>
                </c:pt>
                <c:pt idx="4">
                  <c:v>40148</c:v>
                </c:pt>
                <c:pt idx="5">
                  <c:v>40513</c:v>
                </c:pt>
                <c:pt idx="6">
                  <c:v>40878</c:v>
                </c:pt>
              </c:numCache>
            </c:numRef>
          </c:cat>
          <c:val>
            <c:numRef>
              <c:f>IIRR!$K$2:$Q$2</c:f>
              <c:numCache>
                <c:formatCode>0.00%</c:formatCode>
                <c:ptCount val="7"/>
                <c:pt idx="0">
                  <c:v>4.8674085736274714E-2</c:v>
                </c:pt>
                <c:pt idx="1">
                  <c:v>0.10041553378105164</c:v>
                </c:pt>
                <c:pt idx="2">
                  <c:v>0.10041553378105164</c:v>
                </c:pt>
                <c:pt idx="3">
                  <c:v>0.10151496529579163</c:v>
                </c:pt>
                <c:pt idx="4">
                  <c:v>0.10052960515022277</c:v>
                </c:pt>
                <c:pt idx="5">
                  <c:v>0.10266627669334413</c:v>
                </c:pt>
              </c:numCache>
            </c:numRef>
          </c:val>
        </c:ser>
        <c:ser>
          <c:idx val="1"/>
          <c:order val="1"/>
          <c:tx>
            <c:strRef>
              <c:f>IIRR!$H$3</c:f>
              <c:strCache>
                <c:ptCount val="1"/>
                <c:pt idx="0">
                  <c:v>S&amp;P 500 Total Return</c:v>
                </c:pt>
              </c:strCache>
            </c:strRef>
          </c:tx>
          <c:invertIfNegative val="0"/>
          <c:cat>
            <c:numRef>
              <c:f>IIRR!$K$1:$Q$1</c:f>
              <c:numCache>
                <c:formatCode>[$-409]mmmm\ yyyy;@</c:formatCode>
                <c:ptCount val="7"/>
                <c:pt idx="0">
                  <c:v>38687</c:v>
                </c:pt>
                <c:pt idx="1">
                  <c:v>39052</c:v>
                </c:pt>
                <c:pt idx="2">
                  <c:v>39417</c:v>
                </c:pt>
                <c:pt idx="3">
                  <c:v>39783</c:v>
                </c:pt>
                <c:pt idx="4">
                  <c:v>40148</c:v>
                </c:pt>
                <c:pt idx="5">
                  <c:v>40513</c:v>
                </c:pt>
                <c:pt idx="6">
                  <c:v>40878</c:v>
                </c:pt>
              </c:numCache>
            </c:numRef>
          </c:cat>
          <c:val>
            <c:numRef>
              <c:f>IIRR!$K$3:$Q$3</c:f>
              <c:numCache>
                <c:formatCode>0.00%</c:formatCode>
                <c:ptCount val="7"/>
                <c:pt idx="0">
                  <c:v>9.0616664290428167E-2</c:v>
                </c:pt>
                <c:pt idx="1">
                  <c:v>0.11628126502037048</c:v>
                </c:pt>
                <c:pt idx="2">
                  <c:v>9.8773735761642473E-2</c:v>
                </c:pt>
                <c:pt idx="3">
                  <c:v>-2.6981928944587709E-2</c:v>
                </c:pt>
                <c:pt idx="4">
                  <c:v>1.9833609461784366E-2</c:v>
                </c:pt>
                <c:pt idx="5">
                  <c:v>3.8698568940162673E-2</c:v>
                </c:pt>
                <c:pt idx="6">
                  <c:v>3.6368110775947565E-2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3292480"/>
        <c:axId val="-83291392"/>
      </c:barChart>
      <c:dateAx>
        <c:axId val="-83292480"/>
        <c:scaling>
          <c:orientation val="minMax"/>
        </c:scaling>
        <c:delete val="0"/>
        <c:axPos val="b"/>
        <c:numFmt formatCode="[$-409]mmmm\ yyyy;@" sourceLinked="1"/>
        <c:majorTickMark val="out"/>
        <c:minorTickMark val="none"/>
        <c:tickLblPos val="nextTo"/>
        <c:crossAx val="-83291392"/>
        <c:crosses val="autoZero"/>
        <c:auto val="1"/>
        <c:lblOffset val="100"/>
        <c:baseTimeUnit val="years"/>
      </c:dateAx>
      <c:valAx>
        <c:axId val="-8329139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8329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IIRR!$H$2</c:f>
              <c:strCache>
                <c:ptCount val="1"/>
                <c:pt idx="0">
                  <c:v>GRC</c:v>
                </c:pt>
              </c:strCache>
            </c:strRef>
          </c:tx>
          <c:spPr>
            <a:ln w="57150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IIRR!$I$1:$Q$1</c:f>
              <c:numCache>
                <c:formatCode>[$-409]mmmm\ yyyy;@</c:formatCode>
                <c:ptCount val="9"/>
                <c:pt idx="0">
                  <c:v>38139</c:v>
                </c:pt>
                <c:pt idx="1">
                  <c:v>38322</c:v>
                </c:pt>
                <c:pt idx="2">
                  <c:v>38687</c:v>
                </c:pt>
                <c:pt idx="3">
                  <c:v>39052</c:v>
                </c:pt>
                <c:pt idx="4">
                  <c:v>39417</c:v>
                </c:pt>
                <c:pt idx="5">
                  <c:v>39783</c:v>
                </c:pt>
                <c:pt idx="6">
                  <c:v>40148</c:v>
                </c:pt>
                <c:pt idx="7">
                  <c:v>40513</c:v>
                </c:pt>
                <c:pt idx="8">
                  <c:v>40878</c:v>
                </c:pt>
              </c:numCache>
            </c:numRef>
          </c:xVal>
          <c:yVal>
            <c:numRef>
              <c:f>IIRR!$I$2:$Q$2</c:f>
              <c:numCache>
                <c:formatCode>0.00%</c:formatCode>
                <c:ptCount val="9"/>
                <c:pt idx="0" formatCode="0%">
                  <c:v>0</c:v>
                </c:pt>
                <c:pt idx="1">
                  <c:v>-0.68169146701693539</c:v>
                </c:pt>
                <c:pt idx="2">
                  <c:v>4.8674085736274714E-2</c:v>
                </c:pt>
                <c:pt idx="3">
                  <c:v>0.10041553378105164</c:v>
                </c:pt>
                <c:pt idx="4">
                  <c:v>0.10041553378105164</c:v>
                </c:pt>
                <c:pt idx="5">
                  <c:v>0.10151496529579163</c:v>
                </c:pt>
                <c:pt idx="6">
                  <c:v>0.10052960515022277</c:v>
                </c:pt>
                <c:pt idx="7">
                  <c:v>0.10266627669334413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IIRR!$H$3</c:f>
              <c:strCache>
                <c:ptCount val="1"/>
                <c:pt idx="0">
                  <c:v>S&amp;P 500 Total Return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1716246801816448E-2"/>
                  <c:y val="-2.02531645569620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IIRR!$I$1:$Q$1</c:f>
              <c:numCache>
                <c:formatCode>[$-409]mmmm\ yyyy;@</c:formatCode>
                <c:ptCount val="9"/>
                <c:pt idx="0">
                  <c:v>38139</c:v>
                </c:pt>
                <c:pt idx="1">
                  <c:v>38322</c:v>
                </c:pt>
                <c:pt idx="2">
                  <c:v>38687</c:v>
                </c:pt>
                <c:pt idx="3">
                  <c:v>39052</c:v>
                </c:pt>
                <c:pt idx="4">
                  <c:v>39417</c:v>
                </c:pt>
                <c:pt idx="5">
                  <c:v>39783</c:v>
                </c:pt>
                <c:pt idx="6">
                  <c:v>40148</c:v>
                </c:pt>
                <c:pt idx="7">
                  <c:v>40513</c:v>
                </c:pt>
                <c:pt idx="8">
                  <c:v>40878</c:v>
                </c:pt>
              </c:numCache>
            </c:numRef>
          </c:xVal>
          <c:yVal>
            <c:numRef>
              <c:f>IIRR!$I$3:$Q$3</c:f>
              <c:numCache>
                <c:formatCode>0.00%</c:formatCode>
                <c:ptCount val="9"/>
                <c:pt idx="0" formatCode="0%">
                  <c:v>0</c:v>
                </c:pt>
                <c:pt idx="1">
                  <c:v>0.16668623089790346</c:v>
                </c:pt>
                <c:pt idx="2">
                  <c:v>9.0616664290428167E-2</c:v>
                </c:pt>
                <c:pt idx="3">
                  <c:v>0.11628126502037048</c:v>
                </c:pt>
                <c:pt idx="4">
                  <c:v>9.8773735761642473E-2</c:v>
                </c:pt>
                <c:pt idx="5">
                  <c:v>-2.6981928944587709E-2</c:v>
                </c:pt>
                <c:pt idx="6">
                  <c:v>1.9833609461784366E-2</c:v>
                </c:pt>
                <c:pt idx="7">
                  <c:v>3.8698568940162673E-2</c:v>
                </c:pt>
                <c:pt idx="8">
                  <c:v>3.6368110775947565E-2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IIRR!$H$4</c:f>
              <c:strCache>
                <c:ptCount val="1"/>
                <c:pt idx="0">
                  <c:v>HFRI Fund of Funds Composite Index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IIRR!$I$1:$Q$1</c:f>
              <c:numCache>
                <c:formatCode>[$-409]mmmm\ yyyy;@</c:formatCode>
                <c:ptCount val="9"/>
                <c:pt idx="0">
                  <c:v>38139</c:v>
                </c:pt>
                <c:pt idx="1">
                  <c:v>38322</c:v>
                </c:pt>
                <c:pt idx="2">
                  <c:v>38687</c:v>
                </c:pt>
                <c:pt idx="3">
                  <c:v>39052</c:v>
                </c:pt>
                <c:pt idx="4">
                  <c:v>39417</c:v>
                </c:pt>
                <c:pt idx="5">
                  <c:v>39783</c:v>
                </c:pt>
                <c:pt idx="6">
                  <c:v>40148</c:v>
                </c:pt>
                <c:pt idx="7">
                  <c:v>40513</c:v>
                </c:pt>
                <c:pt idx="8">
                  <c:v>40878</c:v>
                </c:pt>
              </c:numCache>
            </c:numRef>
          </c:xVal>
          <c:yVal>
            <c:numRef>
              <c:f>IIRR!$I$4:$Q$4</c:f>
              <c:numCache>
                <c:formatCode>0.00%</c:formatCode>
                <c:ptCount val="9"/>
                <c:pt idx="0" formatCode="0%">
                  <c:v>0</c:v>
                </c:pt>
                <c:pt idx="1">
                  <c:v>9.614446759223938E-2</c:v>
                </c:pt>
                <c:pt idx="2">
                  <c:v>8.2616749405860904E-2</c:v>
                </c:pt>
                <c:pt idx="3">
                  <c:v>9.0849414467811584E-2</c:v>
                </c:pt>
                <c:pt idx="4">
                  <c:v>9.4108572602272039E-2</c:v>
                </c:pt>
                <c:pt idx="5">
                  <c:v>1.7885234951972969E-2</c:v>
                </c:pt>
                <c:pt idx="6">
                  <c:v>3.4598794579505932E-2</c:v>
                </c:pt>
                <c:pt idx="7">
                  <c:v>3.7978515028953538E-2</c:v>
                </c:pt>
                <c:pt idx="8">
                  <c:v>2.4889865517616273E-2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IIRR!$H$5</c:f>
              <c:strCache>
                <c:ptCount val="1"/>
                <c:pt idx="0">
                  <c:v>HFRI Private Issue/Reg D Index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IIRR!$I$1:$Q$1</c:f>
              <c:numCache>
                <c:formatCode>[$-409]mmmm\ yyyy;@</c:formatCode>
                <c:ptCount val="9"/>
                <c:pt idx="0">
                  <c:v>38139</c:v>
                </c:pt>
                <c:pt idx="1">
                  <c:v>38322</c:v>
                </c:pt>
                <c:pt idx="2">
                  <c:v>38687</c:v>
                </c:pt>
                <c:pt idx="3">
                  <c:v>39052</c:v>
                </c:pt>
                <c:pt idx="4">
                  <c:v>39417</c:v>
                </c:pt>
                <c:pt idx="5">
                  <c:v>39783</c:v>
                </c:pt>
                <c:pt idx="6">
                  <c:v>40148</c:v>
                </c:pt>
                <c:pt idx="7">
                  <c:v>40513</c:v>
                </c:pt>
                <c:pt idx="8">
                  <c:v>40878</c:v>
                </c:pt>
              </c:numCache>
            </c:numRef>
          </c:xVal>
          <c:yVal>
            <c:numRef>
              <c:f>IIRR!$I$5:$Q$5</c:f>
              <c:numCache>
                <c:formatCode>0.00%</c:formatCode>
                <c:ptCount val="9"/>
                <c:pt idx="0" formatCode="0%">
                  <c:v>0</c:v>
                </c:pt>
                <c:pt idx="1">
                  <c:v>-6.2614977359771746E-4</c:v>
                </c:pt>
                <c:pt idx="2">
                  <c:v>7.691006958484653E-2</c:v>
                </c:pt>
                <c:pt idx="3">
                  <c:v>7.3561081290245078E-2</c:v>
                </c:pt>
                <c:pt idx="4">
                  <c:v>7.1531674265861531E-2</c:v>
                </c:pt>
                <c:pt idx="5">
                  <c:v>3.113415539264679E-2</c:v>
                </c:pt>
                <c:pt idx="6">
                  <c:v>1.9115552306175239E-2</c:v>
                </c:pt>
                <c:pt idx="7">
                  <c:v>3.5142335295677174E-2</c:v>
                </c:pt>
                <c:pt idx="8">
                  <c:v>3.8749888539314284E-2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IIRR!$H$6</c:f>
              <c:strCache>
                <c:ptCount val="1"/>
                <c:pt idx="0">
                  <c:v>Preqin Venture Capital Benchmark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IIRR!$I$1:$Q$1</c:f>
              <c:numCache>
                <c:formatCode>[$-409]mmmm\ yyyy;@</c:formatCode>
                <c:ptCount val="9"/>
                <c:pt idx="0">
                  <c:v>38139</c:v>
                </c:pt>
                <c:pt idx="1">
                  <c:v>38322</c:v>
                </c:pt>
                <c:pt idx="2">
                  <c:v>38687</c:v>
                </c:pt>
                <c:pt idx="3">
                  <c:v>39052</c:v>
                </c:pt>
                <c:pt idx="4">
                  <c:v>39417</c:v>
                </c:pt>
                <c:pt idx="5">
                  <c:v>39783</c:v>
                </c:pt>
                <c:pt idx="6">
                  <c:v>40148</c:v>
                </c:pt>
                <c:pt idx="7">
                  <c:v>40513</c:v>
                </c:pt>
                <c:pt idx="8">
                  <c:v>40878</c:v>
                </c:pt>
              </c:numCache>
            </c:numRef>
          </c:xVal>
          <c:yVal>
            <c:numRef>
              <c:f>IIRR!$I$6:$Q$6</c:f>
              <c:numCache>
                <c:formatCode>0.00%</c:formatCode>
                <c:ptCount val="9"/>
                <c:pt idx="0" formatCode="0%">
                  <c:v>0</c:v>
                </c:pt>
                <c:pt idx="1">
                  <c:v>4.0576705336570748E-2</c:v>
                </c:pt>
                <c:pt idx="2">
                  <c:v>5.7354399561882013E-2</c:v>
                </c:pt>
                <c:pt idx="3">
                  <c:v>6.8683269619941714E-2</c:v>
                </c:pt>
                <c:pt idx="4">
                  <c:v>9.5637223124504109E-2</c:v>
                </c:pt>
                <c:pt idx="5">
                  <c:v>4.0030106902122498E-2</c:v>
                </c:pt>
                <c:pt idx="6">
                  <c:v>4.1437354683876049E-2</c:v>
                </c:pt>
                <c:pt idx="7">
                  <c:v>4.818426668643952E-2</c:v>
                </c:pt>
                <c:pt idx="8">
                  <c:v>4.6168288588523856E-2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311456"/>
        <c:axId val="-170310912"/>
      </c:scatterChart>
      <c:valAx>
        <c:axId val="-170311456"/>
        <c:scaling>
          <c:orientation val="minMax"/>
          <c:max val="40908"/>
          <c:min val="38142"/>
        </c:scaling>
        <c:delete val="0"/>
        <c:axPos val="b"/>
        <c:numFmt formatCode="[$-409]mmmm\ yyyy;@" sourceLinked="1"/>
        <c:majorTickMark val="out"/>
        <c:minorTickMark val="none"/>
        <c:tickLblPos val="nextTo"/>
        <c:crossAx val="-170310912"/>
        <c:crosses val="autoZero"/>
        <c:crossBetween val="midCat"/>
        <c:majorUnit val="500"/>
      </c:valAx>
      <c:valAx>
        <c:axId val="-170310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Interim</a:t>
                </a:r>
                <a:r>
                  <a:rPr lang="en-US" baseline="0"/>
                  <a:t> </a:t>
                </a:r>
                <a:r>
                  <a:rPr lang="en-US"/>
                  <a:t>Internal</a:t>
                </a:r>
                <a:r>
                  <a:rPr lang="en-US" baseline="0"/>
                  <a:t> Rate of Return (IRR)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-170311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60754067330826"/>
          <c:y val="0.4225341174125386"/>
          <c:w val="0.31534335925783574"/>
          <c:h val="0.21974173228346458"/>
        </c:manualLayout>
      </c:layout>
      <c:overlay val="1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IIRR!$J$1:$Q$1</c:f>
              <c:numCache>
                <c:formatCode>[$-409]mmmm\ yyyy;@</c:formatCode>
                <c:ptCount val="8"/>
                <c:pt idx="0">
                  <c:v>38322</c:v>
                </c:pt>
                <c:pt idx="1">
                  <c:v>38687</c:v>
                </c:pt>
                <c:pt idx="2">
                  <c:v>39052</c:v>
                </c:pt>
                <c:pt idx="3">
                  <c:v>39417</c:v>
                </c:pt>
                <c:pt idx="4">
                  <c:v>39783</c:v>
                </c:pt>
                <c:pt idx="5">
                  <c:v>40148</c:v>
                </c:pt>
                <c:pt idx="6">
                  <c:v>40513</c:v>
                </c:pt>
                <c:pt idx="7">
                  <c:v>40878</c:v>
                </c:pt>
              </c:numCache>
            </c:numRef>
          </c:xVal>
          <c:yVal>
            <c:numRef>
              <c:f>IIRR!$J$2:$Q$2</c:f>
              <c:numCache>
                <c:formatCode>0.00%</c:formatCode>
                <c:ptCount val="8"/>
                <c:pt idx="0">
                  <c:v>-0.68169146701693539</c:v>
                </c:pt>
                <c:pt idx="1">
                  <c:v>4.8674085736274714E-2</c:v>
                </c:pt>
                <c:pt idx="2">
                  <c:v>0.10041553378105164</c:v>
                </c:pt>
                <c:pt idx="3">
                  <c:v>0.10041553378105164</c:v>
                </c:pt>
                <c:pt idx="4">
                  <c:v>0.10151496529579163</c:v>
                </c:pt>
                <c:pt idx="5">
                  <c:v>0.10052960515022277</c:v>
                </c:pt>
                <c:pt idx="6">
                  <c:v>0.10266627669334413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IIRR!$J$1:$Q$1</c:f>
              <c:numCache>
                <c:formatCode>[$-409]mmmm\ yyyy;@</c:formatCode>
                <c:ptCount val="8"/>
                <c:pt idx="0">
                  <c:v>38322</c:v>
                </c:pt>
                <c:pt idx="1">
                  <c:v>38687</c:v>
                </c:pt>
                <c:pt idx="2">
                  <c:v>39052</c:v>
                </c:pt>
                <c:pt idx="3">
                  <c:v>39417</c:v>
                </c:pt>
                <c:pt idx="4">
                  <c:v>39783</c:v>
                </c:pt>
                <c:pt idx="5">
                  <c:v>40148</c:v>
                </c:pt>
                <c:pt idx="6">
                  <c:v>40513</c:v>
                </c:pt>
                <c:pt idx="7">
                  <c:v>40878</c:v>
                </c:pt>
              </c:numCache>
            </c:numRef>
          </c:xVal>
          <c:yVal>
            <c:numRef>
              <c:f>IIRR!$J$3:$Q$3</c:f>
              <c:numCache>
                <c:formatCode>0.00%</c:formatCode>
                <c:ptCount val="8"/>
                <c:pt idx="0">
                  <c:v>0.16668623089790346</c:v>
                </c:pt>
                <c:pt idx="1">
                  <c:v>9.0616664290428167E-2</c:v>
                </c:pt>
                <c:pt idx="2">
                  <c:v>0.11628126502037048</c:v>
                </c:pt>
                <c:pt idx="3">
                  <c:v>9.8773735761642473E-2</c:v>
                </c:pt>
                <c:pt idx="4">
                  <c:v>-2.6981928944587709E-2</c:v>
                </c:pt>
                <c:pt idx="5">
                  <c:v>1.9833609461784366E-2</c:v>
                </c:pt>
                <c:pt idx="6">
                  <c:v>3.8698568940162673E-2</c:v>
                </c:pt>
                <c:pt idx="7">
                  <c:v>3.6368110775947565E-2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315808"/>
        <c:axId val="-170315264"/>
      </c:scatterChart>
      <c:valAx>
        <c:axId val="-170315808"/>
        <c:scaling>
          <c:orientation val="minMax"/>
        </c:scaling>
        <c:delete val="0"/>
        <c:axPos val="b"/>
        <c:numFmt formatCode="[$-409]mmmm\ yyyy;@" sourceLinked="1"/>
        <c:majorTickMark val="out"/>
        <c:minorTickMark val="none"/>
        <c:tickLblPos val="nextTo"/>
        <c:crossAx val="-170315264"/>
        <c:crosses val="autoZero"/>
        <c:crossBetween val="midCat"/>
      </c:valAx>
      <c:valAx>
        <c:axId val="-17031526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170315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IIRR!$K$1:$Q$1</c:f>
              <c:numCache>
                <c:formatCode>[$-409]mmmm\ yyyy;@</c:formatCode>
                <c:ptCount val="7"/>
                <c:pt idx="0">
                  <c:v>38687</c:v>
                </c:pt>
                <c:pt idx="1">
                  <c:v>39052</c:v>
                </c:pt>
                <c:pt idx="2">
                  <c:v>39417</c:v>
                </c:pt>
                <c:pt idx="3">
                  <c:v>39783</c:v>
                </c:pt>
                <c:pt idx="4">
                  <c:v>40148</c:v>
                </c:pt>
                <c:pt idx="5">
                  <c:v>40513</c:v>
                </c:pt>
                <c:pt idx="6">
                  <c:v>40878</c:v>
                </c:pt>
              </c:numCache>
            </c:numRef>
          </c:xVal>
          <c:yVal>
            <c:numRef>
              <c:f>IIRR!$K$2:$Q$2</c:f>
              <c:numCache>
                <c:formatCode>0.00%</c:formatCode>
                <c:ptCount val="7"/>
                <c:pt idx="0">
                  <c:v>4.8674085736274714E-2</c:v>
                </c:pt>
                <c:pt idx="1">
                  <c:v>0.10041553378105164</c:v>
                </c:pt>
                <c:pt idx="2">
                  <c:v>0.10041553378105164</c:v>
                </c:pt>
                <c:pt idx="3">
                  <c:v>0.10151496529579163</c:v>
                </c:pt>
                <c:pt idx="4">
                  <c:v>0.10052960515022277</c:v>
                </c:pt>
                <c:pt idx="5">
                  <c:v>0.10266627669334413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IIRR!$K$1:$Q$1</c:f>
              <c:numCache>
                <c:formatCode>[$-409]mmmm\ yyyy;@</c:formatCode>
                <c:ptCount val="7"/>
                <c:pt idx="0">
                  <c:v>38687</c:v>
                </c:pt>
                <c:pt idx="1">
                  <c:v>39052</c:v>
                </c:pt>
                <c:pt idx="2">
                  <c:v>39417</c:v>
                </c:pt>
                <c:pt idx="3">
                  <c:v>39783</c:v>
                </c:pt>
                <c:pt idx="4">
                  <c:v>40148</c:v>
                </c:pt>
                <c:pt idx="5">
                  <c:v>40513</c:v>
                </c:pt>
                <c:pt idx="6">
                  <c:v>40878</c:v>
                </c:pt>
              </c:numCache>
            </c:numRef>
          </c:xVal>
          <c:yVal>
            <c:numRef>
              <c:f>IIRR!$K$3:$Q$3</c:f>
              <c:numCache>
                <c:formatCode>0.00%</c:formatCode>
                <c:ptCount val="7"/>
                <c:pt idx="0">
                  <c:v>9.0616664290428167E-2</c:v>
                </c:pt>
                <c:pt idx="1">
                  <c:v>0.11628126502037048</c:v>
                </c:pt>
                <c:pt idx="2">
                  <c:v>9.8773735761642473E-2</c:v>
                </c:pt>
                <c:pt idx="3">
                  <c:v>-2.6981928944587709E-2</c:v>
                </c:pt>
                <c:pt idx="4">
                  <c:v>1.9833609461784366E-2</c:v>
                </c:pt>
                <c:pt idx="5">
                  <c:v>3.8698568940162673E-2</c:v>
                </c:pt>
                <c:pt idx="6">
                  <c:v>3.6368110775947565E-2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7408128"/>
        <c:axId val="-83301728"/>
      </c:scatterChart>
      <c:valAx>
        <c:axId val="-297408128"/>
        <c:scaling>
          <c:orientation val="minMax"/>
        </c:scaling>
        <c:delete val="0"/>
        <c:axPos val="b"/>
        <c:numFmt formatCode="[$-409]mmmm\ yyyy;@" sourceLinked="1"/>
        <c:majorTickMark val="out"/>
        <c:minorTickMark val="none"/>
        <c:tickLblPos val="nextTo"/>
        <c:crossAx val="-83301728"/>
        <c:crosses val="autoZero"/>
        <c:crossBetween val="midCat"/>
      </c:valAx>
      <c:valAx>
        <c:axId val="-833017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97408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IIRR!$H$2</c:f>
              <c:strCache>
                <c:ptCount val="1"/>
                <c:pt idx="0">
                  <c:v>GRC</c:v>
                </c:pt>
              </c:strCache>
            </c:strRef>
          </c:tx>
          <c:invertIfNegative val="0"/>
          <c:cat>
            <c:numRef>
              <c:f>IIRR!$J$1:$Q$1</c:f>
              <c:numCache>
                <c:formatCode>[$-409]mmmm\ yyyy;@</c:formatCode>
                <c:ptCount val="8"/>
                <c:pt idx="0">
                  <c:v>38322</c:v>
                </c:pt>
                <c:pt idx="1">
                  <c:v>38687</c:v>
                </c:pt>
                <c:pt idx="2">
                  <c:v>39052</c:v>
                </c:pt>
                <c:pt idx="3">
                  <c:v>39417</c:v>
                </c:pt>
                <c:pt idx="4">
                  <c:v>39783</c:v>
                </c:pt>
                <c:pt idx="5">
                  <c:v>40148</c:v>
                </c:pt>
                <c:pt idx="6">
                  <c:v>40513</c:v>
                </c:pt>
                <c:pt idx="7">
                  <c:v>40878</c:v>
                </c:pt>
              </c:numCache>
            </c:numRef>
          </c:cat>
          <c:val>
            <c:numRef>
              <c:f>IIRR!$J$2:$Q$2</c:f>
              <c:numCache>
                <c:formatCode>0.00%</c:formatCode>
                <c:ptCount val="8"/>
                <c:pt idx="0">
                  <c:v>-0.68169146701693539</c:v>
                </c:pt>
                <c:pt idx="1">
                  <c:v>4.8674085736274714E-2</c:v>
                </c:pt>
                <c:pt idx="2">
                  <c:v>0.10041553378105164</c:v>
                </c:pt>
                <c:pt idx="3">
                  <c:v>0.10041553378105164</c:v>
                </c:pt>
                <c:pt idx="4">
                  <c:v>0.10151496529579163</c:v>
                </c:pt>
                <c:pt idx="5">
                  <c:v>0.10052960515022277</c:v>
                </c:pt>
                <c:pt idx="6">
                  <c:v>0.10266627669334413</c:v>
                </c:pt>
              </c:numCache>
            </c:numRef>
          </c:val>
        </c:ser>
        <c:ser>
          <c:idx val="1"/>
          <c:order val="1"/>
          <c:tx>
            <c:strRef>
              <c:f>IIRR!$H$3</c:f>
              <c:strCache>
                <c:ptCount val="1"/>
                <c:pt idx="0">
                  <c:v>S&amp;P 500 Total Return</c:v>
                </c:pt>
              </c:strCache>
            </c:strRef>
          </c:tx>
          <c:invertIfNegative val="0"/>
          <c:cat>
            <c:numRef>
              <c:f>IIRR!$J$1:$Q$1</c:f>
              <c:numCache>
                <c:formatCode>[$-409]mmmm\ yyyy;@</c:formatCode>
                <c:ptCount val="8"/>
                <c:pt idx="0">
                  <c:v>38322</c:v>
                </c:pt>
                <c:pt idx="1">
                  <c:v>38687</c:v>
                </c:pt>
                <c:pt idx="2">
                  <c:v>39052</c:v>
                </c:pt>
                <c:pt idx="3">
                  <c:v>39417</c:v>
                </c:pt>
                <c:pt idx="4">
                  <c:v>39783</c:v>
                </c:pt>
                <c:pt idx="5">
                  <c:v>40148</c:v>
                </c:pt>
                <c:pt idx="6">
                  <c:v>40513</c:v>
                </c:pt>
                <c:pt idx="7">
                  <c:v>40878</c:v>
                </c:pt>
              </c:numCache>
            </c:numRef>
          </c:cat>
          <c:val>
            <c:numRef>
              <c:f>IIRR!$J$3:$Q$3</c:f>
              <c:numCache>
                <c:formatCode>0.00%</c:formatCode>
                <c:ptCount val="8"/>
                <c:pt idx="0">
                  <c:v>0.16668623089790346</c:v>
                </c:pt>
                <c:pt idx="1">
                  <c:v>9.0616664290428167E-2</c:v>
                </c:pt>
                <c:pt idx="2">
                  <c:v>0.11628126502037048</c:v>
                </c:pt>
                <c:pt idx="3">
                  <c:v>9.8773735761642473E-2</c:v>
                </c:pt>
                <c:pt idx="4">
                  <c:v>-2.6981928944587709E-2</c:v>
                </c:pt>
                <c:pt idx="5">
                  <c:v>1.9833609461784366E-2</c:v>
                </c:pt>
                <c:pt idx="6">
                  <c:v>3.8698568940162673E-2</c:v>
                </c:pt>
                <c:pt idx="7">
                  <c:v>3.6368110775947565E-2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3297920"/>
        <c:axId val="-83291936"/>
      </c:barChart>
      <c:dateAx>
        <c:axId val="-83297920"/>
        <c:scaling>
          <c:orientation val="minMax"/>
        </c:scaling>
        <c:delete val="0"/>
        <c:axPos val="b"/>
        <c:numFmt formatCode="[$-409]mmmm\ yyyy;@" sourceLinked="1"/>
        <c:majorTickMark val="out"/>
        <c:minorTickMark val="none"/>
        <c:tickLblPos val="nextTo"/>
        <c:crossAx val="-83291936"/>
        <c:crosses val="autoZero"/>
        <c:auto val="1"/>
        <c:lblOffset val="100"/>
        <c:baseTimeUnit val="years"/>
      </c:dateAx>
      <c:valAx>
        <c:axId val="-8329193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83297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IIRR!$H$2</c:f>
              <c:strCache>
                <c:ptCount val="1"/>
                <c:pt idx="0">
                  <c:v>GRC</c:v>
                </c:pt>
              </c:strCache>
            </c:strRef>
          </c:tx>
          <c:invertIfNegative val="0"/>
          <c:cat>
            <c:numRef>
              <c:f>IIRR!$K$1:$Q$1</c:f>
              <c:numCache>
                <c:formatCode>[$-409]mmmm\ yyyy;@</c:formatCode>
                <c:ptCount val="7"/>
                <c:pt idx="0">
                  <c:v>38687</c:v>
                </c:pt>
                <c:pt idx="1">
                  <c:v>39052</c:v>
                </c:pt>
                <c:pt idx="2">
                  <c:v>39417</c:v>
                </c:pt>
                <c:pt idx="3">
                  <c:v>39783</c:v>
                </c:pt>
                <c:pt idx="4">
                  <c:v>40148</c:v>
                </c:pt>
                <c:pt idx="5">
                  <c:v>40513</c:v>
                </c:pt>
                <c:pt idx="6">
                  <c:v>40878</c:v>
                </c:pt>
              </c:numCache>
            </c:numRef>
          </c:cat>
          <c:val>
            <c:numRef>
              <c:f>IIRR!$K$2:$Q$2</c:f>
              <c:numCache>
                <c:formatCode>0.00%</c:formatCode>
                <c:ptCount val="7"/>
                <c:pt idx="0">
                  <c:v>4.8674085736274714E-2</c:v>
                </c:pt>
                <c:pt idx="1">
                  <c:v>0.10041553378105164</c:v>
                </c:pt>
                <c:pt idx="2">
                  <c:v>0.10041553378105164</c:v>
                </c:pt>
                <c:pt idx="3">
                  <c:v>0.10151496529579163</c:v>
                </c:pt>
                <c:pt idx="4">
                  <c:v>0.10052960515022277</c:v>
                </c:pt>
                <c:pt idx="5">
                  <c:v>0.10266627669334413</c:v>
                </c:pt>
              </c:numCache>
            </c:numRef>
          </c:val>
        </c:ser>
        <c:ser>
          <c:idx val="1"/>
          <c:order val="1"/>
          <c:tx>
            <c:strRef>
              <c:f>IIRR!$H$3</c:f>
              <c:strCache>
                <c:ptCount val="1"/>
                <c:pt idx="0">
                  <c:v>S&amp;P 500 Total Return</c:v>
                </c:pt>
              </c:strCache>
            </c:strRef>
          </c:tx>
          <c:invertIfNegative val="0"/>
          <c:cat>
            <c:numRef>
              <c:f>IIRR!$K$1:$Q$1</c:f>
              <c:numCache>
                <c:formatCode>[$-409]mmmm\ yyyy;@</c:formatCode>
                <c:ptCount val="7"/>
                <c:pt idx="0">
                  <c:v>38687</c:v>
                </c:pt>
                <c:pt idx="1">
                  <c:v>39052</c:v>
                </c:pt>
                <c:pt idx="2">
                  <c:v>39417</c:v>
                </c:pt>
                <c:pt idx="3">
                  <c:v>39783</c:v>
                </c:pt>
                <c:pt idx="4">
                  <c:v>40148</c:v>
                </c:pt>
                <c:pt idx="5">
                  <c:v>40513</c:v>
                </c:pt>
                <c:pt idx="6">
                  <c:v>40878</c:v>
                </c:pt>
              </c:numCache>
            </c:numRef>
          </c:cat>
          <c:val>
            <c:numRef>
              <c:f>IIRR!$K$3:$Q$3</c:f>
              <c:numCache>
                <c:formatCode>0.00%</c:formatCode>
                <c:ptCount val="7"/>
                <c:pt idx="0">
                  <c:v>9.0616664290428167E-2</c:v>
                </c:pt>
                <c:pt idx="1">
                  <c:v>0.11628126502037048</c:v>
                </c:pt>
                <c:pt idx="2">
                  <c:v>9.8773735761642473E-2</c:v>
                </c:pt>
                <c:pt idx="3">
                  <c:v>-2.6981928944587709E-2</c:v>
                </c:pt>
                <c:pt idx="4">
                  <c:v>1.9833609461784366E-2</c:v>
                </c:pt>
                <c:pt idx="5">
                  <c:v>3.8698568940162673E-2</c:v>
                </c:pt>
                <c:pt idx="6">
                  <c:v>3.6368110775947565E-2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3296832"/>
        <c:axId val="-83294656"/>
      </c:barChart>
      <c:dateAx>
        <c:axId val="-83296832"/>
        <c:scaling>
          <c:orientation val="minMax"/>
        </c:scaling>
        <c:delete val="0"/>
        <c:axPos val="b"/>
        <c:numFmt formatCode="[$-409]mmmm\ yyyy;@" sourceLinked="1"/>
        <c:majorTickMark val="out"/>
        <c:minorTickMark val="none"/>
        <c:tickLblPos val="nextTo"/>
        <c:crossAx val="-83294656"/>
        <c:crosses val="autoZero"/>
        <c:auto val="1"/>
        <c:lblOffset val="100"/>
        <c:baseTimeUnit val="years"/>
      </c:dateAx>
      <c:valAx>
        <c:axId val="-8329465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83296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IRRh!$H$2</c:f>
              <c:strCache>
                <c:ptCount val="1"/>
                <c:pt idx="0">
                  <c:v>GRC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IRRh!$I$1:$R$1</c:f>
              <c:numCache>
                <c:formatCode>[$-409]mmmm\ yyyy;@</c:formatCode>
                <c:ptCount val="10"/>
                <c:pt idx="0">
                  <c:v>38139</c:v>
                </c:pt>
                <c:pt idx="1">
                  <c:v>38322</c:v>
                </c:pt>
                <c:pt idx="2">
                  <c:v>38687</c:v>
                </c:pt>
                <c:pt idx="3">
                  <c:v>39052</c:v>
                </c:pt>
                <c:pt idx="4">
                  <c:v>39417</c:v>
                </c:pt>
                <c:pt idx="5">
                  <c:v>39783</c:v>
                </c:pt>
                <c:pt idx="6">
                  <c:v>40148</c:v>
                </c:pt>
                <c:pt idx="7">
                  <c:v>40513</c:v>
                </c:pt>
                <c:pt idx="8">
                  <c:v>40878</c:v>
                </c:pt>
                <c:pt idx="9">
                  <c:v>41244</c:v>
                </c:pt>
              </c:numCache>
            </c:numRef>
          </c:cat>
          <c:val>
            <c:numRef>
              <c:f>IRRh!$I$2:$R$2</c:f>
              <c:numCache>
                <c:formatCode>0.00%</c:formatCode>
                <c:ptCount val="10"/>
                <c:pt idx="0" formatCode="0%">
                  <c:v>0</c:v>
                </c:pt>
                <c:pt idx="1">
                  <c:v>-0.68169146701693539</c:v>
                </c:pt>
                <c:pt idx="2">
                  <c:v>4.8674085736274714E-2</c:v>
                </c:pt>
                <c:pt idx="3">
                  <c:v>0.10041553378105164</c:v>
                </c:pt>
                <c:pt idx="4">
                  <c:v>0.10041553378105164</c:v>
                </c:pt>
                <c:pt idx="5">
                  <c:v>0.10151496529579163</c:v>
                </c:pt>
                <c:pt idx="6">
                  <c:v>0.10052960515022277</c:v>
                </c:pt>
                <c:pt idx="7">
                  <c:v>0.10266627669334413</c:v>
                </c:pt>
                <c:pt idx="8">
                  <c:v>0.10266627669334413</c:v>
                </c:pt>
                <c:pt idx="9">
                  <c:v>0.10266627669334413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IRRh!$H$3</c:f>
              <c:strCache>
                <c:ptCount val="1"/>
                <c:pt idx="0">
                  <c:v>GRC (*)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cat>
            <c:numRef>
              <c:f>IRRh!$I$1:$R$1</c:f>
              <c:numCache>
                <c:formatCode>[$-409]mmmm\ yyyy;@</c:formatCode>
                <c:ptCount val="10"/>
                <c:pt idx="0">
                  <c:v>38139</c:v>
                </c:pt>
                <c:pt idx="1">
                  <c:v>38322</c:v>
                </c:pt>
                <c:pt idx="2">
                  <c:v>38687</c:v>
                </c:pt>
                <c:pt idx="3">
                  <c:v>39052</c:v>
                </c:pt>
                <c:pt idx="4">
                  <c:v>39417</c:v>
                </c:pt>
                <c:pt idx="5">
                  <c:v>39783</c:v>
                </c:pt>
                <c:pt idx="6">
                  <c:v>40148</c:v>
                </c:pt>
                <c:pt idx="7">
                  <c:v>40513</c:v>
                </c:pt>
                <c:pt idx="8">
                  <c:v>40878</c:v>
                </c:pt>
                <c:pt idx="9">
                  <c:v>41244</c:v>
                </c:pt>
              </c:numCache>
            </c:numRef>
          </c:cat>
          <c:val>
            <c:numRef>
              <c:f>IRRh!$I$3:$R$3</c:f>
              <c:numCache>
                <c:formatCode>0.00%</c:formatCode>
                <c:ptCount val="10"/>
                <c:pt idx="0" formatCode="0%">
                  <c:v>0</c:v>
                </c:pt>
                <c:pt idx="1">
                  <c:v>-0.68169146701693539</c:v>
                </c:pt>
                <c:pt idx="2">
                  <c:v>4.8674085736274714E-2</c:v>
                </c:pt>
                <c:pt idx="3">
                  <c:v>0.10041553378105164</c:v>
                </c:pt>
                <c:pt idx="4">
                  <c:v>0.10041553378105164</c:v>
                </c:pt>
                <c:pt idx="5">
                  <c:v>0.10151496529579163</c:v>
                </c:pt>
                <c:pt idx="6">
                  <c:v>0.10052960515022277</c:v>
                </c:pt>
                <c:pt idx="7">
                  <c:v>0.10061621069908142</c:v>
                </c:pt>
                <c:pt idx="8">
                  <c:v>9.8342126607894903E-2</c:v>
                </c:pt>
                <c:pt idx="9">
                  <c:v>0.11438817381858826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IRRh!$H$4</c:f>
              <c:strCache>
                <c:ptCount val="1"/>
                <c:pt idx="0">
                  <c:v>S&amp;P 500 Total Return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IRRh!$I$1:$R$1</c:f>
              <c:numCache>
                <c:formatCode>[$-409]mmmm\ yyyy;@</c:formatCode>
                <c:ptCount val="10"/>
                <c:pt idx="0">
                  <c:v>38139</c:v>
                </c:pt>
                <c:pt idx="1">
                  <c:v>38322</c:v>
                </c:pt>
                <c:pt idx="2">
                  <c:v>38687</c:v>
                </c:pt>
                <c:pt idx="3">
                  <c:v>39052</c:v>
                </c:pt>
                <c:pt idx="4">
                  <c:v>39417</c:v>
                </c:pt>
                <c:pt idx="5">
                  <c:v>39783</c:v>
                </c:pt>
                <c:pt idx="6">
                  <c:v>40148</c:v>
                </c:pt>
                <c:pt idx="7">
                  <c:v>40513</c:v>
                </c:pt>
                <c:pt idx="8">
                  <c:v>40878</c:v>
                </c:pt>
                <c:pt idx="9">
                  <c:v>41244</c:v>
                </c:pt>
              </c:numCache>
            </c:numRef>
          </c:cat>
          <c:val>
            <c:numRef>
              <c:f>IRRh!$I$4:$R$4</c:f>
              <c:numCache>
                <c:formatCode>0.00%</c:formatCode>
                <c:ptCount val="10"/>
                <c:pt idx="0" formatCode="0%">
                  <c:v>0</c:v>
                </c:pt>
                <c:pt idx="1">
                  <c:v>0.16668623089790346</c:v>
                </c:pt>
                <c:pt idx="2">
                  <c:v>9.0616664290428167E-2</c:v>
                </c:pt>
                <c:pt idx="3">
                  <c:v>0.11628126502037048</c:v>
                </c:pt>
                <c:pt idx="4">
                  <c:v>9.8773735761642473E-2</c:v>
                </c:pt>
                <c:pt idx="5">
                  <c:v>-2.6981928944587709E-2</c:v>
                </c:pt>
                <c:pt idx="6">
                  <c:v>1.9833609461784366E-2</c:v>
                </c:pt>
                <c:pt idx="7">
                  <c:v>3.8698568940162673E-2</c:v>
                </c:pt>
                <c:pt idx="8">
                  <c:v>3.6368110775947565E-2</c:v>
                </c:pt>
                <c:pt idx="9">
                  <c:v>4.5118895173072826E-2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IRRh!$H$5</c:f>
              <c:strCache>
                <c:ptCount val="1"/>
                <c:pt idx="0">
                  <c:v>HFRI Fund of Funds Composite Index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IRRh!$I$1:$R$1</c:f>
              <c:numCache>
                <c:formatCode>[$-409]mmmm\ yyyy;@</c:formatCode>
                <c:ptCount val="10"/>
                <c:pt idx="0">
                  <c:v>38139</c:v>
                </c:pt>
                <c:pt idx="1">
                  <c:v>38322</c:v>
                </c:pt>
                <c:pt idx="2">
                  <c:v>38687</c:v>
                </c:pt>
                <c:pt idx="3">
                  <c:v>39052</c:v>
                </c:pt>
                <c:pt idx="4">
                  <c:v>39417</c:v>
                </c:pt>
                <c:pt idx="5">
                  <c:v>39783</c:v>
                </c:pt>
                <c:pt idx="6">
                  <c:v>40148</c:v>
                </c:pt>
                <c:pt idx="7">
                  <c:v>40513</c:v>
                </c:pt>
                <c:pt idx="8">
                  <c:v>40878</c:v>
                </c:pt>
                <c:pt idx="9">
                  <c:v>41244</c:v>
                </c:pt>
              </c:numCache>
            </c:numRef>
          </c:cat>
          <c:val>
            <c:numRef>
              <c:f>IRRh!$I$5:$R$5</c:f>
              <c:numCache>
                <c:formatCode>0.00%</c:formatCode>
                <c:ptCount val="10"/>
                <c:pt idx="0" formatCode="0%">
                  <c:v>0</c:v>
                </c:pt>
                <c:pt idx="1">
                  <c:v>9.614446759223938E-2</c:v>
                </c:pt>
                <c:pt idx="2">
                  <c:v>8.2616749405860904E-2</c:v>
                </c:pt>
                <c:pt idx="3">
                  <c:v>9.0849414467811584E-2</c:v>
                </c:pt>
                <c:pt idx="4">
                  <c:v>9.4108572602272039E-2</c:v>
                </c:pt>
                <c:pt idx="5">
                  <c:v>1.7885234951972969E-2</c:v>
                </c:pt>
                <c:pt idx="6">
                  <c:v>3.4598794579505932E-2</c:v>
                </c:pt>
                <c:pt idx="7">
                  <c:v>3.7978515028953538E-2</c:v>
                </c:pt>
                <c:pt idx="8">
                  <c:v>2.4889865517616273E-2</c:v>
                </c:pt>
                <c:pt idx="9">
                  <c:v>2.7487769722938534E-2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IRRh!$H$6</c:f>
              <c:strCache>
                <c:ptCount val="1"/>
                <c:pt idx="0">
                  <c:v>HFRI Private Issue/Reg D Index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IRRh!$I$1:$R$1</c:f>
              <c:numCache>
                <c:formatCode>[$-409]mmmm\ yyyy;@</c:formatCode>
                <c:ptCount val="10"/>
                <c:pt idx="0">
                  <c:v>38139</c:v>
                </c:pt>
                <c:pt idx="1">
                  <c:v>38322</c:v>
                </c:pt>
                <c:pt idx="2">
                  <c:v>38687</c:v>
                </c:pt>
                <c:pt idx="3">
                  <c:v>39052</c:v>
                </c:pt>
                <c:pt idx="4">
                  <c:v>39417</c:v>
                </c:pt>
                <c:pt idx="5">
                  <c:v>39783</c:v>
                </c:pt>
                <c:pt idx="6">
                  <c:v>40148</c:v>
                </c:pt>
                <c:pt idx="7">
                  <c:v>40513</c:v>
                </c:pt>
                <c:pt idx="8">
                  <c:v>40878</c:v>
                </c:pt>
                <c:pt idx="9">
                  <c:v>41244</c:v>
                </c:pt>
              </c:numCache>
            </c:numRef>
          </c:cat>
          <c:val>
            <c:numRef>
              <c:f>IRRh!$I$6:$R$6</c:f>
              <c:numCache>
                <c:formatCode>0.00%</c:formatCode>
                <c:ptCount val="10"/>
                <c:pt idx="0" formatCode="0%">
                  <c:v>0</c:v>
                </c:pt>
                <c:pt idx="1">
                  <c:v>-6.2614977359771746E-4</c:v>
                </c:pt>
                <c:pt idx="2">
                  <c:v>7.691006958484653E-2</c:v>
                </c:pt>
                <c:pt idx="3">
                  <c:v>7.3561081290245078E-2</c:v>
                </c:pt>
                <c:pt idx="4">
                  <c:v>7.1531674265861531E-2</c:v>
                </c:pt>
                <c:pt idx="5">
                  <c:v>3.113415539264679E-2</c:v>
                </c:pt>
                <c:pt idx="6">
                  <c:v>1.9115552306175239E-2</c:v>
                </c:pt>
                <c:pt idx="7">
                  <c:v>3.5142335295677174E-2</c:v>
                </c:pt>
                <c:pt idx="8">
                  <c:v>3.8749888539314284E-2</c:v>
                </c:pt>
                <c:pt idx="9">
                  <c:v>3.3092698454856864E-2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IRRh!$H$7</c:f>
              <c:strCache>
                <c:ptCount val="1"/>
                <c:pt idx="0">
                  <c:v>Preqin Venture Capital Benchmark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IRRh!$I$1:$R$1</c:f>
              <c:numCache>
                <c:formatCode>[$-409]mmmm\ yyyy;@</c:formatCode>
                <c:ptCount val="10"/>
                <c:pt idx="0">
                  <c:v>38139</c:v>
                </c:pt>
                <c:pt idx="1">
                  <c:v>38322</c:v>
                </c:pt>
                <c:pt idx="2">
                  <c:v>38687</c:v>
                </c:pt>
                <c:pt idx="3">
                  <c:v>39052</c:v>
                </c:pt>
                <c:pt idx="4">
                  <c:v>39417</c:v>
                </c:pt>
                <c:pt idx="5">
                  <c:v>39783</c:v>
                </c:pt>
                <c:pt idx="6">
                  <c:v>40148</c:v>
                </c:pt>
                <c:pt idx="7">
                  <c:v>40513</c:v>
                </c:pt>
                <c:pt idx="8">
                  <c:v>40878</c:v>
                </c:pt>
                <c:pt idx="9">
                  <c:v>41244</c:v>
                </c:pt>
              </c:numCache>
            </c:numRef>
          </c:cat>
          <c:val>
            <c:numRef>
              <c:f>IRRh!$I$7:$R$7</c:f>
              <c:numCache>
                <c:formatCode>0.00%</c:formatCode>
                <c:ptCount val="10"/>
                <c:pt idx="0" formatCode="0%">
                  <c:v>0</c:v>
                </c:pt>
                <c:pt idx="1">
                  <c:v>4.0576705336570748E-2</c:v>
                </c:pt>
                <c:pt idx="2">
                  <c:v>5.7354399561882013E-2</c:v>
                </c:pt>
                <c:pt idx="3">
                  <c:v>6.8683269619941714E-2</c:v>
                </c:pt>
                <c:pt idx="4">
                  <c:v>9.5637223124504109E-2</c:v>
                </c:pt>
                <c:pt idx="5">
                  <c:v>4.0030106902122498E-2</c:v>
                </c:pt>
                <c:pt idx="6">
                  <c:v>4.1437354683876049E-2</c:v>
                </c:pt>
                <c:pt idx="7">
                  <c:v>4.818426668643952E-2</c:v>
                </c:pt>
                <c:pt idx="8">
                  <c:v>4.6168288588523856E-2</c:v>
                </c:pt>
                <c:pt idx="9">
                  <c:v>4.7836729884147638E-2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288128"/>
        <c:axId val="-83287584"/>
      </c:lineChart>
      <c:dateAx>
        <c:axId val="-83288128"/>
        <c:scaling>
          <c:orientation val="minMax"/>
        </c:scaling>
        <c:delete val="0"/>
        <c:axPos val="b"/>
        <c:numFmt formatCode="[$-409]mmmm\ yyyy;@" sourceLinked="1"/>
        <c:majorTickMark val="out"/>
        <c:minorTickMark val="none"/>
        <c:tickLblPos val="nextTo"/>
        <c:crossAx val="-83287584"/>
        <c:crosses val="autoZero"/>
        <c:auto val="1"/>
        <c:lblOffset val="100"/>
        <c:baseTimeUnit val="months"/>
        <c:majorUnit val="1"/>
        <c:majorTimeUnit val="years"/>
      </c:dateAx>
      <c:valAx>
        <c:axId val="-832875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83288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IIRR!$J$1:$Q$1</c:f>
              <c:numCache>
                <c:formatCode>[$-409]mmmm\ yyyy;@</c:formatCode>
                <c:ptCount val="8"/>
                <c:pt idx="0">
                  <c:v>38322</c:v>
                </c:pt>
                <c:pt idx="1">
                  <c:v>38687</c:v>
                </c:pt>
                <c:pt idx="2">
                  <c:v>39052</c:v>
                </c:pt>
                <c:pt idx="3">
                  <c:v>39417</c:v>
                </c:pt>
                <c:pt idx="4">
                  <c:v>39783</c:v>
                </c:pt>
                <c:pt idx="5">
                  <c:v>40148</c:v>
                </c:pt>
                <c:pt idx="6">
                  <c:v>40513</c:v>
                </c:pt>
                <c:pt idx="7">
                  <c:v>40878</c:v>
                </c:pt>
              </c:numCache>
            </c:numRef>
          </c:xVal>
          <c:yVal>
            <c:numRef>
              <c:f>IIRR!$J$2:$Q$2</c:f>
              <c:numCache>
                <c:formatCode>0.00%</c:formatCode>
                <c:ptCount val="8"/>
                <c:pt idx="0">
                  <c:v>-0.68169146701693539</c:v>
                </c:pt>
                <c:pt idx="1">
                  <c:v>4.8674085736274714E-2</c:v>
                </c:pt>
                <c:pt idx="2">
                  <c:v>0.10041553378105164</c:v>
                </c:pt>
                <c:pt idx="3">
                  <c:v>0.10041553378105164</c:v>
                </c:pt>
                <c:pt idx="4">
                  <c:v>0.10151496529579163</c:v>
                </c:pt>
                <c:pt idx="5">
                  <c:v>0.10052960515022277</c:v>
                </c:pt>
                <c:pt idx="6">
                  <c:v>0.10266627669334413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IIRR!$J$1:$Q$1</c:f>
              <c:numCache>
                <c:formatCode>[$-409]mmmm\ yyyy;@</c:formatCode>
                <c:ptCount val="8"/>
                <c:pt idx="0">
                  <c:v>38322</c:v>
                </c:pt>
                <c:pt idx="1">
                  <c:v>38687</c:v>
                </c:pt>
                <c:pt idx="2">
                  <c:v>39052</c:v>
                </c:pt>
                <c:pt idx="3">
                  <c:v>39417</c:v>
                </c:pt>
                <c:pt idx="4">
                  <c:v>39783</c:v>
                </c:pt>
                <c:pt idx="5">
                  <c:v>40148</c:v>
                </c:pt>
                <c:pt idx="6">
                  <c:v>40513</c:v>
                </c:pt>
                <c:pt idx="7">
                  <c:v>40878</c:v>
                </c:pt>
              </c:numCache>
            </c:numRef>
          </c:xVal>
          <c:yVal>
            <c:numRef>
              <c:f>IIRR!$J$3:$Q$3</c:f>
              <c:numCache>
                <c:formatCode>0.00%</c:formatCode>
                <c:ptCount val="8"/>
                <c:pt idx="0">
                  <c:v>0.16668623089790346</c:v>
                </c:pt>
                <c:pt idx="1">
                  <c:v>9.0616664290428167E-2</c:v>
                </c:pt>
                <c:pt idx="2">
                  <c:v>0.11628126502037048</c:v>
                </c:pt>
                <c:pt idx="3">
                  <c:v>9.8773735761642473E-2</c:v>
                </c:pt>
                <c:pt idx="4">
                  <c:v>-2.6981928944587709E-2</c:v>
                </c:pt>
                <c:pt idx="5">
                  <c:v>1.9833609461784366E-2</c:v>
                </c:pt>
                <c:pt idx="6">
                  <c:v>3.8698568940162673E-2</c:v>
                </c:pt>
                <c:pt idx="7">
                  <c:v>3.6368110775947565E-2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296288"/>
        <c:axId val="-83301184"/>
      </c:scatterChart>
      <c:valAx>
        <c:axId val="-83296288"/>
        <c:scaling>
          <c:orientation val="minMax"/>
        </c:scaling>
        <c:delete val="0"/>
        <c:axPos val="b"/>
        <c:numFmt formatCode="[$-409]mmmm\ yyyy;@" sourceLinked="1"/>
        <c:majorTickMark val="out"/>
        <c:minorTickMark val="none"/>
        <c:tickLblPos val="nextTo"/>
        <c:crossAx val="-83301184"/>
        <c:crosses val="autoZero"/>
        <c:crossBetween val="midCat"/>
      </c:valAx>
      <c:valAx>
        <c:axId val="-8330118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83296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IIRR!$K$1:$Q$1</c:f>
              <c:numCache>
                <c:formatCode>[$-409]mmmm\ yyyy;@</c:formatCode>
                <c:ptCount val="7"/>
                <c:pt idx="0">
                  <c:v>38687</c:v>
                </c:pt>
                <c:pt idx="1">
                  <c:v>39052</c:v>
                </c:pt>
                <c:pt idx="2">
                  <c:v>39417</c:v>
                </c:pt>
                <c:pt idx="3">
                  <c:v>39783</c:v>
                </c:pt>
                <c:pt idx="4">
                  <c:v>40148</c:v>
                </c:pt>
                <c:pt idx="5">
                  <c:v>40513</c:v>
                </c:pt>
                <c:pt idx="6">
                  <c:v>40878</c:v>
                </c:pt>
              </c:numCache>
            </c:numRef>
          </c:xVal>
          <c:yVal>
            <c:numRef>
              <c:f>IIRR!$K$2:$Q$2</c:f>
              <c:numCache>
                <c:formatCode>0.00%</c:formatCode>
                <c:ptCount val="7"/>
                <c:pt idx="0">
                  <c:v>4.8674085736274714E-2</c:v>
                </c:pt>
                <c:pt idx="1">
                  <c:v>0.10041553378105164</c:v>
                </c:pt>
                <c:pt idx="2">
                  <c:v>0.10041553378105164</c:v>
                </c:pt>
                <c:pt idx="3">
                  <c:v>0.10151496529579163</c:v>
                </c:pt>
                <c:pt idx="4">
                  <c:v>0.10052960515022277</c:v>
                </c:pt>
                <c:pt idx="5">
                  <c:v>0.10266627669334413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IIRR!$K$1:$Q$1</c:f>
              <c:numCache>
                <c:formatCode>[$-409]mmmm\ yyyy;@</c:formatCode>
                <c:ptCount val="7"/>
                <c:pt idx="0">
                  <c:v>38687</c:v>
                </c:pt>
                <c:pt idx="1">
                  <c:v>39052</c:v>
                </c:pt>
                <c:pt idx="2">
                  <c:v>39417</c:v>
                </c:pt>
                <c:pt idx="3">
                  <c:v>39783</c:v>
                </c:pt>
                <c:pt idx="4">
                  <c:v>40148</c:v>
                </c:pt>
                <c:pt idx="5">
                  <c:v>40513</c:v>
                </c:pt>
                <c:pt idx="6">
                  <c:v>40878</c:v>
                </c:pt>
              </c:numCache>
            </c:numRef>
          </c:xVal>
          <c:yVal>
            <c:numRef>
              <c:f>IIRR!$K$3:$Q$3</c:f>
              <c:numCache>
                <c:formatCode>0.00%</c:formatCode>
                <c:ptCount val="7"/>
                <c:pt idx="0">
                  <c:v>9.0616664290428167E-2</c:v>
                </c:pt>
                <c:pt idx="1">
                  <c:v>0.11628126502037048</c:v>
                </c:pt>
                <c:pt idx="2">
                  <c:v>9.8773735761642473E-2</c:v>
                </c:pt>
                <c:pt idx="3">
                  <c:v>-2.6981928944587709E-2</c:v>
                </c:pt>
                <c:pt idx="4">
                  <c:v>1.9833609461784366E-2</c:v>
                </c:pt>
                <c:pt idx="5">
                  <c:v>3.8698568940162673E-2</c:v>
                </c:pt>
                <c:pt idx="6">
                  <c:v>3.6368110775947565E-2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300096"/>
        <c:axId val="-83299552"/>
      </c:scatterChart>
      <c:valAx>
        <c:axId val="-83300096"/>
        <c:scaling>
          <c:orientation val="minMax"/>
        </c:scaling>
        <c:delete val="0"/>
        <c:axPos val="b"/>
        <c:numFmt formatCode="[$-409]mmmm\ yyyy;@" sourceLinked="1"/>
        <c:majorTickMark val="out"/>
        <c:minorTickMark val="none"/>
        <c:tickLblPos val="nextTo"/>
        <c:crossAx val="-83299552"/>
        <c:crosses val="autoZero"/>
        <c:crossBetween val="midCat"/>
      </c:valAx>
      <c:valAx>
        <c:axId val="-832995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83300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7043" cy="627269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0941" cy="62752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33</xdr:row>
      <xdr:rowOff>14287</xdr:rowOff>
    </xdr:from>
    <xdr:to>
      <xdr:col>6</xdr:col>
      <xdr:colOff>695325</xdr:colOff>
      <xdr:row>47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504825</xdr:colOff>
      <xdr:row>84</xdr:row>
      <xdr:rowOff>100012</xdr:rowOff>
    </xdr:from>
    <xdr:to>
      <xdr:col>13</xdr:col>
      <xdr:colOff>609600</xdr:colOff>
      <xdr:row>98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800100</xdr:colOff>
      <xdr:row>33</xdr:row>
      <xdr:rowOff>14287</xdr:rowOff>
    </xdr:from>
    <xdr:to>
      <xdr:col>11</xdr:col>
      <xdr:colOff>571500</xdr:colOff>
      <xdr:row>47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47625</xdr:colOff>
      <xdr:row>33</xdr:row>
      <xdr:rowOff>23812</xdr:rowOff>
    </xdr:from>
    <xdr:to>
      <xdr:col>17</xdr:col>
      <xdr:colOff>323850</xdr:colOff>
      <xdr:row>47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0941" cy="62752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37</xdr:row>
      <xdr:rowOff>14287</xdr:rowOff>
    </xdr:from>
    <xdr:to>
      <xdr:col>6</xdr:col>
      <xdr:colOff>695325</xdr:colOff>
      <xdr:row>51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962025</xdr:colOff>
      <xdr:row>97</xdr:row>
      <xdr:rowOff>147637</xdr:rowOff>
    </xdr:from>
    <xdr:to>
      <xdr:col>8</xdr:col>
      <xdr:colOff>66675</xdr:colOff>
      <xdr:row>112</xdr:row>
      <xdr:rowOff>33337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800100</xdr:colOff>
      <xdr:row>37</xdr:row>
      <xdr:rowOff>14287</xdr:rowOff>
    </xdr:from>
    <xdr:to>
      <xdr:col>11</xdr:col>
      <xdr:colOff>571500</xdr:colOff>
      <xdr:row>51</xdr:row>
      <xdr:rowOff>90487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47625</xdr:colOff>
      <xdr:row>37</xdr:row>
      <xdr:rowOff>23812</xdr:rowOff>
    </xdr:from>
    <xdr:to>
      <xdr:col>17</xdr:col>
      <xdr:colOff>323850</xdr:colOff>
      <xdr:row>51</xdr:row>
      <xdr:rowOff>100012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topLeftCell="C1" workbookViewId="0">
      <selection activeCell="F267" sqref="F267"/>
    </sheetView>
  </sheetViews>
  <sheetFormatPr defaultRowHeight="14.4" x14ac:dyDescent="0.3"/>
  <cols>
    <col min="1" max="1" width="16" bestFit="1" customWidth="1"/>
    <col min="2" max="2" width="15.33203125" bestFit="1" customWidth="1"/>
    <col min="3" max="3" width="15" bestFit="1" customWidth="1"/>
    <col min="4" max="5" width="15.33203125" bestFit="1" customWidth="1"/>
    <col min="6" max="6" width="14.33203125" bestFit="1" customWidth="1"/>
    <col min="7" max="8" width="15" bestFit="1" customWidth="1"/>
    <col min="9" max="10" width="15.109375" bestFit="1" customWidth="1"/>
    <col min="11" max="12" width="14.6640625" bestFit="1" customWidth="1"/>
    <col min="13" max="13" width="15.109375" bestFit="1" customWidth="1"/>
    <col min="14" max="17" width="14.6640625" bestFit="1" customWidth="1"/>
  </cols>
  <sheetData>
    <row r="1" spans="1:17" ht="19.8" x14ac:dyDescent="0.4">
      <c r="A1" s="58" t="s">
        <v>357</v>
      </c>
      <c r="G1" s="135" t="s">
        <v>371</v>
      </c>
      <c r="H1" s="130"/>
      <c r="I1" s="131">
        <v>38139</v>
      </c>
      <c r="J1" s="131">
        <v>38322</v>
      </c>
      <c r="K1" s="131">
        <v>38687</v>
      </c>
      <c r="L1" s="131">
        <v>39052</v>
      </c>
      <c r="M1" s="131">
        <v>39417</v>
      </c>
      <c r="N1" s="131">
        <v>39783</v>
      </c>
      <c r="O1" s="131">
        <v>40148</v>
      </c>
      <c r="P1" s="131">
        <v>40513</v>
      </c>
      <c r="Q1" s="131">
        <v>40878</v>
      </c>
    </row>
    <row r="2" spans="1:17" x14ac:dyDescent="0.3">
      <c r="A2" s="59">
        <v>2004</v>
      </c>
      <c r="B2" s="59"/>
      <c r="H2" s="130" t="s">
        <v>357</v>
      </c>
      <c r="I2" s="132">
        <v>0</v>
      </c>
      <c r="J2" s="133">
        <f>XIRR(A4:B4,A3:B3)</f>
        <v>-0.68169146701693539</v>
      </c>
      <c r="K2" s="133">
        <f>XIRR(A8:F8,A7:F7)</f>
        <v>4.8674085736274714E-2</v>
      </c>
      <c r="L2" s="133">
        <f>XIRR(A12:I12,A11:I11)</f>
        <v>0.10041553378105164</v>
      </c>
      <c r="M2" s="133">
        <f>XIRR(A16:I16,A15:I15)</f>
        <v>0.10041553378105164</v>
      </c>
      <c r="N2" s="133">
        <f>XIRR(A20:M20,A19:M19)</f>
        <v>0.10151496529579163</v>
      </c>
      <c r="O2" s="133">
        <f>XIRR(A24:O24,A23:O23)</f>
        <v>0.10052960515022277</v>
      </c>
      <c r="P2" s="133">
        <f>XIRR(A28:P28,A27:P27)</f>
        <v>0.10266627669334413</v>
      </c>
      <c r="Q2" s="130"/>
    </row>
    <row r="3" spans="1:17" x14ac:dyDescent="0.3">
      <c r="A3" s="60">
        <f>'IRR Calcs'!A2</f>
        <v>38142</v>
      </c>
      <c r="B3" s="60">
        <f>'IRR Calcs'!Q3</f>
        <v>38352</v>
      </c>
      <c r="H3" s="130" t="s">
        <v>15</v>
      </c>
      <c r="I3" s="132">
        <v>0</v>
      </c>
      <c r="J3" s="133">
        <f>XIRR(A37:B37,A36:B36)</f>
        <v>0.16668623089790346</v>
      </c>
      <c r="K3" s="133">
        <f>XIRR(A41:B41,A40:B40)</f>
        <v>9.0616664290428167E-2</v>
      </c>
      <c r="L3" s="133">
        <f>XIRR(A45:B45,A44:B44)</f>
        <v>0.11628126502037048</v>
      </c>
      <c r="M3" s="133">
        <f>XIRR(A49:B49,A48:B48)</f>
        <v>9.8773735761642473E-2</v>
      </c>
      <c r="N3" s="133">
        <f>XIRR(A53:B53,A52:B52)</f>
        <v>-2.6981928944587709E-2</v>
      </c>
      <c r="O3" s="133">
        <f>XIRR(A57:B57,A56:B56)</f>
        <v>1.9833609461784366E-2</v>
      </c>
      <c r="P3" s="133">
        <f>XIRR(A61:B61,A60:B60)</f>
        <v>3.8698568940162673E-2</v>
      </c>
      <c r="Q3" s="133">
        <f>XIRR(A65:B65,A64:B64)</f>
        <v>3.6368110775947565E-2</v>
      </c>
    </row>
    <row r="4" spans="1:17" x14ac:dyDescent="0.3">
      <c r="A4" s="61">
        <f>'IRR Calcs'!B2</f>
        <v>-34000000</v>
      </c>
      <c r="B4" s="61">
        <f>D8*(DAYS360(A3,B3)/DAYS360(A3,D7))</f>
        <v>17597315.436241612</v>
      </c>
      <c r="D4" s="37"/>
      <c r="H4" s="130" t="s">
        <v>67</v>
      </c>
      <c r="I4" s="132">
        <v>0</v>
      </c>
      <c r="J4" s="133">
        <f>XIRR(G54:H54,G53:H53)</f>
        <v>9.614446759223938E-2</v>
      </c>
      <c r="K4" s="133">
        <f>XIRR(G58:H58,G57:H57)</f>
        <v>8.2616749405860904E-2</v>
      </c>
      <c r="L4" s="133">
        <f>XIRR(G62:H62,G61:H61)</f>
        <v>9.0849414467811584E-2</v>
      </c>
      <c r="M4" s="133">
        <f>XIRR(G66:H66,G65:H65)</f>
        <v>9.4108572602272039E-2</v>
      </c>
      <c r="N4" s="133">
        <f>XIRR(G70:H70,G69:H69)</f>
        <v>1.7885234951972969E-2</v>
      </c>
      <c r="O4" s="133">
        <f>XIRR(G74:H74,G73:H73)</f>
        <v>3.4598794579505932E-2</v>
      </c>
      <c r="P4" s="133">
        <f>XIRR(G78:H78,G77:H77)</f>
        <v>3.7978515028953538E-2</v>
      </c>
      <c r="Q4" s="133">
        <f>XIRR(G82:H82,G81:H81)</f>
        <v>2.4889865517616273E-2</v>
      </c>
    </row>
    <row r="5" spans="1:17" x14ac:dyDescent="0.3">
      <c r="H5" s="134" t="s">
        <v>368</v>
      </c>
      <c r="I5" s="132">
        <v>0</v>
      </c>
      <c r="J5" s="133">
        <f>XIRR(D54:E54,D53:E53)</f>
        <v>-6.2614977359771746E-4</v>
      </c>
      <c r="K5" s="133">
        <f>XIRR(D58:E58,D57:E57)</f>
        <v>7.691006958484653E-2</v>
      </c>
      <c r="L5" s="133">
        <f>XIRR(D62:E62,D61:E61)</f>
        <v>7.3561081290245078E-2</v>
      </c>
      <c r="M5" s="133">
        <f>XIRR(D66:E66,D65:E65)</f>
        <v>7.1531674265861531E-2</v>
      </c>
      <c r="N5" s="133">
        <f>XIRR(D70:E70,D69:E69)</f>
        <v>3.113415539264679E-2</v>
      </c>
      <c r="O5" s="133">
        <f>XIRR(D74:E74,D73:E73)</f>
        <v>1.9115552306175239E-2</v>
      </c>
      <c r="P5" s="133">
        <f>XIRR(D78:E78,D77:E77)</f>
        <v>3.5142335295677174E-2</v>
      </c>
      <c r="Q5" s="133">
        <f>XIRR(D82:E82,D81:E81)</f>
        <v>3.8749888539314284E-2</v>
      </c>
    </row>
    <row r="6" spans="1:17" x14ac:dyDescent="0.3">
      <c r="A6" s="59">
        <v>2005</v>
      </c>
      <c r="B6" s="59"/>
      <c r="C6" s="59"/>
      <c r="D6" s="59"/>
      <c r="E6" s="59"/>
      <c r="F6" s="59"/>
      <c r="H6" s="130" t="s">
        <v>369</v>
      </c>
      <c r="I6" s="132">
        <v>0</v>
      </c>
      <c r="J6" s="133">
        <f>XIRR(M54:N54,M53:N53)</f>
        <v>4.0576705336570748E-2</v>
      </c>
      <c r="K6" s="133">
        <f>XIRR(M58:N58,M57:N57)</f>
        <v>5.7354399561882013E-2</v>
      </c>
      <c r="L6" s="133">
        <f>XIRR(M62:N62,M61:N61)</f>
        <v>6.8683269619941714E-2</v>
      </c>
      <c r="M6" s="133">
        <f>XIRR(M66:N66,M65:N65)</f>
        <v>9.5637223124504109E-2</v>
      </c>
      <c r="N6" s="133">
        <f>XIRR(M70:N70,M69:N69)</f>
        <v>4.0030106902122498E-2</v>
      </c>
      <c r="O6" s="133">
        <f>XIRR(M74:N74,M73:N73)</f>
        <v>4.1437354683876049E-2</v>
      </c>
      <c r="P6" s="133">
        <f>XIRR(M78:N78,M77:N77)</f>
        <v>4.818426668643952E-2</v>
      </c>
      <c r="Q6" s="133">
        <f>XIRR(M82:N82,M81:N81)</f>
        <v>4.6168288588523856E-2</v>
      </c>
    </row>
    <row r="7" spans="1:17" x14ac:dyDescent="0.3">
      <c r="A7" s="60">
        <f>A3</f>
        <v>38142</v>
      </c>
      <c r="B7" s="60">
        <f>'IRR Calcs'!A12</f>
        <v>38472</v>
      </c>
      <c r="C7" s="60">
        <f>'IRR Calcs'!A15</f>
        <v>38564</v>
      </c>
      <c r="D7" s="60">
        <f>'IRR Calcs'!A16</f>
        <v>38595</v>
      </c>
      <c r="E7" s="60">
        <f>'IRR Calcs'!A18</f>
        <v>38656</v>
      </c>
      <c r="F7" s="60">
        <v>38698</v>
      </c>
    </row>
    <row r="8" spans="1:17" x14ac:dyDescent="0.3">
      <c r="A8" s="61">
        <f>A4</f>
        <v>-34000000</v>
      </c>
      <c r="B8" s="61">
        <f>'IRR Calcs'!C12</f>
        <v>-6530000</v>
      </c>
      <c r="C8" s="61">
        <f>'IRR Calcs'!C15</f>
        <v>84890</v>
      </c>
      <c r="D8" s="61">
        <f>'IRR Calcs'!B16</f>
        <v>38000000</v>
      </c>
      <c r="E8" s="61">
        <f>'IRR Calcs'!C18</f>
        <v>84890</v>
      </c>
      <c r="F8" s="61">
        <f>F12*(DAYS360(B7,F7)/DAYS360(B7,F11))+G12*(DAYS360(B7,F7)/DAYS360(B7,G11))</f>
        <v>4592980.611111111</v>
      </c>
      <c r="H8" s="41"/>
    </row>
    <row r="9" spans="1:17" x14ac:dyDescent="0.3">
      <c r="A9" s="41"/>
      <c r="B9" s="41"/>
      <c r="C9" s="41"/>
      <c r="D9" s="41"/>
      <c r="E9" s="41"/>
      <c r="F9" s="41"/>
      <c r="G9" s="41"/>
      <c r="H9" s="43" t="s">
        <v>30</v>
      </c>
      <c r="I9">
        <v>0</v>
      </c>
      <c r="J9" s="46">
        <f>XIRR(J54:K54,J53:K53)</f>
        <v>0.30655727982521053</v>
      </c>
      <c r="K9" s="46">
        <f>XIRR(J58:K58,J57:K57)</f>
        <v>0.23940041661262509</v>
      </c>
      <c r="L9" s="46">
        <f>XIRR(J62:K62,J61:K61)</f>
        <v>0.22027679085731508</v>
      </c>
      <c r="M9" s="46">
        <f>XIRR(J66:K66,J65:K65)</f>
        <v>0.19636877179145815</v>
      </c>
      <c r="N9" s="46">
        <f>XIRR(J70:K70,J69:K69)</f>
        <v>8.9749386906623846E-2</v>
      </c>
      <c r="O9" s="46">
        <f>XIRR(J74:K74,J73:K73)</f>
        <v>9.2100879549980183E-2</v>
      </c>
      <c r="P9" s="46">
        <f>XIRR(J78:K78,J77:K77)</f>
        <v>9.7061675786972057E-2</v>
      </c>
      <c r="Q9" s="46">
        <f>XIRR(J82:K82,J81:K81)</f>
        <v>7.8054603934288036E-2</v>
      </c>
    </row>
    <row r="10" spans="1:17" x14ac:dyDescent="0.3">
      <c r="A10" s="59">
        <v>2006</v>
      </c>
      <c r="B10" s="59"/>
      <c r="C10" s="59"/>
      <c r="D10" s="59"/>
      <c r="E10" s="59"/>
      <c r="F10" s="59"/>
      <c r="G10" s="59"/>
      <c r="H10" s="59"/>
      <c r="I10" s="59"/>
    </row>
    <row r="11" spans="1:17" x14ac:dyDescent="0.3">
      <c r="A11" s="60">
        <f t="shared" ref="A11:E12" si="0">A7</f>
        <v>38142</v>
      </c>
      <c r="B11" s="60">
        <f t="shared" si="0"/>
        <v>38472</v>
      </c>
      <c r="C11" s="60">
        <f t="shared" si="0"/>
        <v>38564</v>
      </c>
      <c r="D11" s="60">
        <f t="shared" si="0"/>
        <v>38595</v>
      </c>
      <c r="E11" s="60">
        <f t="shared" si="0"/>
        <v>38656</v>
      </c>
      <c r="F11" s="60">
        <f>'IRR Calcs'!A21</f>
        <v>38748</v>
      </c>
      <c r="G11" s="60">
        <f>'IRR Calcs'!A24</f>
        <v>38837</v>
      </c>
      <c r="H11" s="60">
        <f>'IRR Calcs'!A25</f>
        <v>38868</v>
      </c>
      <c r="I11" s="60">
        <f>'IRR Calcs'!A27</f>
        <v>38929</v>
      </c>
    </row>
    <row r="12" spans="1:17" x14ac:dyDescent="0.3">
      <c r="A12" s="61">
        <f t="shared" si="0"/>
        <v>-34000000</v>
      </c>
      <c r="B12" s="61">
        <f t="shared" si="0"/>
        <v>-6530000</v>
      </c>
      <c r="C12" s="61">
        <f t="shared" si="0"/>
        <v>84890</v>
      </c>
      <c r="D12" s="61">
        <f t="shared" si="0"/>
        <v>38000000</v>
      </c>
      <c r="E12" s="61">
        <f t="shared" si="0"/>
        <v>84890</v>
      </c>
      <c r="F12" s="61">
        <f>'IRR Calcs'!C21</f>
        <v>84890</v>
      </c>
      <c r="G12" s="61">
        <f>'IRR Calcs'!C24</f>
        <v>7334890</v>
      </c>
      <c r="H12" s="61">
        <f>'IRR Calcs'!D25</f>
        <v>-7000000</v>
      </c>
      <c r="I12" s="61">
        <f>'IRR Calcs'!D27</f>
        <v>7000000</v>
      </c>
    </row>
    <row r="14" spans="1:17" x14ac:dyDescent="0.3">
      <c r="A14" s="59">
        <v>2007</v>
      </c>
      <c r="B14" s="59"/>
      <c r="C14" s="59"/>
      <c r="D14" s="59"/>
      <c r="E14" s="59"/>
      <c r="F14" s="59"/>
      <c r="G14" s="59"/>
      <c r="H14" s="59"/>
      <c r="I14" s="59"/>
    </row>
    <row r="15" spans="1:17" x14ac:dyDescent="0.3">
      <c r="A15" s="60">
        <f t="shared" ref="A15:I15" si="1">A11</f>
        <v>38142</v>
      </c>
      <c r="B15" s="60">
        <f t="shared" si="1"/>
        <v>38472</v>
      </c>
      <c r="C15" s="60">
        <f t="shared" si="1"/>
        <v>38564</v>
      </c>
      <c r="D15" s="60">
        <f t="shared" si="1"/>
        <v>38595</v>
      </c>
      <c r="E15" s="60">
        <f t="shared" si="1"/>
        <v>38656</v>
      </c>
      <c r="F15" s="60">
        <f t="shared" si="1"/>
        <v>38748</v>
      </c>
      <c r="G15" s="60">
        <f t="shared" si="1"/>
        <v>38837</v>
      </c>
      <c r="H15" s="60">
        <f t="shared" si="1"/>
        <v>38868</v>
      </c>
      <c r="I15" s="60">
        <f t="shared" si="1"/>
        <v>38929</v>
      </c>
    </row>
    <row r="16" spans="1:17" x14ac:dyDescent="0.3">
      <c r="A16" s="61">
        <f t="shared" ref="A16:I16" si="2">A12</f>
        <v>-34000000</v>
      </c>
      <c r="B16" s="61">
        <f t="shared" si="2"/>
        <v>-6530000</v>
      </c>
      <c r="C16" s="61">
        <f t="shared" si="2"/>
        <v>84890</v>
      </c>
      <c r="D16" s="61">
        <f t="shared" si="2"/>
        <v>38000000</v>
      </c>
      <c r="E16" s="61">
        <f t="shared" si="2"/>
        <v>84890</v>
      </c>
      <c r="F16" s="61">
        <f t="shared" si="2"/>
        <v>84890</v>
      </c>
      <c r="G16" s="61">
        <f t="shared" si="2"/>
        <v>7334890</v>
      </c>
      <c r="H16" s="61">
        <f t="shared" si="2"/>
        <v>-7000000</v>
      </c>
      <c r="I16" s="61">
        <f t="shared" si="2"/>
        <v>7000000</v>
      </c>
    </row>
    <row r="18" spans="1:17" x14ac:dyDescent="0.3">
      <c r="A18" s="59">
        <v>2008</v>
      </c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</row>
    <row r="19" spans="1:17" x14ac:dyDescent="0.3">
      <c r="A19" s="60">
        <f t="shared" ref="A19:I19" si="3">A15</f>
        <v>38142</v>
      </c>
      <c r="B19" s="60">
        <f t="shared" si="3"/>
        <v>38472</v>
      </c>
      <c r="C19" s="60">
        <f t="shared" si="3"/>
        <v>38564</v>
      </c>
      <c r="D19" s="60">
        <f t="shared" si="3"/>
        <v>38595</v>
      </c>
      <c r="E19" s="60">
        <f t="shared" si="3"/>
        <v>38656</v>
      </c>
      <c r="F19" s="60">
        <f t="shared" si="3"/>
        <v>38748</v>
      </c>
      <c r="G19" s="60">
        <f t="shared" si="3"/>
        <v>38837</v>
      </c>
      <c r="H19" s="60">
        <f t="shared" si="3"/>
        <v>38868</v>
      </c>
      <c r="I19" s="60">
        <f t="shared" si="3"/>
        <v>38929</v>
      </c>
      <c r="J19" s="60">
        <f>'IRR Calcs'!A50</f>
        <v>39657</v>
      </c>
      <c r="K19" s="60">
        <f>'IRR Calcs'!A52</f>
        <v>39701</v>
      </c>
      <c r="L19" s="60">
        <f>'IRR Calcs'!A54</f>
        <v>39780</v>
      </c>
      <c r="M19" s="60">
        <f>'IRR Calcs'!A55</f>
        <v>39810</v>
      </c>
    </row>
    <row r="20" spans="1:17" x14ac:dyDescent="0.3">
      <c r="A20" s="61">
        <f t="shared" ref="A20:I20" si="4">A16</f>
        <v>-34000000</v>
      </c>
      <c r="B20" s="61">
        <f t="shared" si="4"/>
        <v>-6530000</v>
      </c>
      <c r="C20" s="61">
        <f t="shared" si="4"/>
        <v>84890</v>
      </c>
      <c r="D20" s="61">
        <f t="shared" si="4"/>
        <v>38000000</v>
      </c>
      <c r="E20" s="61">
        <f t="shared" si="4"/>
        <v>84890</v>
      </c>
      <c r="F20" s="61">
        <f t="shared" si="4"/>
        <v>84890</v>
      </c>
      <c r="G20" s="61">
        <f t="shared" si="4"/>
        <v>7334890</v>
      </c>
      <c r="H20" s="61">
        <f t="shared" si="4"/>
        <v>-7000000</v>
      </c>
      <c r="I20" s="61">
        <f t="shared" si="4"/>
        <v>7000000</v>
      </c>
      <c r="J20" s="61">
        <f>'IRR Calcs'!E50</f>
        <v>-190000</v>
      </c>
      <c r="K20" s="61">
        <f>'IRR Calcs'!E52</f>
        <v>220000.00000000003</v>
      </c>
      <c r="L20" s="61">
        <f>'IRR Calcs'!F54</f>
        <v>-280000</v>
      </c>
      <c r="M20" s="61">
        <f>'IRR Calcs'!F55</f>
        <v>330000</v>
      </c>
    </row>
    <row r="22" spans="1:17" x14ac:dyDescent="0.3">
      <c r="A22" s="59">
        <v>2009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</row>
    <row r="23" spans="1:17" x14ac:dyDescent="0.3">
      <c r="A23" s="60">
        <f t="shared" ref="A23:M23" si="5">A19</f>
        <v>38142</v>
      </c>
      <c r="B23" s="60">
        <f t="shared" si="5"/>
        <v>38472</v>
      </c>
      <c r="C23" s="60">
        <f t="shared" si="5"/>
        <v>38564</v>
      </c>
      <c r="D23" s="60">
        <f t="shared" si="5"/>
        <v>38595</v>
      </c>
      <c r="E23" s="60">
        <f t="shared" si="5"/>
        <v>38656</v>
      </c>
      <c r="F23" s="60">
        <f t="shared" si="5"/>
        <v>38748</v>
      </c>
      <c r="G23" s="60">
        <f t="shared" si="5"/>
        <v>38837</v>
      </c>
      <c r="H23" s="60">
        <f t="shared" si="5"/>
        <v>38868</v>
      </c>
      <c r="I23" s="60">
        <f t="shared" si="5"/>
        <v>38929</v>
      </c>
      <c r="J23" s="60">
        <f t="shared" si="5"/>
        <v>39657</v>
      </c>
      <c r="K23" s="60">
        <f t="shared" si="5"/>
        <v>39701</v>
      </c>
      <c r="L23" s="60">
        <f t="shared" si="5"/>
        <v>39780</v>
      </c>
      <c r="M23" s="60">
        <f t="shared" si="5"/>
        <v>39810</v>
      </c>
      <c r="N23" s="60">
        <f>'IRR Calcs'!A61</f>
        <v>39994</v>
      </c>
      <c r="O23" s="60">
        <v>40178</v>
      </c>
    </row>
    <row r="24" spans="1:17" x14ac:dyDescent="0.3">
      <c r="A24" s="61">
        <f t="shared" ref="A24:M24" si="6">A20</f>
        <v>-34000000</v>
      </c>
      <c r="B24" s="61">
        <f t="shared" si="6"/>
        <v>-6530000</v>
      </c>
      <c r="C24" s="61">
        <f t="shared" si="6"/>
        <v>84890</v>
      </c>
      <c r="D24" s="61">
        <f t="shared" si="6"/>
        <v>38000000</v>
      </c>
      <c r="E24" s="61">
        <f t="shared" si="6"/>
        <v>84890</v>
      </c>
      <c r="F24" s="61">
        <f t="shared" si="6"/>
        <v>84890</v>
      </c>
      <c r="G24" s="61">
        <f t="shared" si="6"/>
        <v>7334890</v>
      </c>
      <c r="H24" s="61">
        <f t="shared" si="6"/>
        <v>-7000000</v>
      </c>
      <c r="I24" s="61">
        <f t="shared" si="6"/>
        <v>7000000</v>
      </c>
      <c r="J24" s="61">
        <f t="shared" si="6"/>
        <v>-190000</v>
      </c>
      <c r="K24" s="61">
        <f t="shared" si="6"/>
        <v>220000.00000000003</v>
      </c>
      <c r="L24" s="61">
        <f t="shared" si="6"/>
        <v>-280000</v>
      </c>
      <c r="M24" s="61">
        <f t="shared" si="6"/>
        <v>330000</v>
      </c>
      <c r="N24" s="61">
        <f>'IRR Calcs'!H61</f>
        <v>-250000</v>
      </c>
      <c r="O24" s="61">
        <f>O28*(DAYS360(N23,O23)/DAYS360(N23,O27))+P28*(DAYS360(N23,O23)/DAYS360(N23,P27))</f>
        <v>186936.36363636365</v>
      </c>
    </row>
    <row r="26" spans="1:17" x14ac:dyDescent="0.3">
      <c r="A26" s="59">
        <v>2010</v>
      </c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</row>
    <row r="27" spans="1:17" x14ac:dyDescent="0.3">
      <c r="A27" s="60">
        <f t="shared" ref="A27:N27" si="7">A23</f>
        <v>38142</v>
      </c>
      <c r="B27" s="60">
        <f t="shared" si="7"/>
        <v>38472</v>
      </c>
      <c r="C27" s="60">
        <f t="shared" si="7"/>
        <v>38564</v>
      </c>
      <c r="D27" s="60">
        <f t="shared" si="7"/>
        <v>38595</v>
      </c>
      <c r="E27" s="60">
        <f t="shared" si="7"/>
        <v>38656</v>
      </c>
      <c r="F27" s="60">
        <f t="shared" si="7"/>
        <v>38748</v>
      </c>
      <c r="G27" s="60">
        <f t="shared" si="7"/>
        <v>38837</v>
      </c>
      <c r="H27" s="60">
        <f t="shared" si="7"/>
        <v>38868</v>
      </c>
      <c r="I27" s="60">
        <f t="shared" si="7"/>
        <v>38929</v>
      </c>
      <c r="J27" s="60">
        <f t="shared" si="7"/>
        <v>39657</v>
      </c>
      <c r="K27" s="60">
        <f t="shared" si="7"/>
        <v>39701</v>
      </c>
      <c r="L27" s="60">
        <f t="shared" si="7"/>
        <v>39780</v>
      </c>
      <c r="M27" s="60">
        <f t="shared" si="7"/>
        <v>39810</v>
      </c>
      <c r="N27" s="60">
        <f t="shared" si="7"/>
        <v>39994</v>
      </c>
      <c r="O27" s="60">
        <f>'IRR Calcs'!A72</f>
        <v>40329</v>
      </c>
      <c r="P27" s="60">
        <f>'IRR Calcs'!A79</f>
        <v>40543</v>
      </c>
    </row>
    <row r="28" spans="1:17" x14ac:dyDescent="0.3">
      <c r="A28" s="61">
        <f t="shared" ref="A28:N28" si="8">A24</f>
        <v>-34000000</v>
      </c>
      <c r="B28" s="61">
        <f t="shared" si="8"/>
        <v>-6530000</v>
      </c>
      <c r="C28" s="61">
        <f t="shared" si="8"/>
        <v>84890</v>
      </c>
      <c r="D28" s="61">
        <f t="shared" si="8"/>
        <v>38000000</v>
      </c>
      <c r="E28" s="61">
        <f t="shared" si="8"/>
        <v>84890</v>
      </c>
      <c r="F28" s="61">
        <f t="shared" si="8"/>
        <v>84890</v>
      </c>
      <c r="G28" s="61">
        <f t="shared" si="8"/>
        <v>7334890</v>
      </c>
      <c r="H28" s="61">
        <f t="shared" si="8"/>
        <v>-7000000</v>
      </c>
      <c r="I28" s="61">
        <f t="shared" si="8"/>
        <v>7000000</v>
      </c>
      <c r="J28" s="61">
        <f t="shared" si="8"/>
        <v>-190000</v>
      </c>
      <c r="K28" s="61">
        <f t="shared" si="8"/>
        <v>220000.00000000003</v>
      </c>
      <c r="L28" s="61">
        <f t="shared" si="8"/>
        <v>-280000</v>
      </c>
      <c r="M28" s="61">
        <f t="shared" si="8"/>
        <v>330000</v>
      </c>
      <c r="N28" s="61">
        <f t="shared" si="8"/>
        <v>-250000</v>
      </c>
      <c r="O28" s="61">
        <f>'IRR Calcs'!H72</f>
        <v>300000</v>
      </c>
      <c r="P28" s="61">
        <f>'IRR Calcs'!H79</f>
        <v>69900.000000000058</v>
      </c>
    </row>
    <row r="30" spans="1:17" x14ac:dyDescent="0.3">
      <c r="A30" s="59">
        <v>2011</v>
      </c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</row>
    <row r="31" spans="1:17" x14ac:dyDescent="0.3">
      <c r="A31" s="60">
        <f>A27</f>
        <v>38142</v>
      </c>
      <c r="B31" s="60">
        <f t="shared" ref="B31:P31" si="9">B27</f>
        <v>38472</v>
      </c>
      <c r="C31" s="60">
        <f t="shared" si="9"/>
        <v>38564</v>
      </c>
      <c r="D31" s="60">
        <f t="shared" si="9"/>
        <v>38595</v>
      </c>
      <c r="E31" s="60">
        <f t="shared" si="9"/>
        <v>38656</v>
      </c>
      <c r="F31" s="60">
        <f t="shared" si="9"/>
        <v>38748</v>
      </c>
      <c r="G31" s="60">
        <f t="shared" si="9"/>
        <v>38837</v>
      </c>
      <c r="H31" s="60">
        <f t="shared" si="9"/>
        <v>38868</v>
      </c>
      <c r="I31" s="60">
        <f t="shared" si="9"/>
        <v>38929</v>
      </c>
      <c r="J31" s="60">
        <f t="shared" si="9"/>
        <v>39657</v>
      </c>
      <c r="K31" s="60">
        <f t="shared" si="9"/>
        <v>39701</v>
      </c>
      <c r="L31" s="60">
        <f t="shared" si="9"/>
        <v>39780</v>
      </c>
      <c r="M31" s="60">
        <f t="shared" si="9"/>
        <v>39810</v>
      </c>
      <c r="N31" s="60">
        <f t="shared" si="9"/>
        <v>39994</v>
      </c>
      <c r="O31" s="60">
        <f t="shared" si="9"/>
        <v>40329</v>
      </c>
      <c r="P31" s="60">
        <f t="shared" si="9"/>
        <v>40543</v>
      </c>
      <c r="Q31" s="19">
        <v>40908</v>
      </c>
    </row>
    <row r="32" spans="1:17" x14ac:dyDescent="0.3">
      <c r="A32" s="61">
        <f>A28</f>
        <v>-34000000</v>
      </c>
      <c r="B32" s="61">
        <f t="shared" ref="B32:P32" si="10">B28</f>
        <v>-6530000</v>
      </c>
      <c r="C32" s="61">
        <f t="shared" si="10"/>
        <v>84890</v>
      </c>
      <c r="D32" s="61">
        <f t="shared" si="10"/>
        <v>38000000</v>
      </c>
      <c r="E32" s="61">
        <f t="shared" si="10"/>
        <v>84890</v>
      </c>
      <c r="F32" s="61">
        <f t="shared" si="10"/>
        <v>84890</v>
      </c>
      <c r="G32" s="61">
        <f t="shared" si="10"/>
        <v>7334890</v>
      </c>
      <c r="H32" s="61">
        <f t="shared" si="10"/>
        <v>-7000000</v>
      </c>
      <c r="I32" s="61">
        <f t="shared" si="10"/>
        <v>7000000</v>
      </c>
      <c r="J32" s="61">
        <f t="shared" si="10"/>
        <v>-190000</v>
      </c>
      <c r="K32" s="61">
        <f t="shared" si="10"/>
        <v>220000.00000000003</v>
      </c>
      <c r="L32" s="61">
        <f t="shared" si="10"/>
        <v>-280000</v>
      </c>
      <c r="M32" s="61">
        <f t="shared" si="10"/>
        <v>330000</v>
      </c>
      <c r="N32" s="61">
        <f t="shared" si="10"/>
        <v>-250000</v>
      </c>
      <c r="O32" s="61">
        <f t="shared" si="10"/>
        <v>300000</v>
      </c>
      <c r="P32" s="61">
        <f t="shared" si="10"/>
        <v>69900.000000000058</v>
      </c>
    </row>
    <row r="34" spans="1:2" x14ac:dyDescent="0.3">
      <c r="A34" s="58" t="s">
        <v>16</v>
      </c>
    </row>
    <row r="35" spans="1:2" x14ac:dyDescent="0.3">
      <c r="A35" s="59">
        <v>2004</v>
      </c>
      <c r="B35" s="59"/>
    </row>
    <row r="36" spans="1:2" x14ac:dyDescent="0.3">
      <c r="A36" s="60">
        <f>A3</f>
        <v>38142</v>
      </c>
      <c r="B36" s="60">
        <f>B3</f>
        <v>38352</v>
      </c>
    </row>
    <row r="37" spans="1:2" x14ac:dyDescent="0.3">
      <c r="A37" s="61">
        <v>-1000000</v>
      </c>
      <c r="B37" s="61">
        <f>-A37*(1+'S&amp;P'!S3)</f>
        <v>1092751.7785966028</v>
      </c>
    </row>
    <row r="38" spans="1:2" x14ac:dyDescent="0.3">
      <c r="A38" s="59"/>
      <c r="B38" s="59"/>
    </row>
    <row r="39" spans="1:2" x14ac:dyDescent="0.3">
      <c r="A39" s="59">
        <v>2005</v>
      </c>
      <c r="B39" s="59"/>
    </row>
    <row r="40" spans="1:2" x14ac:dyDescent="0.3">
      <c r="A40" s="60">
        <f>A36</f>
        <v>38142</v>
      </c>
      <c r="B40" s="60">
        <v>38717</v>
      </c>
    </row>
    <row r="41" spans="1:2" x14ac:dyDescent="0.3">
      <c r="A41" s="61">
        <f>A37</f>
        <v>-1000000</v>
      </c>
      <c r="B41" s="61">
        <f>-A41*(1+'S&amp;P'!S3)*(1+'S&amp;P'!S4)</f>
        <v>1146427.261532034</v>
      </c>
    </row>
    <row r="42" spans="1:2" x14ac:dyDescent="0.3">
      <c r="A42" s="59"/>
      <c r="B42" s="59"/>
    </row>
    <row r="43" spans="1:2" x14ac:dyDescent="0.3">
      <c r="A43" s="59">
        <v>2006</v>
      </c>
      <c r="B43" s="59"/>
    </row>
    <row r="44" spans="1:2" x14ac:dyDescent="0.3">
      <c r="A44" s="60">
        <f>A40</f>
        <v>38142</v>
      </c>
      <c r="B44" s="60">
        <v>39082</v>
      </c>
    </row>
    <row r="45" spans="1:2" x14ac:dyDescent="0.3">
      <c r="A45" s="61">
        <f>A41</f>
        <v>-1000000</v>
      </c>
      <c r="B45" s="61">
        <f>-A41*(1+'S&amp;P'!S3)*(1+'S&amp;P'!S4)*(1+'S&amp;P'!S5)</f>
        <v>1327496.7755725635</v>
      </c>
    </row>
    <row r="46" spans="1:2" x14ac:dyDescent="0.3">
      <c r="A46" s="59"/>
      <c r="B46" s="59"/>
    </row>
    <row r="47" spans="1:2" x14ac:dyDescent="0.3">
      <c r="A47" s="59">
        <v>2007</v>
      </c>
      <c r="B47" s="59"/>
    </row>
    <row r="48" spans="1:2" x14ac:dyDescent="0.3">
      <c r="A48" s="60">
        <f>A44</f>
        <v>38142</v>
      </c>
      <c r="B48" s="60">
        <v>39447</v>
      </c>
    </row>
    <row r="49" spans="1:14" x14ac:dyDescent="0.3">
      <c r="A49" s="61">
        <f>A45</f>
        <v>-1000000</v>
      </c>
      <c r="B49" s="61">
        <f>-A41*(1+'S&amp;P'!S3)*(1+'S&amp;P'!S4)*(1+'S&amp;P'!S5)*(1+'S&amp;P'!S6)</f>
        <v>1400428.9520793001</v>
      </c>
    </row>
    <row r="50" spans="1:14" x14ac:dyDescent="0.3">
      <c r="A50" s="59"/>
      <c r="B50" s="59"/>
      <c r="J50" s="73" t="s">
        <v>370</v>
      </c>
    </row>
    <row r="51" spans="1:14" x14ac:dyDescent="0.3">
      <c r="A51" s="59">
        <v>2008</v>
      </c>
      <c r="B51" s="59"/>
      <c r="D51" s="58" t="s">
        <v>354</v>
      </c>
      <c r="G51" s="58" t="s">
        <v>21</v>
      </c>
      <c r="J51" s="58" t="s">
        <v>347</v>
      </c>
      <c r="M51" s="58" t="s">
        <v>349</v>
      </c>
    </row>
    <row r="52" spans="1:14" x14ac:dyDescent="0.3">
      <c r="A52" s="60">
        <f>A48</f>
        <v>38142</v>
      </c>
      <c r="B52" s="60">
        <v>39813</v>
      </c>
      <c r="D52" s="59">
        <v>2004</v>
      </c>
      <c r="E52" s="59"/>
      <c r="G52" s="59">
        <v>2004</v>
      </c>
      <c r="H52" s="59"/>
      <c r="J52" s="59">
        <v>2004</v>
      </c>
      <c r="K52" s="59"/>
      <c r="M52" s="59">
        <v>2004</v>
      </c>
      <c r="N52" s="59"/>
    </row>
    <row r="53" spans="1:14" x14ac:dyDescent="0.3">
      <c r="A53" s="61">
        <f>A49</f>
        <v>-1000000</v>
      </c>
      <c r="B53" s="61">
        <f>-A41*(1+'S&amp;P'!S3)*(1+'S&amp;P'!S4)*(1+'S&amp;P'!S5)*(1+'S&amp;P'!S6)*(1+'S&amp;P'!S7)</f>
        <v>882300.50449233782</v>
      </c>
      <c r="D53" s="60">
        <f>A36</f>
        <v>38142</v>
      </c>
      <c r="E53" s="60">
        <v>38352</v>
      </c>
      <c r="G53" s="60">
        <f>D53</f>
        <v>38142</v>
      </c>
      <c r="H53" s="60">
        <v>38352</v>
      </c>
      <c r="J53" s="60">
        <f>G53</f>
        <v>38142</v>
      </c>
      <c r="K53" s="60">
        <v>38352</v>
      </c>
      <c r="M53" s="60">
        <f>J53</f>
        <v>38142</v>
      </c>
      <c r="N53" s="60">
        <v>38352</v>
      </c>
    </row>
    <row r="54" spans="1:14" x14ac:dyDescent="0.3">
      <c r="A54" s="59"/>
      <c r="B54" s="59"/>
      <c r="D54" s="61">
        <v>-1000000</v>
      </c>
      <c r="E54" s="61">
        <f>-D54*(1+HFR!S10)</f>
        <v>999639.70163800393</v>
      </c>
      <c r="G54" s="61">
        <f>D54</f>
        <v>-1000000</v>
      </c>
      <c r="H54" s="61">
        <f>-G54*(1+HFR!T10)</f>
        <v>1054235.5009387338</v>
      </c>
      <c r="J54" s="61">
        <f>G54</f>
        <v>-1000000</v>
      </c>
      <c r="K54" s="61">
        <f>-J54*(1+PE!N9)</f>
        <v>1166309.0128755365</v>
      </c>
      <c r="M54" s="61">
        <f>J54</f>
        <v>-1000000</v>
      </c>
      <c r="N54" s="61">
        <f>-M54*(1+PE!O9)</f>
        <v>1023148.1481481481</v>
      </c>
    </row>
    <row r="55" spans="1:14" x14ac:dyDescent="0.3">
      <c r="A55" s="59">
        <v>2009</v>
      </c>
      <c r="B55" s="59"/>
      <c r="D55" s="59"/>
      <c r="E55" s="59"/>
      <c r="G55" s="59"/>
      <c r="H55" s="59"/>
      <c r="J55" s="59"/>
      <c r="K55" s="59"/>
      <c r="M55" s="59"/>
      <c r="N55" s="59"/>
    </row>
    <row r="56" spans="1:14" x14ac:dyDescent="0.3">
      <c r="A56" s="60">
        <f>A52</f>
        <v>38142</v>
      </c>
      <c r="B56" s="60">
        <v>40178</v>
      </c>
      <c r="D56" s="59">
        <v>2005</v>
      </c>
      <c r="E56" s="59"/>
      <c r="G56" s="59">
        <v>2005</v>
      </c>
      <c r="H56" s="59"/>
      <c r="J56" s="59">
        <v>2005</v>
      </c>
      <c r="K56" s="59"/>
      <c r="M56" s="59">
        <v>2005</v>
      </c>
      <c r="N56" s="59"/>
    </row>
    <row r="57" spans="1:14" x14ac:dyDescent="0.3">
      <c r="A57" s="61">
        <f>A53</f>
        <v>-1000000</v>
      </c>
      <c r="B57" s="61">
        <f>-A41*(1+'S&amp;P'!S3)*(1+'S&amp;P'!S4)*(1+'S&amp;P'!S5)*(1+'S&amp;P'!S6)*(1+'S&amp;P'!S7)*(1+'S&amp;P'!S8)</f>
        <v>1115776.6140818452</v>
      </c>
      <c r="D57" s="60">
        <f>D53</f>
        <v>38142</v>
      </c>
      <c r="E57" s="60">
        <v>38717</v>
      </c>
      <c r="G57" s="60">
        <f>G53</f>
        <v>38142</v>
      </c>
      <c r="H57" s="60">
        <v>38717</v>
      </c>
      <c r="J57" s="60">
        <f>J53</f>
        <v>38142</v>
      </c>
      <c r="K57" s="60">
        <v>38717</v>
      </c>
      <c r="M57" s="60">
        <f>M53</f>
        <v>38142</v>
      </c>
      <c r="N57" s="60">
        <v>38717</v>
      </c>
    </row>
    <row r="58" spans="1:14" x14ac:dyDescent="0.3">
      <c r="A58" s="59"/>
      <c r="B58" s="59"/>
      <c r="D58" s="61">
        <f>D54</f>
        <v>-1000000</v>
      </c>
      <c r="E58" s="61">
        <f>-D54*(1+HFR!S10)*(1+HFR!S11)</f>
        <v>1123811.922656388</v>
      </c>
      <c r="G58" s="61">
        <f>G54</f>
        <v>-1000000</v>
      </c>
      <c r="H58" s="61">
        <f>-G54*(1+HFR!T10)*(1+HFR!T11)</f>
        <v>1133207.7184770498</v>
      </c>
      <c r="J58" s="61">
        <f>J54</f>
        <v>-1000000</v>
      </c>
      <c r="K58" s="61">
        <f>-J58*(1+PE!N9)*(1+PE!N10)</f>
        <v>1402297.7969555685</v>
      </c>
      <c r="M58" s="61">
        <f>M54</f>
        <v>-1000000</v>
      </c>
      <c r="N58" s="61">
        <f>-M58*(1+PE!O9)*(1+PE!O10)</f>
        <v>1091831.7043895747</v>
      </c>
    </row>
    <row r="59" spans="1:14" x14ac:dyDescent="0.3">
      <c r="A59" s="59">
        <v>2010</v>
      </c>
      <c r="B59" s="59"/>
      <c r="D59" s="59"/>
      <c r="E59" s="59"/>
      <c r="G59" s="59"/>
      <c r="H59" s="59"/>
      <c r="J59" s="59"/>
      <c r="K59" s="59"/>
      <c r="M59" s="59"/>
      <c r="N59" s="59"/>
    </row>
    <row r="60" spans="1:14" x14ac:dyDescent="0.3">
      <c r="A60" s="60">
        <f>A56</f>
        <v>38142</v>
      </c>
      <c r="B60" s="60">
        <v>40543</v>
      </c>
      <c r="D60" s="59">
        <v>2006</v>
      </c>
      <c r="E60" s="59"/>
      <c r="G60" s="59">
        <v>2006</v>
      </c>
      <c r="H60" s="59"/>
      <c r="J60" s="59">
        <v>2006</v>
      </c>
      <c r="K60" s="59"/>
      <c r="M60" s="59">
        <v>2006</v>
      </c>
      <c r="N60" s="59"/>
    </row>
    <row r="61" spans="1:14" x14ac:dyDescent="0.3">
      <c r="A61" s="61">
        <f>A57</f>
        <v>-1000000</v>
      </c>
      <c r="B61" s="61">
        <f>-A41*(1+'S&amp;P'!S3)*(1+'S&amp;P'!S4)*(1+'S&amp;P'!S5)*(1+'S&amp;P'!S6)*(1+'S&amp;P'!S7)*(1+'S&amp;P'!S8)*(1+'S&amp;P'!S9)</f>
        <v>1283717.6515498171</v>
      </c>
      <c r="D61" s="60">
        <f>D57</f>
        <v>38142</v>
      </c>
      <c r="E61" s="60">
        <v>39082</v>
      </c>
      <c r="G61" s="60">
        <f>G57</f>
        <v>38142</v>
      </c>
      <c r="H61" s="60">
        <v>39082</v>
      </c>
      <c r="J61" s="60">
        <f>J57</f>
        <v>38142</v>
      </c>
      <c r="K61" s="60">
        <v>39082</v>
      </c>
      <c r="M61" s="60">
        <f>M57</f>
        <v>38142</v>
      </c>
      <c r="N61" s="60">
        <v>39082</v>
      </c>
    </row>
    <row r="62" spans="1:14" x14ac:dyDescent="0.3">
      <c r="A62" s="59"/>
      <c r="B62" s="59"/>
      <c r="D62" s="61">
        <f>D58</f>
        <v>-1000000</v>
      </c>
      <c r="E62" s="61">
        <f>-D62*(1+HFR!S10)*(1+HFR!S11)*(1+HFR!S12)</f>
        <v>1200575.4602635135</v>
      </c>
      <c r="G62" s="61">
        <f>G58</f>
        <v>-1000000</v>
      </c>
      <c r="H62" s="61">
        <f>-G62*(1+HFR!T10)*(1+HFR!T11)*(1+HFR!T12)</f>
        <v>1250999.9698942346</v>
      </c>
      <c r="J62" s="61">
        <f>J58</f>
        <v>-1000000</v>
      </c>
      <c r="K62" s="61">
        <f>-J58*(1+PE!N9)*(1+PE!N10)*(1+PE!N11)</f>
        <v>1669782.3589371291</v>
      </c>
      <c r="M62" s="61">
        <f>M58</f>
        <v>-1000000</v>
      </c>
      <c r="N62" s="61">
        <f>-M58*(1+PE!O9)*(1+PE!O10)*(1+PE!O11)</f>
        <v>1186577.4308035462</v>
      </c>
    </row>
    <row r="63" spans="1:14" x14ac:dyDescent="0.3">
      <c r="A63" s="59">
        <v>2011</v>
      </c>
      <c r="B63" s="59"/>
      <c r="D63" s="59"/>
      <c r="E63" s="59"/>
      <c r="G63" s="59"/>
      <c r="H63" s="59"/>
      <c r="J63" s="59"/>
      <c r="K63" s="59"/>
      <c r="M63" s="59"/>
      <c r="N63" s="59"/>
    </row>
    <row r="64" spans="1:14" x14ac:dyDescent="0.3">
      <c r="A64" s="60">
        <f>A60</f>
        <v>38142</v>
      </c>
      <c r="B64" s="60">
        <v>40908</v>
      </c>
      <c r="D64" s="59">
        <v>2007</v>
      </c>
      <c r="E64" s="59"/>
      <c r="G64" s="59">
        <v>2007</v>
      </c>
      <c r="H64" s="59"/>
      <c r="J64" s="59">
        <v>2007</v>
      </c>
      <c r="K64" s="59"/>
      <c r="M64" s="59">
        <v>2007</v>
      </c>
      <c r="N64" s="59"/>
    </row>
    <row r="65" spans="1:14" x14ac:dyDescent="0.3">
      <c r="A65" s="61">
        <f>A61</f>
        <v>-1000000</v>
      </c>
      <c r="B65" s="61">
        <f>-A41*(1+'S&amp;P'!S3)*(1+'S&amp;P'!S4)*(1+'S&amp;P'!S5)*(1+'S&amp;P'!S6)*(1+'S&amp;P'!S7)*(1+'S&amp;P'!S8)*(1+'S&amp;P'!S9)*(1+'S&amp;P'!S10)</f>
        <v>1310891.3158553971</v>
      </c>
      <c r="D65" s="60">
        <f>D61</f>
        <v>38142</v>
      </c>
      <c r="E65" s="60">
        <v>39447</v>
      </c>
      <c r="G65" s="60">
        <f>G61</f>
        <v>38142</v>
      </c>
      <c r="H65" s="60">
        <v>39447</v>
      </c>
      <c r="J65" s="60">
        <f>J61</f>
        <v>38142</v>
      </c>
      <c r="K65" s="60">
        <v>39447</v>
      </c>
      <c r="M65" s="60">
        <f>M61</f>
        <v>38142</v>
      </c>
      <c r="N65" s="60">
        <v>39447</v>
      </c>
    </row>
    <row r="66" spans="1:14" x14ac:dyDescent="0.3">
      <c r="D66" s="61">
        <f>D62</f>
        <v>-1000000</v>
      </c>
      <c r="E66" s="61">
        <f>-D66*(1+HFR!S10)*(1+HFR!S11)*(1+HFR!S12)*(1+HFR!S13)</f>
        <v>1280201.1073324904</v>
      </c>
      <c r="G66" s="61">
        <f>G62</f>
        <v>-1000000</v>
      </c>
      <c r="H66" s="61">
        <f>-G66*(1+HFR!T10)*(1+HFR!T11)*(1+HFR!T12)*(1+HFR!T13)</f>
        <v>1379286.1808687625</v>
      </c>
      <c r="J66" s="61">
        <f>J62</f>
        <v>-1000000</v>
      </c>
      <c r="K66" s="61">
        <f>-J58*(1+PE!N9)*(1+PE!N10)*(1+PE!N11)*(1+PE!N12)</f>
        <v>1898428.6933143155</v>
      </c>
      <c r="M66" s="61">
        <f>M62</f>
        <v>-1000000</v>
      </c>
      <c r="N66" s="61">
        <f>-M58*(1+PE!O9)*(1+PE!O10)*(1+PE!O11)*(1+PE!O12)</f>
        <v>1386188.5873873204</v>
      </c>
    </row>
    <row r="67" spans="1:14" x14ac:dyDescent="0.3">
      <c r="A67">
        <v>2012</v>
      </c>
      <c r="D67" s="59"/>
      <c r="E67" s="59"/>
      <c r="G67" s="59"/>
      <c r="H67" s="59"/>
      <c r="J67" s="59"/>
      <c r="K67" s="59"/>
      <c r="M67" s="59"/>
      <c r="N67" s="59"/>
    </row>
    <row r="68" spans="1:14" x14ac:dyDescent="0.3">
      <c r="A68" s="19">
        <v>38142</v>
      </c>
      <c r="B68" s="19">
        <v>41274</v>
      </c>
      <c r="D68" s="59">
        <v>2008</v>
      </c>
      <c r="E68" s="59"/>
      <c r="G68" s="59">
        <v>2008</v>
      </c>
      <c r="H68" s="59"/>
      <c r="J68" s="59">
        <v>2008</v>
      </c>
      <c r="K68" s="59"/>
      <c r="M68" s="59">
        <v>2008</v>
      </c>
      <c r="N68" s="59"/>
    </row>
    <row r="69" spans="1:14" x14ac:dyDescent="0.3">
      <c r="A69" s="45">
        <f>A65</f>
        <v>-1000000</v>
      </c>
      <c r="B69" s="41">
        <f>-A41*(1+'S&amp;P'!S3)*(1+'S&amp;P'!S4)*(1+'S&amp;P'!S5)*(1+'S&amp;P'!S6)*(1+'S&amp;P'!S7)*(1+'S&amp;P'!S8)*(1+'S&amp;P'!S9)*(1+'S&amp;P'!S10)*(1+'S&amp;P'!S11)</f>
        <v>1460351.6882174993</v>
      </c>
      <c r="D69" s="60">
        <f>D65</f>
        <v>38142</v>
      </c>
      <c r="E69" s="60">
        <v>39813</v>
      </c>
      <c r="G69" s="60">
        <f>G65</f>
        <v>38142</v>
      </c>
      <c r="H69" s="60">
        <v>39813</v>
      </c>
      <c r="J69" s="60">
        <f>J65</f>
        <v>38142</v>
      </c>
      <c r="K69" s="60">
        <v>39813</v>
      </c>
      <c r="M69" s="60">
        <f>M65</f>
        <v>38142</v>
      </c>
      <c r="N69" s="60">
        <v>39813</v>
      </c>
    </row>
    <row r="70" spans="1:14" x14ac:dyDescent="0.3">
      <c r="D70" s="61">
        <f>D66</f>
        <v>-1000000</v>
      </c>
      <c r="E70" s="61">
        <f>-D70*(1+HFR!S10)*(1+HFR!S11)*(1+HFR!S12)*(1+HFR!S13)*(1+HFR!S14)</f>
        <v>1150688.9832380044</v>
      </c>
      <c r="G70" s="61">
        <f>G66</f>
        <v>-1000000</v>
      </c>
      <c r="H70" s="61">
        <f>-G70*(1+HFR!T10)*(1+HFR!T11)*(1+HFR!T12)*(1+HFR!T13)*(1+HFR!T14)</f>
        <v>1084540.5722466775</v>
      </c>
      <c r="J70" s="61">
        <f>J66</f>
        <v>-1000000</v>
      </c>
      <c r="K70" s="61">
        <f>-J58*(1+PE!N9)*(1+PE!N10)*(1+PE!N11)*(1+PE!N12)*(1+PE!N13)</f>
        <v>1482123.5179276231</v>
      </c>
      <c r="M70" s="61">
        <f>M66</f>
        <v>-1000000</v>
      </c>
      <c r="N70" s="61">
        <f>-M58*(1+PE!O9)*(1+PE!O10)*(1+PE!O11)*(1+PE!O12)*(1+PE!O13)</f>
        <v>1196844.1091775852</v>
      </c>
    </row>
    <row r="71" spans="1:14" x14ac:dyDescent="0.3">
      <c r="A71">
        <v>2013</v>
      </c>
      <c r="D71" s="59"/>
      <c r="E71" s="59"/>
      <c r="G71" s="59"/>
      <c r="H71" s="59"/>
      <c r="J71" s="59"/>
      <c r="K71" s="59"/>
      <c r="M71" s="59"/>
      <c r="N71" s="59"/>
    </row>
    <row r="72" spans="1:14" x14ac:dyDescent="0.3">
      <c r="A72" s="19">
        <v>38142</v>
      </c>
      <c r="B72" s="19">
        <v>41455</v>
      </c>
      <c r="D72" s="59">
        <v>2009</v>
      </c>
      <c r="E72" s="59"/>
      <c r="G72" s="59">
        <v>2009</v>
      </c>
      <c r="H72" s="59"/>
      <c r="J72" s="59">
        <v>2009</v>
      </c>
      <c r="K72" s="59"/>
      <c r="M72" s="59">
        <v>2009</v>
      </c>
      <c r="N72" s="59"/>
    </row>
    <row r="73" spans="1:14" x14ac:dyDescent="0.3">
      <c r="A73" s="45">
        <f>A69</f>
        <v>-1000000</v>
      </c>
      <c r="B73" s="41">
        <f>B69*(1+'S&amp;P'!S12)</f>
        <v>1662393.6785862036</v>
      </c>
      <c r="D73" s="60">
        <f>D69</f>
        <v>38142</v>
      </c>
      <c r="E73" s="60">
        <v>40178</v>
      </c>
      <c r="G73" s="60">
        <f>G69</f>
        <v>38142</v>
      </c>
      <c r="H73" s="60">
        <v>40178</v>
      </c>
      <c r="J73" s="60">
        <f>J69</f>
        <v>38142</v>
      </c>
      <c r="K73" s="60">
        <v>40178</v>
      </c>
      <c r="M73" s="60">
        <f>M69</f>
        <v>38142</v>
      </c>
      <c r="N73" s="60">
        <v>40178</v>
      </c>
    </row>
    <row r="74" spans="1:14" x14ac:dyDescent="0.3">
      <c r="D74" s="61">
        <f>D70</f>
        <v>-1000000</v>
      </c>
      <c r="E74" s="61">
        <f>-D74*(1+HFR!S10)*(1+HFR!S11)*(1+HFR!S12)*(1+HFR!S13)*(1+HFR!S14)*(1+HFR!S15)</f>
        <v>1111401.4747811838</v>
      </c>
      <c r="G74" s="61">
        <f>G70</f>
        <v>-1000000</v>
      </c>
      <c r="H74" s="61">
        <f>-G74*(1+HFR!T10)*(1+HFR!T11)*(1+HFR!T12)*(1+HFR!T13)*(1+HFR!T14)*(1+HFR!T15)</f>
        <v>1208924.7176644953</v>
      </c>
      <c r="J74" s="61">
        <f>J70</f>
        <v>-1000000</v>
      </c>
      <c r="K74" s="61">
        <f>-J58*(1+PE!N9)*(1+PE!N10)*(1+PE!N11)*(1+PE!N12)*(1+PE!N13)*(1+PE!N14)</f>
        <v>1634680.1990503713</v>
      </c>
      <c r="M74" s="61">
        <f>M70</f>
        <v>-1000000</v>
      </c>
      <c r="N74" s="61">
        <f>-M58*(1+PE!O9)*(1+PE!O10)*(1+PE!O11)*(1+PE!O12)*(1+PE!O13)*(1+PE!O14)</f>
        <v>1254177.9587190263</v>
      </c>
    </row>
    <row r="75" spans="1:14" x14ac:dyDescent="0.3">
      <c r="D75" s="59"/>
      <c r="E75" s="59"/>
      <c r="G75" s="59"/>
      <c r="H75" s="59"/>
      <c r="J75" s="59"/>
      <c r="K75" s="59"/>
      <c r="M75" s="59"/>
      <c r="N75" s="59"/>
    </row>
    <row r="76" spans="1:14" x14ac:dyDescent="0.3">
      <c r="D76" s="59">
        <v>2010</v>
      </c>
      <c r="E76" s="59"/>
      <c r="G76" s="59">
        <v>2010</v>
      </c>
      <c r="H76" s="59"/>
      <c r="J76" s="59">
        <v>2010</v>
      </c>
      <c r="K76" s="59"/>
      <c r="M76" s="59">
        <v>2010</v>
      </c>
      <c r="N76" s="59"/>
    </row>
    <row r="77" spans="1:14" x14ac:dyDescent="0.3">
      <c r="D77" s="60">
        <f>D73</f>
        <v>38142</v>
      </c>
      <c r="E77" s="60">
        <v>40543</v>
      </c>
      <c r="G77" s="60">
        <f>G73</f>
        <v>38142</v>
      </c>
      <c r="H77" s="60">
        <v>40543</v>
      </c>
      <c r="J77" s="60">
        <f>J73</f>
        <v>38142</v>
      </c>
      <c r="K77" s="60">
        <v>40543</v>
      </c>
      <c r="M77" s="60">
        <f>M73</f>
        <v>38142</v>
      </c>
      <c r="N77" s="60">
        <v>40543</v>
      </c>
    </row>
    <row r="78" spans="1:14" x14ac:dyDescent="0.3">
      <c r="D78" s="61">
        <f>D74</f>
        <v>-1000000</v>
      </c>
      <c r="E78" s="61">
        <f>-D78*(1+HFR!S10)*(1+HFR!S11)*(1+HFR!S12)*(1+HFR!S13)*(1+HFR!S14)*(1+HFR!S15)*(1+HFR!S16)</f>
        <v>1255080.8497244809</v>
      </c>
      <c r="G78" s="61">
        <f>G74</f>
        <v>-1000000</v>
      </c>
      <c r="H78" s="61">
        <f>-G78*(1+HFR!T10)*(1+HFR!T11)*(1+HFR!T12)*(1+HFR!T13)*(1+HFR!T14)*(1+HFR!T15)*(1+HFR!T16)</f>
        <v>1277875.0253509344</v>
      </c>
      <c r="J78" s="61">
        <f>J74</f>
        <v>-1000000</v>
      </c>
      <c r="K78" s="61">
        <f>-J58*(1+PE!N9)*(1+PE!N10)*(1+PE!N11)*(1+PE!N12)*(1+PE!N13)*(1+PE!N14)*(1+PE!N15)</f>
        <v>1839259.9365363161</v>
      </c>
      <c r="M78" s="61">
        <f>M74</f>
        <v>-1000000</v>
      </c>
      <c r="N78" s="61">
        <f>-M58*(1+PE!O9)*(1+PE!O10)*(1+PE!O11)*(1+PE!O12)*(1+PE!O13)*(1+PE!O14)*(1+PE!O15)</f>
        <v>1362826.143466814</v>
      </c>
    </row>
    <row r="79" spans="1:14" x14ac:dyDescent="0.3">
      <c r="D79" s="59"/>
      <c r="E79" s="59"/>
      <c r="G79" s="59"/>
      <c r="H79" s="59"/>
      <c r="J79" s="59"/>
      <c r="K79" s="59"/>
      <c r="M79" s="59"/>
      <c r="N79" s="59"/>
    </row>
    <row r="80" spans="1:14" x14ac:dyDescent="0.3">
      <c r="D80" s="59">
        <v>2011</v>
      </c>
      <c r="E80" s="59"/>
      <c r="G80" s="59">
        <v>2011</v>
      </c>
      <c r="H80" s="59"/>
      <c r="J80" s="59">
        <v>2011</v>
      </c>
      <c r="K80" s="59"/>
      <c r="M80" s="59">
        <v>2011</v>
      </c>
      <c r="N80" s="59"/>
    </row>
    <row r="81" spans="4:14" x14ac:dyDescent="0.3">
      <c r="D81" s="60">
        <f>D77</f>
        <v>38142</v>
      </c>
      <c r="E81" s="60">
        <v>40908</v>
      </c>
      <c r="G81" s="60">
        <f>G77</f>
        <v>38142</v>
      </c>
      <c r="H81" s="60">
        <v>40908</v>
      </c>
      <c r="J81" s="60">
        <f>J77</f>
        <v>38142</v>
      </c>
      <c r="K81" s="60">
        <v>40908</v>
      </c>
      <c r="M81" s="60">
        <f>M77</f>
        <v>38142</v>
      </c>
      <c r="N81" s="60">
        <v>40908</v>
      </c>
    </row>
    <row r="82" spans="4:14" x14ac:dyDescent="0.3">
      <c r="D82" s="61">
        <f>D78</f>
        <v>-1000000</v>
      </c>
      <c r="E82" s="61">
        <f>-D82*(1+HFR!S10)*(1+HFR!S11)*(1+HFR!S12)*(1+HFR!S13)*(1+HFR!S14)*(1+HFR!S15)*(1+HFR!S16)*(1+HFR!S17)</f>
        <v>1333895.0063543827</v>
      </c>
      <c r="G82" s="61">
        <f>G78</f>
        <v>-1000000</v>
      </c>
      <c r="H82" s="61">
        <f>-G82*(1+HFR!T10)*(1+HFR!T11)*(1+HFR!T12)*(1+HFR!T13)*(1+HFR!T14)*(1+HFR!T15)*(1+HFR!T16)*(1+HFR!T17)</f>
        <v>1204793.7076192014</v>
      </c>
      <c r="J82" s="61">
        <f>J78</f>
        <v>-1000000</v>
      </c>
      <c r="K82" s="61">
        <f>-J58*(1+PE!N9)*(1+PE!N10)*(1+PE!N11)*(1+PE!N12)*(1+PE!N13)*(1+PE!N14)*(1+PE!N15)*(1+PE!N16)</f>
        <v>1767479.3916233424</v>
      </c>
      <c r="M82" s="61">
        <f>M78</f>
        <v>-1000000</v>
      </c>
      <c r="N82" s="61">
        <f>-M58*(1+PE!O9)*(1+PE!O10)*(1+PE!O11)*(1+PE!O12)*(1+PE!O13)*(1+PE!O14)*(1+PE!O15)*(1+PE!O16)</f>
        <v>1407803.9039772698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86"/>
  <sheetViews>
    <sheetView workbookViewId="0">
      <selection activeCell="A9" sqref="A9"/>
    </sheetView>
  </sheetViews>
  <sheetFormatPr defaultRowHeight="14.4" x14ac:dyDescent="0.3"/>
  <cols>
    <col min="9" max="9" width="12.5546875" bestFit="1" customWidth="1"/>
    <col min="10" max="11" width="9.6640625" bestFit="1" customWidth="1"/>
    <col min="19" max="19" width="9.5546875" bestFit="1" customWidth="1"/>
    <col min="20" max="20" width="9.88671875" bestFit="1" customWidth="1"/>
  </cols>
  <sheetData>
    <row r="1" spans="1:38" x14ac:dyDescent="0.3">
      <c r="B1" t="s">
        <v>66</v>
      </c>
    </row>
    <row r="2" spans="1:38" x14ac:dyDescent="0.3">
      <c r="B2" t="s">
        <v>67</v>
      </c>
    </row>
    <row r="3" spans="1:38" x14ac:dyDescent="0.3">
      <c r="G3" s="44" t="s">
        <v>343</v>
      </c>
      <c r="I3" s="44" t="s">
        <v>344</v>
      </c>
      <c r="K3" s="44" t="s">
        <v>19</v>
      </c>
      <c r="M3" s="44" t="s">
        <v>20</v>
      </c>
      <c r="S3" s="44" t="s">
        <v>341</v>
      </c>
      <c r="T3" s="44" t="s">
        <v>342</v>
      </c>
      <c r="U3" s="44" t="s">
        <v>65</v>
      </c>
      <c r="V3" s="44" t="s">
        <v>21</v>
      </c>
      <c r="X3">
        <v>2004</v>
      </c>
      <c r="Z3">
        <v>2005</v>
      </c>
      <c r="AB3">
        <v>2006</v>
      </c>
      <c r="AD3">
        <v>2007</v>
      </c>
      <c r="AF3">
        <v>2008</v>
      </c>
      <c r="AH3">
        <v>2009</v>
      </c>
      <c r="AJ3">
        <v>2010</v>
      </c>
      <c r="AL3">
        <v>2011</v>
      </c>
    </row>
    <row r="4" spans="1:38" x14ac:dyDescent="0.3">
      <c r="A4" t="s">
        <v>68</v>
      </c>
      <c r="B4" t="s">
        <v>65</v>
      </c>
      <c r="C4" t="s">
        <v>67</v>
      </c>
      <c r="E4" t="s">
        <v>65</v>
      </c>
      <c r="F4" t="s">
        <v>21</v>
      </c>
      <c r="G4" t="s">
        <v>345</v>
      </c>
      <c r="H4" t="s">
        <v>346</v>
      </c>
      <c r="I4" t="s">
        <v>345</v>
      </c>
      <c r="J4" t="s">
        <v>346</v>
      </c>
      <c r="K4" t="s">
        <v>345</v>
      </c>
      <c r="L4" t="s">
        <v>346</v>
      </c>
      <c r="M4" t="s">
        <v>345</v>
      </c>
      <c r="N4" t="s">
        <v>346</v>
      </c>
      <c r="R4" s="44" t="s">
        <v>17</v>
      </c>
      <c r="S4" s="19">
        <v>38142</v>
      </c>
      <c r="T4" s="19">
        <v>38595</v>
      </c>
      <c r="U4" s="37">
        <f>G192-1</f>
        <v>0.13445675648690614</v>
      </c>
      <c r="V4" s="48">
        <f>H192-1</f>
        <v>9.1965605204734402E-2</v>
      </c>
    </row>
    <row r="5" spans="1:38" x14ac:dyDescent="0.3">
      <c r="A5" s="4" t="s">
        <v>69</v>
      </c>
      <c r="C5">
        <v>7.0000000000000007E-2</v>
      </c>
      <c r="E5" s="37"/>
      <c r="F5" s="37">
        <f>C5*0.01</f>
        <v>7.000000000000001E-4</v>
      </c>
      <c r="R5" s="44" t="s">
        <v>18</v>
      </c>
      <c r="S5" s="19">
        <v>38472</v>
      </c>
      <c r="T5" s="19">
        <f>'IRR by year'!H10</f>
        <v>38929</v>
      </c>
      <c r="U5" s="43">
        <f>I203-1</f>
        <v>0.1143092764472875</v>
      </c>
      <c r="V5" s="43">
        <f>J203-1</f>
        <v>0.1245806175659574</v>
      </c>
    </row>
    <row r="6" spans="1:38" x14ac:dyDescent="0.3">
      <c r="A6" s="4" t="s">
        <v>70</v>
      </c>
      <c r="C6">
        <v>1.34</v>
      </c>
      <c r="E6" s="37"/>
      <c r="F6" s="37">
        <f t="shared" ref="F6:F69" si="0">C6*0.01</f>
        <v>1.34E-2</v>
      </c>
      <c r="R6" s="44" t="s">
        <v>19</v>
      </c>
      <c r="S6" s="19">
        <f>'IRR by year'!B18</f>
        <v>39657</v>
      </c>
      <c r="T6" s="19">
        <f>'IRR by year'!E18</f>
        <v>39810</v>
      </c>
      <c r="U6" s="43">
        <f>K232-1</f>
        <v>-0.10611194064240825</v>
      </c>
      <c r="V6" s="43">
        <f>L232-1</f>
        <v>-0.17217891703207311</v>
      </c>
    </row>
    <row r="7" spans="1:38" x14ac:dyDescent="0.3">
      <c r="A7" s="4" t="s">
        <v>71</v>
      </c>
      <c r="C7">
        <v>2.0699999999999998</v>
      </c>
      <c r="E7" s="37"/>
      <c r="F7" s="37">
        <f t="shared" si="0"/>
        <v>2.07E-2</v>
      </c>
      <c r="R7" s="44" t="s">
        <v>20</v>
      </c>
      <c r="S7" s="19">
        <f>'IRR by year'!B22</f>
        <v>39994</v>
      </c>
      <c r="T7" s="19">
        <f>'IRR by year'!D22</f>
        <v>40543</v>
      </c>
      <c r="U7" s="43">
        <f>M256-1</f>
        <v>9.5765295784625559E-2</v>
      </c>
      <c r="V7" s="43">
        <f>N256-1</f>
        <v>0.12010250045851767</v>
      </c>
    </row>
    <row r="8" spans="1:38" x14ac:dyDescent="0.3">
      <c r="A8" s="4" t="s">
        <v>72</v>
      </c>
      <c r="C8">
        <v>0.89</v>
      </c>
      <c r="E8" s="37"/>
      <c r="F8" s="37">
        <f t="shared" si="0"/>
        <v>8.8999999999999999E-3</v>
      </c>
    </row>
    <row r="9" spans="1:38" x14ac:dyDescent="0.3">
      <c r="A9" s="4" t="s">
        <v>73</v>
      </c>
      <c r="C9">
        <v>0.47</v>
      </c>
      <c r="E9" s="37"/>
      <c r="F9" s="37">
        <f t="shared" si="0"/>
        <v>4.7000000000000002E-3</v>
      </c>
      <c r="S9" t="s">
        <v>345</v>
      </c>
      <c r="T9" t="s">
        <v>346</v>
      </c>
    </row>
    <row r="10" spans="1:38" x14ac:dyDescent="0.3">
      <c r="A10" s="4" t="s">
        <v>74</v>
      </c>
      <c r="C10">
        <v>2.21</v>
      </c>
      <c r="E10" s="37"/>
      <c r="F10" s="37">
        <f t="shared" si="0"/>
        <v>2.2100000000000002E-2</v>
      </c>
      <c r="R10">
        <v>2004</v>
      </c>
      <c r="S10" s="43">
        <f>X184-1</f>
        <v>-3.6029836199602538E-4</v>
      </c>
      <c r="T10" s="43">
        <f>Y184-1</f>
        <v>5.423550093873386E-2</v>
      </c>
    </row>
    <row r="11" spans="1:38" x14ac:dyDescent="0.3">
      <c r="A11" s="4" t="s">
        <v>75</v>
      </c>
      <c r="C11">
        <v>3.07</v>
      </c>
      <c r="E11" s="37"/>
      <c r="F11" s="37">
        <f t="shared" si="0"/>
        <v>3.0699999999999998E-2</v>
      </c>
      <c r="R11">
        <v>2005</v>
      </c>
      <c r="S11" s="43">
        <f>Z196-1</f>
        <v>0.12421697619143801</v>
      </c>
      <c r="T11" s="43">
        <f>AA196-1</f>
        <v>7.4909465169780365E-2</v>
      </c>
    </row>
    <row r="12" spans="1:38" x14ac:dyDescent="0.3">
      <c r="A12" s="4" t="s">
        <v>76</v>
      </c>
      <c r="C12">
        <v>1.63</v>
      </c>
      <c r="E12" s="37"/>
      <c r="F12" s="37">
        <f t="shared" si="0"/>
        <v>1.6299999999999999E-2</v>
      </c>
      <c r="R12">
        <v>2006</v>
      </c>
      <c r="S12" s="43">
        <f>AB208-1</f>
        <v>6.8306391896677088E-2</v>
      </c>
      <c r="T12" s="43">
        <f>AC208-1</f>
        <v>0.10394586049545196</v>
      </c>
    </row>
    <row r="13" spans="1:38" x14ac:dyDescent="0.3">
      <c r="A13" s="4" t="s">
        <v>77</v>
      </c>
      <c r="C13">
        <v>2.84</v>
      </c>
      <c r="E13" s="37"/>
      <c r="F13" s="37">
        <f t="shared" si="0"/>
        <v>2.8399999999999998E-2</v>
      </c>
      <c r="R13">
        <v>2007</v>
      </c>
      <c r="S13" s="43">
        <f>AD220-1</f>
        <v>6.6322900729205214E-2</v>
      </c>
      <c r="T13" s="43">
        <f>AE220-1</f>
        <v>0.10254693370246359</v>
      </c>
    </row>
    <row r="14" spans="1:38" x14ac:dyDescent="0.3">
      <c r="A14" s="4" t="s">
        <v>78</v>
      </c>
      <c r="C14">
        <v>1.64</v>
      </c>
      <c r="E14" s="37"/>
      <c r="F14" s="37">
        <f t="shared" si="0"/>
        <v>1.6399999999999998E-2</v>
      </c>
      <c r="R14">
        <v>2008</v>
      </c>
      <c r="S14" s="43">
        <f>AF232-1</f>
        <v>-0.1011654523283031</v>
      </c>
      <c r="T14" s="43">
        <f>AG232-1</f>
        <v>-0.21369430993387861</v>
      </c>
    </row>
    <row r="15" spans="1:38" x14ac:dyDescent="0.3">
      <c r="A15" s="4" t="s">
        <v>79</v>
      </c>
      <c r="C15">
        <v>0</v>
      </c>
      <c r="E15" s="37"/>
      <c r="F15" s="37">
        <f t="shared" si="0"/>
        <v>0</v>
      </c>
      <c r="R15">
        <v>2009</v>
      </c>
      <c r="S15" s="43">
        <f>AH244-1</f>
        <v>-3.4142595461604919E-2</v>
      </c>
      <c r="T15" s="43">
        <f>AI244-1</f>
        <v>0.11468832849669264</v>
      </c>
    </row>
    <row r="16" spans="1:38" x14ac:dyDescent="0.3">
      <c r="A16" s="4" t="s">
        <v>80</v>
      </c>
      <c r="C16">
        <v>0.09</v>
      </c>
      <c r="E16" s="37"/>
      <c r="F16" s="37">
        <f t="shared" si="0"/>
        <v>8.9999999999999998E-4</v>
      </c>
      <c r="R16">
        <v>2010</v>
      </c>
      <c r="S16" s="43">
        <f>AJ256-1</f>
        <v>0.12927765366838773</v>
      </c>
      <c r="T16" s="43">
        <f>AK256-1</f>
        <v>5.7034409735325031E-2</v>
      </c>
    </row>
    <row r="17" spans="1:20" x14ac:dyDescent="0.3">
      <c r="A17" s="4" t="s">
        <v>81</v>
      </c>
      <c r="C17">
        <v>0.39</v>
      </c>
      <c r="E17" s="37"/>
      <c r="F17" s="37">
        <f t="shared" si="0"/>
        <v>3.9000000000000003E-3</v>
      </c>
      <c r="R17">
        <v>2011</v>
      </c>
      <c r="S17" s="43">
        <f>AL268-1</f>
        <v>6.2796079349950462E-2</v>
      </c>
      <c r="T17" s="43">
        <f>AM268-1</f>
        <v>-5.7189722220029382E-2</v>
      </c>
    </row>
    <row r="18" spans="1:20" x14ac:dyDescent="0.3">
      <c r="A18" s="4" t="s">
        <v>82</v>
      </c>
      <c r="C18">
        <v>-0.03</v>
      </c>
      <c r="E18" s="37"/>
      <c r="F18" s="37">
        <f t="shared" si="0"/>
        <v>-2.9999999999999997E-4</v>
      </c>
      <c r="R18">
        <v>2012</v>
      </c>
      <c r="S18" s="48">
        <v>-8.6999999999999994E-3</v>
      </c>
      <c r="T18" s="48">
        <f>J280-1</f>
        <v>4.7467967369862585E-2</v>
      </c>
    </row>
    <row r="19" spans="1:20" x14ac:dyDescent="0.3">
      <c r="A19" s="4" t="s">
        <v>83</v>
      </c>
      <c r="C19">
        <v>3.52</v>
      </c>
      <c r="E19" s="37"/>
      <c r="F19" s="37">
        <f t="shared" si="0"/>
        <v>3.5200000000000002E-2</v>
      </c>
      <c r="R19">
        <v>2013</v>
      </c>
      <c r="T19" s="43">
        <f>K286-1</f>
        <v>3.3217261450570357E-2</v>
      </c>
    </row>
    <row r="20" spans="1:20" x14ac:dyDescent="0.3">
      <c r="A20" s="4" t="s">
        <v>84</v>
      </c>
      <c r="C20">
        <v>-0.83</v>
      </c>
      <c r="E20" s="37"/>
      <c r="F20" s="37">
        <f t="shared" si="0"/>
        <v>-8.3000000000000001E-3</v>
      </c>
    </row>
    <row r="21" spans="1:20" x14ac:dyDescent="0.3">
      <c r="A21" s="4" t="s">
        <v>85</v>
      </c>
      <c r="C21">
        <v>0.77</v>
      </c>
      <c r="E21" s="37"/>
      <c r="F21" s="37">
        <f t="shared" si="0"/>
        <v>7.7000000000000002E-3</v>
      </c>
    </row>
    <row r="22" spans="1:20" x14ac:dyDescent="0.3">
      <c r="A22" s="4" t="s">
        <v>86</v>
      </c>
      <c r="C22">
        <v>1.18</v>
      </c>
      <c r="E22" s="37"/>
      <c r="F22" s="37">
        <f t="shared" si="0"/>
        <v>1.18E-2</v>
      </c>
    </row>
    <row r="23" spans="1:20" x14ac:dyDescent="0.3">
      <c r="A23" s="4" t="s">
        <v>87</v>
      </c>
      <c r="C23">
        <v>0.51</v>
      </c>
      <c r="E23" s="37"/>
      <c r="F23" s="37">
        <f t="shared" si="0"/>
        <v>5.1000000000000004E-3</v>
      </c>
    </row>
    <row r="24" spans="1:20" x14ac:dyDescent="0.3">
      <c r="A24" s="4" t="s">
        <v>88</v>
      </c>
      <c r="C24">
        <v>1.31</v>
      </c>
      <c r="E24" s="37"/>
      <c r="F24" s="37">
        <f t="shared" si="0"/>
        <v>1.3100000000000001E-2</v>
      </c>
    </row>
    <row r="25" spans="1:20" x14ac:dyDescent="0.3">
      <c r="A25" s="4" t="s">
        <v>89</v>
      </c>
      <c r="C25">
        <v>1.76</v>
      </c>
      <c r="E25" s="37"/>
      <c r="F25" s="37">
        <f t="shared" si="0"/>
        <v>1.7600000000000001E-2</v>
      </c>
    </row>
    <row r="26" spans="1:20" x14ac:dyDescent="0.3">
      <c r="A26" s="4" t="s">
        <v>90</v>
      </c>
      <c r="C26">
        <v>0.61</v>
      </c>
      <c r="E26" s="37"/>
      <c r="F26" s="37">
        <f t="shared" si="0"/>
        <v>6.1000000000000004E-3</v>
      </c>
    </row>
    <row r="27" spans="1:20" x14ac:dyDescent="0.3">
      <c r="A27" s="4" t="s">
        <v>91</v>
      </c>
      <c r="C27">
        <v>0.05</v>
      </c>
      <c r="E27" s="37"/>
      <c r="F27" s="37">
        <f t="shared" si="0"/>
        <v>5.0000000000000001E-4</v>
      </c>
    </row>
    <row r="28" spans="1:20" x14ac:dyDescent="0.3">
      <c r="A28" s="4" t="s">
        <v>92</v>
      </c>
      <c r="C28">
        <v>4.5</v>
      </c>
      <c r="E28" s="37"/>
      <c r="F28" s="37">
        <f t="shared" si="0"/>
        <v>4.4999999999999998E-2</v>
      </c>
    </row>
    <row r="29" spans="1:20" x14ac:dyDescent="0.3">
      <c r="A29" s="4" t="s">
        <v>93</v>
      </c>
      <c r="C29">
        <v>1.32</v>
      </c>
      <c r="E29" s="37"/>
      <c r="F29" s="37">
        <f t="shared" si="0"/>
        <v>1.3200000000000002E-2</v>
      </c>
    </row>
    <row r="30" spans="1:20" x14ac:dyDescent="0.3">
      <c r="A30" s="4" t="s">
        <v>94</v>
      </c>
      <c r="C30">
        <v>1.1599999999999999</v>
      </c>
      <c r="E30" s="37"/>
      <c r="F30" s="37">
        <f t="shared" si="0"/>
        <v>1.1599999999999999E-2</v>
      </c>
    </row>
    <row r="31" spans="1:20" x14ac:dyDescent="0.3">
      <c r="A31" s="4" t="s">
        <v>95</v>
      </c>
      <c r="C31">
        <v>0.8</v>
      </c>
      <c r="E31" s="37"/>
      <c r="F31" s="37">
        <f t="shared" si="0"/>
        <v>8.0000000000000002E-3</v>
      </c>
    </row>
    <row r="32" spans="1:20" x14ac:dyDescent="0.3">
      <c r="A32" s="4" t="s">
        <v>96</v>
      </c>
      <c r="C32">
        <v>0.12</v>
      </c>
      <c r="E32" s="37"/>
      <c r="F32" s="37">
        <f t="shared" si="0"/>
        <v>1.1999999999999999E-3</v>
      </c>
    </row>
    <row r="33" spans="1:6" x14ac:dyDescent="0.3">
      <c r="A33" s="4" t="s">
        <v>97</v>
      </c>
      <c r="C33">
        <v>0.28000000000000003</v>
      </c>
      <c r="E33" s="37"/>
      <c r="F33" s="37">
        <f t="shared" si="0"/>
        <v>2.8000000000000004E-3</v>
      </c>
    </row>
    <row r="34" spans="1:6" x14ac:dyDescent="0.3">
      <c r="A34" s="4" t="s">
        <v>98</v>
      </c>
      <c r="C34">
        <v>0.44</v>
      </c>
      <c r="E34" s="37"/>
      <c r="F34" s="37">
        <f t="shared" si="0"/>
        <v>4.4000000000000003E-3</v>
      </c>
    </row>
    <row r="35" spans="1:6" x14ac:dyDescent="0.3">
      <c r="A35" s="4" t="s">
        <v>99</v>
      </c>
      <c r="C35">
        <v>0.82</v>
      </c>
      <c r="E35" s="37"/>
      <c r="F35" s="37">
        <f t="shared" si="0"/>
        <v>8.199999999999999E-3</v>
      </c>
    </row>
    <row r="36" spans="1:6" x14ac:dyDescent="0.3">
      <c r="A36" s="4" t="s">
        <v>100</v>
      </c>
      <c r="C36">
        <v>0.47</v>
      </c>
      <c r="E36" s="37"/>
      <c r="F36" s="37">
        <f t="shared" si="0"/>
        <v>4.7000000000000002E-3</v>
      </c>
    </row>
    <row r="37" spans="1:6" x14ac:dyDescent="0.3">
      <c r="A37" s="4" t="s">
        <v>101</v>
      </c>
      <c r="C37">
        <v>2.4900000000000002</v>
      </c>
      <c r="E37" s="37"/>
      <c r="F37" s="37">
        <f t="shared" si="0"/>
        <v>2.4900000000000002E-2</v>
      </c>
    </row>
    <row r="38" spans="1:6" x14ac:dyDescent="0.3">
      <c r="A38" s="4" t="s">
        <v>102</v>
      </c>
      <c r="C38">
        <v>1.7</v>
      </c>
      <c r="E38" s="37"/>
      <c r="F38" s="37">
        <f t="shared" si="0"/>
        <v>1.7000000000000001E-2</v>
      </c>
    </row>
    <row r="39" spans="1:6" x14ac:dyDescent="0.3">
      <c r="A39" s="4" t="s">
        <v>103</v>
      </c>
      <c r="C39">
        <v>0.3</v>
      </c>
      <c r="E39" s="37"/>
      <c r="F39" s="37">
        <f t="shared" si="0"/>
        <v>3.0000000000000001E-3</v>
      </c>
    </row>
    <row r="40" spans="1:6" x14ac:dyDescent="0.3">
      <c r="A40" s="4" t="s">
        <v>104</v>
      </c>
      <c r="C40">
        <v>1.81</v>
      </c>
      <c r="E40" s="37"/>
      <c r="F40" s="37">
        <f t="shared" si="0"/>
        <v>1.8100000000000002E-2</v>
      </c>
    </row>
    <row r="41" spans="1:6" x14ac:dyDescent="0.3">
      <c r="A41" s="4" t="s">
        <v>105</v>
      </c>
      <c r="C41">
        <v>0.87</v>
      </c>
      <c r="E41" s="37"/>
      <c r="F41" s="37">
        <f t="shared" si="0"/>
        <v>8.6999999999999994E-3</v>
      </c>
    </row>
    <row r="42" spans="1:6" x14ac:dyDescent="0.3">
      <c r="A42" s="4" t="s">
        <v>106</v>
      </c>
      <c r="C42">
        <v>2.2000000000000002</v>
      </c>
      <c r="E42" s="37"/>
      <c r="F42" s="37">
        <f t="shared" si="0"/>
        <v>2.2000000000000002E-2</v>
      </c>
    </row>
    <row r="43" spans="1:6" x14ac:dyDescent="0.3">
      <c r="A43" s="4" t="s">
        <v>107</v>
      </c>
      <c r="C43">
        <v>1.51</v>
      </c>
      <c r="E43" s="37"/>
      <c r="F43" s="37">
        <f t="shared" si="0"/>
        <v>1.5100000000000001E-2</v>
      </c>
    </row>
    <row r="44" spans="1:6" x14ac:dyDescent="0.3">
      <c r="A44" s="4" t="s">
        <v>108</v>
      </c>
      <c r="C44">
        <v>2.2999999999999998</v>
      </c>
      <c r="E44" s="37"/>
      <c r="F44" s="37">
        <f t="shared" si="0"/>
        <v>2.3E-2</v>
      </c>
    </row>
    <row r="45" spans="1:6" x14ac:dyDescent="0.3">
      <c r="A45" s="4" t="s">
        <v>109</v>
      </c>
      <c r="C45">
        <v>2.0699999999999998</v>
      </c>
      <c r="E45" s="37"/>
      <c r="F45" s="37">
        <f t="shared" si="0"/>
        <v>2.07E-2</v>
      </c>
    </row>
    <row r="46" spans="1:6" x14ac:dyDescent="0.3">
      <c r="A46" s="4" t="s">
        <v>110</v>
      </c>
      <c r="C46">
        <v>2.75</v>
      </c>
      <c r="E46" s="37"/>
      <c r="F46" s="37">
        <f t="shared" si="0"/>
        <v>2.75E-2</v>
      </c>
    </row>
    <row r="47" spans="1:6" x14ac:dyDescent="0.3">
      <c r="A47" s="4" t="s">
        <v>111</v>
      </c>
      <c r="C47">
        <v>2.4300000000000002</v>
      </c>
      <c r="E47" s="37"/>
      <c r="F47" s="37">
        <f t="shared" si="0"/>
        <v>2.4300000000000002E-2</v>
      </c>
    </row>
    <row r="48" spans="1:6" x14ac:dyDescent="0.3">
      <c r="A48" s="4" t="s">
        <v>112</v>
      </c>
      <c r="C48">
        <v>1.79</v>
      </c>
      <c r="E48" s="37"/>
      <c r="F48" s="37">
        <f t="shared" si="0"/>
        <v>1.7899999999999999E-2</v>
      </c>
    </row>
    <row r="49" spans="1:6" x14ac:dyDescent="0.3">
      <c r="A49" s="4" t="s">
        <v>113</v>
      </c>
      <c r="C49">
        <v>0.33</v>
      </c>
      <c r="E49" s="37"/>
      <c r="F49" s="37">
        <f t="shared" si="0"/>
        <v>3.3000000000000004E-3</v>
      </c>
    </row>
    <row r="50" spans="1:6" x14ac:dyDescent="0.3">
      <c r="A50" s="4" t="s">
        <v>114</v>
      </c>
      <c r="C50">
        <v>2.2599999999999998</v>
      </c>
      <c r="E50" s="37"/>
      <c r="F50" s="37">
        <f t="shared" si="0"/>
        <v>2.2599999999999999E-2</v>
      </c>
    </row>
    <row r="51" spans="1:6" x14ac:dyDescent="0.3">
      <c r="A51" s="4" t="s">
        <v>115</v>
      </c>
      <c r="C51">
        <v>0.4</v>
      </c>
      <c r="E51" s="37"/>
      <c r="F51" s="37">
        <f t="shared" si="0"/>
        <v>4.0000000000000001E-3</v>
      </c>
    </row>
    <row r="52" spans="1:6" x14ac:dyDescent="0.3">
      <c r="A52" s="4" t="s">
        <v>116</v>
      </c>
      <c r="C52">
        <v>4.76</v>
      </c>
      <c r="E52" s="37"/>
      <c r="F52" s="37">
        <f t="shared" si="0"/>
        <v>4.7599999999999996E-2</v>
      </c>
    </row>
    <row r="53" spans="1:6" x14ac:dyDescent="0.3">
      <c r="A53" s="4" t="s">
        <v>117</v>
      </c>
      <c r="C53">
        <v>1.26</v>
      </c>
      <c r="E53" s="37"/>
      <c r="F53" s="37">
        <f t="shared" si="0"/>
        <v>1.26E-2</v>
      </c>
    </row>
    <row r="54" spans="1:6" x14ac:dyDescent="0.3">
      <c r="A54" s="4" t="s">
        <v>118</v>
      </c>
      <c r="C54">
        <v>-2.27</v>
      </c>
      <c r="E54" s="37"/>
      <c r="F54" s="37">
        <f t="shared" si="0"/>
        <v>-2.2700000000000001E-2</v>
      </c>
    </row>
    <row r="55" spans="1:6" x14ac:dyDescent="0.3">
      <c r="A55" s="4" t="s">
        <v>119</v>
      </c>
      <c r="C55">
        <v>-2.31</v>
      </c>
      <c r="E55" s="37"/>
      <c r="F55" s="37">
        <f t="shared" si="0"/>
        <v>-2.3100000000000002E-2</v>
      </c>
    </row>
    <row r="56" spans="1:6" x14ac:dyDescent="0.3">
      <c r="A56" s="4" t="s">
        <v>120</v>
      </c>
      <c r="C56">
        <v>-1.1100000000000001</v>
      </c>
      <c r="E56" s="37"/>
      <c r="F56" s="37">
        <f t="shared" si="0"/>
        <v>-1.11E-2</v>
      </c>
    </row>
    <row r="57" spans="1:6" x14ac:dyDescent="0.3">
      <c r="A57" s="4" t="s">
        <v>121</v>
      </c>
      <c r="C57">
        <v>0.42</v>
      </c>
      <c r="E57" s="37"/>
      <c r="F57" s="37">
        <f t="shared" si="0"/>
        <v>4.1999999999999997E-3</v>
      </c>
    </row>
    <row r="58" spans="1:6" x14ac:dyDescent="0.3">
      <c r="A58" s="4" t="s">
        <v>122</v>
      </c>
      <c r="C58">
        <v>0.77</v>
      </c>
      <c r="E58" s="37"/>
      <c r="F58" s="37">
        <f t="shared" si="0"/>
        <v>7.7000000000000002E-3</v>
      </c>
    </row>
    <row r="59" spans="1:6" x14ac:dyDescent="0.3">
      <c r="A59" s="4" t="s">
        <v>123</v>
      </c>
      <c r="C59">
        <v>0.17</v>
      </c>
      <c r="E59" s="37"/>
      <c r="F59" s="37">
        <f t="shared" si="0"/>
        <v>1.7000000000000001E-3</v>
      </c>
    </row>
    <row r="60" spans="1:6" x14ac:dyDescent="0.3">
      <c r="A60" s="4" t="s">
        <v>124</v>
      </c>
      <c r="C60">
        <v>1.29</v>
      </c>
      <c r="E60" s="37"/>
      <c r="F60" s="37">
        <f t="shared" si="0"/>
        <v>1.29E-2</v>
      </c>
    </row>
    <row r="61" spans="1:6" x14ac:dyDescent="0.3">
      <c r="A61" s="4" t="s">
        <v>125</v>
      </c>
      <c r="C61">
        <v>0.78</v>
      </c>
      <c r="E61" s="37"/>
      <c r="F61" s="37">
        <f t="shared" si="0"/>
        <v>7.8000000000000005E-3</v>
      </c>
    </row>
    <row r="62" spans="1:6" x14ac:dyDescent="0.3">
      <c r="A62" s="4" t="s">
        <v>126</v>
      </c>
      <c r="C62">
        <v>-0.95</v>
      </c>
      <c r="E62" s="37"/>
      <c r="F62" s="37">
        <f t="shared" si="0"/>
        <v>-9.4999999999999998E-3</v>
      </c>
    </row>
    <row r="63" spans="1:6" x14ac:dyDescent="0.3">
      <c r="A63" s="4" t="s">
        <v>127</v>
      </c>
      <c r="C63">
        <v>-1.01</v>
      </c>
      <c r="E63" s="37"/>
      <c r="F63" s="37">
        <f t="shared" si="0"/>
        <v>-1.01E-2</v>
      </c>
    </row>
    <row r="64" spans="1:6" x14ac:dyDescent="0.3">
      <c r="A64" s="4" t="s">
        <v>128</v>
      </c>
      <c r="C64">
        <v>-0.49</v>
      </c>
      <c r="E64" s="37"/>
      <c r="F64" s="37">
        <f t="shared" si="0"/>
        <v>-4.8999999999999998E-3</v>
      </c>
    </row>
    <row r="65" spans="1:6" x14ac:dyDescent="0.3">
      <c r="A65" s="4" t="s">
        <v>129</v>
      </c>
      <c r="C65">
        <v>-1.26</v>
      </c>
      <c r="E65" s="37"/>
      <c r="F65" s="37">
        <f t="shared" si="0"/>
        <v>-1.26E-2</v>
      </c>
    </row>
    <row r="66" spans="1:6" x14ac:dyDescent="0.3">
      <c r="A66" s="4" t="s">
        <v>130</v>
      </c>
      <c r="C66">
        <v>-0.09</v>
      </c>
      <c r="E66" s="37"/>
      <c r="F66" s="37">
        <f t="shared" si="0"/>
        <v>-8.9999999999999998E-4</v>
      </c>
    </row>
    <row r="67" spans="1:6" x14ac:dyDescent="0.3">
      <c r="A67" s="4" t="s">
        <v>131</v>
      </c>
      <c r="C67">
        <v>1.43</v>
      </c>
      <c r="E67" s="37"/>
      <c r="F67" s="37">
        <f t="shared" si="0"/>
        <v>1.43E-2</v>
      </c>
    </row>
    <row r="68" spans="1:6" x14ac:dyDescent="0.3">
      <c r="A68" s="4" t="s">
        <v>132</v>
      </c>
      <c r="C68">
        <v>1.48</v>
      </c>
      <c r="E68" s="37"/>
      <c r="F68" s="37">
        <f t="shared" si="0"/>
        <v>1.4800000000000001E-2</v>
      </c>
    </row>
    <row r="69" spans="1:6" x14ac:dyDescent="0.3">
      <c r="A69" s="4" t="s">
        <v>133</v>
      </c>
      <c r="C69">
        <v>0.9</v>
      </c>
      <c r="E69" s="37"/>
      <c r="F69" s="37">
        <f t="shared" si="0"/>
        <v>9.0000000000000011E-3</v>
      </c>
    </row>
    <row r="70" spans="1:6" x14ac:dyDescent="0.3">
      <c r="A70" s="4" t="s">
        <v>134</v>
      </c>
      <c r="C70">
        <v>0.56999999999999995</v>
      </c>
      <c r="E70" s="37"/>
      <c r="F70" s="37">
        <f t="shared" ref="F70:F133" si="1">C70*0.01</f>
        <v>5.6999999999999993E-3</v>
      </c>
    </row>
    <row r="71" spans="1:6" x14ac:dyDescent="0.3">
      <c r="A71" s="4" t="s">
        <v>135</v>
      </c>
      <c r="C71">
        <v>1.74</v>
      </c>
      <c r="E71" s="37"/>
      <c r="F71" s="37">
        <f t="shared" si="1"/>
        <v>1.7399999999999999E-2</v>
      </c>
    </row>
    <row r="72" spans="1:6" x14ac:dyDescent="0.3">
      <c r="A72" s="4" t="s">
        <v>136</v>
      </c>
      <c r="C72">
        <v>2.2799999999999998</v>
      </c>
      <c r="E72" s="37"/>
      <c r="F72" s="37">
        <f t="shared" si="1"/>
        <v>2.2799999999999997E-2</v>
      </c>
    </row>
    <row r="73" spans="1:6" x14ac:dyDescent="0.3">
      <c r="A73" s="4" t="s">
        <v>137</v>
      </c>
      <c r="C73">
        <v>0.75</v>
      </c>
      <c r="E73" s="37"/>
      <c r="F73" s="37">
        <f t="shared" si="1"/>
        <v>7.4999999999999997E-3</v>
      </c>
    </row>
    <row r="74" spans="1:6" x14ac:dyDescent="0.3">
      <c r="A74" s="4" t="s">
        <v>138</v>
      </c>
      <c r="C74">
        <v>-0.53</v>
      </c>
      <c r="E74" s="37"/>
      <c r="F74" s="37">
        <f t="shared" si="1"/>
        <v>-5.3E-3</v>
      </c>
    </row>
    <row r="75" spans="1:6" x14ac:dyDescent="0.3">
      <c r="A75" s="4" t="s">
        <v>139</v>
      </c>
      <c r="C75">
        <v>1.1499999999999999</v>
      </c>
      <c r="E75" s="37"/>
      <c r="F75" s="37">
        <f t="shared" si="1"/>
        <v>1.15E-2</v>
      </c>
    </row>
    <row r="76" spans="1:6" x14ac:dyDescent="0.3">
      <c r="A76" s="4" t="s">
        <v>140</v>
      </c>
      <c r="C76">
        <v>2.2200000000000002</v>
      </c>
      <c r="E76" s="37"/>
      <c r="F76" s="37">
        <f t="shared" si="1"/>
        <v>2.2200000000000001E-2</v>
      </c>
    </row>
    <row r="77" spans="1:6" x14ac:dyDescent="0.3">
      <c r="A77" s="4" t="s">
        <v>141</v>
      </c>
      <c r="B77">
        <v>4.62</v>
      </c>
      <c r="C77">
        <v>2.73</v>
      </c>
      <c r="E77" s="37">
        <f t="shared" ref="E77:E133" si="2">B77*0.01</f>
        <v>4.6200000000000005E-2</v>
      </c>
      <c r="F77" s="37">
        <f t="shared" si="1"/>
        <v>2.7300000000000001E-2</v>
      </c>
    </row>
    <row r="78" spans="1:6" x14ac:dyDescent="0.3">
      <c r="A78" s="4" t="s">
        <v>142</v>
      </c>
      <c r="B78">
        <v>4.59</v>
      </c>
      <c r="C78">
        <v>-0.62</v>
      </c>
      <c r="E78" s="37">
        <f t="shared" si="2"/>
        <v>4.5899999999999996E-2</v>
      </c>
      <c r="F78" s="37">
        <f t="shared" si="1"/>
        <v>-6.1999999999999998E-3</v>
      </c>
    </row>
    <row r="79" spans="1:6" x14ac:dyDescent="0.3">
      <c r="A79" s="4" t="s">
        <v>143</v>
      </c>
      <c r="B79">
        <v>3.86</v>
      </c>
      <c r="C79">
        <v>0.99</v>
      </c>
      <c r="E79" s="37">
        <f t="shared" si="2"/>
        <v>3.8600000000000002E-2</v>
      </c>
      <c r="F79" s="37">
        <f t="shared" si="1"/>
        <v>9.9000000000000008E-3</v>
      </c>
    </row>
    <row r="80" spans="1:6" x14ac:dyDescent="0.3">
      <c r="A80" s="4" t="s">
        <v>144</v>
      </c>
      <c r="B80">
        <v>3.88</v>
      </c>
      <c r="C80">
        <v>3.09</v>
      </c>
      <c r="E80" s="37">
        <f t="shared" si="2"/>
        <v>3.8800000000000001E-2</v>
      </c>
      <c r="F80" s="37">
        <f t="shared" si="1"/>
        <v>3.09E-2</v>
      </c>
    </row>
    <row r="81" spans="1:6" x14ac:dyDescent="0.3">
      <c r="A81" s="4" t="s">
        <v>145</v>
      </c>
      <c r="B81">
        <v>3.64</v>
      </c>
      <c r="C81">
        <v>1.54</v>
      </c>
      <c r="E81" s="37">
        <f t="shared" si="2"/>
        <v>3.6400000000000002E-2</v>
      </c>
      <c r="F81" s="37">
        <f t="shared" si="1"/>
        <v>1.54E-2</v>
      </c>
    </row>
    <row r="82" spans="1:6" x14ac:dyDescent="0.3">
      <c r="A82" s="4" t="s">
        <v>146</v>
      </c>
      <c r="B82">
        <v>4.97</v>
      </c>
      <c r="C82">
        <v>0.38</v>
      </c>
      <c r="E82" s="37">
        <f t="shared" si="2"/>
        <v>4.9700000000000001E-2</v>
      </c>
      <c r="F82" s="37">
        <f t="shared" si="1"/>
        <v>3.8E-3</v>
      </c>
    </row>
    <row r="83" spans="1:6" x14ac:dyDescent="0.3">
      <c r="A83" s="4" t="s">
        <v>147</v>
      </c>
      <c r="B83">
        <v>1.7</v>
      </c>
      <c r="C83">
        <v>-1.87</v>
      </c>
      <c r="E83" s="37">
        <f t="shared" si="2"/>
        <v>1.7000000000000001E-2</v>
      </c>
      <c r="F83" s="37">
        <f t="shared" si="1"/>
        <v>-1.8700000000000001E-2</v>
      </c>
    </row>
    <row r="84" spans="1:6" x14ac:dyDescent="0.3">
      <c r="A84" s="4" t="s">
        <v>148</v>
      </c>
      <c r="B84">
        <v>2.02</v>
      </c>
      <c r="C84">
        <v>1.53</v>
      </c>
      <c r="E84" s="37">
        <f t="shared" si="2"/>
        <v>2.0199999999999999E-2</v>
      </c>
      <c r="F84" s="37">
        <f t="shared" si="1"/>
        <v>1.5300000000000001E-2</v>
      </c>
    </row>
    <row r="85" spans="1:6" x14ac:dyDescent="0.3">
      <c r="A85" s="4" t="s">
        <v>149</v>
      </c>
      <c r="B85">
        <v>2.3199999999999998</v>
      </c>
      <c r="C85">
        <v>1.25</v>
      </c>
      <c r="E85" s="37">
        <f t="shared" si="2"/>
        <v>2.3199999999999998E-2</v>
      </c>
      <c r="F85" s="37">
        <f t="shared" si="1"/>
        <v>1.2500000000000001E-2</v>
      </c>
    </row>
    <row r="86" spans="1:6" x14ac:dyDescent="0.3">
      <c r="A86" s="4" t="s">
        <v>150</v>
      </c>
      <c r="B86">
        <v>1.24</v>
      </c>
      <c r="C86">
        <v>1.59</v>
      </c>
      <c r="E86" s="37">
        <f t="shared" si="2"/>
        <v>1.24E-2</v>
      </c>
      <c r="F86" s="37">
        <f t="shared" si="1"/>
        <v>1.5900000000000001E-2</v>
      </c>
    </row>
    <row r="87" spans="1:6" x14ac:dyDescent="0.3">
      <c r="A87" s="4" t="s">
        <v>151</v>
      </c>
      <c r="B87">
        <v>1.75</v>
      </c>
      <c r="C87">
        <v>2.34</v>
      </c>
      <c r="E87" s="37">
        <f t="shared" si="2"/>
        <v>1.7500000000000002E-2</v>
      </c>
      <c r="F87" s="37">
        <f t="shared" si="1"/>
        <v>2.3400000000000001E-2</v>
      </c>
    </row>
    <row r="88" spans="1:6" x14ac:dyDescent="0.3">
      <c r="A88" s="4" t="s">
        <v>152</v>
      </c>
      <c r="B88">
        <v>2.92</v>
      </c>
      <c r="C88">
        <v>0.68</v>
      </c>
      <c r="E88" s="37">
        <f t="shared" si="2"/>
        <v>2.92E-2</v>
      </c>
      <c r="F88" s="37">
        <f t="shared" si="1"/>
        <v>6.8000000000000005E-3</v>
      </c>
    </row>
    <row r="89" spans="1:6" x14ac:dyDescent="0.3">
      <c r="A89" s="4" t="s">
        <v>153</v>
      </c>
      <c r="B89">
        <v>2.75</v>
      </c>
      <c r="C89">
        <v>3.55</v>
      </c>
      <c r="E89" s="37">
        <f t="shared" si="2"/>
        <v>2.75E-2</v>
      </c>
      <c r="F89" s="37">
        <f t="shared" si="1"/>
        <v>3.5499999999999997E-2</v>
      </c>
    </row>
    <row r="90" spans="1:6" x14ac:dyDescent="0.3">
      <c r="A90" s="4" t="s">
        <v>154</v>
      </c>
      <c r="B90">
        <v>1.97</v>
      </c>
      <c r="C90">
        <v>1.68</v>
      </c>
      <c r="E90" s="37">
        <f t="shared" si="2"/>
        <v>1.9699999999999999E-2</v>
      </c>
      <c r="F90" s="37">
        <f t="shared" si="1"/>
        <v>1.6799999999999999E-2</v>
      </c>
    </row>
    <row r="91" spans="1:6" x14ac:dyDescent="0.3">
      <c r="A91" s="4" t="s">
        <v>155</v>
      </c>
      <c r="B91">
        <v>1.7</v>
      </c>
      <c r="C91">
        <v>-0.82</v>
      </c>
      <c r="E91" s="37">
        <f t="shared" si="2"/>
        <v>1.7000000000000001E-2</v>
      </c>
      <c r="F91" s="37">
        <f t="shared" si="1"/>
        <v>-8.199999999999999E-3</v>
      </c>
    </row>
    <row r="92" spans="1:6" x14ac:dyDescent="0.3">
      <c r="A92" s="4" t="s">
        <v>156</v>
      </c>
      <c r="B92">
        <v>1.28</v>
      </c>
      <c r="C92">
        <v>0.37</v>
      </c>
      <c r="E92" s="37">
        <f t="shared" si="2"/>
        <v>1.2800000000000001E-2</v>
      </c>
      <c r="F92" s="37">
        <f t="shared" si="1"/>
        <v>3.7000000000000002E-3</v>
      </c>
    </row>
    <row r="93" spans="1:6" x14ac:dyDescent="0.3">
      <c r="A93" s="4" t="s">
        <v>157</v>
      </c>
      <c r="B93">
        <v>1.47</v>
      </c>
      <c r="C93">
        <v>1.82</v>
      </c>
      <c r="E93" s="37">
        <f t="shared" si="2"/>
        <v>1.47E-2</v>
      </c>
      <c r="F93" s="37">
        <f t="shared" si="1"/>
        <v>1.8200000000000001E-2</v>
      </c>
    </row>
    <row r="94" spans="1:6" x14ac:dyDescent="0.3">
      <c r="A94" s="4" t="s">
        <v>158</v>
      </c>
      <c r="B94">
        <v>1.82</v>
      </c>
      <c r="C94">
        <v>2.5</v>
      </c>
      <c r="E94" s="37">
        <f t="shared" si="2"/>
        <v>1.8200000000000001E-2</v>
      </c>
      <c r="F94" s="37">
        <f t="shared" si="1"/>
        <v>2.5000000000000001E-2</v>
      </c>
    </row>
    <row r="95" spans="1:6" x14ac:dyDescent="0.3">
      <c r="A95" s="4" t="s">
        <v>159</v>
      </c>
      <c r="B95">
        <v>3.49</v>
      </c>
      <c r="C95">
        <v>4.6399999999999997</v>
      </c>
      <c r="E95" s="37">
        <f t="shared" si="2"/>
        <v>3.49E-2</v>
      </c>
      <c r="F95" s="37">
        <f t="shared" si="1"/>
        <v>4.6399999999999997E-2</v>
      </c>
    </row>
    <row r="96" spans="1:6" x14ac:dyDescent="0.3">
      <c r="A96" s="4" t="s">
        <v>160</v>
      </c>
      <c r="B96">
        <v>1.49</v>
      </c>
      <c r="C96">
        <v>-0.32</v>
      </c>
      <c r="E96" s="37">
        <f t="shared" si="2"/>
        <v>1.49E-2</v>
      </c>
      <c r="F96" s="37">
        <f t="shared" si="1"/>
        <v>-3.2000000000000002E-3</v>
      </c>
    </row>
    <row r="97" spans="1:6" x14ac:dyDescent="0.3">
      <c r="A97" s="4" t="s">
        <v>161</v>
      </c>
      <c r="B97">
        <v>3.35</v>
      </c>
      <c r="C97">
        <v>2.78</v>
      </c>
      <c r="E97" s="37">
        <f t="shared" si="2"/>
        <v>3.3500000000000002E-2</v>
      </c>
      <c r="F97" s="37">
        <f t="shared" si="1"/>
        <v>2.7799999999999998E-2</v>
      </c>
    </row>
    <row r="98" spans="1:6" x14ac:dyDescent="0.3">
      <c r="A98" s="4" t="s">
        <v>162</v>
      </c>
      <c r="B98">
        <v>1.46</v>
      </c>
      <c r="C98">
        <v>-1.44</v>
      </c>
      <c r="E98" s="37">
        <f t="shared" si="2"/>
        <v>1.46E-2</v>
      </c>
      <c r="F98" s="37">
        <f t="shared" si="1"/>
        <v>-1.44E-2</v>
      </c>
    </row>
    <row r="99" spans="1:6" x14ac:dyDescent="0.3">
      <c r="A99" s="4" t="s">
        <v>163</v>
      </c>
      <c r="B99">
        <v>1.75</v>
      </c>
      <c r="C99">
        <v>-0.51</v>
      </c>
      <c r="E99" s="37">
        <f t="shared" si="2"/>
        <v>1.7500000000000002E-2</v>
      </c>
      <c r="F99" s="37">
        <f t="shared" si="1"/>
        <v>-5.1000000000000004E-3</v>
      </c>
    </row>
    <row r="100" spans="1:6" x14ac:dyDescent="0.3">
      <c r="A100" s="4" t="s">
        <v>164</v>
      </c>
      <c r="B100">
        <v>1.58</v>
      </c>
      <c r="C100">
        <v>1.05</v>
      </c>
      <c r="E100" s="37">
        <f t="shared" si="2"/>
        <v>1.5800000000000002E-2</v>
      </c>
      <c r="F100" s="37">
        <f t="shared" si="1"/>
        <v>1.0500000000000001E-2</v>
      </c>
    </row>
    <row r="101" spans="1:6" x14ac:dyDescent="0.3">
      <c r="A101" s="4" t="s">
        <v>165</v>
      </c>
      <c r="B101">
        <v>1.35</v>
      </c>
      <c r="C101">
        <v>-0.96</v>
      </c>
      <c r="E101" s="37">
        <f t="shared" si="2"/>
        <v>1.3500000000000002E-2</v>
      </c>
      <c r="F101" s="37">
        <f t="shared" si="1"/>
        <v>-9.5999999999999992E-3</v>
      </c>
    </row>
    <row r="102" spans="1:6" x14ac:dyDescent="0.3">
      <c r="A102" s="4" t="s">
        <v>166</v>
      </c>
      <c r="B102">
        <v>2.77</v>
      </c>
      <c r="C102">
        <v>1.9</v>
      </c>
      <c r="E102" s="37">
        <f t="shared" si="2"/>
        <v>2.7700000000000002E-2</v>
      </c>
      <c r="F102" s="37">
        <f t="shared" si="1"/>
        <v>1.9E-2</v>
      </c>
    </row>
    <row r="103" spans="1:6" x14ac:dyDescent="0.3">
      <c r="A103" s="4" t="s">
        <v>167</v>
      </c>
      <c r="B103">
        <v>1.68</v>
      </c>
      <c r="C103">
        <v>4.01</v>
      </c>
      <c r="E103" s="37">
        <f t="shared" si="2"/>
        <v>1.6799999999999999E-2</v>
      </c>
      <c r="F103" s="37">
        <f t="shared" si="1"/>
        <v>4.0099999999999997E-2</v>
      </c>
    </row>
    <row r="104" spans="1:6" x14ac:dyDescent="0.3">
      <c r="A104" s="4" t="s">
        <v>168</v>
      </c>
      <c r="B104">
        <v>2.19</v>
      </c>
      <c r="C104">
        <v>0.91</v>
      </c>
      <c r="E104" s="37">
        <f t="shared" si="2"/>
        <v>2.1899999999999999E-2</v>
      </c>
      <c r="F104" s="37">
        <f t="shared" si="1"/>
        <v>9.1000000000000004E-3</v>
      </c>
    </row>
    <row r="105" spans="1:6" x14ac:dyDescent="0.3">
      <c r="A105" s="4" t="s">
        <v>169</v>
      </c>
      <c r="B105">
        <v>1.97</v>
      </c>
      <c r="C105">
        <v>-0.93</v>
      </c>
      <c r="E105" s="37">
        <f t="shared" si="2"/>
        <v>1.9699999999999999E-2</v>
      </c>
      <c r="F105" s="37">
        <f t="shared" si="1"/>
        <v>-9.300000000000001E-3</v>
      </c>
    </row>
    <row r="106" spans="1:6" x14ac:dyDescent="0.3">
      <c r="A106" s="4" t="s">
        <v>170</v>
      </c>
      <c r="B106">
        <v>2.0699999999999998</v>
      </c>
      <c r="C106">
        <v>-0.55000000000000004</v>
      </c>
      <c r="E106" s="37">
        <f t="shared" si="2"/>
        <v>2.07E-2</v>
      </c>
      <c r="F106" s="37">
        <f t="shared" si="1"/>
        <v>-5.5000000000000005E-3</v>
      </c>
    </row>
    <row r="107" spans="1:6" x14ac:dyDescent="0.3">
      <c r="A107" s="4" t="s">
        <v>171</v>
      </c>
      <c r="B107">
        <v>2.5099999999999998</v>
      </c>
      <c r="C107">
        <v>-0.21</v>
      </c>
      <c r="E107" s="37">
        <f t="shared" si="2"/>
        <v>2.5099999999999997E-2</v>
      </c>
      <c r="F107" s="37">
        <f t="shared" si="1"/>
        <v>-2.0999999999999999E-3</v>
      </c>
    </row>
    <row r="108" spans="1:6" x14ac:dyDescent="0.3">
      <c r="A108" s="4" t="s">
        <v>172</v>
      </c>
      <c r="B108">
        <v>0.99</v>
      </c>
      <c r="C108">
        <v>-7.47</v>
      </c>
      <c r="E108" s="37">
        <f t="shared" si="2"/>
        <v>9.9000000000000008E-3</v>
      </c>
      <c r="F108" s="37">
        <f t="shared" si="1"/>
        <v>-7.4700000000000003E-2</v>
      </c>
    </row>
    <row r="109" spans="1:6" x14ac:dyDescent="0.3">
      <c r="A109" s="4" t="s">
        <v>173</v>
      </c>
      <c r="B109">
        <v>0.72</v>
      </c>
      <c r="C109">
        <v>-2.5499999999999998</v>
      </c>
      <c r="E109" s="37">
        <f t="shared" si="2"/>
        <v>7.1999999999999998E-3</v>
      </c>
      <c r="F109" s="37">
        <f t="shared" si="1"/>
        <v>-2.5499999999999998E-2</v>
      </c>
    </row>
    <row r="110" spans="1:6" x14ac:dyDescent="0.3">
      <c r="A110" s="4" t="s">
        <v>174</v>
      </c>
      <c r="B110">
        <v>0.37</v>
      </c>
      <c r="C110">
        <v>-1.96</v>
      </c>
      <c r="E110" s="37">
        <f t="shared" si="2"/>
        <v>3.7000000000000002E-3</v>
      </c>
      <c r="F110" s="37">
        <f t="shared" si="1"/>
        <v>-1.9599999999999999E-2</v>
      </c>
    </row>
    <row r="111" spans="1:6" x14ac:dyDescent="0.3">
      <c r="A111" s="4" t="s">
        <v>175</v>
      </c>
      <c r="B111">
        <v>2.36</v>
      </c>
      <c r="C111">
        <v>1.44</v>
      </c>
      <c r="E111" s="37">
        <f t="shared" si="2"/>
        <v>2.3599999999999999E-2</v>
      </c>
      <c r="F111" s="37">
        <f t="shared" si="1"/>
        <v>1.44E-2</v>
      </c>
    </row>
    <row r="112" spans="1:6" x14ac:dyDescent="0.3">
      <c r="A112" s="4" t="s">
        <v>176</v>
      </c>
      <c r="B112">
        <v>4.6500000000000004</v>
      </c>
      <c r="C112">
        <v>1.6</v>
      </c>
      <c r="E112" s="37">
        <f t="shared" si="2"/>
        <v>4.6500000000000007E-2</v>
      </c>
      <c r="F112" s="37">
        <f t="shared" si="1"/>
        <v>1.6E-2</v>
      </c>
    </row>
    <row r="113" spans="1:6" x14ac:dyDescent="0.3">
      <c r="A113" s="4" t="s">
        <v>177</v>
      </c>
      <c r="B113">
        <v>2.5499999999999998</v>
      </c>
      <c r="C113">
        <v>1.41</v>
      </c>
      <c r="E113" s="37">
        <f t="shared" si="2"/>
        <v>2.5499999999999998E-2</v>
      </c>
      <c r="F113" s="37">
        <f t="shared" si="1"/>
        <v>1.41E-2</v>
      </c>
    </row>
    <row r="114" spans="1:6" x14ac:dyDescent="0.3">
      <c r="A114" s="4" t="s">
        <v>178</v>
      </c>
      <c r="B114">
        <v>1.21</v>
      </c>
      <c r="C114">
        <v>-0.22</v>
      </c>
      <c r="E114" s="37">
        <f t="shared" si="2"/>
        <v>1.21E-2</v>
      </c>
      <c r="F114" s="37">
        <f t="shared" si="1"/>
        <v>-2.2000000000000001E-3</v>
      </c>
    </row>
    <row r="115" spans="1:6" x14ac:dyDescent="0.3">
      <c r="A115" s="4" t="s">
        <v>179</v>
      </c>
      <c r="B115">
        <v>2.0499999999999998</v>
      </c>
      <c r="C115">
        <v>2.08</v>
      </c>
      <c r="E115" s="37">
        <f t="shared" si="2"/>
        <v>2.0499999999999997E-2</v>
      </c>
      <c r="F115" s="37">
        <f t="shared" si="1"/>
        <v>2.0800000000000003E-2</v>
      </c>
    </row>
    <row r="116" spans="1:6" x14ac:dyDescent="0.3">
      <c r="A116" s="4" t="s">
        <v>180</v>
      </c>
      <c r="B116">
        <v>1.1000000000000001</v>
      </c>
      <c r="C116">
        <v>3.26</v>
      </c>
      <c r="E116" s="37">
        <f t="shared" si="2"/>
        <v>1.1000000000000001E-2</v>
      </c>
      <c r="F116" s="37">
        <f t="shared" si="1"/>
        <v>3.2599999999999997E-2</v>
      </c>
    </row>
    <row r="117" spans="1:6" x14ac:dyDescent="0.3">
      <c r="A117" s="4" t="s">
        <v>181</v>
      </c>
      <c r="B117">
        <v>2.16</v>
      </c>
      <c r="C117">
        <v>0.84</v>
      </c>
      <c r="E117" s="37">
        <f t="shared" si="2"/>
        <v>2.1600000000000001E-2</v>
      </c>
      <c r="F117" s="37">
        <f t="shared" si="1"/>
        <v>8.3999999999999995E-3</v>
      </c>
    </row>
    <row r="118" spans="1:6" x14ac:dyDescent="0.3">
      <c r="A118" s="4" t="s">
        <v>182</v>
      </c>
      <c r="B118">
        <v>3.8</v>
      </c>
      <c r="C118">
        <v>2.84</v>
      </c>
      <c r="E118" s="37">
        <f t="shared" si="2"/>
        <v>3.7999999999999999E-2</v>
      </c>
      <c r="F118" s="37">
        <f t="shared" si="1"/>
        <v>2.8399999999999998E-2</v>
      </c>
    </row>
    <row r="119" spans="1:6" x14ac:dyDescent="0.3">
      <c r="A119" s="4" t="s">
        <v>183</v>
      </c>
      <c r="B119">
        <v>1.39</v>
      </c>
      <c r="C119">
        <v>0.73</v>
      </c>
      <c r="E119" s="37">
        <f t="shared" si="2"/>
        <v>1.3899999999999999E-2</v>
      </c>
      <c r="F119" s="37">
        <f t="shared" si="1"/>
        <v>7.3000000000000001E-3</v>
      </c>
    </row>
    <row r="120" spans="1:6" x14ac:dyDescent="0.3">
      <c r="A120" s="4" t="s">
        <v>184</v>
      </c>
      <c r="B120">
        <v>1.8</v>
      </c>
      <c r="C120">
        <v>0.11</v>
      </c>
      <c r="E120" s="37">
        <f t="shared" si="2"/>
        <v>1.8000000000000002E-2</v>
      </c>
      <c r="F120" s="37">
        <f t="shared" si="1"/>
        <v>1.1000000000000001E-3</v>
      </c>
    </row>
    <row r="121" spans="1:6" x14ac:dyDescent="0.3">
      <c r="A121" s="4" t="s">
        <v>185</v>
      </c>
      <c r="B121">
        <v>2.75</v>
      </c>
      <c r="C121">
        <v>-0.12</v>
      </c>
      <c r="E121" s="37">
        <f t="shared" si="2"/>
        <v>2.75E-2</v>
      </c>
      <c r="F121" s="37">
        <f t="shared" si="1"/>
        <v>-1.1999999999999999E-3</v>
      </c>
    </row>
    <row r="122" spans="1:6" x14ac:dyDescent="0.3">
      <c r="A122" s="4" t="s">
        <v>186</v>
      </c>
      <c r="B122">
        <v>1.46</v>
      </c>
      <c r="C122">
        <v>1.27</v>
      </c>
      <c r="E122" s="37">
        <f t="shared" si="2"/>
        <v>1.46E-2</v>
      </c>
      <c r="F122" s="37">
        <f t="shared" si="1"/>
        <v>1.2700000000000001E-2</v>
      </c>
    </row>
    <row r="123" spans="1:6" x14ac:dyDescent="0.3">
      <c r="A123" s="4" t="s">
        <v>187</v>
      </c>
      <c r="B123">
        <v>0.55000000000000004</v>
      </c>
      <c r="C123">
        <v>4.91</v>
      </c>
      <c r="E123" s="37">
        <f t="shared" si="2"/>
        <v>5.5000000000000005E-3</v>
      </c>
      <c r="F123" s="37">
        <f t="shared" si="1"/>
        <v>4.9100000000000005E-2</v>
      </c>
    </row>
    <row r="124" spans="1:6" x14ac:dyDescent="0.3">
      <c r="A124" s="4" t="s">
        <v>188</v>
      </c>
      <c r="B124">
        <v>9.16</v>
      </c>
      <c r="C124">
        <v>6.85</v>
      </c>
      <c r="E124" s="37">
        <f t="shared" si="2"/>
        <v>9.1600000000000001E-2</v>
      </c>
      <c r="F124" s="37">
        <f t="shared" si="1"/>
        <v>6.8499999999999991E-2</v>
      </c>
    </row>
    <row r="125" spans="1:6" x14ac:dyDescent="0.3">
      <c r="A125" s="4" t="s">
        <v>189</v>
      </c>
      <c r="B125">
        <v>7.74</v>
      </c>
      <c r="C125">
        <v>1.54</v>
      </c>
      <c r="E125" s="37">
        <f t="shared" si="2"/>
        <v>7.740000000000001E-2</v>
      </c>
      <c r="F125" s="37">
        <f t="shared" si="1"/>
        <v>1.54E-2</v>
      </c>
    </row>
    <row r="126" spans="1:6" x14ac:dyDescent="0.3">
      <c r="A126" s="4" t="s">
        <v>190</v>
      </c>
      <c r="B126">
        <v>6.03</v>
      </c>
      <c r="C126">
        <v>5.21</v>
      </c>
      <c r="E126" s="37">
        <f t="shared" si="2"/>
        <v>6.0300000000000006E-2</v>
      </c>
      <c r="F126" s="37">
        <f t="shared" si="1"/>
        <v>5.21E-2</v>
      </c>
    </row>
    <row r="127" spans="1:6" x14ac:dyDescent="0.3">
      <c r="A127" s="4" t="s">
        <v>191</v>
      </c>
      <c r="B127">
        <v>2.79</v>
      </c>
      <c r="C127">
        <v>0.23</v>
      </c>
      <c r="E127" s="37">
        <f t="shared" si="2"/>
        <v>2.7900000000000001E-2</v>
      </c>
      <c r="F127" s="37">
        <f t="shared" si="1"/>
        <v>2.3E-3</v>
      </c>
    </row>
    <row r="128" spans="1:6" x14ac:dyDescent="0.3">
      <c r="A128" s="4" t="s">
        <v>192</v>
      </c>
      <c r="B128">
        <v>-1.65</v>
      </c>
      <c r="C128">
        <v>-3.37</v>
      </c>
      <c r="E128" s="37">
        <f t="shared" si="2"/>
        <v>-1.6500000000000001E-2</v>
      </c>
      <c r="F128" s="37">
        <f t="shared" si="1"/>
        <v>-3.3700000000000001E-2</v>
      </c>
    </row>
    <row r="129" spans="1:6" x14ac:dyDescent="0.3">
      <c r="A129" s="4" t="s">
        <v>193</v>
      </c>
      <c r="B129">
        <v>0.34</v>
      </c>
      <c r="C129">
        <v>-1.58</v>
      </c>
      <c r="E129" s="37">
        <f t="shared" si="2"/>
        <v>3.4000000000000002E-3</v>
      </c>
      <c r="F129" s="37">
        <f t="shared" si="1"/>
        <v>-1.5800000000000002E-2</v>
      </c>
    </row>
    <row r="130" spans="1:6" x14ac:dyDescent="0.3">
      <c r="A130" s="4" t="s">
        <v>194</v>
      </c>
      <c r="B130">
        <v>1.7</v>
      </c>
      <c r="C130">
        <v>2.82</v>
      </c>
      <c r="E130" s="37">
        <f t="shared" si="2"/>
        <v>1.7000000000000001E-2</v>
      </c>
      <c r="F130" s="37">
        <f t="shared" si="1"/>
        <v>2.8199999999999999E-2</v>
      </c>
    </row>
    <row r="131" spans="1:6" x14ac:dyDescent="0.3">
      <c r="A131" s="4" t="s">
        <v>195</v>
      </c>
      <c r="B131">
        <v>0.28999999999999998</v>
      </c>
      <c r="C131">
        <v>-0.22</v>
      </c>
      <c r="E131" s="37">
        <f t="shared" si="2"/>
        <v>2.8999999999999998E-3</v>
      </c>
      <c r="F131" s="37">
        <f t="shared" si="1"/>
        <v>-2.2000000000000001E-3</v>
      </c>
    </row>
    <row r="132" spans="1:6" x14ac:dyDescent="0.3">
      <c r="A132" s="4" t="s">
        <v>196</v>
      </c>
      <c r="B132">
        <v>1.89</v>
      </c>
      <c r="C132">
        <v>2</v>
      </c>
      <c r="E132" s="37">
        <f t="shared" si="2"/>
        <v>1.89E-2</v>
      </c>
      <c r="F132" s="37">
        <f t="shared" si="1"/>
        <v>0.02</v>
      </c>
    </row>
    <row r="133" spans="1:6" x14ac:dyDescent="0.3">
      <c r="A133" s="4" t="s">
        <v>197</v>
      </c>
      <c r="B133">
        <v>0.81</v>
      </c>
      <c r="C133">
        <v>-1.1599999999999999</v>
      </c>
      <c r="E133" s="37">
        <f t="shared" si="2"/>
        <v>8.1000000000000013E-3</v>
      </c>
      <c r="F133" s="37">
        <f t="shared" si="1"/>
        <v>-1.1599999999999999E-2</v>
      </c>
    </row>
    <row r="134" spans="1:6" x14ac:dyDescent="0.3">
      <c r="A134" s="4" t="s">
        <v>198</v>
      </c>
      <c r="B134">
        <v>-1.9</v>
      </c>
      <c r="C134">
        <v>-1.01</v>
      </c>
      <c r="E134" s="37">
        <f t="shared" ref="E134:E197" si="3">B134*0.01</f>
        <v>-1.9E-2</v>
      </c>
      <c r="F134" s="37">
        <f t="shared" ref="F134:F197" si="4">C134*0.01</f>
        <v>-1.01E-2</v>
      </c>
    </row>
    <row r="135" spans="1:6" x14ac:dyDescent="0.3">
      <c r="A135" s="4" t="s">
        <v>199</v>
      </c>
      <c r="B135">
        <v>-3.97</v>
      </c>
      <c r="C135">
        <v>-1.54</v>
      </c>
      <c r="E135" s="37">
        <f t="shared" si="3"/>
        <v>-3.9700000000000006E-2</v>
      </c>
      <c r="F135" s="37">
        <f t="shared" si="4"/>
        <v>-1.54E-2</v>
      </c>
    </row>
    <row r="136" spans="1:6" x14ac:dyDescent="0.3">
      <c r="A136" s="4" t="s">
        <v>200</v>
      </c>
      <c r="B136">
        <v>0.09</v>
      </c>
      <c r="C136">
        <v>1.38</v>
      </c>
      <c r="E136" s="37">
        <f t="shared" si="3"/>
        <v>8.9999999999999998E-4</v>
      </c>
      <c r="F136" s="37">
        <f t="shared" si="4"/>
        <v>1.38E-2</v>
      </c>
    </row>
    <row r="137" spans="1:6" x14ac:dyDescent="0.3">
      <c r="A137" s="4" t="s">
        <v>201</v>
      </c>
      <c r="B137">
        <v>-0.25</v>
      </c>
      <c r="C137">
        <v>1.93</v>
      </c>
      <c r="E137" s="37">
        <f t="shared" si="3"/>
        <v>-2.5000000000000001E-3</v>
      </c>
      <c r="F137" s="37">
        <f t="shared" si="4"/>
        <v>1.9300000000000001E-2</v>
      </c>
    </row>
    <row r="138" spans="1:6" x14ac:dyDescent="0.3">
      <c r="A138" s="4" t="s">
        <v>202</v>
      </c>
      <c r="B138">
        <v>-1.67</v>
      </c>
      <c r="C138">
        <v>-0.74</v>
      </c>
      <c r="E138" s="37">
        <f t="shared" si="3"/>
        <v>-1.67E-2</v>
      </c>
      <c r="F138" s="37">
        <f t="shared" si="4"/>
        <v>-7.4000000000000003E-3</v>
      </c>
    </row>
    <row r="139" spans="1:6" x14ac:dyDescent="0.3">
      <c r="A139" s="4" t="s">
        <v>203</v>
      </c>
      <c r="B139">
        <v>-1.97</v>
      </c>
      <c r="C139">
        <v>-0.44</v>
      </c>
      <c r="E139" s="37">
        <f t="shared" si="3"/>
        <v>-1.9699999999999999E-2</v>
      </c>
      <c r="F139" s="37">
        <f t="shared" si="4"/>
        <v>-4.4000000000000003E-3</v>
      </c>
    </row>
    <row r="140" spans="1:6" x14ac:dyDescent="0.3">
      <c r="A140" s="4" t="s">
        <v>204</v>
      </c>
      <c r="B140">
        <v>-1.61</v>
      </c>
      <c r="C140">
        <v>0.69</v>
      </c>
      <c r="E140" s="37">
        <f t="shared" si="3"/>
        <v>-1.61E-2</v>
      </c>
      <c r="F140" s="37">
        <f t="shared" si="4"/>
        <v>6.8999999999999999E-3</v>
      </c>
    </row>
    <row r="141" spans="1:6" x14ac:dyDescent="0.3">
      <c r="A141" s="4" t="s">
        <v>205</v>
      </c>
      <c r="B141">
        <v>1.39</v>
      </c>
      <c r="C141">
        <v>0.9</v>
      </c>
      <c r="E141" s="37">
        <f t="shared" si="3"/>
        <v>1.3899999999999999E-2</v>
      </c>
      <c r="F141" s="37">
        <f t="shared" si="4"/>
        <v>9.0000000000000011E-3</v>
      </c>
    </row>
    <row r="142" spans="1:6" x14ac:dyDescent="0.3">
      <c r="A142" s="4" t="s">
        <v>206</v>
      </c>
      <c r="B142">
        <v>1.73</v>
      </c>
      <c r="C142">
        <v>-0.06</v>
      </c>
      <c r="E142" s="37">
        <f t="shared" si="3"/>
        <v>1.7299999999999999E-2</v>
      </c>
      <c r="F142" s="37">
        <f t="shared" si="4"/>
        <v>-5.9999999999999995E-4</v>
      </c>
    </row>
    <row r="143" spans="1:6" x14ac:dyDescent="0.3">
      <c r="A143" s="4" t="s">
        <v>207</v>
      </c>
      <c r="B143">
        <v>-1.45</v>
      </c>
      <c r="C143">
        <v>-0.43</v>
      </c>
      <c r="E143" s="37">
        <f t="shared" si="3"/>
        <v>-1.4499999999999999E-2</v>
      </c>
      <c r="F143" s="37">
        <f t="shared" si="4"/>
        <v>-4.3E-3</v>
      </c>
    </row>
    <row r="144" spans="1:6" x14ac:dyDescent="0.3">
      <c r="A144" s="4" t="s">
        <v>208</v>
      </c>
      <c r="B144">
        <v>-0.02</v>
      </c>
      <c r="C144">
        <v>0.18</v>
      </c>
      <c r="E144" s="37">
        <f t="shared" si="3"/>
        <v>-2.0000000000000001E-4</v>
      </c>
      <c r="F144" s="37">
        <f t="shared" si="4"/>
        <v>1.8E-3</v>
      </c>
    </row>
    <row r="145" spans="1:6" x14ac:dyDescent="0.3">
      <c r="A145" s="4" t="s">
        <v>209</v>
      </c>
      <c r="B145">
        <v>-2.09</v>
      </c>
      <c r="C145">
        <v>-1.58</v>
      </c>
      <c r="E145" s="37">
        <f t="shared" si="3"/>
        <v>-2.0899999999999998E-2</v>
      </c>
      <c r="F145" s="37">
        <f t="shared" si="4"/>
        <v>-1.5800000000000002E-2</v>
      </c>
    </row>
    <row r="146" spans="1:6" x14ac:dyDescent="0.3">
      <c r="A146" s="4" t="s">
        <v>210</v>
      </c>
      <c r="B146">
        <v>2.38</v>
      </c>
      <c r="C146">
        <v>0.93</v>
      </c>
      <c r="E146" s="37">
        <f t="shared" si="3"/>
        <v>2.3799999999999998E-2</v>
      </c>
      <c r="F146" s="37">
        <f t="shared" si="4"/>
        <v>9.300000000000001E-3</v>
      </c>
    </row>
    <row r="147" spans="1:6" x14ac:dyDescent="0.3">
      <c r="A147" s="4" t="s">
        <v>211</v>
      </c>
      <c r="B147">
        <v>1.04</v>
      </c>
      <c r="C147">
        <v>0.36</v>
      </c>
      <c r="E147" s="37">
        <f t="shared" si="3"/>
        <v>1.0400000000000001E-2</v>
      </c>
      <c r="F147" s="37">
        <f t="shared" si="4"/>
        <v>3.5999999999999999E-3</v>
      </c>
    </row>
    <row r="148" spans="1:6" x14ac:dyDescent="0.3">
      <c r="A148" s="4" t="s">
        <v>212</v>
      </c>
      <c r="B148">
        <v>0.93</v>
      </c>
      <c r="C148">
        <v>1.07</v>
      </c>
      <c r="E148" s="37">
        <f t="shared" si="3"/>
        <v>9.300000000000001E-3</v>
      </c>
      <c r="F148" s="37">
        <f t="shared" si="4"/>
        <v>1.0700000000000001E-2</v>
      </c>
    </row>
    <row r="149" spans="1:6" x14ac:dyDescent="0.3">
      <c r="A149" s="4" t="s">
        <v>213</v>
      </c>
      <c r="B149">
        <v>0.252</v>
      </c>
      <c r="C149">
        <v>0.45379999999999998</v>
      </c>
      <c r="E149" s="37">
        <f t="shared" si="3"/>
        <v>2.5200000000000001E-3</v>
      </c>
      <c r="F149" s="37">
        <f t="shared" si="4"/>
        <v>4.5379999999999995E-3</v>
      </c>
    </row>
    <row r="150" spans="1:6" x14ac:dyDescent="0.3">
      <c r="A150" s="4" t="s">
        <v>214</v>
      </c>
      <c r="B150">
        <v>-1.8420000000000001</v>
      </c>
      <c r="C150">
        <v>-0.25669999999999998</v>
      </c>
      <c r="E150" s="37">
        <f t="shared" si="3"/>
        <v>-1.8420000000000002E-2</v>
      </c>
      <c r="F150" s="37">
        <f t="shared" si="4"/>
        <v>-2.5669999999999998E-3</v>
      </c>
    </row>
    <row r="151" spans="1:6" x14ac:dyDescent="0.3">
      <c r="A151" s="4" t="s">
        <v>215</v>
      </c>
      <c r="B151">
        <v>1.7786999999999999</v>
      </c>
      <c r="C151">
        <v>0.78239999999999998</v>
      </c>
      <c r="E151" s="37">
        <f t="shared" si="3"/>
        <v>1.7787000000000001E-2</v>
      </c>
      <c r="F151" s="37">
        <f t="shared" si="4"/>
        <v>7.8239999999999994E-3</v>
      </c>
    </row>
    <row r="152" spans="1:6" x14ac:dyDescent="0.3">
      <c r="A152" s="4" t="s">
        <v>216</v>
      </c>
      <c r="B152">
        <v>0.19070000000000001</v>
      </c>
      <c r="C152">
        <v>0.63990000000000002</v>
      </c>
      <c r="E152" s="37">
        <f t="shared" si="3"/>
        <v>1.9070000000000001E-3</v>
      </c>
      <c r="F152" s="37">
        <f t="shared" si="4"/>
        <v>6.3990000000000002E-3</v>
      </c>
    </row>
    <row r="153" spans="1:6" x14ac:dyDescent="0.3">
      <c r="A153" s="4" t="s">
        <v>217</v>
      </c>
      <c r="B153">
        <v>-1.7324999999999999</v>
      </c>
      <c r="C153">
        <v>0.44040000000000001</v>
      </c>
      <c r="E153" s="37">
        <f t="shared" si="3"/>
        <v>-1.7325E-2</v>
      </c>
      <c r="F153" s="37">
        <f t="shared" si="4"/>
        <v>4.4039999999999999E-3</v>
      </c>
    </row>
    <row r="154" spans="1:6" x14ac:dyDescent="0.3">
      <c r="A154" s="4" t="s">
        <v>218</v>
      </c>
      <c r="B154">
        <v>-0.19239999999999999</v>
      </c>
      <c r="C154">
        <v>-0.87590000000000001</v>
      </c>
      <c r="E154" s="37">
        <f t="shared" si="3"/>
        <v>-1.9239999999999999E-3</v>
      </c>
      <c r="F154" s="37">
        <f t="shared" si="4"/>
        <v>-8.7590000000000012E-3</v>
      </c>
    </row>
    <row r="155" spans="1:6" x14ac:dyDescent="0.3">
      <c r="A155" s="4" t="s">
        <v>219</v>
      </c>
      <c r="B155">
        <v>-0.34789999999999999</v>
      </c>
      <c r="C155">
        <v>-1.3393999999999999</v>
      </c>
      <c r="E155" s="37">
        <f t="shared" si="3"/>
        <v>-3.4789999999999999E-3</v>
      </c>
      <c r="F155" s="37">
        <f t="shared" si="4"/>
        <v>-1.3394E-2</v>
      </c>
    </row>
    <row r="156" spans="1:6" x14ac:dyDescent="0.3">
      <c r="A156" s="4" t="s">
        <v>220</v>
      </c>
      <c r="B156">
        <v>-0.90580000000000005</v>
      </c>
      <c r="C156">
        <v>0.33100000000000002</v>
      </c>
      <c r="E156" s="37">
        <f t="shared" si="3"/>
        <v>-9.0580000000000001E-3</v>
      </c>
      <c r="F156" s="37">
        <f t="shared" si="4"/>
        <v>3.3100000000000004E-3</v>
      </c>
    </row>
    <row r="157" spans="1:6" x14ac:dyDescent="0.3">
      <c r="A157" s="4" t="s">
        <v>221</v>
      </c>
      <c r="B157">
        <v>-1.1680999999999999</v>
      </c>
      <c r="C157">
        <v>-0.44569999999999999</v>
      </c>
      <c r="E157" s="37">
        <f t="shared" si="3"/>
        <v>-1.1680999999999999E-2</v>
      </c>
      <c r="F157" s="37">
        <f t="shared" si="4"/>
        <v>-4.457E-3</v>
      </c>
    </row>
    <row r="158" spans="1:6" x14ac:dyDescent="0.3">
      <c r="A158" s="4" t="s">
        <v>222</v>
      </c>
      <c r="B158">
        <v>-1.3006</v>
      </c>
      <c r="C158">
        <v>-0.20130000000000001</v>
      </c>
      <c r="E158" s="37">
        <f t="shared" si="3"/>
        <v>-1.3006E-2</v>
      </c>
      <c r="F158" s="37">
        <f t="shared" si="4"/>
        <v>-2.013E-3</v>
      </c>
    </row>
    <row r="159" spans="1:6" x14ac:dyDescent="0.3">
      <c r="A159" s="4" t="s">
        <v>223</v>
      </c>
      <c r="B159">
        <v>2.1309999999999998</v>
      </c>
      <c r="C159">
        <v>0.83819999999999995</v>
      </c>
      <c r="E159" s="37">
        <f t="shared" si="3"/>
        <v>2.1309999999999999E-2</v>
      </c>
      <c r="F159" s="37">
        <f t="shared" si="4"/>
        <v>8.3819999999999988E-3</v>
      </c>
    </row>
    <row r="160" spans="1:6" x14ac:dyDescent="0.3">
      <c r="A160" s="4" t="s">
        <v>224</v>
      </c>
      <c r="B160">
        <v>-2.3940000000000001</v>
      </c>
      <c r="C160">
        <v>0.67900000000000005</v>
      </c>
      <c r="E160" s="37">
        <f t="shared" si="3"/>
        <v>-2.3940000000000003E-2</v>
      </c>
      <c r="F160" s="37">
        <f t="shared" si="4"/>
        <v>6.7900000000000009E-3</v>
      </c>
    </row>
    <row r="161" spans="1:6" x14ac:dyDescent="0.3">
      <c r="A161" s="4" t="s">
        <v>225</v>
      </c>
      <c r="B161">
        <v>7.3170000000000002</v>
      </c>
      <c r="C161">
        <v>0.84199999999999997</v>
      </c>
      <c r="E161" s="37">
        <f t="shared" si="3"/>
        <v>7.3169999999999999E-2</v>
      </c>
      <c r="F161" s="37">
        <f t="shared" si="4"/>
        <v>8.4200000000000004E-3</v>
      </c>
    </row>
    <row r="162" spans="1:6" x14ac:dyDescent="0.3">
      <c r="A162" s="4" t="s">
        <v>226</v>
      </c>
      <c r="B162">
        <v>-1.2010000000000001</v>
      </c>
      <c r="C162">
        <v>0.34100000000000003</v>
      </c>
      <c r="E162" s="37">
        <f t="shared" si="3"/>
        <v>-1.2010000000000002E-2</v>
      </c>
      <c r="F162" s="37">
        <f t="shared" si="4"/>
        <v>3.4100000000000003E-3</v>
      </c>
    </row>
    <row r="163" spans="1:6" x14ac:dyDescent="0.3">
      <c r="A163" s="4" t="s">
        <v>227</v>
      </c>
      <c r="B163">
        <v>-0.78300000000000003</v>
      </c>
      <c r="C163">
        <v>-3.1E-2</v>
      </c>
      <c r="E163" s="37">
        <f t="shared" si="3"/>
        <v>-7.8300000000000002E-3</v>
      </c>
      <c r="F163" s="37">
        <f t="shared" si="4"/>
        <v>-3.1E-4</v>
      </c>
    </row>
    <row r="164" spans="1:6" x14ac:dyDescent="0.3">
      <c r="A164" s="4" t="s">
        <v>228</v>
      </c>
      <c r="B164">
        <v>1.0780000000000001</v>
      </c>
      <c r="C164">
        <v>1.2150000000000001</v>
      </c>
      <c r="E164" s="37">
        <f t="shared" si="3"/>
        <v>1.0780000000000001E-2</v>
      </c>
      <c r="F164" s="37">
        <f t="shared" si="4"/>
        <v>1.2150000000000001E-2</v>
      </c>
    </row>
    <row r="165" spans="1:6" x14ac:dyDescent="0.3">
      <c r="A165" s="4" t="s">
        <v>229</v>
      </c>
      <c r="B165">
        <v>4.5720000000000001</v>
      </c>
      <c r="C165">
        <v>2.081</v>
      </c>
      <c r="E165" s="37">
        <f t="shared" si="3"/>
        <v>4.5720000000000004E-2</v>
      </c>
      <c r="F165" s="37">
        <f t="shared" si="4"/>
        <v>2.0809999999999999E-2</v>
      </c>
    </row>
    <row r="166" spans="1:6" x14ac:dyDescent="0.3">
      <c r="A166" s="4" t="s">
        <v>230</v>
      </c>
      <c r="B166">
        <v>0.85399999999999998</v>
      </c>
      <c r="C166">
        <v>0.66700000000000004</v>
      </c>
      <c r="E166" s="37">
        <f t="shared" si="3"/>
        <v>8.5400000000000007E-3</v>
      </c>
      <c r="F166" s="37">
        <f t="shared" si="4"/>
        <v>6.6700000000000006E-3</v>
      </c>
    </row>
    <row r="167" spans="1:6" x14ac:dyDescent="0.3">
      <c r="A167" s="4" t="s">
        <v>231</v>
      </c>
      <c r="B167">
        <v>1.1719999999999999</v>
      </c>
      <c r="C167">
        <v>0.22600000000000001</v>
      </c>
      <c r="E167" s="37">
        <f t="shared" si="3"/>
        <v>1.172E-2</v>
      </c>
      <c r="F167" s="37">
        <f t="shared" si="4"/>
        <v>2.2600000000000003E-3</v>
      </c>
    </row>
    <row r="168" spans="1:6" x14ac:dyDescent="0.3">
      <c r="A168" s="4" t="s">
        <v>232</v>
      </c>
      <c r="B168">
        <v>2.371</v>
      </c>
      <c r="C168">
        <v>0.83399999999999996</v>
      </c>
      <c r="E168" s="37">
        <f t="shared" si="3"/>
        <v>2.3710000000000002E-2</v>
      </c>
      <c r="F168" s="37">
        <f t="shared" si="4"/>
        <v>8.3400000000000002E-3</v>
      </c>
    </row>
    <row r="169" spans="1:6" x14ac:dyDescent="0.3">
      <c r="A169" s="4" t="s">
        <v>233</v>
      </c>
      <c r="B169">
        <v>1.7350000000000001</v>
      </c>
      <c r="C169">
        <v>1.177</v>
      </c>
      <c r="E169" s="37">
        <f t="shared" si="3"/>
        <v>1.7350000000000001E-2</v>
      </c>
      <c r="F169" s="37">
        <f t="shared" si="4"/>
        <v>1.1770000000000001E-2</v>
      </c>
    </row>
    <row r="170" spans="1:6" x14ac:dyDescent="0.3">
      <c r="A170" s="4" t="s">
        <v>234</v>
      </c>
      <c r="B170">
        <v>0.60399999999999998</v>
      </c>
      <c r="C170">
        <v>1.534</v>
      </c>
      <c r="E170" s="37">
        <f t="shared" si="3"/>
        <v>6.0400000000000002E-3</v>
      </c>
      <c r="F170" s="37">
        <f t="shared" si="4"/>
        <v>1.5340000000000001E-2</v>
      </c>
    </row>
    <row r="171" spans="1:6" x14ac:dyDescent="0.3">
      <c r="A171" s="4" t="s">
        <v>235</v>
      </c>
      <c r="B171">
        <v>1.839</v>
      </c>
      <c r="C171">
        <v>0.621</v>
      </c>
      <c r="E171" s="37">
        <f t="shared" si="3"/>
        <v>1.839E-2</v>
      </c>
      <c r="F171" s="37">
        <f t="shared" si="4"/>
        <v>6.2100000000000002E-3</v>
      </c>
    </row>
    <row r="172" spans="1:6" x14ac:dyDescent="0.3">
      <c r="A172" s="4" t="s">
        <v>236</v>
      </c>
      <c r="B172">
        <v>-0.434</v>
      </c>
      <c r="C172">
        <v>1.546</v>
      </c>
      <c r="E172" s="37">
        <f t="shared" si="3"/>
        <v>-4.3400000000000001E-3</v>
      </c>
      <c r="F172" s="37">
        <f t="shared" si="4"/>
        <v>1.5460000000000002E-2</v>
      </c>
    </row>
    <row r="173" spans="1:6" x14ac:dyDescent="0.3">
      <c r="A173" s="4" t="s">
        <v>237</v>
      </c>
      <c r="B173">
        <v>2.7829999999999999</v>
      </c>
      <c r="C173">
        <v>1.5860000000000001</v>
      </c>
      <c r="E173" s="37">
        <f t="shared" si="3"/>
        <v>2.7830000000000001E-2</v>
      </c>
      <c r="F173" s="37">
        <f t="shared" si="4"/>
        <v>1.5860000000000003E-2</v>
      </c>
    </row>
    <row r="174" spans="1:6" x14ac:dyDescent="0.3">
      <c r="A174" s="4" t="s">
        <v>238</v>
      </c>
      <c r="B174">
        <v>2.3559999999999999</v>
      </c>
      <c r="C174">
        <v>1.0960000000000001</v>
      </c>
      <c r="E174" s="37">
        <f t="shared" si="3"/>
        <v>2.3559999999999998E-2</v>
      </c>
      <c r="F174" s="37">
        <f t="shared" si="4"/>
        <v>1.0960000000000001E-2</v>
      </c>
    </row>
    <row r="175" spans="1:6" x14ac:dyDescent="0.3">
      <c r="A175" s="4" t="s">
        <v>239</v>
      </c>
      <c r="B175">
        <v>-0.21099999999999999</v>
      </c>
      <c r="C175">
        <v>0.45100000000000001</v>
      </c>
      <c r="E175" s="37">
        <f t="shared" si="3"/>
        <v>-2.1099999999999999E-3</v>
      </c>
      <c r="F175" s="37">
        <f t="shared" si="4"/>
        <v>4.5100000000000001E-3</v>
      </c>
    </row>
    <row r="176" spans="1:6" x14ac:dyDescent="0.3">
      <c r="A176" s="4" t="s">
        <v>240</v>
      </c>
      <c r="B176">
        <v>0.82699999999999996</v>
      </c>
      <c r="C176">
        <v>-0.878</v>
      </c>
      <c r="E176" s="37">
        <f t="shared" si="3"/>
        <v>8.2699999999999996E-3</v>
      </c>
      <c r="F176" s="37">
        <f t="shared" si="4"/>
        <v>-8.7799999999999996E-3</v>
      </c>
    </row>
    <row r="177" spans="1:27" x14ac:dyDescent="0.3">
      <c r="A177" s="4" t="s">
        <v>241</v>
      </c>
      <c r="B177">
        <v>0.23400000000000001</v>
      </c>
      <c r="C177">
        <v>-0.873</v>
      </c>
      <c r="E177" s="37">
        <f t="shared" si="3"/>
        <v>2.3400000000000001E-3</v>
      </c>
      <c r="F177" s="37">
        <f t="shared" si="4"/>
        <v>-8.7299999999999999E-3</v>
      </c>
    </row>
    <row r="178" spans="1:27" x14ac:dyDescent="0.3">
      <c r="A178" s="4" t="s">
        <v>242</v>
      </c>
      <c r="B178">
        <v>-0.34499999999999997</v>
      </c>
      <c r="C178">
        <v>0.24199999999999999</v>
      </c>
      <c r="E178" s="37">
        <f t="shared" si="3"/>
        <v>-3.4499999999999999E-3</v>
      </c>
      <c r="F178" s="37">
        <f t="shared" si="4"/>
        <v>2.4199999999999998E-3</v>
      </c>
      <c r="G178" s="43">
        <f>(1+E178)</f>
        <v>0.99655000000000005</v>
      </c>
      <c r="H178" s="43">
        <f>(1+F178)</f>
        <v>1.0024200000000001</v>
      </c>
      <c r="X178" s="43">
        <f>1+E178</f>
        <v>0.99655000000000005</v>
      </c>
      <c r="Y178" s="43">
        <f>1+F178</f>
        <v>1.0024200000000001</v>
      </c>
    </row>
    <row r="179" spans="1:27" x14ac:dyDescent="0.3">
      <c r="A179" s="4" t="s">
        <v>243</v>
      </c>
      <c r="B179">
        <v>-1.3</v>
      </c>
      <c r="C179">
        <v>-0.57499999999999996</v>
      </c>
      <c r="E179" s="37">
        <f t="shared" si="3"/>
        <v>-1.3000000000000001E-2</v>
      </c>
      <c r="F179" s="37">
        <f t="shared" si="4"/>
        <v>-5.7499999999999999E-3</v>
      </c>
      <c r="G179" s="43">
        <f>G178*(1+E179)</f>
        <v>0.98359485000000002</v>
      </c>
      <c r="H179" s="43">
        <f>H178*(1+F179)</f>
        <v>0.99665608500000002</v>
      </c>
      <c r="X179" s="37">
        <f>X178*(1+E179)</f>
        <v>0.98359485000000002</v>
      </c>
      <c r="Y179" s="37">
        <f>Y178*(1+F179)</f>
        <v>0.99665608500000002</v>
      </c>
    </row>
    <row r="180" spans="1:27" x14ac:dyDescent="0.3">
      <c r="A180" s="4" t="s">
        <v>244</v>
      </c>
      <c r="B180">
        <v>0.13800000000000001</v>
      </c>
      <c r="C180">
        <v>-1.4E-2</v>
      </c>
      <c r="E180" s="37">
        <f t="shared" si="3"/>
        <v>1.3800000000000002E-3</v>
      </c>
      <c r="F180" s="37">
        <f t="shared" si="4"/>
        <v>-1.4000000000000001E-4</v>
      </c>
      <c r="G180" s="43">
        <f t="shared" ref="G180:G192" si="5">G179*(1+E180)</f>
        <v>0.984952210893</v>
      </c>
      <c r="H180" s="43">
        <f t="shared" ref="H180:H192" si="6">H179*(1+F180)</f>
        <v>0.99651655314809995</v>
      </c>
      <c r="X180" s="37">
        <f t="shared" ref="X180:X184" si="7">X179*(1+E180)</f>
        <v>0.984952210893</v>
      </c>
      <c r="Y180" s="37">
        <f t="shared" ref="Y180:Y184" si="8">Y179*(1+F180)</f>
        <v>0.99651655314809995</v>
      </c>
    </row>
    <row r="181" spans="1:27" x14ac:dyDescent="0.3">
      <c r="A181" s="4" t="s">
        <v>245</v>
      </c>
      <c r="B181">
        <v>8.6999999999999994E-2</v>
      </c>
      <c r="C181">
        <v>0.88700000000000001</v>
      </c>
      <c r="E181" s="37">
        <f t="shared" si="3"/>
        <v>8.7000000000000001E-4</v>
      </c>
      <c r="F181" s="37">
        <f t="shared" si="4"/>
        <v>8.8700000000000011E-3</v>
      </c>
      <c r="G181" s="43">
        <f t="shared" si="5"/>
        <v>0.98580911931647686</v>
      </c>
      <c r="H181" s="43">
        <f t="shared" si="6"/>
        <v>1.0053556549745235</v>
      </c>
      <c r="X181" s="37">
        <f t="shared" si="7"/>
        <v>0.98580911931647686</v>
      </c>
      <c r="Y181" s="37">
        <f t="shared" si="8"/>
        <v>1.0053556549745235</v>
      </c>
    </row>
    <row r="182" spans="1:27" x14ac:dyDescent="0.3">
      <c r="A182" s="4" t="s">
        <v>246</v>
      </c>
      <c r="B182">
        <v>0.54500000000000004</v>
      </c>
      <c r="C182">
        <v>0.78200000000000003</v>
      </c>
      <c r="E182" s="37">
        <f t="shared" si="3"/>
        <v>5.4500000000000009E-3</v>
      </c>
      <c r="F182" s="37">
        <f t="shared" si="4"/>
        <v>7.8200000000000006E-3</v>
      </c>
      <c r="G182" s="43">
        <f t="shared" si="5"/>
        <v>0.99118177901675164</v>
      </c>
      <c r="H182" s="43">
        <f t="shared" si="6"/>
        <v>1.0132175361964242</v>
      </c>
      <c r="X182" s="37">
        <f t="shared" si="7"/>
        <v>0.99118177901675164</v>
      </c>
      <c r="Y182" s="37">
        <f t="shared" si="8"/>
        <v>1.0132175361964242</v>
      </c>
    </row>
    <row r="183" spans="1:27" x14ac:dyDescent="0.3">
      <c r="A183" s="4" t="s">
        <v>247</v>
      </c>
      <c r="B183">
        <v>-0.16500000000000001</v>
      </c>
      <c r="C183">
        <v>2.5470000000000002</v>
      </c>
      <c r="E183" s="37">
        <f t="shared" si="3"/>
        <v>-1.6500000000000002E-3</v>
      </c>
      <c r="F183" s="37">
        <f t="shared" si="4"/>
        <v>2.5470000000000003E-2</v>
      </c>
      <c r="G183" s="43">
        <f t="shared" si="5"/>
        <v>0.98954632908137397</v>
      </c>
      <c r="H183" s="43">
        <f t="shared" si="6"/>
        <v>1.0390241868433472</v>
      </c>
      <c r="X183" s="37">
        <f t="shared" si="7"/>
        <v>0.98954632908137397</v>
      </c>
      <c r="Y183" s="37">
        <f t="shared" si="8"/>
        <v>1.0390241868433472</v>
      </c>
    </row>
    <row r="184" spans="1:27" x14ac:dyDescent="0.3">
      <c r="A184" s="4" t="s">
        <v>248</v>
      </c>
      <c r="B184">
        <v>1.02</v>
      </c>
      <c r="C184">
        <v>1.464</v>
      </c>
      <c r="E184" s="37">
        <f t="shared" si="3"/>
        <v>1.0200000000000001E-2</v>
      </c>
      <c r="F184" s="37">
        <f t="shared" si="4"/>
        <v>1.464E-2</v>
      </c>
      <c r="G184" s="43">
        <f t="shared" si="5"/>
        <v>0.99963970163800397</v>
      </c>
      <c r="H184" s="43">
        <f t="shared" si="6"/>
        <v>1.0542355009387339</v>
      </c>
      <c r="X184" s="37">
        <f t="shared" si="7"/>
        <v>0.99963970163800397</v>
      </c>
      <c r="Y184" s="37">
        <f t="shared" si="8"/>
        <v>1.0542355009387339</v>
      </c>
    </row>
    <row r="185" spans="1:27" x14ac:dyDescent="0.3">
      <c r="A185" s="4" t="s">
        <v>249</v>
      </c>
      <c r="B185">
        <v>-1.82</v>
      </c>
      <c r="C185">
        <v>-4.0000000000000001E-3</v>
      </c>
      <c r="E185" s="37">
        <f t="shared" si="3"/>
        <v>-1.8200000000000001E-2</v>
      </c>
      <c r="F185" s="37">
        <f t="shared" si="4"/>
        <v>-4.0000000000000003E-5</v>
      </c>
      <c r="G185" s="43">
        <f t="shared" si="5"/>
        <v>0.98144625906819227</v>
      </c>
      <c r="H185" s="43">
        <f t="shared" si="6"/>
        <v>1.0541933315186962</v>
      </c>
      <c r="Z185" s="43">
        <f>E185+1</f>
        <v>0.98180000000000001</v>
      </c>
      <c r="AA185" s="43">
        <f>F185+1</f>
        <v>0.99995999999999996</v>
      </c>
    </row>
    <row r="186" spans="1:27" x14ac:dyDescent="0.3">
      <c r="A186" s="4" t="s">
        <v>250</v>
      </c>
      <c r="B186">
        <v>3.1709999999999998</v>
      </c>
      <c r="C186">
        <v>1.359</v>
      </c>
      <c r="E186" s="37">
        <f t="shared" si="3"/>
        <v>3.1710000000000002E-2</v>
      </c>
      <c r="F186" s="37">
        <f t="shared" si="4"/>
        <v>1.359E-2</v>
      </c>
      <c r="G186" s="43">
        <f t="shared" si="5"/>
        <v>1.0125679199432445</v>
      </c>
      <c r="H186" s="43">
        <f t="shared" si="6"/>
        <v>1.0685198188940352</v>
      </c>
      <c r="Z186" s="37">
        <f>Z185*(1+E186)</f>
        <v>1.012932878</v>
      </c>
      <c r="AA186" s="37">
        <f>AA185*(1+F186)</f>
        <v>1.0135494564</v>
      </c>
    </row>
    <row r="187" spans="1:27" x14ac:dyDescent="0.3">
      <c r="A187" s="4" t="s">
        <v>251</v>
      </c>
      <c r="B187">
        <v>0.84399999999999997</v>
      </c>
      <c r="C187">
        <v>-0.55100000000000005</v>
      </c>
      <c r="E187" s="37">
        <f t="shared" si="3"/>
        <v>8.4399999999999996E-3</v>
      </c>
      <c r="F187" s="37">
        <f t="shared" si="4"/>
        <v>-5.5100000000000001E-3</v>
      </c>
      <c r="G187" s="43">
        <f t="shared" si="5"/>
        <v>1.0211139931875655</v>
      </c>
      <c r="H187" s="43">
        <f t="shared" si="6"/>
        <v>1.062632274691929</v>
      </c>
      <c r="Z187" s="37">
        <f t="shared" ref="Z187:Z196" si="9">Z186*(1+E187)</f>
        <v>1.0214820314903199</v>
      </c>
      <c r="AA187" s="37">
        <f t="shared" ref="AA187:AA196" si="10">AA186*(1+F187)</f>
        <v>1.007964798895236</v>
      </c>
    </row>
    <row r="188" spans="1:27" x14ac:dyDescent="0.3">
      <c r="A188" s="4" t="s">
        <v>252</v>
      </c>
      <c r="B188">
        <v>-0.65200000000000002</v>
      </c>
      <c r="C188">
        <v>-1.4139999999999999</v>
      </c>
      <c r="E188" s="37">
        <f t="shared" si="3"/>
        <v>-6.5200000000000006E-3</v>
      </c>
      <c r="F188" s="37">
        <f t="shared" si="4"/>
        <v>-1.414E-2</v>
      </c>
      <c r="G188" s="43">
        <f t="shared" si="5"/>
        <v>1.0144563299519826</v>
      </c>
      <c r="H188" s="43">
        <f t="shared" si="6"/>
        <v>1.0476066543277851</v>
      </c>
      <c r="Z188" s="37">
        <f t="shared" si="9"/>
        <v>1.0148219686450031</v>
      </c>
      <c r="AA188" s="37">
        <f t="shared" si="10"/>
        <v>0.99371217663885736</v>
      </c>
    </row>
    <row r="189" spans="1:27" x14ac:dyDescent="0.3">
      <c r="A189" s="4" t="s">
        <v>253</v>
      </c>
      <c r="B189">
        <v>0.66500000000000004</v>
      </c>
      <c r="C189">
        <v>0.23699999999999999</v>
      </c>
      <c r="E189" s="37">
        <f t="shared" si="3"/>
        <v>6.6500000000000005E-3</v>
      </c>
      <c r="F189" s="37">
        <f t="shared" si="4"/>
        <v>2.3700000000000001E-3</v>
      </c>
      <c r="G189" s="43">
        <f t="shared" si="5"/>
        <v>1.0212024645461635</v>
      </c>
      <c r="H189" s="43">
        <f t="shared" si="6"/>
        <v>1.050089482098542</v>
      </c>
      <c r="I189" s="43">
        <f>1+E189</f>
        <v>1.00665</v>
      </c>
      <c r="J189" s="43">
        <f>1+F189</f>
        <v>1.00237</v>
      </c>
      <c r="Z189" s="37">
        <f t="shared" si="9"/>
        <v>1.0215705347364923</v>
      </c>
      <c r="AA189" s="37">
        <f t="shared" si="10"/>
        <v>0.99606727449749144</v>
      </c>
    </row>
    <row r="190" spans="1:27" x14ac:dyDescent="0.3">
      <c r="A190" s="4" t="s">
        <v>254</v>
      </c>
      <c r="B190">
        <v>3.6789999999999998</v>
      </c>
      <c r="C190">
        <v>1.361</v>
      </c>
      <c r="E190" s="37">
        <f t="shared" si="3"/>
        <v>3.6789999999999996E-2</v>
      </c>
      <c r="F190" s="37">
        <f t="shared" si="4"/>
        <v>1.3610000000000001E-2</v>
      </c>
      <c r="G190" s="43">
        <f t="shared" si="5"/>
        <v>1.0587725032168169</v>
      </c>
      <c r="H190" s="43">
        <f t="shared" si="6"/>
        <v>1.0643811999499031</v>
      </c>
      <c r="I190" s="43">
        <f>I189*(1+E190)</f>
        <v>1.0436846535000002</v>
      </c>
      <c r="J190" s="43">
        <f>J189*(1+F190)</f>
        <v>1.0160122557</v>
      </c>
      <c r="Z190" s="37">
        <f t="shared" si="9"/>
        <v>1.0591541147094479</v>
      </c>
      <c r="AA190" s="37">
        <f t="shared" si="10"/>
        <v>1.0096237501034022</v>
      </c>
    </row>
    <row r="191" spans="1:27" x14ac:dyDescent="0.3">
      <c r="A191" s="4" t="s">
        <v>255</v>
      </c>
      <c r="B191">
        <v>3.5990000000000002</v>
      </c>
      <c r="C191">
        <v>1.7370000000000001</v>
      </c>
      <c r="E191" s="37">
        <f t="shared" si="3"/>
        <v>3.5990000000000001E-2</v>
      </c>
      <c r="F191" s="37">
        <f t="shared" si="4"/>
        <v>1.737E-2</v>
      </c>
      <c r="G191" s="43">
        <f t="shared" si="5"/>
        <v>1.0968777256075901</v>
      </c>
      <c r="H191" s="43">
        <f t="shared" si="6"/>
        <v>1.082869501393033</v>
      </c>
      <c r="I191" s="43">
        <f t="shared" ref="I191:I203" si="11">I190*(1+E191)</f>
        <v>1.0812468641794653</v>
      </c>
      <c r="J191" s="43">
        <f t="shared" ref="J191:J203" si="12">J190*(1+F191)</f>
        <v>1.033660388581509</v>
      </c>
      <c r="Z191" s="37">
        <f t="shared" si="9"/>
        <v>1.0972730712978409</v>
      </c>
      <c r="AA191" s="37">
        <f t="shared" si="10"/>
        <v>1.0271609146426983</v>
      </c>
    </row>
    <row r="192" spans="1:27" x14ac:dyDescent="0.3">
      <c r="A192" s="4" t="s">
        <v>256</v>
      </c>
      <c r="B192">
        <v>3.4260000000000002</v>
      </c>
      <c r="C192">
        <v>0.84</v>
      </c>
      <c r="E192" s="37">
        <f t="shared" si="3"/>
        <v>3.4260000000000006E-2</v>
      </c>
      <c r="F192" s="37">
        <f t="shared" si="4"/>
        <v>8.3999999999999995E-3</v>
      </c>
      <c r="G192" s="43">
        <f t="shared" si="5"/>
        <v>1.1344567564869061</v>
      </c>
      <c r="H192" s="43">
        <f t="shared" si="6"/>
        <v>1.0919656052047344</v>
      </c>
      <c r="I192" s="43">
        <f t="shared" si="11"/>
        <v>1.1182903817462537</v>
      </c>
      <c r="J192" s="43">
        <f t="shared" si="12"/>
        <v>1.0423431358455937</v>
      </c>
      <c r="Z192" s="37">
        <f t="shared" si="9"/>
        <v>1.1348656467205049</v>
      </c>
      <c r="AA192" s="37">
        <f t="shared" si="10"/>
        <v>1.035789066325697</v>
      </c>
    </row>
    <row r="193" spans="1:29" x14ac:dyDescent="0.3">
      <c r="A193" s="4" t="s">
        <v>257</v>
      </c>
      <c r="B193">
        <v>-0.38900000000000001</v>
      </c>
      <c r="C193">
        <v>1.5449999999999999</v>
      </c>
      <c r="E193" s="37">
        <f t="shared" si="3"/>
        <v>-3.8900000000000002E-3</v>
      </c>
      <c r="F193" s="37">
        <f t="shared" si="4"/>
        <v>1.545E-2</v>
      </c>
      <c r="I193" s="43">
        <f t="shared" si="11"/>
        <v>1.1139402321612608</v>
      </c>
      <c r="J193" s="43">
        <f t="shared" si="12"/>
        <v>1.0584473372944081</v>
      </c>
      <c r="Z193" s="37">
        <f t="shared" si="9"/>
        <v>1.1304510193547623</v>
      </c>
      <c r="AA193" s="37">
        <f t="shared" si="10"/>
        <v>1.051792007400429</v>
      </c>
    </row>
    <row r="194" spans="1:29" x14ac:dyDescent="0.3">
      <c r="A194" s="4" t="s">
        <v>258</v>
      </c>
      <c r="B194">
        <v>-1.0309999999999999</v>
      </c>
      <c r="C194">
        <v>-1.4450000000000001</v>
      </c>
      <c r="E194" s="37">
        <f t="shared" si="3"/>
        <v>-1.031E-2</v>
      </c>
      <c r="F194" s="37">
        <f t="shared" si="4"/>
        <v>-1.4450000000000001E-2</v>
      </c>
      <c r="I194" s="43">
        <f t="shared" si="11"/>
        <v>1.1024555083676781</v>
      </c>
      <c r="J194" s="43">
        <f t="shared" si="12"/>
        <v>1.0431527732705039</v>
      </c>
      <c r="Z194" s="37">
        <f t="shared" si="9"/>
        <v>1.1187960693452146</v>
      </c>
      <c r="AA194" s="37">
        <f t="shared" si="10"/>
        <v>1.0365936128934929</v>
      </c>
    </row>
    <row r="195" spans="1:29" x14ac:dyDescent="0.3">
      <c r="A195" s="4" t="s">
        <v>259</v>
      </c>
      <c r="B195">
        <v>1.478</v>
      </c>
      <c r="C195">
        <v>1.6830000000000001</v>
      </c>
      <c r="E195" s="37">
        <f t="shared" si="3"/>
        <v>1.478E-2</v>
      </c>
      <c r="F195" s="37">
        <f t="shared" si="4"/>
        <v>1.6830000000000001E-2</v>
      </c>
      <c r="I195" s="43">
        <f t="shared" si="11"/>
        <v>1.1187498007813523</v>
      </c>
      <c r="J195" s="43">
        <f t="shared" si="12"/>
        <v>1.0607090344446464</v>
      </c>
      <c r="Z195" s="37">
        <f t="shared" si="9"/>
        <v>1.1353318752501369</v>
      </c>
      <c r="AA195" s="37">
        <f t="shared" si="10"/>
        <v>1.0540394833984903</v>
      </c>
    </row>
    <row r="196" spans="1:29" x14ac:dyDescent="0.3">
      <c r="A196" s="4" t="s">
        <v>260</v>
      </c>
      <c r="B196">
        <v>-0.97899999999999998</v>
      </c>
      <c r="C196">
        <v>1.98</v>
      </c>
      <c r="E196" s="37">
        <f t="shared" si="3"/>
        <v>-9.7900000000000001E-3</v>
      </c>
      <c r="F196" s="37">
        <f t="shared" si="4"/>
        <v>1.9800000000000002E-2</v>
      </c>
      <c r="I196" s="43">
        <f t="shared" si="11"/>
        <v>1.1077972402317029</v>
      </c>
      <c r="J196" s="43">
        <f t="shared" si="12"/>
        <v>1.0817110733266504</v>
      </c>
      <c r="Z196" s="37">
        <f t="shared" si="9"/>
        <v>1.124216976191438</v>
      </c>
      <c r="AA196" s="37">
        <f t="shared" si="10"/>
        <v>1.0749094651697804</v>
      </c>
    </row>
    <row r="197" spans="1:29" x14ac:dyDescent="0.3">
      <c r="A197" s="4" t="s">
        <v>261</v>
      </c>
      <c r="B197">
        <v>4.2130000000000001</v>
      </c>
      <c r="C197">
        <v>2.8769999999999998</v>
      </c>
      <c r="E197" s="37">
        <f t="shared" si="3"/>
        <v>4.2130000000000001E-2</v>
      </c>
      <c r="F197" s="37">
        <f t="shared" si="4"/>
        <v>2.8769999999999997E-2</v>
      </c>
      <c r="I197" s="43">
        <f t="shared" si="11"/>
        <v>1.1544687379626646</v>
      </c>
      <c r="J197" s="43">
        <f t="shared" si="12"/>
        <v>1.1128319009062582</v>
      </c>
      <c r="AB197" s="43">
        <f>1+E197</f>
        <v>1.04213</v>
      </c>
      <c r="AC197" s="43">
        <f>1+F197</f>
        <v>1.02877</v>
      </c>
    </row>
    <row r="198" spans="1:29" x14ac:dyDescent="0.3">
      <c r="A198" s="4" t="s">
        <v>262</v>
      </c>
      <c r="B198">
        <v>1.4850000000000001</v>
      </c>
      <c r="C198">
        <v>0.35099999999999998</v>
      </c>
      <c r="E198" s="37">
        <f t="shared" ref="E198:E261" si="13">B198*0.01</f>
        <v>1.4850000000000002E-2</v>
      </c>
      <c r="F198" s="37">
        <f t="shared" ref="F198:F261" si="14">C198*0.01</f>
        <v>3.5099999999999997E-3</v>
      </c>
      <c r="I198" s="43">
        <f t="shared" si="11"/>
        <v>1.1716125987214101</v>
      </c>
      <c r="J198" s="43">
        <f t="shared" si="12"/>
        <v>1.116737940878439</v>
      </c>
      <c r="AB198" s="37">
        <f>AB197*(1+E198)</f>
        <v>1.0576056305000001</v>
      </c>
      <c r="AC198" s="37">
        <f>AC197*(1+F198)</f>
        <v>1.0323809826999999</v>
      </c>
    </row>
    <row r="199" spans="1:29" x14ac:dyDescent="0.3">
      <c r="A199" s="4" t="s">
        <v>263</v>
      </c>
      <c r="B199">
        <v>2.637</v>
      </c>
      <c r="C199">
        <v>1.7030000000000001</v>
      </c>
      <c r="E199" s="37">
        <f t="shared" si="13"/>
        <v>2.6370000000000001E-2</v>
      </c>
      <c r="F199" s="37">
        <f t="shared" si="14"/>
        <v>1.703E-2</v>
      </c>
      <c r="I199" s="43">
        <f t="shared" si="11"/>
        <v>1.2025080229496936</v>
      </c>
      <c r="J199" s="43">
        <f t="shared" si="12"/>
        <v>1.135755988011599</v>
      </c>
      <c r="AB199" s="37">
        <f t="shared" ref="AB199:AB208" si="15">AB198*(1+E199)</f>
        <v>1.085494690976285</v>
      </c>
      <c r="AC199" s="37">
        <f t="shared" ref="AC199:AC208" si="16">AC198*(1+F199)</f>
        <v>1.049962430835381</v>
      </c>
    </row>
    <row r="200" spans="1:29" x14ac:dyDescent="0.3">
      <c r="A200" s="4" t="s">
        <v>264</v>
      </c>
      <c r="B200">
        <v>-0.54300000000000004</v>
      </c>
      <c r="C200">
        <v>1.764</v>
      </c>
      <c r="E200" s="37">
        <f t="shared" si="13"/>
        <v>-5.4300000000000008E-3</v>
      </c>
      <c r="F200" s="37">
        <f t="shared" si="14"/>
        <v>1.7639999999999999E-2</v>
      </c>
      <c r="I200" s="43">
        <f t="shared" si="11"/>
        <v>1.1959784043850767</v>
      </c>
      <c r="J200" s="43">
        <f t="shared" si="12"/>
        <v>1.1557907236401237</v>
      </c>
      <c r="AB200" s="37">
        <f t="shared" si="15"/>
        <v>1.0796004548042837</v>
      </c>
      <c r="AC200" s="37">
        <f t="shared" si="16"/>
        <v>1.0684837681153172</v>
      </c>
    </row>
    <row r="201" spans="1:29" x14ac:dyDescent="0.3">
      <c r="A201" s="4" t="s">
        <v>265</v>
      </c>
      <c r="B201">
        <v>-2.5630000000000002</v>
      </c>
      <c r="C201">
        <v>-1.907</v>
      </c>
      <c r="E201" s="37">
        <f t="shared" si="13"/>
        <v>-2.5630000000000003E-2</v>
      </c>
      <c r="F201" s="37">
        <f t="shared" si="14"/>
        <v>-1.907E-2</v>
      </c>
      <c r="I201" s="43">
        <f t="shared" si="11"/>
        <v>1.1653254778806872</v>
      </c>
      <c r="J201" s="43">
        <f t="shared" si="12"/>
        <v>1.1337497945403066</v>
      </c>
      <c r="AB201" s="37">
        <f t="shared" si="15"/>
        <v>1.0519302951476499</v>
      </c>
      <c r="AC201" s="37">
        <f t="shared" si="16"/>
        <v>1.0481077826573582</v>
      </c>
    </row>
    <row r="202" spans="1:29" x14ac:dyDescent="0.3">
      <c r="A202" s="4" t="s">
        <v>266</v>
      </c>
      <c r="B202">
        <v>-2.5</v>
      </c>
      <c r="C202">
        <v>-0.60199999999999998</v>
      </c>
      <c r="E202" s="37">
        <f t="shared" si="13"/>
        <v>-2.5000000000000001E-2</v>
      </c>
      <c r="F202" s="37">
        <f t="shared" si="14"/>
        <v>-6.0200000000000002E-3</v>
      </c>
      <c r="I202" s="43">
        <f t="shared" si="11"/>
        <v>1.1361923409336701</v>
      </c>
      <c r="J202" s="43">
        <f t="shared" si="12"/>
        <v>1.1269246207771739</v>
      </c>
      <c r="AB202" s="37">
        <f t="shared" si="15"/>
        <v>1.0256320377689587</v>
      </c>
      <c r="AC202" s="37">
        <f t="shared" si="16"/>
        <v>1.0417981738057609</v>
      </c>
    </row>
    <row r="203" spans="1:29" x14ac:dyDescent="0.3">
      <c r="A203" s="4" t="s">
        <v>267</v>
      </c>
      <c r="B203">
        <v>-1.9259999999999999</v>
      </c>
      <c r="C203">
        <v>-0.20799999999999999</v>
      </c>
      <c r="E203" s="37">
        <f t="shared" si="13"/>
        <v>-1.9259999999999999E-2</v>
      </c>
      <c r="F203" s="37">
        <f t="shared" si="14"/>
        <v>-2.0799999999999998E-3</v>
      </c>
      <c r="I203" s="43">
        <f t="shared" si="11"/>
        <v>1.1143092764472875</v>
      </c>
      <c r="J203" s="43">
        <f t="shared" si="12"/>
        <v>1.1245806175659574</v>
      </c>
      <c r="AB203" s="37">
        <f t="shared" si="15"/>
        <v>1.0058783647215286</v>
      </c>
      <c r="AC203" s="37">
        <f t="shared" si="16"/>
        <v>1.039631233604245</v>
      </c>
    </row>
    <row r="204" spans="1:29" x14ac:dyDescent="0.3">
      <c r="A204" s="4" t="s">
        <v>268</v>
      </c>
      <c r="B204">
        <v>2.6019999999999999</v>
      </c>
      <c r="C204">
        <v>0.77600000000000002</v>
      </c>
      <c r="E204" s="37">
        <f t="shared" si="13"/>
        <v>2.6019999999999998E-2</v>
      </c>
      <c r="F204" s="37">
        <f t="shared" si="14"/>
        <v>7.7600000000000004E-3</v>
      </c>
      <c r="AB204" s="37">
        <f t="shared" si="15"/>
        <v>1.0320513197715826</v>
      </c>
      <c r="AC204" s="37">
        <f t="shared" si="16"/>
        <v>1.0476987719770139</v>
      </c>
    </row>
    <row r="205" spans="1:29" x14ac:dyDescent="0.3">
      <c r="A205" s="4" t="s">
        <v>269</v>
      </c>
      <c r="B205">
        <v>0.38800000000000001</v>
      </c>
      <c r="C205">
        <v>-3.4000000000000002E-2</v>
      </c>
      <c r="E205" s="37">
        <f t="shared" si="13"/>
        <v>3.8800000000000002E-3</v>
      </c>
      <c r="F205" s="37">
        <f t="shared" si="14"/>
        <v>-3.4000000000000002E-4</v>
      </c>
      <c r="AB205" s="37">
        <f t="shared" si="15"/>
        <v>1.0360556788922965</v>
      </c>
      <c r="AC205" s="37">
        <f t="shared" si="16"/>
        <v>1.0473425543945416</v>
      </c>
    </row>
    <row r="206" spans="1:29" x14ac:dyDescent="0.3">
      <c r="A206" s="4" t="s">
        <v>270</v>
      </c>
      <c r="B206">
        <v>1.4370000000000001</v>
      </c>
      <c r="C206">
        <v>1.69</v>
      </c>
      <c r="E206" s="37">
        <f t="shared" si="13"/>
        <v>1.4370000000000001E-2</v>
      </c>
      <c r="F206" s="37">
        <f t="shared" si="14"/>
        <v>1.6899999999999998E-2</v>
      </c>
      <c r="AB206" s="37">
        <f t="shared" si="15"/>
        <v>1.0509437989979789</v>
      </c>
      <c r="AC206" s="37">
        <f t="shared" si="16"/>
        <v>1.0650426435638092</v>
      </c>
    </row>
    <row r="207" spans="1:29" x14ac:dyDescent="0.3">
      <c r="A207" s="4" t="s">
        <v>271</v>
      </c>
      <c r="B207">
        <v>0.216</v>
      </c>
      <c r="C207">
        <v>1.8580000000000001</v>
      </c>
      <c r="E207" s="37">
        <f t="shared" si="13"/>
        <v>2.16E-3</v>
      </c>
      <c r="F207" s="37">
        <f t="shared" si="14"/>
        <v>1.8580000000000003E-2</v>
      </c>
      <c r="AB207" s="37">
        <f t="shared" si="15"/>
        <v>1.0532138376038145</v>
      </c>
      <c r="AC207" s="37">
        <f t="shared" si="16"/>
        <v>1.0848311358812248</v>
      </c>
    </row>
    <row r="208" spans="1:29" x14ac:dyDescent="0.3">
      <c r="A208" s="4" t="s">
        <v>272</v>
      </c>
      <c r="B208">
        <v>1.4330000000000001</v>
      </c>
      <c r="C208">
        <v>1.762</v>
      </c>
      <c r="E208" s="37">
        <f t="shared" si="13"/>
        <v>1.4330000000000001E-2</v>
      </c>
      <c r="F208" s="37">
        <f t="shared" si="14"/>
        <v>1.762E-2</v>
      </c>
      <c r="AB208" s="37">
        <f t="shared" si="15"/>
        <v>1.0683063918966771</v>
      </c>
      <c r="AC208" s="37">
        <f t="shared" si="16"/>
        <v>1.103945860495452</v>
      </c>
    </row>
    <row r="209" spans="1:33" x14ac:dyDescent="0.3">
      <c r="A209" t="s">
        <v>273</v>
      </c>
      <c r="B209">
        <v>0.31709999999999999</v>
      </c>
      <c r="C209">
        <v>1.2981</v>
      </c>
      <c r="E209" s="37">
        <f t="shared" si="13"/>
        <v>3.1710000000000002E-3</v>
      </c>
      <c r="F209" s="37">
        <f t="shared" si="14"/>
        <v>1.2981000000000001E-2</v>
      </c>
      <c r="AD209" s="43">
        <f>1+E209</f>
        <v>1.003171</v>
      </c>
      <c r="AE209" s="43">
        <f>1+F209</f>
        <v>1.0129809999999999</v>
      </c>
    </row>
    <row r="210" spans="1:33" x14ac:dyDescent="0.3">
      <c r="A210" t="s">
        <v>274</v>
      </c>
      <c r="B210">
        <v>0.21379999999999999</v>
      </c>
      <c r="C210">
        <v>0.81720000000000004</v>
      </c>
      <c r="E210" s="37">
        <f t="shared" si="13"/>
        <v>2.1380000000000001E-3</v>
      </c>
      <c r="F210" s="37">
        <f t="shared" si="14"/>
        <v>8.1720000000000004E-3</v>
      </c>
      <c r="AD210" s="37">
        <f>AD209*(1+E210)</f>
        <v>1.0053157795980001</v>
      </c>
      <c r="AE210" s="37">
        <f>AE209*(1+F210)</f>
        <v>1.0212590807319999</v>
      </c>
    </row>
    <row r="211" spans="1:33" x14ac:dyDescent="0.3">
      <c r="A211" t="s">
        <v>275</v>
      </c>
      <c r="B211">
        <v>-0.34889999999999999</v>
      </c>
      <c r="C211">
        <v>1.0125999999999999</v>
      </c>
      <c r="E211" s="37">
        <f t="shared" si="13"/>
        <v>-3.4889999999999999E-3</v>
      </c>
      <c r="F211" s="37">
        <f t="shared" si="14"/>
        <v>1.0126E-2</v>
      </c>
      <c r="AD211" s="37">
        <f t="shared" ref="AD211:AD220" si="17">AD210*(1+E211)</f>
        <v>1.0018082328429827</v>
      </c>
      <c r="AE211" s="37">
        <f t="shared" ref="AE211:AE220" si="18">AE210*(1+F211)</f>
        <v>1.0316003501834923</v>
      </c>
    </row>
    <row r="212" spans="1:33" x14ac:dyDescent="0.3">
      <c r="A212" t="s">
        <v>276</v>
      </c>
      <c r="B212">
        <v>-0.17</v>
      </c>
      <c r="C212">
        <v>1.6904999999999999</v>
      </c>
      <c r="E212" s="37">
        <f t="shared" si="13"/>
        <v>-1.7000000000000001E-3</v>
      </c>
      <c r="F212" s="37">
        <f t="shared" si="14"/>
        <v>1.6905E-2</v>
      </c>
      <c r="AD212" s="37">
        <f t="shared" si="17"/>
        <v>1.0001051588471497</v>
      </c>
      <c r="AE212" s="37">
        <f t="shared" si="18"/>
        <v>1.0490395541033442</v>
      </c>
    </row>
    <row r="213" spans="1:33" x14ac:dyDescent="0.3">
      <c r="A213" t="s">
        <v>277</v>
      </c>
      <c r="B213">
        <v>2.2113</v>
      </c>
      <c r="C213">
        <v>2.0987</v>
      </c>
      <c r="E213" s="37">
        <f t="shared" si="13"/>
        <v>2.2113000000000001E-2</v>
      </c>
      <c r="F213" s="37">
        <f t="shared" si="14"/>
        <v>2.0987000000000002E-2</v>
      </c>
      <c r="AD213" s="37">
        <f t="shared" si="17"/>
        <v>1.0222204842247367</v>
      </c>
      <c r="AE213" s="37">
        <f t="shared" si="18"/>
        <v>1.0710557472253111</v>
      </c>
    </row>
    <row r="214" spans="1:33" x14ac:dyDescent="0.3">
      <c r="A214" t="s">
        <v>278</v>
      </c>
      <c r="B214">
        <v>8.5300000000000001E-2</v>
      </c>
      <c r="C214">
        <v>0.6794</v>
      </c>
      <c r="E214" s="37">
        <f t="shared" si="13"/>
        <v>8.5300000000000003E-4</v>
      </c>
      <c r="F214" s="37">
        <f t="shared" si="14"/>
        <v>6.7940000000000006E-3</v>
      </c>
      <c r="AD214" s="37">
        <f t="shared" si="17"/>
        <v>1.0230924382977804</v>
      </c>
      <c r="AE214" s="37">
        <f t="shared" si="18"/>
        <v>1.0783324999719597</v>
      </c>
    </row>
    <row r="215" spans="1:33" x14ac:dyDescent="0.3">
      <c r="A215" t="s">
        <v>279</v>
      </c>
      <c r="B215">
        <v>-0.57689999999999997</v>
      </c>
      <c r="C215">
        <v>0.33460000000000001</v>
      </c>
      <c r="E215" s="37">
        <f t="shared" si="13"/>
        <v>-5.7689999999999998E-3</v>
      </c>
      <c r="F215" s="37">
        <f t="shared" si="14"/>
        <v>3.346E-3</v>
      </c>
      <c r="AD215" s="37">
        <f t="shared" si="17"/>
        <v>1.0171902180212404</v>
      </c>
      <c r="AE215" s="37">
        <f t="shared" si="18"/>
        <v>1.0819406005168659</v>
      </c>
    </row>
    <row r="216" spans="1:33" x14ac:dyDescent="0.3">
      <c r="A216" t="s">
        <v>280</v>
      </c>
      <c r="B216">
        <v>1.4884999999999999</v>
      </c>
      <c r="C216">
        <v>-2.1766000000000001</v>
      </c>
      <c r="E216" s="37">
        <f t="shared" si="13"/>
        <v>1.4884999999999999E-2</v>
      </c>
      <c r="F216" s="37">
        <f t="shared" si="14"/>
        <v>-2.1766000000000001E-2</v>
      </c>
      <c r="AD216" s="37">
        <f t="shared" si="17"/>
        <v>1.0323310944164867</v>
      </c>
      <c r="AE216" s="37">
        <f t="shared" si="18"/>
        <v>1.0583910814060158</v>
      </c>
    </row>
    <row r="217" spans="1:33" x14ac:dyDescent="0.3">
      <c r="A217" t="s">
        <v>281</v>
      </c>
      <c r="B217">
        <v>0.74790000000000001</v>
      </c>
      <c r="C217">
        <v>2.1564000000000001</v>
      </c>
      <c r="E217" s="37">
        <f t="shared" si="13"/>
        <v>7.4790000000000004E-3</v>
      </c>
      <c r="F217" s="37">
        <f t="shared" si="14"/>
        <v>2.1564E-2</v>
      </c>
      <c r="AD217" s="37">
        <f t="shared" si="17"/>
        <v>1.0400518986716276</v>
      </c>
      <c r="AE217" s="37">
        <f t="shared" si="18"/>
        <v>1.081214226685455</v>
      </c>
    </row>
    <row r="218" spans="1:33" x14ac:dyDescent="0.3">
      <c r="A218" t="s">
        <v>282</v>
      </c>
      <c r="B218">
        <v>0.22550000000000001</v>
      </c>
      <c r="C218">
        <v>3.0661999999999998</v>
      </c>
      <c r="E218" s="37">
        <f t="shared" si="13"/>
        <v>2.2550000000000001E-3</v>
      </c>
      <c r="F218" s="37">
        <f t="shared" si="14"/>
        <v>3.0661999999999998E-2</v>
      </c>
      <c r="AD218" s="37">
        <f t="shared" si="17"/>
        <v>1.042397215703132</v>
      </c>
      <c r="AE218" s="37">
        <f t="shared" si="18"/>
        <v>1.1143664173040844</v>
      </c>
    </row>
    <row r="219" spans="1:33" x14ac:dyDescent="0.3">
      <c r="A219" t="s">
        <v>283</v>
      </c>
      <c r="B219">
        <v>-5.7099999999999998E-2</v>
      </c>
      <c r="C219">
        <v>-1.5027999999999999</v>
      </c>
      <c r="E219" s="37">
        <f t="shared" si="13"/>
        <v>-5.71E-4</v>
      </c>
      <c r="F219" s="37">
        <f t="shared" si="14"/>
        <v>-1.5028E-2</v>
      </c>
      <c r="AD219" s="37">
        <f t="shared" si="17"/>
        <v>1.0418020068929656</v>
      </c>
      <c r="AE219" s="37">
        <f t="shared" si="18"/>
        <v>1.0976197187848384</v>
      </c>
    </row>
    <row r="220" spans="1:33" x14ac:dyDescent="0.3">
      <c r="A220" t="s">
        <v>284</v>
      </c>
      <c r="B220">
        <v>2.3536999999999999</v>
      </c>
      <c r="C220">
        <v>0.44890000000000002</v>
      </c>
      <c r="E220" s="37">
        <f t="shared" si="13"/>
        <v>2.3536999999999999E-2</v>
      </c>
      <c r="F220" s="37">
        <f t="shared" si="14"/>
        <v>4.4889999999999999E-3</v>
      </c>
      <c r="AD220" s="37">
        <f t="shared" si="17"/>
        <v>1.0663229007292052</v>
      </c>
      <c r="AE220" s="37">
        <f t="shared" si="18"/>
        <v>1.1025469337024636</v>
      </c>
    </row>
    <row r="221" spans="1:33" x14ac:dyDescent="0.3">
      <c r="A221" t="s">
        <v>285</v>
      </c>
      <c r="B221">
        <v>0.2475</v>
      </c>
      <c r="C221">
        <v>-2.8980000000000001</v>
      </c>
      <c r="E221" s="37">
        <f t="shared" si="13"/>
        <v>2.4750000000000002E-3</v>
      </c>
      <c r="F221" s="37">
        <f t="shared" si="14"/>
        <v>-2.8980000000000002E-2</v>
      </c>
      <c r="AF221" s="43">
        <f>1+E221</f>
        <v>1.002475</v>
      </c>
      <c r="AG221" s="43">
        <f>1+F221</f>
        <v>0.97101999999999999</v>
      </c>
    </row>
    <row r="222" spans="1:33" x14ac:dyDescent="0.3">
      <c r="A222" t="s">
        <v>286</v>
      </c>
      <c r="B222">
        <v>1.0625</v>
      </c>
      <c r="C222">
        <v>1.3628</v>
      </c>
      <c r="E222" s="37">
        <f t="shared" si="13"/>
        <v>1.0625000000000001E-2</v>
      </c>
      <c r="F222" s="37">
        <f t="shared" si="14"/>
        <v>1.3628000000000001E-2</v>
      </c>
      <c r="AF222" s="37">
        <f>AF221*(1+E222)</f>
        <v>1.0131262968750001</v>
      </c>
      <c r="AG222" s="37">
        <f>AG221*(1+F222)</f>
        <v>0.98425306055999995</v>
      </c>
    </row>
    <row r="223" spans="1:33" x14ac:dyDescent="0.3">
      <c r="A223" t="s">
        <v>287</v>
      </c>
      <c r="B223">
        <v>-0.26329999999999998</v>
      </c>
      <c r="C223">
        <v>-2.7084000000000001</v>
      </c>
      <c r="E223" s="37">
        <f t="shared" si="13"/>
        <v>-2.6329999999999999E-3</v>
      </c>
      <c r="F223" s="37">
        <f t="shared" si="14"/>
        <v>-2.7084E-2</v>
      </c>
      <c r="AF223" s="37">
        <f t="shared" ref="AF223:AF232" si="19">AF222*(1+E223)</f>
        <v>1.0104587353353283</v>
      </c>
      <c r="AG223" s="37">
        <f t="shared" ref="AG223:AG232" si="20">AG222*(1+F223)</f>
        <v>0.95759555066779289</v>
      </c>
    </row>
    <row r="224" spans="1:33" x14ac:dyDescent="0.3">
      <c r="A224" t="s">
        <v>288</v>
      </c>
      <c r="B224">
        <v>0.1192</v>
      </c>
      <c r="C224">
        <v>1.0145</v>
      </c>
      <c r="E224" s="37">
        <f t="shared" si="13"/>
        <v>1.1920000000000001E-3</v>
      </c>
      <c r="F224" s="37">
        <f t="shared" si="14"/>
        <v>1.0145E-2</v>
      </c>
      <c r="AF224" s="37">
        <f t="shared" si="19"/>
        <v>1.011663202147848</v>
      </c>
      <c r="AG224" s="37">
        <f t="shared" si="20"/>
        <v>0.96731035752931771</v>
      </c>
    </row>
    <row r="225" spans="1:35" x14ac:dyDescent="0.3">
      <c r="A225" t="s">
        <v>289</v>
      </c>
      <c r="B225">
        <v>-7.4999999999999997E-3</v>
      </c>
      <c r="C225">
        <v>1.7444999999999999</v>
      </c>
      <c r="E225" s="37">
        <f t="shared" si="13"/>
        <v>-7.4999999999999993E-5</v>
      </c>
      <c r="F225" s="37">
        <f t="shared" si="14"/>
        <v>1.7444999999999999E-2</v>
      </c>
      <c r="AF225" s="37">
        <f t="shared" si="19"/>
        <v>1.0115873274076868</v>
      </c>
      <c r="AG225" s="37">
        <f t="shared" si="20"/>
        <v>0.98418508671641658</v>
      </c>
    </row>
    <row r="226" spans="1:35" x14ac:dyDescent="0.3">
      <c r="A226" t="s">
        <v>290</v>
      </c>
      <c r="B226">
        <v>-1.18E-2</v>
      </c>
      <c r="C226">
        <v>-0.85419999999999996</v>
      </c>
      <c r="E226" s="37">
        <f t="shared" si="13"/>
        <v>-1.18E-4</v>
      </c>
      <c r="F226" s="37">
        <f t="shared" si="14"/>
        <v>-8.5419999999999992E-3</v>
      </c>
      <c r="AF226" s="37">
        <f t="shared" si="19"/>
        <v>1.0114679601030527</v>
      </c>
      <c r="AG226" s="37">
        <f t="shared" si="20"/>
        <v>0.97577817770568487</v>
      </c>
    </row>
    <row r="227" spans="1:35" x14ac:dyDescent="0.3">
      <c r="A227" t="s">
        <v>291</v>
      </c>
      <c r="B227">
        <v>-0.5867</v>
      </c>
      <c r="C227">
        <v>-2.6572</v>
      </c>
      <c r="E227" s="37">
        <f t="shared" si="13"/>
        <v>-5.8669999999999998E-3</v>
      </c>
      <c r="F227" s="37">
        <f t="shared" si="14"/>
        <v>-2.6572000000000002E-2</v>
      </c>
      <c r="AF227" s="37">
        <f t="shared" si="19"/>
        <v>1.0055336775811281</v>
      </c>
      <c r="AG227" s="37">
        <f t="shared" si="20"/>
        <v>0.94984979996768937</v>
      </c>
    </row>
    <row r="228" spans="1:35" x14ac:dyDescent="0.3">
      <c r="A228" t="s">
        <v>292</v>
      </c>
      <c r="B228">
        <v>-7.9299999999999995E-2</v>
      </c>
      <c r="C228">
        <v>-1.528</v>
      </c>
      <c r="E228" s="37">
        <f t="shared" si="13"/>
        <v>-7.9299999999999998E-4</v>
      </c>
      <c r="F228" s="37">
        <f t="shared" si="14"/>
        <v>-1.528E-2</v>
      </c>
      <c r="K228" s="43">
        <f>1+E228</f>
        <v>0.99920699999999996</v>
      </c>
      <c r="L228" s="43">
        <f>1+F228</f>
        <v>0.98472000000000004</v>
      </c>
      <c r="AF228" s="37">
        <f t="shared" si="19"/>
        <v>1.0047362893748062</v>
      </c>
      <c r="AG228" s="37">
        <f t="shared" si="20"/>
        <v>0.93533609502418313</v>
      </c>
    </row>
    <row r="229" spans="1:35" x14ac:dyDescent="0.3">
      <c r="A229" t="s">
        <v>293</v>
      </c>
      <c r="B229">
        <v>-1.4997</v>
      </c>
      <c r="C229">
        <v>-6.5362</v>
      </c>
      <c r="E229" s="37">
        <f t="shared" si="13"/>
        <v>-1.4997E-2</v>
      </c>
      <c r="F229" s="37">
        <f t="shared" si="14"/>
        <v>-6.5362000000000003E-2</v>
      </c>
      <c r="K229" s="37">
        <f>K228*(1+E229)</f>
        <v>0.98422189262099991</v>
      </c>
      <c r="L229" s="37">
        <f>L228*(1+F229)</f>
        <v>0.92035673135999996</v>
      </c>
      <c r="AF229" s="37">
        <f t="shared" si="19"/>
        <v>0.98966825924305213</v>
      </c>
      <c r="AG229" s="37">
        <f t="shared" si="20"/>
        <v>0.87420065718121243</v>
      </c>
    </row>
    <row r="230" spans="1:35" x14ac:dyDescent="0.3">
      <c r="A230" t="s">
        <v>294</v>
      </c>
      <c r="B230">
        <v>-4.4390999999999998</v>
      </c>
      <c r="C230">
        <v>-6.2180999999999997</v>
      </c>
      <c r="E230" s="37">
        <f t="shared" si="13"/>
        <v>-4.4391E-2</v>
      </c>
      <c r="F230" s="37">
        <f t="shared" si="14"/>
        <v>-6.2181E-2</v>
      </c>
      <c r="K230" s="37">
        <f t="shared" ref="K230:K232" si="21">K229*(1+E230)</f>
        <v>0.94053129858566109</v>
      </c>
      <c r="L230" s="37">
        <f t="shared" ref="L230:L232" si="22">L229*(1+F230)</f>
        <v>0.86312802944730371</v>
      </c>
      <c r="AF230" s="37">
        <f t="shared" si="19"/>
        <v>0.94573589554699389</v>
      </c>
      <c r="AG230" s="37">
        <f t="shared" si="20"/>
        <v>0.81984198611702741</v>
      </c>
    </row>
    <row r="231" spans="1:35" x14ac:dyDescent="0.3">
      <c r="A231" t="s">
        <v>295</v>
      </c>
      <c r="B231">
        <v>-2.5268000000000002</v>
      </c>
      <c r="C231">
        <v>-2.6412</v>
      </c>
      <c r="E231" s="37">
        <f t="shared" si="13"/>
        <v>-2.5268000000000002E-2</v>
      </c>
      <c r="F231" s="37">
        <f t="shared" si="14"/>
        <v>-2.6412000000000001E-2</v>
      </c>
      <c r="K231" s="37">
        <f t="shared" si="21"/>
        <v>0.91676595373299863</v>
      </c>
      <c r="L231" s="37">
        <f t="shared" si="22"/>
        <v>0.8403310919335415</v>
      </c>
      <c r="AF231" s="37">
        <f t="shared" si="19"/>
        <v>0.92183904093831248</v>
      </c>
      <c r="AG231" s="37">
        <f t="shared" si="20"/>
        <v>0.79818831957970449</v>
      </c>
    </row>
    <row r="232" spans="1:35" x14ac:dyDescent="0.3">
      <c r="A232" t="s">
        <v>296</v>
      </c>
      <c r="B232">
        <v>-2.4954999999999998</v>
      </c>
      <c r="C232">
        <v>-1.4886999999999999</v>
      </c>
      <c r="E232" s="37">
        <f t="shared" si="13"/>
        <v>-2.4954999999999998E-2</v>
      </c>
      <c r="F232" s="37">
        <f t="shared" si="14"/>
        <v>-1.4886999999999999E-2</v>
      </c>
      <c r="K232" s="37">
        <f t="shared" si="21"/>
        <v>0.89388805935759175</v>
      </c>
      <c r="L232" s="37">
        <f t="shared" si="22"/>
        <v>0.82782108296792689</v>
      </c>
      <c r="AF232" s="37">
        <f t="shared" si="19"/>
        <v>0.8988345476716969</v>
      </c>
      <c r="AG232" s="37">
        <f t="shared" si="20"/>
        <v>0.78630569006612139</v>
      </c>
    </row>
    <row r="233" spans="1:35" x14ac:dyDescent="0.3">
      <c r="A233" t="s">
        <v>297</v>
      </c>
      <c r="B233">
        <v>0.621</v>
      </c>
      <c r="C233">
        <v>0.71240000000000003</v>
      </c>
      <c r="E233" s="37">
        <f t="shared" si="13"/>
        <v>6.2100000000000002E-3</v>
      </c>
      <c r="F233" s="37">
        <f t="shared" si="14"/>
        <v>7.1240000000000001E-3</v>
      </c>
      <c r="AH233" s="43">
        <f>1+E233</f>
        <v>1.00621</v>
      </c>
      <c r="AI233" s="43">
        <f>1+F233</f>
        <v>1.0071239999999999</v>
      </c>
    </row>
    <row r="234" spans="1:35" x14ac:dyDescent="0.3">
      <c r="A234" t="s">
        <v>298</v>
      </c>
      <c r="B234">
        <v>-0.94</v>
      </c>
      <c r="C234">
        <v>-0.37140000000000001</v>
      </c>
      <c r="E234" s="37">
        <f t="shared" si="13"/>
        <v>-9.4000000000000004E-3</v>
      </c>
      <c r="F234" s="37">
        <f t="shared" si="14"/>
        <v>-3.7140000000000003E-3</v>
      </c>
      <c r="AH234" s="37">
        <f>AH233*(1+E234)</f>
        <v>0.99675162600000011</v>
      </c>
      <c r="AI234" s="37">
        <f>AI233*(1+F234)</f>
        <v>1.003383541464</v>
      </c>
    </row>
    <row r="235" spans="1:35" x14ac:dyDescent="0.3">
      <c r="A235" t="s">
        <v>299</v>
      </c>
      <c r="B235">
        <v>0.61250000000000004</v>
      </c>
      <c r="C235">
        <v>2.7099999999999999E-2</v>
      </c>
      <c r="E235" s="37">
        <f t="shared" si="13"/>
        <v>6.1250000000000002E-3</v>
      </c>
      <c r="F235" s="37">
        <f t="shared" si="14"/>
        <v>2.7099999999999997E-4</v>
      </c>
      <c r="AH235" s="37">
        <f t="shared" ref="AH235:AH244" si="23">AH234*(1+E235)</f>
        <v>1.0028567297092501</v>
      </c>
      <c r="AI235" s="37">
        <f t="shared" ref="AI235:AI244" si="24">AI234*(1+F235)</f>
        <v>1.0036554584037367</v>
      </c>
    </row>
    <row r="236" spans="1:35" x14ac:dyDescent="0.3">
      <c r="A236" t="s">
        <v>300</v>
      </c>
      <c r="B236">
        <v>-0.71109999999999995</v>
      </c>
      <c r="C236">
        <v>1.0538000000000001</v>
      </c>
      <c r="E236" s="37">
        <f t="shared" si="13"/>
        <v>-7.1109999999999993E-3</v>
      </c>
      <c r="F236" s="37">
        <f t="shared" si="14"/>
        <v>1.0538E-2</v>
      </c>
      <c r="AH236" s="37">
        <f t="shared" si="23"/>
        <v>0.99572541550428761</v>
      </c>
      <c r="AI236" s="37">
        <f t="shared" si="24"/>
        <v>1.0142319796243953</v>
      </c>
    </row>
    <row r="237" spans="1:35" x14ac:dyDescent="0.3">
      <c r="A237" t="s">
        <v>301</v>
      </c>
      <c r="B237">
        <v>-0.68600000000000005</v>
      </c>
      <c r="C237">
        <v>3.3241999999999998</v>
      </c>
      <c r="E237" s="37">
        <f t="shared" si="13"/>
        <v>-6.8600000000000006E-3</v>
      </c>
      <c r="F237" s="37">
        <f t="shared" si="14"/>
        <v>3.3242000000000001E-2</v>
      </c>
      <c r="AH237" s="37">
        <f t="shared" si="23"/>
        <v>0.98889473915392823</v>
      </c>
      <c r="AI237" s="37">
        <f t="shared" si="24"/>
        <v>1.0479470790910694</v>
      </c>
    </row>
    <row r="238" spans="1:35" x14ac:dyDescent="0.3">
      <c r="A238" t="s">
        <v>302</v>
      </c>
      <c r="B238">
        <v>0.65749999999999997</v>
      </c>
      <c r="C238">
        <v>0.37959999999999999</v>
      </c>
      <c r="E238" s="37">
        <f t="shared" si="13"/>
        <v>6.5750000000000001E-3</v>
      </c>
      <c r="F238" s="37">
        <f t="shared" si="14"/>
        <v>3.7959999999999999E-3</v>
      </c>
      <c r="AH238" s="37">
        <f t="shared" si="23"/>
        <v>0.99539672206386531</v>
      </c>
      <c r="AI238" s="37">
        <f t="shared" si="24"/>
        <v>1.0519250862032989</v>
      </c>
    </row>
    <row r="239" spans="1:35" x14ac:dyDescent="0.3">
      <c r="A239" t="s">
        <v>303</v>
      </c>
      <c r="B239">
        <v>0.26379999999999998</v>
      </c>
      <c r="C239">
        <v>1.5364</v>
      </c>
      <c r="E239" s="37">
        <f t="shared" si="13"/>
        <v>2.6379999999999997E-3</v>
      </c>
      <c r="F239" s="37">
        <f t="shared" si="14"/>
        <v>1.5364000000000001E-2</v>
      </c>
      <c r="M239" s="43">
        <f>1+E239</f>
        <v>1.0026379999999999</v>
      </c>
      <c r="N239" s="43">
        <f>1+F239</f>
        <v>1.0153639999999999</v>
      </c>
      <c r="AH239" s="37">
        <f t="shared" si="23"/>
        <v>0.99802257861666965</v>
      </c>
      <c r="AI239" s="37">
        <f t="shared" si="24"/>
        <v>1.0680868632277263</v>
      </c>
    </row>
    <row r="240" spans="1:35" x14ac:dyDescent="0.3">
      <c r="A240" t="s">
        <v>304</v>
      </c>
      <c r="B240">
        <v>-0.94330000000000003</v>
      </c>
      <c r="C240">
        <v>1.0944</v>
      </c>
      <c r="E240" s="37">
        <f t="shared" si="13"/>
        <v>-9.4330000000000004E-3</v>
      </c>
      <c r="F240" s="37">
        <f t="shared" si="14"/>
        <v>1.0944000000000001E-2</v>
      </c>
      <c r="M240" s="37">
        <f>M239*(1+E240)</f>
        <v>0.99318011574599985</v>
      </c>
      <c r="N240" s="37">
        <f>N239*(1+F240)</f>
        <v>1.0264761436159999</v>
      </c>
      <c r="AH240" s="37">
        <f t="shared" si="23"/>
        <v>0.9886082316325786</v>
      </c>
      <c r="AI240" s="37">
        <f t="shared" si="24"/>
        <v>1.0797760058588906</v>
      </c>
    </row>
    <row r="241" spans="1:37" x14ac:dyDescent="0.3">
      <c r="A241" t="s">
        <v>305</v>
      </c>
      <c r="B241">
        <v>-0.72</v>
      </c>
      <c r="C241">
        <v>1.7372000000000001</v>
      </c>
      <c r="E241" s="37">
        <f t="shared" si="13"/>
        <v>-7.1999999999999998E-3</v>
      </c>
      <c r="F241" s="37">
        <f t="shared" si="14"/>
        <v>1.7372000000000002E-2</v>
      </c>
      <c r="M241" s="37">
        <f t="shared" ref="M241:M256" si="25">M240*(1+E241)</f>
        <v>0.98602921891262862</v>
      </c>
      <c r="N241" s="37">
        <f t="shared" ref="N241:N256" si="26">N240*(1+F241)</f>
        <v>1.0443080871828969</v>
      </c>
      <c r="AH241" s="37">
        <f t="shared" si="23"/>
        <v>0.98149025236482401</v>
      </c>
      <c r="AI241" s="37">
        <f t="shared" si="24"/>
        <v>1.0985338746326712</v>
      </c>
    </row>
    <row r="242" spans="1:37" x14ac:dyDescent="0.3">
      <c r="A242" t="s">
        <v>306</v>
      </c>
      <c r="B242">
        <v>-0.28710000000000002</v>
      </c>
      <c r="C242">
        <v>-8.9499999999999996E-2</v>
      </c>
      <c r="E242" s="37">
        <f t="shared" si="13"/>
        <v>-2.8710000000000003E-3</v>
      </c>
      <c r="F242" s="37">
        <f t="shared" si="14"/>
        <v>-8.9499999999999996E-4</v>
      </c>
      <c r="M242" s="37">
        <f t="shared" si="25"/>
        <v>0.98319832902513049</v>
      </c>
      <c r="N242" s="37">
        <f t="shared" si="26"/>
        <v>1.0433734314448682</v>
      </c>
      <c r="AH242" s="37">
        <f t="shared" si="23"/>
        <v>0.97867239385028459</v>
      </c>
      <c r="AI242" s="37">
        <f t="shared" si="24"/>
        <v>1.097550686814875</v>
      </c>
    </row>
    <row r="243" spans="1:37" x14ac:dyDescent="0.3">
      <c r="A243" t="s">
        <v>307</v>
      </c>
      <c r="B243">
        <v>-0.53859999999999997</v>
      </c>
      <c r="C243">
        <v>0.79759999999999998</v>
      </c>
      <c r="E243" s="37">
        <f t="shared" si="13"/>
        <v>-5.3860000000000002E-3</v>
      </c>
      <c r="F243" s="37">
        <f t="shared" si="14"/>
        <v>7.9760000000000005E-3</v>
      </c>
      <c r="M243" s="37">
        <f t="shared" si="25"/>
        <v>0.97790282282500118</v>
      </c>
      <c r="N243" s="37">
        <f t="shared" si="26"/>
        <v>1.0516953779340723</v>
      </c>
      <c r="AH243" s="37">
        <f t="shared" si="23"/>
        <v>0.97340126433700691</v>
      </c>
      <c r="AI243" s="37">
        <f t="shared" si="24"/>
        <v>1.1063047510929105</v>
      </c>
    </row>
    <row r="244" spans="1:37" x14ac:dyDescent="0.3">
      <c r="A244" t="s">
        <v>308</v>
      </c>
      <c r="B244">
        <v>-0.77500000000000002</v>
      </c>
      <c r="C244">
        <v>0.75780000000000003</v>
      </c>
      <c r="E244" s="37">
        <f t="shared" si="13"/>
        <v>-7.7500000000000008E-3</v>
      </c>
      <c r="F244" s="37">
        <f t="shared" si="14"/>
        <v>7.5780000000000005E-3</v>
      </c>
      <c r="M244" s="37">
        <f t="shared" si="25"/>
        <v>0.97032407594810743</v>
      </c>
      <c r="N244" s="37">
        <f t="shared" si="26"/>
        <v>1.0596651255080567</v>
      </c>
      <c r="AH244" s="37">
        <f t="shared" si="23"/>
        <v>0.96585740453839508</v>
      </c>
      <c r="AI244" s="37">
        <f t="shared" si="24"/>
        <v>1.1146883284966926</v>
      </c>
    </row>
    <row r="245" spans="1:37" x14ac:dyDescent="0.3">
      <c r="A245" t="s">
        <v>309</v>
      </c>
      <c r="B245">
        <v>-1.1319999999999999</v>
      </c>
      <c r="C245">
        <v>-0.36870000000000003</v>
      </c>
      <c r="E245" s="37">
        <f t="shared" si="13"/>
        <v>-1.1319999999999998E-2</v>
      </c>
      <c r="F245" s="37">
        <f t="shared" si="14"/>
        <v>-3.6870000000000002E-3</v>
      </c>
      <c r="M245" s="37">
        <f t="shared" si="25"/>
        <v>0.95934000740837488</v>
      </c>
      <c r="N245" s="37">
        <f t="shared" si="26"/>
        <v>1.0557581401903084</v>
      </c>
      <c r="AJ245" s="43">
        <f>1+E245</f>
        <v>0.98868</v>
      </c>
      <c r="AK245" s="43">
        <f>1+F245</f>
        <v>0.996313</v>
      </c>
    </row>
    <row r="246" spans="1:37" x14ac:dyDescent="0.3">
      <c r="A246" t="s">
        <v>310</v>
      </c>
      <c r="B246">
        <v>3.0920000000000001</v>
      </c>
      <c r="C246">
        <v>0.1308</v>
      </c>
      <c r="E246" s="37">
        <f t="shared" si="13"/>
        <v>3.0920000000000003E-2</v>
      </c>
      <c r="F246" s="37">
        <f t="shared" si="14"/>
        <v>1.3079999999999999E-3</v>
      </c>
      <c r="M246" s="37">
        <f t="shared" si="25"/>
        <v>0.98900280043744193</v>
      </c>
      <c r="N246" s="37">
        <f t="shared" si="26"/>
        <v>1.0571390718376774</v>
      </c>
      <c r="AJ246" s="37">
        <f>AJ245*(1+E246)</f>
        <v>1.0192499856000001</v>
      </c>
      <c r="AK246" s="37">
        <f>AK245*(1+F246)</f>
        <v>0.9976161774040001</v>
      </c>
    </row>
    <row r="247" spans="1:37" x14ac:dyDescent="0.3">
      <c r="A247" t="s">
        <v>311</v>
      </c>
      <c r="B247">
        <v>4.3419999999999996</v>
      </c>
      <c r="C247">
        <v>1.6553</v>
      </c>
      <c r="E247" s="37">
        <f t="shared" si="13"/>
        <v>4.342E-2</v>
      </c>
      <c r="F247" s="37">
        <f t="shared" si="14"/>
        <v>1.6553000000000002E-2</v>
      </c>
      <c r="M247" s="37">
        <f t="shared" si="25"/>
        <v>1.0319453020324356</v>
      </c>
      <c r="N247" s="37">
        <f t="shared" si="26"/>
        <v>1.0746378948938065</v>
      </c>
      <c r="AJ247" s="37">
        <f t="shared" ref="AJ247:AJ256" si="27">AJ246*(1+E247)</f>
        <v>1.0635058199747522</v>
      </c>
      <c r="AK247" s="37">
        <f t="shared" ref="AK247:AK256" si="28">AK246*(1+F247)</f>
        <v>1.0141297179885687</v>
      </c>
    </row>
    <row r="248" spans="1:37" x14ac:dyDescent="0.3">
      <c r="A248" t="s">
        <v>312</v>
      </c>
      <c r="B248">
        <v>0.312</v>
      </c>
      <c r="C248">
        <v>0.90029999999999999</v>
      </c>
      <c r="E248" s="37">
        <f t="shared" si="13"/>
        <v>3.1199999999999999E-3</v>
      </c>
      <c r="F248" s="37">
        <f t="shared" si="14"/>
        <v>9.0030000000000006E-3</v>
      </c>
      <c r="M248" s="37">
        <f t="shared" si="25"/>
        <v>1.0351649713747768</v>
      </c>
      <c r="N248" s="37">
        <f t="shared" si="26"/>
        <v>1.0843128598615355</v>
      </c>
      <c r="AJ248" s="37">
        <f t="shared" si="27"/>
        <v>1.0668239581330734</v>
      </c>
      <c r="AK248" s="37">
        <f t="shared" si="28"/>
        <v>1.0232599278396199</v>
      </c>
    </row>
    <row r="249" spans="1:37" x14ac:dyDescent="0.3">
      <c r="A249" t="s">
        <v>313</v>
      </c>
      <c r="B249">
        <v>0.16600000000000001</v>
      </c>
      <c r="C249">
        <v>-2.5954999999999999</v>
      </c>
      <c r="E249" s="37">
        <f t="shared" si="13"/>
        <v>1.66E-3</v>
      </c>
      <c r="F249" s="37">
        <f t="shared" si="14"/>
        <v>-2.5954999999999999E-2</v>
      </c>
      <c r="M249" s="37">
        <f t="shared" si="25"/>
        <v>1.036883345227259</v>
      </c>
      <c r="N249" s="37">
        <f t="shared" si="26"/>
        <v>1.0561695195838294</v>
      </c>
      <c r="AJ249" s="37">
        <f t="shared" si="27"/>
        <v>1.0685948859035743</v>
      </c>
      <c r="AK249" s="37">
        <f t="shared" si="28"/>
        <v>0.99670121641254261</v>
      </c>
    </row>
    <row r="250" spans="1:37" x14ac:dyDescent="0.3">
      <c r="A250" t="s">
        <v>314</v>
      </c>
      <c r="B250">
        <v>-2.6675</v>
      </c>
      <c r="C250">
        <v>-0.88570000000000004</v>
      </c>
      <c r="E250" s="37">
        <f t="shared" si="13"/>
        <v>-2.6675000000000001E-2</v>
      </c>
      <c r="F250" s="37">
        <f t="shared" si="14"/>
        <v>-8.8570000000000003E-3</v>
      </c>
      <c r="M250" s="37">
        <f t="shared" si="25"/>
        <v>1.0092244819933218</v>
      </c>
      <c r="N250" s="37">
        <f t="shared" si="26"/>
        <v>1.0468150261488753</v>
      </c>
      <c r="AJ250" s="37">
        <f t="shared" si="27"/>
        <v>1.0400901173220964</v>
      </c>
      <c r="AK250" s="37">
        <f t="shared" si="28"/>
        <v>0.98787343373877667</v>
      </c>
    </row>
    <row r="251" spans="1:37" x14ac:dyDescent="0.3">
      <c r="A251" t="s">
        <v>315</v>
      </c>
      <c r="B251">
        <v>4.0225</v>
      </c>
      <c r="C251">
        <v>0.77039999999999997</v>
      </c>
      <c r="E251" s="37">
        <f t="shared" si="13"/>
        <v>4.0225000000000004E-2</v>
      </c>
      <c r="F251" s="37">
        <f t="shared" si="14"/>
        <v>7.7039999999999999E-3</v>
      </c>
      <c r="M251" s="37">
        <f t="shared" si="25"/>
        <v>1.0498205367815032</v>
      </c>
      <c r="N251" s="37">
        <f t="shared" si="26"/>
        <v>1.0548796891103263</v>
      </c>
      <c r="AJ251" s="37">
        <f t="shared" si="27"/>
        <v>1.0819277422913778</v>
      </c>
      <c r="AK251" s="37">
        <f t="shared" si="28"/>
        <v>0.99548401067230019</v>
      </c>
    </row>
    <row r="252" spans="1:37" x14ac:dyDescent="0.3">
      <c r="A252" t="s">
        <v>316</v>
      </c>
      <c r="B252">
        <v>2.0024999999999999</v>
      </c>
      <c r="C252">
        <v>0.1268</v>
      </c>
      <c r="E252" s="37">
        <f t="shared" si="13"/>
        <v>2.0025000000000001E-2</v>
      </c>
      <c r="F252" s="37">
        <f t="shared" si="14"/>
        <v>1.268E-3</v>
      </c>
      <c r="M252" s="37">
        <f t="shared" si="25"/>
        <v>1.0708431930305529</v>
      </c>
      <c r="N252" s="37">
        <f t="shared" si="26"/>
        <v>1.0562172765561182</v>
      </c>
      <c r="AJ252" s="37">
        <f t="shared" si="27"/>
        <v>1.1035933453307625</v>
      </c>
      <c r="AK252" s="37">
        <f t="shared" si="28"/>
        <v>0.99674628439783275</v>
      </c>
    </row>
    <row r="253" spans="1:37" x14ac:dyDescent="0.3">
      <c r="A253" t="s">
        <v>317</v>
      </c>
      <c r="B253">
        <v>0.59499999999999997</v>
      </c>
      <c r="C253">
        <v>2.3466</v>
      </c>
      <c r="E253" s="37">
        <f t="shared" si="13"/>
        <v>5.9499999999999996E-3</v>
      </c>
      <c r="F253" s="37">
        <f t="shared" si="14"/>
        <v>2.3466000000000001E-2</v>
      </c>
      <c r="M253" s="37">
        <f t="shared" si="25"/>
        <v>1.0772147100290845</v>
      </c>
      <c r="N253" s="37">
        <f t="shared" si="26"/>
        <v>1.0810024711677841</v>
      </c>
      <c r="AJ253" s="37">
        <f t="shared" si="27"/>
        <v>1.1101597257354805</v>
      </c>
      <c r="AK253" s="37">
        <f t="shared" si="28"/>
        <v>1.0201359327075123</v>
      </c>
    </row>
    <row r="254" spans="1:37" x14ac:dyDescent="0.3">
      <c r="A254" t="s">
        <v>318</v>
      </c>
      <c r="B254">
        <v>-0.1875</v>
      </c>
      <c r="C254">
        <v>1.4809000000000001</v>
      </c>
      <c r="E254" s="37">
        <f t="shared" si="13"/>
        <v>-1.8749999999999999E-3</v>
      </c>
      <c r="F254" s="37">
        <f t="shared" si="14"/>
        <v>1.4809000000000001E-2</v>
      </c>
      <c r="M254" s="37">
        <f t="shared" si="25"/>
        <v>1.0751949324477801</v>
      </c>
      <c r="N254" s="37">
        <f t="shared" si="26"/>
        <v>1.0970110367633079</v>
      </c>
      <c r="AJ254" s="37">
        <f t="shared" si="27"/>
        <v>1.1080781762497265</v>
      </c>
      <c r="AK254" s="37">
        <f t="shared" si="28"/>
        <v>1.0352431257349779</v>
      </c>
    </row>
    <row r="255" spans="1:37" x14ac:dyDescent="0.3">
      <c r="A255" t="s">
        <v>319</v>
      </c>
      <c r="B255">
        <v>-0.75</v>
      </c>
      <c r="C255">
        <v>-9.7799999999999998E-2</v>
      </c>
      <c r="E255" s="37">
        <f t="shared" si="13"/>
        <v>-7.4999999999999997E-3</v>
      </c>
      <c r="F255" s="37">
        <f t="shared" si="14"/>
        <v>-9.7799999999999992E-4</v>
      </c>
      <c r="M255" s="37">
        <f t="shared" si="25"/>
        <v>1.0671309704544218</v>
      </c>
      <c r="N255" s="37">
        <f t="shared" si="26"/>
        <v>1.0959381599693534</v>
      </c>
      <c r="AJ255" s="37">
        <f t="shared" si="27"/>
        <v>1.0997675899278536</v>
      </c>
      <c r="AK255" s="37">
        <f t="shared" si="28"/>
        <v>1.0342306579580089</v>
      </c>
    </row>
    <row r="256" spans="1:37" x14ac:dyDescent="0.3">
      <c r="A256" t="s">
        <v>320</v>
      </c>
      <c r="B256">
        <v>2.6833</v>
      </c>
      <c r="C256">
        <v>2.2048999999999999</v>
      </c>
      <c r="E256" s="37">
        <f t="shared" si="13"/>
        <v>2.6832999999999999E-2</v>
      </c>
      <c r="F256" s="37">
        <f t="shared" si="14"/>
        <v>2.2048999999999999E-2</v>
      </c>
      <c r="M256" s="37">
        <f t="shared" si="25"/>
        <v>1.0957652957846256</v>
      </c>
      <c r="N256" s="37">
        <f t="shared" si="26"/>
        <v>1.1201025004585177</v>
      </c>
      <c r="AJ256" s="37">
        <f t="shared" si="27"/>
        <v>1.1292776536683877</v>
      </c>
      <c r="AK256" s="37">
        <f t="shared" si="28"/>
        <v>1.057034409735325</v>
      </c>
    </row>
    <row r="257" spans="1:39" x14ac:dyDescent="0.3">
      <c r="A257" t="s">
        <v>321</v>
      </c>
      <c r="B257">
        <v>4.5133000000000001</v>
      </c>
      <c r="C257">
        <v>0.14560000000000001</v>
      </c>
      <c r="E257" s="37">
        <f t="shared" si="13"/>
        <v>4.5133E-2</v>
      </c>
      <c r="F257" s="37">
        <f t="shared" si="14"/>
        <v>1.456E-3</v>
      </c>
      <c r="AL257" s="43">
        <f>1+E257</f>
        <v>1.0451330000000001</v>
      </c>
      <c r="AM257" s="43">
        <f>1+F257</f>
        <v>1.0014559999999999</v>
      </c>
    </row>
    <row r="258" spans="1:39" x14ac:dyDescent="0.3">
      <c r="A258" t="s">
        <v>322</v>
      </c>
      <c r="B258">
        <v>3.5667</v>
      </c>
      <c r="C258">
        <v>0.83399999999999996</v>
      </c>
      <c r="E258" s="37">
        <f t="shared" si="13"/>
        <v>3.5666999999999997E-2</v>
      </c>
      <c r="F258" s="37">
        <f t="shared" si="14"/>
        <v>8.3400000000000002E-3</v>
      </c>
      <c r="AL258" s="37">
        <f>AL257*(1+E258)</f>
        <v>1.082409758711</v>
      </c>
      <c r="AM258" s="37">
        <f>AM257*(1+F258)</f>
        <v>1.0098081430399999</v>
      </c>
    </row>
    <row r="259" spans="1:39" x14ac:dyDescent="0.3">
      <c r="A259" t="s">
        <v>323</v>
      </c>
      <c r="B259">
        <v>0.85</v>
      </c>
      <c r="C259">
        <v>-9.5100000000000004E-2</v>
      </c>
      <c r="E259" s="37">
        <f t="shared" si="13"/>
        <v>8.5000000000000006E-3</v>
      </c>
      <c r="F259" s="37">
        <f t="shared" si="14"/>
        <v>-9.5100000000000002E-4</v>
      </c>
      <c r="AL259" s="37">
        <f t="shared" ref="AL259:AL268" si="29">AL258*(1+E259)</f>
        <v>1.0916102416600435</v>
      </c>
      <c r="AM259" s="37">
        <f t="shared" ref="AM259:AM268" si="30">AM258*(1+F259)</f>
        <v>1.0088478154959688</v>
      </c>
    </row>
    <row r="260" spans="1:39" x14ac:dyDescent="0.3">
      <c r="A260" t="s">
        <v>324</v>
      </c>
      <c r="B260">
        <v>1.994</v>
      </c>
      <c r="C260">
        <v>1.2215</v>
      </c>
      <c r="E260" s="37">
        <f t="shared" si="13"/>
        <v>1.9939999999999999E-2</v>
      </c>
      <c r="F260" s="37">
        <f t="shared" si="14"/>
        <v>1.2215E-2</v>
      </c>
      <c r="AL260" s="37">
        <f t="shared" si="29"/>
        <v>1.1133769498787449</v>
      </c>
      <c r="AM260" s="37">
        <f t="shared" si="30"/>
        <v>1.0211708915622522</v>
      </c>
    </row>
    <row r="261" spans="1:39" x14ac:dyDescent="0.3">
      <c r="A261" t="s">
        <v>325</v>
      </c>
      <c r="B261">
        <v>-1.06</v>
      </c>
      <c r="C261">
        <v>-1.0823</v>
      </c>
      <c r="E261" s="37">
        <f t="shared" si="13"/>
        <v>-1.06E-2</v>
      </c>
      <c r="F261" s="37">
        <f t="shared" si="14"/>
        <v>-1.0823000000000001E-2</v>
      </c>
      <c r="AL261" s="37">
        <f t="shared" si="29"/>
        <v>1.10157515421003</v>
      </c>
      <c r="AM261" s="37">
        <f t="shared" si="30"/>
        <v>1.010118759002874</v>
      </c>
    </row>
    <row r="262" spans="1:39" x14ac:dyDescent="0.3">
      <c r="A262" t="s">
        <v>326</v>
      </c>
      <c r="B262">
        <v>0.23799999999999999</v>
      </c>
      <c r="C262">
        <v>-1.3008999999999999</v>
      </c>
      <c r="E262" s="37">
        <f t="shared" ref="E262:E276" si="31">B262*0.01</f>
        <v>2.3799999999999997E-3</v>
      </c>
      <c r="F262" s="37">
        <f t="shared" ref="F262:F276" si="32">C262*0.01</f>
        <v>-1.3009E-2</v>
      </c>
      <c r="AL262" s="37">
        <f t="shared" si="29"/>
        <v>1.10419690307705</v>
      </c>
      <c r="AM262" s="37">
        <f t="shared" si="30"/>
        <v>0.99697812406700548</v>
      </c>
    </row>
    <row r="263" spans="1:39" x14ac:dyDescent="0.3">
      <c r="A263" t="s">
        <v>327</v>
      </c>
      <c r="B263">
        <v>0.99</v>
      </c>
      <c r="C263">
        <v>0.38850000000000001</v>
      </c>
      <c r="E263" s="37">
        <f t="shared" si="31"/>
        <v>9.9000000000000008E-3</v>
      </c>
      <c r="F263" s="37">
        <f t="shared" si="32"/>
        <v>3.885E-3</v>
      </c>
      <c r="AL263" s="37">
        <f t="shared" si="29"/>
        <v>1.1151284524175129</v>
      </c>
      <c r="AM263" s="37">
        <f t="shared" si="30"/>
        <v>1.0008513840790056</v>
      </c>
    </row>
    <row r="264" spans="1:39" x14ac:dyDescent="0.3">
      <c r="A264" t="s">
        <v>328</v>
      </c>
      <c r="B264">
        <v>-1.4924999999999999</v>
      </c>
      <c r="C264">
        <v>-2.6371000000000002</v>
      </c>
      <c r="E264" s="37">
        <f t="shared" si="31"/>
        <v>-1.4924999999999999E-2</v>
      </c>
      <c r="F264" s="37">
        <f t="shared" si="32"/>
        <v>-2.6371000000000002E-2</v>
      </c>
      <c r="AL264" s="37">
        <f t="shared" si="29"/>
        <v>1.0984851602651815</v>
      </c>
      <c r="AM264" s="37">
        <f t="shared" si="30"/>
        <v>0.9744579322294582</v>
      </c>
    </row>
    <row r="265" spans="1:39" x14ac:dyDescent="0.3">
      <c r="A265" t="s">
        <v>329</v>
      </c>
      <c r="B265">
        <v>-1.73</v>
      </c>
      <c r="C265">
        <v>-2.7884000000000002</v>
      </c>
      <c r="E265" s="37">
        <f t="shared" si="31"/>
        <v>-1.7299999999999999E-2</v>
      </c>
      <c r="F265" s="37">
        <f t="shared" si="32"/>
        <v>-2.7884000000000003E-2</v>
      </c>
      <c r="AL265" s="37">
        <f t="shared" si="29"/>
        <v>1.0794813669925938</v>
      </c>
      <c r="AM265" s="37">
        <f t="shared" si="30"/>
        <v>0.94728614724717197</v>
      </c>
    </row>
    <row r="266" spans="1:39" x14ac:dyDescent="0.3">
      <c r="A266" t="s">
        <v>330</v>
      </c>
      <c r="B266">
        <v>0.9425</v>
      </c>
      <c r="C266">
        <v>1.0686</v>
      </c>
      <c r="E266" s="37">
        <f t="shared" si="31"/>
        <v>9.4250000000000011E-3</v>
      </c>
      <c r="F266" s="37">
        <f t="shared" si="32"/>
        <v>1.0685999999999999E-2</v>
      </c>
      <c r="AL266" s="37">
        <f t="shared" si="29"/>
        <v>1.0896554788764989</v>
      </c>
      <c r="AM266" s="37">
        <f t="shared" si="30"/>
        <v>0.95740884701665518</v>
      </c>
    </row>
    <row r="267" spans="1:39" x14ac:dyDescent="0.3">
      <c r="A267" t="s">
        <v>331</v>
      </c>
      <c r="B267">
        <v>-0.54749999999999999</v>
      </c>
      <c r="C267">
        <v>-0.97809999999999997</v>
      </c>
      <c r="E267" s="37">
        <f t="shared" si="31"/>
        <v>-5.4749999999999998E-3</v>
      </c>
      <c r="F267" s="37">
        <f t="shared" si="32"/>
        <v>-9.7809999999999998E-3</v>
      </c>
      <c r="AL267" s="37">
        <f t="shared" si="29"/>
        <v>1.08368961512965</v>
      </c>
      <c r="AM267" s="37">
        <f t="shared" si="30"/>
        <v>0.94804443108398528</v>
      </c>
    </row>
    <row r="268" spans="1:39" x14ac:dyDescent="0.3">
      <c r="A268" t="s">
        <v>332</v>
      </c>
      <c r="B268">
        <v>-1.9279999999999999</v>
      </c>
      <c r="C268">
        <v>-0.55210000000000004</v>
      </c>
      <c r="E268" s="37">
        <f t="shared" si="31"/>
        <v>-1.9279999999999999E-2</v>
      </c>
      <c r="F268" s="37">
        <f t="shared" si="32"/>
        <v>-5.5210000000000007E-3</v>
      </c>
      <c r="AL268" s="37">
        <f t="shared" si="29"/>
        <v>1.0627960793499505</v>
      </c>
      <c r="AM268" s="37">
        <f t="shared" si="30"/>
        <v>0.94281027777997062</v>
      </c>
    </row>
    <row r="269" spans="1:39" x14ac:dyDescent="0.3">
      <c r="A269" t="s">
        <v>333</v>
      </c>
      <c r="B269">
        <v>2.2999999999999998</v>
      </c>
      <c r="C269">
        <v>1.7869999999999999</v>
      </c>
      <c r="E269" s="37">
        <f t="shared" si="31"/>
        <v>2.3E-2</v>
      </c>
      <c r="F269" s="37">
        <f t="shared" si="32"/>
        <v>1.787E-2</v>
      </c>
      <c r="J269" s="43">
        <f>F269+1</f>
        <v>1.0178700000000001</v>
      </c>
    </row>
    <row r="270" spans="1:39" x14ac:dyDescent="0.3">
      <c r="A270" t="s">
        <v>334</v>
      </c>
      <c r="B270">
        <v>0.91200000000000003</v>
      </c>
      <c r="C270">
        <v>1.5065</v>
      </c>
      <c r="E270" s="37">
        <f t="shared" si="31"/>
        <v>9.1200000000000014E-3</v>
      </c>
      <c r="F270" s="37">
        <f t="shared" si="32"/>
        <v>1.5065E-2</v>
      </c>
      <c r="J270">
        <f>J269*(1+F270)</f>
        <v>1.0332042115500002</v>
      </c>
    </row>
    <row r="271" spans="1:39" x14ac:dyDescent="0.3">
      <c r="A271" t="s">
        <v>335</v>
      </c>
      <c r="B271">
        <v>2.3140000000000001</v>
      </c>
      <c r="C271">
        <v>4.7899999999999998E-2</v>
      </c>
      <c r="E271" s="37">
        <f t="shared" si="31"/>
        <v>2.3140000000000001E-2</v>
      </c>
      <c r="F271" s="37">
        <f t="shared" si="32"/>
        <v>4.7899999999999999E-4</v>
      </c>
      <c r="J271">
        <f t="shared" ref="J271:J280" si="33">J270*(1+F271)</f>
        <v>1.0336991163673326</v>
      </c>
    </row>
    <row r="272" spans="1:39" x14ac:dyDescent="0.3">
      <c r="A272" t="s">
        <v>336</v>
      </c>
      <c r="B272">
        <v>7.1999999999999995E-2</v>
      </c>
      <c r="C272">
        <v>-0.2621</v>
      </c>
      <c r="E272" s="37">
        <f t="shared" si="31"/>
        <v>7.1999999999999994E-4</v>
      </c>
      <c r="F272" s="37">
        <f t="shared" si="32"/>
        <v>-2.6210000000000001E-3</v>
      </c>
      <c r="J272">
        <f t="shared" si="33"/>
        <v>1.0309897909833339</v>
      </c>
    </row>
    <row r="273" spans="1:11" x14ac:dyDescent="0.3">
      <c r="A273" t="s">
        <v>337</v>
      </c>
      <c r="B273">
        <v>-2.11</v>
      </c>
      <c r="C273">
        <v>-1.7156</v>
      </c>
      <c r="E273" s="37">
        <f t="shared" si="31"/>
        <v>-2.1100000000000001E-2</v>
      </c>
      <c r="F273" s="37">
        <f t="shared" si="32"/>
        <v>-1.7156000000000001E-2</v>
      </c>
      <c r="J273">
        <f t="shared" si="33"/>
        <v>1.0133021301292238</v>
      </c>
    </row>
    <row r="274" spans="1:11" x14ac:dyDescent="0.3">
      <c r="A274" t="s">
        <v>338</v>
      </c>
      <c r="B274">
        <v>-1.59</v>
      </c>
      <c r="C274">
        <v>-0.35959999999999998</v>
      </c>
      <c r="E274" s="37">
        <f t="shared" si="31"/>
        <v>-1.5900000000000001E-2</v>
      </c>
      <c r="F274" s="37">
        <f t="shared" si="32"/>
        <v>-3.5959999999999998E-3</v>
      </c>
      <c r="J274">
        <f t="shared" si="33"/>
        <v>1.009658295669279</v>
      </c>
    </row>
    <row r="275" spans="1:11" x14ac:dyDescent="0.3">
      <c r="A275" t="s">
        <v>339</v>
      </c>
      <c r="B275">
        <v>-1.5625</v>
      </c>
      <c r="C275">
        <v>0.77470000000000006</v>
      </c>
      <c r="E275" s="37">
        <f t="shared" si="31"/>
        <v>-1.5625E-2</v>
      </c>
      <c r="F275" s="37">
        <f t="shared" si="32"/>
        <v>7.7470000000000004E-3</v>
      </c>
      <c r="J275">
        <f t="shared" si="33"/>
        <v>1.0174801184858289</v>
      </c>
    </row>
    <row r="276" spans="1:11" x14ac:dyDescent="0.3">
      <c r="A276" t="s">
        <v>340</v>
      </c>
      <c r="B276">
        <v>-0.54330000000000001</v>
      </c>
      <c r="C276">
        <v>0.73929999999999996</v>
      </c>
      <c r="E276" s="37">
        <f t="shared" si="31"/>
        <v>-5.4330000000000003E-3</v>
      </c>
      <c r="F276" s="37">
        <f t="shared" si="32"/>
        <v>7.3929999999999994E-3</v>
      </c>
      <c r="J276">
        <f t="shared" si="33"/>
        <v>1.0250023490017945</v>
      </c>
    </row>
    <row r="277" spans="1:11" x14ac:dyDescent="0.3">
      <c r="A277" t="s">
        <v>376</v>
      </c>
      <c r="C277">
        <v>0.87</v>
      </c>
      <c r="F277" s="37">
        <f>C277*0.01</f>
        <v>8.6999999999999994E-3</v>
      </c>
      <c r="J277">
        <f t="shared" si="33"/>
        <v>1.03391986943811</v>
      </c>
    </row>
    <row r="278" spans="1:11" x14ac:dyDescent="0.3">
      <c r="A278" t="s">
        <v>377</v>
      </c>
      <c r="C278">
        <v>-0.27</v>
      </c>
      <c r="F278" s="37">
        <f>C278*0.01</f>
        <v>-2.7000000000000001E-3</v>
      </c>
      <c r="J278">
        <f t="shared" si="33"/>
        <v>1.031128285790627</v>
      </c>
    </row>
    <row r="279" spans="1:11" x14ac:dyDescent="0.3">
      <c r="A279" t="s">
        <v>378</v>
      </c>
      <c r="C279">
        <v>0.39</v>
      </c>
      <c r="F279" s="37">
        <f>C279*0.01</f>
        <v>3.9000000000000003E-3</v>
      </c>
      <c r="J279">
        <f t="shared" si="33"/>
        <v>1.0351496861052105</v>
      </c>
    </row>
    <row r="280" spans="1:11" x14ac:dyDescent="0.3">
      <c r="A280" t="s">
        <v>379</v>
      </c>
      <c r="C280">
        <v>1.19</v>
      </c>
      <c r="F280" s="37">
        <f>C280*0.01</f>
        <v>1.1899999999999999E-2</v>
      </c>
      <c r="J280">
        <f t="shared" si="33"/>
        <v>1.0474679673698626</v>
      </c>
    </row>
    <row r="281" spans="1:11" x14ac:dyDescent="0.3">
      <c r="A281" t="s">
        <v>380</v>
      </c>
      <c r="C281">
        <v>2.13</v>
      </c>
      <c r="F281" s="37">
        <f t="shared" ref="F281:F286" si="34">C281*0.01</f>
        <v>2.1299999999999999E-2</v>
      </c>
      <c r="K281" s="37">
        <f>F281+1</f>
        <v>1.0213000000000001</v>
      </c>
    </row>
    <row r="282" spans="1:11" x14ac:dyDescent="0.3">
      <c r="A282" t="s">
        <v>381</v>
      </c>
      <c r="C282">
        <v>0.28000000000000003</v>
      </c>
      <c r="F282" s="37">
        <f t="shared" si="34"/>
        <v>2.8000000000000004E-3</v>
      </c>
      <c r="K282" s="37">
        <f>K281*(1+F282)</f>
        <v>1.0241596399999999</v>
      </c>
    </row>
    <row r="283" spans="1:11" x14ac:dyDescent="0.3">
      <c r="A283" t="s">
        <v>382</v>
      </c>
      <c r="C283">
        <v>0.88</v>
      </c>
      <c r="F283" s="37">
        <f t="shared" si="34"/>
        <v>8.8000000000000005E-3</v>
      </c>
      <c r="K283" s="37">
        <f t="shared" ref="K283:K286" si="35">K282*(1+F283)</f>
        <v>1.0331722448319998</v>
      </c>
    </row>
    <row r="284" spans="1:11" x14ac:dyDescent="0.3">
      <c r="A284" t="s">
        <v>383</v>
      </c>
      <c r="C284">
        <v>0.82</v>
      </c>
      <c r="F284" s="37">
        <f t="shared" si="34"/>
        <v>8.199999999999999E-3</v>
      </c>
      <c r="K284" s="37">
        <f t="shared" si="35"/>
        <v>1.0416442572396221</v>
      </c>
    </row>
    <row r="285" spans="1:11" x14ac:dyDescent="0.3">
      <c r="A285" t="s">
        <v>384</v>
      </c>
      <c r="C285">
        <v>0.63</v>
      </c>
      <c r="F285" s="37">
        <f t="shared" si="34"/>
        <v>6.3E-3</v>
      </c>
      <c r="K285" s="37">
        <f t="shared" si="35"/>
        <v>1.0482066160602317</v>
      </c>
    </row>
    <row r="286" spans="1:11" x14ac:dyDescent="0.3">
      <c r="A286" t="s">
        <v>385</v>
      </c>
      <c r="C286">
        <v>-1.43</v>
      </c>
      <c r="F286" s="37">
        <f t="shared" si="34"/>
        <v>-1.43E-2</v>
      </c>
      <c r="K286" s="37">
        <f t="shared" si="35"/>
        <v>1.0332172614505704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F1" workbookViewId="0">
      <selection activeCell="H6" sqref="H6"/>
    </sheetView>
  </sheetViews>
  <sheetFormatPr defaultRowHeight="14.4" x14ac:dyDescent="0.3"/>
  <cols>
    <col min="1" max="1" width="16" bestFit="1" customWidth="1"/>
    <col min="2" max="2" width="15.33203125" bestFit="1" customWidth="1"/>
    <col min="3" max="3" width="15" bestFit="1" customWidth="1"/>
    <col min="4" max="5" width="15.33203125" bestFit="1" customWidth="1"/>
    <col min="6" max="6" width="14.33203125" bestFit="1" customWidth="1"/>
    <col min="7" max="7" width="15" bestFit="1" customWidth="1"/>
    <col min="8" max="8" width="36.33203125" customWidth="1"/>
    <col min="9" max="10" width="15.109375" bestFit="1" customWidth="1"/>
    <col min="11" max="12" width="14.6640625" bestFit="1" customWidth="1"/>
    <col min="13" max="13" width="15.109375" bestFit="1" customWidth="1"/>
    <col min="14" max="17" width="14.6640625" bestFit="1" customWidth="1"/>
    <col min="18" max="18" width="16" bestFit="1" customWidth="1"/>
    <col min="19" max="19" width="21.6640625" bestFit="1" customWidth="1"/>
    <col min="20" max="22" width="14.33203125" bestFit="1" customWidth="1"/>
    <col min="23" max="23" width="12.5546875" bestFit="1" customWidth="1"/>
    <col min="24" max="24" width="11.5546875" bestFit="1" customWidth="1"/>
  </cols>
  <sheetData>
    <row r="1" spans="1:19" ht="19.8" x14ac:dyDescent="0.4">
      <c r="A1" s="58" t="s">
        <v>357</v>
      </c>
      <c r="G1" s="135" t="s">
        <v>371</v>
      </c>
      <c r="H1" s="130"/>
      <c r="I1" s="131">
        <v>38139</v>
      </c>
      <c r="J1" s="131">
        <v>38322</v>
      </c>
      <c r="K1" s="131">
        <v>38687</v>
      </c>
      <c r="L1" s="131">
        <v>39052</v>
      </c>
      <c r="M1" s="131">
        <v>39417</v>
      </c>
      <c r="N1" s="131">
        <v>39783</v>
      </c>
      <c r="O1" s="131">
        <v>40148</v>
      </c>
      <c r="P1" s="131">
        <v>40513</v>
      </c>
      <c r="Q1" s="131">
        <v>40878</v>
      </c>
      <c r="R1" s="131">
        <v>41244</v>
      </c>
      <c r="S1" s="131">
        <v>41456</v>
      </c>
    </row>
    <row r="2" spans="1:19" x14ac:dyDescent="0.3">
      <c r="A2" s="59">
        <v>2004</v>
      </c>
      <c r="B2" s="59"/>
      <c r="H2" s="130" t="s">
        <v>357</v>
      </c>
      <c r="I2" s="132">
        <f>IIRR!I2</f>
        <v>0</v>
      </c>
      <c r="J2" s="133">
        <f>IIRR!J2</f>
        <v>-0.68169146701693539</v>
      </c>
      <c r="K2" s="133">
        <f>IIRR!K2</f>
        <v>4.8674085736274714E-2</v>
      </c>
      <c r="L2" s="133">
        <f>IIRR!L2</f>
        <v>0.10041553378105164</v>
      </c>
      <c r="M2" s="133">
        <f>IIRR!M2</f>
        <v>0.10041553378105164</v>
      </c>
      <c r="N2" s="133">
        <f>IIRR!N2</f>
        <v>0.10151496529579163</v>
      </c>
      <c r="O2" s="133">
        <f>IIRR!O2</f>
        <v>0.10052960515022277</v>
      </c>
      <c r="P2" s="133">
        <f>IIRR!P2</f>
        <v>0.10266627669334413</v>
      </c>
      <c r="Q2" s="133">
        <f>P2</f>
        <v>0.10266627669334413</v>
      </c>
      <c r="R2" s="133">
        <f>Q2</f>
        <v>0.10266627669334413</v>
      </c>
      <c r="S2" s="133">
        <f>R2</f>
        <v>0.10266627669334413</v>
      </c>
    </row>
    <row r="3" spans="1:19" x14ac:dyDescent="0.3">
      <c r="A3" s="60">
        <f>'IRR Calcs'!A2</f>
        <v>38142</v>
      </c>
      <c r="B3" s="60">
        <f>'IRR Calcs'!Q3</f>
        <v>38352</v>
      </c>
      <c r="H3" s="130" t="s">
        <v>373</v>
      </c>
      <c r="I3" s="132">
        <v>0</v>
      </c>
      <c r="J3" s="133">
        <f t="shared" ref="J3:O3" si="0">J2</f>
        <v>-0.68169146701693539</v>
      </c>
      <c r="K3" s="133">
        <f t="shared" si="0"/>
        <v>4.8674085736274714E-2</v>
      </c>
      <c r="L3" s="133">
        <f t="shared" si="0"/>
        <v>0.10041553378105164</v>
      </c>
      <c r="M3" s="133">
        <f t="shared" si="0"/>
        <v>0.10041553378105164</v>
      </c>
      <c r="N3" s="133">
        <f t="shared" si="0"/>
        <v>0.10151496529579163</v>
      </c>
      <c r="O3" s="133">
        <f t="shared" si="0"/>
        <v>0.10052960515022277</v>
      </c>
      <c r="P3" s="141">
        <f>XIRR(A28:Q28,A27:Q27)</f>
        <v>0.10061621069908142</v>
      </c>
      <c r="Q3" s="133">
        <f>XIRR(A32:S32,A31:S31)</f>
        <v>9.8342126607894903E-2</v>
      </c>
      <c r="R3" s="133">
        <f>XIRR(A36:X36,A35:X35)</f>
        <v>0.11438817381858826</v>
      </c>
      <c r="S3" s="133">
        <f>R3</f>
        <v>0.11438817381858826</v>
      </c>
    </row>
    <row r="4" spans="1:19" x14ac:dyDescent="0.3">
      <c r="A4" s="61">
        <f>'IRR Calcs'!B2</f>
        <v>-34000000</v>
      </c>
      <c r="B4" s="61">
        <f>D8*(DAYS360(A3,B3)/DAYS360(A3,D7))</f>
        <v>17597315.436241612</v>
      </c>
      <c r="D4" s="37"/>
      <c r="H4" s="130" t="s">
        <v>15</v>
      </c>
      <c r="I4" s="132">
        <v>0</v>
      </c>
      <c r="J4" s="133">
        <f>XIRR(A41:B41,A40:B40)</f>
        <v>0.16668623089790346</v>
      </c>
      <c r="K4" s="133">
        <f>XIRR(A45:B45,A44:B44)</f>
        <v>9.0616664290428167E-2</v>
      </c>
      <c r="L4" s="133">
        <f>XIRR(A49:B49,A48:B48)</f>
        <v>0.11628126502037048</v>
      </c>
      <c r="M4" s="133">
        <f>XIRR(A53:B53,A52:B52)</f>
        <v>9.8773735761642473E-2</v>
      </c>
      <c r="N4" s="133">
        <f>XIRR(A57:B57,A56:B56)</f>
        <v>-2.6981928944587709E-2</v>
      </c>
      <c r="O4" s="133">
        <f>XIRR(A61:B61,A60:B60)</f>
        <v>1.9833609461784366E-2</v>
      </c>
      <c r="P4" s="133">
        <f>XIRR(A65:B65,A64:B64)</f>
        <v>3.8698568940162673E-2</v>
      </c>
      <c r="Q4" s="133">
        <f>XIRR(A69:B69,A68:B68)</f>
        <v>3.6368110775947565E-2</v>
      </c>
      <c r="R4" s="133">
        <f>XIRR(A73:B73,A72:B72)</f>
        <v>4.5118895173072826E-2</v>
      </c>
      <c r="S4" s="133">
        <f>XIRR(A77:B77,A76:B76)</f>
        <v>5.759333074092865E-2</v>
      </c>
    </row>
    <row r="5" spans="1:19" x14ac:dyDescent="0.3">
      <c r="H5" s="130" t="s">
        <v>67</v>
      </c>
      <c r="I5" s="132">
        <v>0</v>
      </c>
      <c r="J5" s="133">
        <f>XIRR(G58:H58,G57:H57)</f>
        <v>9.614446759223938E-2</v>
      </c>
      <c r="K5" s="133">
        <f>XIRR(G62:H62,G61:H61)</f>
        <v>8.2616749405860904E-2</v>
      </c>
      <c r="L5" s="133">
        <f>XIRR(G66:H66,G65:H65)</f>
        <v>9.0849414467811584E-2</v>
      </c>
      <c r="M5" s="133">
        <f>XIRR(G70:H70,G69:H69)</f>
        <v>9.4108572602272039E-2</v>
      </c>
      <c r="N5" s="133">
        <f>XIRR(G74:H74,G73:H73)</f>
        <v>1.7885234951972969E-2</v>
      </c>
      <c r="O5" s="133">
        <f>XIRR(G78:H78,G77:H77)</f>
        <v>3.4598794579505932E-2</v>
      </c>
      <c r="P5" s="133">
        <f>XIRR(G82:H82,G81:H81)</f>
        <v>3.7978515028953538E-2</v>
      </c>
      <c r="Q5" s="133">
        <f>XIRR(G86:H86,G85:H85)</f>
        <v>2.4889865517616273E-2</v>
      </c>
      <c r="R5" s="133">
        <f>XIRR(G90:H90,G89:H89)</f>
        <v>2.7487769722938534E-2</v>
      </c>
      <c r="S5" s="133">
        <f>XIRR(G94:H94,G93:H93)</f>
        <v>2.9666987061500547E-2</v>
      </c>
    </row>
    <row r="6" spans="1:19" x14ac:dyDescent="0.3">
      <c r="A6" s="59">
        <v>2005</v>
      </c>
      <c r="B6" s="59"/>
      <c r="C6" s="59"/>
      <c r="D6" s="59"/>
      <c r="E6" s="59"/>
      <c r="F6" s="59"/>
      <c r="H6" s="134" t="s">
        <v>368</v>
      </c>
      <c r="I6" s="132">
        <v>0</v>
      </c>
      <c r="J6" s="133">
        <f>XIRR(D58:E58,D57:E57)</f>
        <v>-6.2614977359771746E-4</v>
      </c>
      <c r="K6" s="133">
        <f>XIRR(D62:E62,D61:E61)</f>
        <v>7.691006958484653E-2</v>
      </c>
      <c r="L6" s="133">
        <f>XIRR(D66:E66,D65:E65)</f>
        <v>7.3561081290245078E-2</v>
      </c>
      <c r="M6" s="133">
        <f>XIRR(D70:E70,D69:E69)</f>
        <v>7.1531674265861531E-2</v>
      </c>
      <c r="N6" s="133">
        <f>XIRR(D74:E74,D73:E73)</f>
        <v>3.113415539264679E-2</v>
      </c>
      <c r="O6" s="133">
        <f>XIRR(D78:E78,D77:E77)</f>
        <v>1.9115552306175239E-2</v>
      </c>
      <c r="P6" s="133">
        <f>XIRR(D82:E82,D81:E81)</f>
        <v>3.5142335295677174E-2</v>
      </c>
      <c r="Q6" s="133">
        <f>XIRR(D86:E86,D85:E85)</f>
        <v>3.8749888539314284E-2</v>
      </c>
      <c r="R6" s="133">
        <f>XIRR(D90:E90,D89:E89)</f>
        <v>3.3092698454856864E-2</v>
      </c>
    </row>
    <row r="7" spans="1:19" x14ac:dyDescent="0.3">
      <c r="A7" s="60">
        <f>A3</f>
        <v>38142</v>
      </c>
      <c r="B7" s="60">
        <f>'IRR Calcs'!A12</f>
        <v>38472</v>
      </c>
      <c r="C7" s="60">
        <f>'IRR Calcs'!A15</f>
        <v>38564</v>
      </c>
      <c r="D7" s="60">
        <f>'IRR Calcs'!A16</f>
        <v>38595</v>
      </c>
      <c r="E7" s="60">
        <f>'IRR Calcs'!A18</f>
        <v>38656</v>
      </c>
      <c r="F7" s="60">
        <v>38698</v>
      </c>
      <c r="H7" s="130" t="s">
        <v>369</v>
      </c>
      <c r="I7" s="132">
        <v>0</v>
      </c>
      <c r="J7" s="133">
        <f>XIRR(M58:N58,M57:N57)</f>
        <v>4.0576705336570748E-2</v>
      </c>
      <c r="K7" s="133">
        <f>XIRR(M62:N62,M61:N61)</f>
        <v>5.7354399561882013E-2</v>
      </c>
      <c r="L7" s="133">
        <f>XIRR(M66:N66,M65:N65)</f>
        <v>6.8683269619941714E-2</v>
      </c>
      <c r="M7" s="133">
        <f>XIRR(M70:N70,M69:N69)</f>
        <v>9.5637223124504109E-2</v>
      </c>
      <c r="N7" s="133">
        <f>XIRR(M74:N74,M73:N73)</f>
        <v>4.0030106902122498E-2</v>
      </c>
      <c r="O7" s="133">
        <f>XIRR(M78:N78,M77:N77)</f>
        <v>4.1437354683876049E-2</v>
      </c>
      <c r="P7" s="133">
        <f>XIRR(M82:N82,M81:N81)</f>
        <v>4.818426668643952E-2</v>
      </c>
      <c r="Q7" s="133">
        <f>XIRR(M86:N86,M85:N85)</f>
        <v>4.6168288588523856E-2</v>
      </c>
      <c r="R7" s="133">
        <f>XIRR(M90:N90,M89:N89)</f>
        <v>4.7836729884147638E-2</v>
      </c>
      <c r="S7" s="133">
        <f>XIRR(M94:N94,M93:N93)</f>
        <v>4.6207717061042791E-2</v>
      </c>
    </row>
    <row r="8" spans="1:19" x14ac:dyDescent="0.3">
      <c r="A8" s="61">
        <f>A4</f>
        <v>-34000000</v>
      </c>
      <c r="B8" s="61">
        <f>'IRR Calcs'!C12</f>
        <v>-6530000</v>
      </c>
      <c r="C8" s="61">
        <f>'IRR Calcs'!C15</f>
        <v>84890</v>
      </c>
      <c r="D8" s="61">
        <f>'IRR Calcs'!B16</f>
        <v>38000000</v>
      </c>
      <c r="E8" s="61">
        <f>'IRR Calcs'!C18</f>
        <v>84890</v>
      </c>
      <c r="F8" s="61">
        <f>F12*(DAYS360(B7,F7)/DAYS360(B7,F11))+G12*(DAYS360(B7,F7)/DAYS360(B7,G11))</f>
        <v>4592980.611111111</v>
      </c>
      <c r="H8" s="41"/>
    </row>
    <row r="9" spans="1:19" x14ac:dyDescent="0.3">
      <c r="A9" s="41"/>
      <c r="B9" s="41"/>
      <c r="C9" s="41"/>
      <c r="D9" s="41"/>
      <c r="E9" s="41"/>
      <c r="F9" s="41"/>
      <c r="G9" s="41"/>
      <c r="H9" s="43" t="s">
        <v>30</v>
      </c>
      <c r="I9">
        <v>0</v>
      </c>
      <c r="J9" s="46">
        <f>XIRR(J58:K58,J57:K57)</f>
        <v>0.30655727982521053</v>
      </c>
      <c r="K9" s="46">
        <f>XIRR(J62:K62,J61:K61)</f>
        <v>0.23940041661262509</v>
      </c>
      <c r="L9" s="46">
        <f>XIRR(J66:K66,J65:K65)</f>
        <v>0.22027679085731508</v>
      </c>
      <c r="M9" s="46">
        <f>XIRR(J70:K70,J69:K69)</f>
        <v>0.19636877179145815</v>
      </c>
      <c r="N9" s="46">
        <f>XIRR(J74:K74,J73:K73)</f>
        <v>8.9749386906623846E-2</v>
      </c>
      <c r="O9" s="46">
        <f>XIRR(J78:K78,J77:K77)</f>
        <v>9.2100879549980183E-2</v>
      </c>
      <c r="P9" s="46">
        <f>XIRR(J82:K82,J81:K81)</f>
        <v>9.7061675786972057E-2</v>
      </c>
      <c r="Q9" s="46">
        <f>XIRR(J86:K86,J85:K85)</f>
        <v>7.8054603934288036E-2</v>
      </c>
    </row>
    <row r="10" spans="1:19" x14ac:dyDescent="0.3">
      <c r="A10" s="59">
        <v>2006</v>
      </c>
      <c r="B10" s="59"/>
      <c r="C10" s="59"/>
      <c r="D10" s="59"/>
      <c r="E10" s="59"/>
      <c r="F10" s="59"/>
      <c r="G10" s="59"/>
      <c r="H10" s="59"/>
      <c r="I10" s="59"/>
    </row>
    <row r="11" spans="1:19" x14ac:dyDescent="0.3">
      <c r="A11" s="60">
        <f t="shared" ref="A11:E12" si="1">A7</f>
        <v>38142</v>
      </c>
      <c r="B11" s="60">
        <f t="shared" si="1"/>
        <v>38472</v>
      </c>
      <c r="C11" s="60">
        <f t="shared" si="1"/>
        <v>38564</v>
      </c>
      <c r="D11" s="60">
        <f t="shared" si="1"/>
        <v>38595</v>
      </c>
      <c r="E11" s="60">
        <f t="shared" si="1"/>
        <v>38656</v>
      </c>
      <c r="F11" s="60">
        <f>'IRR Calcs'!A21</f>
        <v>38748</v>
      </c>
      <c r="G11" s="60">
        <f>'IRR Calcs'!A24</f>
        <v>38837</v>
      </c>
      <c r="H11" s="60">
        <f>'IRR Calcs'!A25</f>
        <v>38868</v>
      </c>
      <c r="I11" s="60">
        <f>'IRR Calcs'!A27</f>
        <v>38929</v>
      </c>
    </row>
    <row r="12" spans="1:19" x14ac:dyDescent="0.3">
      <c r="A12" s="61">
        <f t="shared" si="1"/>
        <v>-34000000</v>
      </c>
      <c r="B12" s="61">
        <f t="shared" si="1"/>
        <v>-6530000</v>
      </c>
      <c r="C12" s="61">
        <f t="shared" si="1"/>
        <v>84890</v>
      </c>
      <c r="D12" s="61">
        <f t="shared" si="1"/>
        <v>38000000</v>
      </c>
      <c r="E12" s="61">
        <f t="shared" si="1"/>
        <v>84890</v>
      </c>
      <c r="F12" s="61">
        <f>'IRR Calcs'!C21</f>
        <v>84890</v>
      </c>
      <c r="G12" s="61">
        <f>'IRR Calcs'!C24</f>
        <v>7334890</v>
      </c>
      <c r="H12" s="61">
        <f>'IRR Calcs'!D25</f>
        <v>-7000000</v>
      </c>
      <c r="I12" s="61">
        <f>'IRR Calcs'!D27</f>
        <v>7000000</v>
      </c>
    </row>
    <row r="14" spans="1:19" x14ac:dyDescent="0.3">
      <c r="A14" s="59">
        <v>2007</v>
      </c>
      <c r="B14" s="59"/>
      <c r="C14" s="59"/>
      <c r="D14" s="59"/>
      <c r="E14" s="59"/>
      <c r="F14" s="59"/>
      <c r="G14" s="59"/>
      <c r="H14" s="59"/>
      <c r="I14" s="59"/>
    </row>
    <row r="15" spans="1:19" x14ac:dyDescent="0.3">
      <c r="A15" s="60">
        <f t="shared" ref="A15:I16" si="2">A11</f>
        <v>38142</v>
      </c>
      <c r="B15" s="60">
        <f t="shared" si="2"/>
        <v>38472</v>
      </c>
      <c r="C15" s="60">
        <f t="shared" si="2"/>
        <v>38564</v>
      </c>
      <c r="D15" s="60">
        <f t="shared" si="2"/>
        <v>38595</v>
      </c>
      <c r="E15" s="60">
        <f t="shared" si="2"/>
        <v>38656</v>
      </c>
      <c r="F15" s="60">
        <f t="shared" si="2"/>
        <v>38748</v>
      </c>
      <c r="G15" s="60">
        <f t="shared" si="2"/>
        <v>38837</v>
      </c>
      <c r="H15" s="60">
        <f t="shared" si="2"/>
        <v>38868</v>
      </c>
      <c r="I15" s="60">
        <f t="shared" si="2"/>
        <v>38929</v>
      </c>
    </row>
    <row r="16" spans="1:19" x14ac:dyDescent="0.3">
      <c r="A16" s="61">
        <f t="shared" si="2"/>
        <v>-34000000</v>
      </c>
      <c r="B16" s="61">
        <f t="shared" si="2"/>
        <v>-6530000</v>
      </c>
      <c r="C16" s="61">
        <f t="shared" si="2"/>
        <v>84890</v>
      </c>
      <c r="D16" s="61">
        <f t="shared" si="2"/>
        <v>38000000</v>
      </c>
      <c r="E16" s="61">
        <f t="shared" si="2"/>
        <v>84890</v>
      </c>
      <c r="F16" s="61">
        <f t="shared" si="2"/>
        <v>84890</v>
      </c>
      <c r="G16" s="61">
        <f t="shared" si="2"/>
        <v>7334890</v>
      </c>
      <c r="H16" s="61">
        <f t="shared" si="2"/>
        <v>-7000000</v>
      </c>
      <c r="I16" s="61">
        <f t="shared" si="2"/>
        <v>7000000</v>
      </c>
    </row>
    <row r="18" spans="1:19" x14ac:dyDescent="0.3">
      <c r="A18" s="59">
        <v>2008</v>
      </c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</row>
    <row r="19" spans="1:19" x14ac:dyDescent="0.3">
      <c r="A19" s="60">
        <f t="shared" ref="A19:I20" si="3">A15</f>
        <v>38142</v>
      </c>
      <c r="B19" s="60">
        <f t="shared" si="3"/>
        <v>38472</v>
      </c>
      <c r="C19" s="60">
        <f t="shared" si="3"/>
        <v>38564</v>
      </c>
      <c r="D19" s="60">
        <f t="shared" si="3"/>
        <v>38595</v>
      </c>
      <c r="E19" s="60">
        <f t="shared" si="3"/>
        <v>38656</v>
      </c>
      <c r="F19" s="60">
        <f t="shared" si="3"/>
        <v>38748</v>
      </c>
      <c r="G19" s="60">
        <f t="shared" si="3"/>
        <v>38837</v>
      </c>
      <c r="H19" s="60">
        <f t="shared" si="3"/>
        <v>38868</v>
      </c>
      <c r="I19" s="60">
        <f t="shared" si="3"/>
        <v>38929</v>
      </c>
      <c r="J19" s="60">
        <f>'IRR Calcs'!A50</f>
        <v>39657</v>
      </c>
      <c r="K19" s="60">
        <f>'IRR Calcs'!A52</f>
        <v>39701</v>
      </c>
      <c r="L19" s="60">
        <f>'IRR Calcs'!A54</f>
        <v>39780</v>
      </c>
      <c r="M19" s="60">
        <f>'IRR Calcs'!A55</f>
        <v>39810</v>
      </c>
    </row>
    <row r="20" spans="1:19" x14ac:dyDescent="0.3">
      <c r="A20" s="61">
        <f t="shared" si="3"/>
        <v>-34000000</v>
      </c>
      <c r="B20" s="61">
        <f t="shared" si="3"/>
        <v>-6530000</v>
      </c>
      <c r="C20" s="61">
        <f t="shared" si="3"/>
        <v>84890</v>
      </c>
      <c r="D20" s="61">
        <f t="shared" si="3"/>
        <v>38000000</v>
      </c>
      <c r="E20" s="61">
        <f t="shared" si="3"/>
        <v>84890</v>
      </c>
      <c r="F20" s="61">
        <f t="shared" si="3"/>
        <v>84890</v>
      </c>
      <c r="G20" s="61">
        <f t="shared" si="3"/>
        <v>7334890</v>
      </c>
      <c r="H20" s="61">
        <f t="shared" si="3"/>
        <v>-7000000</v>
      </c>
      <c r="I20" s="61">
        <f t="shared" si="3"/>
        <v>7000000</v>
      </c>
      <c r="J20" s="61">
        <f>'IRR Calcs'!E50</f>
        <v>-190000</v>
      </c>
      <c r="K20" s="61">
        <f>'IRR Calcs'!E52</f>
        <v>220000.00000000003</v>
      </c>
      <c r="L20" s="61">
        <f>'IRR Calcs'!F54</f>
        <v>-280000</v>
      </c>
      <c r="M20" s="61">
        <f>'IRR Calcs'!F55</f>
        <v>330000</v>
      </c>
    </row>
    <row r="22" spans="1:19" x14ac:dyDescent="0.3">
      <c r="A22" s="59">
        <v>2009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</row>
    <row r="23" spans="1:19" x14ac:dyDescent="0.3">
      <c r="A23" s="60">
        <f t="shared" ref="A23:M24" si="4">A19</f>
        <v>38142</v>
      </c>
      <c r="B23" s="60">
        <f t="shared" si="4"/>
        <v>38472</v>
      </c>
      <c r="C23" s="60">
        <f t="shared" si="4"/>
        <v>38564</v>
      </c>
      <c r="D23" s="60">
        <f t="shared" si="4"/>
        <v>38595</v>
      </c>
      <c r="E23" s="60">
        <f t="shared" si="4"/>
        <v>38656</v>
      </c>
      <c r="F23" s="60">
        <f t="shared" si="4"/>
        <v>38748</v>
      </c>
      <c r="G23" s="60">
        <f t="shared" si="4"/>
        <v>38837</v>
      </c>
      <c r="H23" s="60">
        <f t="shared" si="4"/>
        <v>38868</v>
      </c>
      <c r="I23" s="60">
        <f t="shared" si="4"/>
        <v>38929</v>
      </c>
      <c r="J23" s="60">
        <f t="shared" si="4"/>
        <v>39657</v>
      </c>
      <c r="K23" s="60">
        <f t="shared" si="4"/>
        <v>39701</v>
      </c>
      <c r="L23" s="60">
        <f t="shared" si="4"/>
        <v>39780</v>
      </c>
      <c r="M23" s="60">
        <f t="shared" si="4"/>
        <v>39810</v>
      </c>
      <c r="N23" s="60">
        <f>'IRR Calcs'!A61</f>
        <v>39994</v>
      </c>
      <c r="O23" s="60">
        <v>40178</v>
      </c>
    </row>
    <row r="24" spans="1:19" x14ac:dyDescent="0.3">
      <c r="A24" s="61">
        <f t="shared" si="4"/>
        <v>-34000000</v>
      </c>
      <c r="B24" s="61">
        <f t="shared" si="4"/>
        <v>-6530000</v>
      </c>
      <c r="C24" s="61">
        <f t="shared" si="4"/>
        <v>84890</v>
      </c>
      <c r="D24" s="61">
        <f t="shared" si="4"/>
        <v>38000000</v>
      </c>
      <c r="E24" s="61">
        <f t="shared" si="4"/>
        <v>84890</v>
      </c>
      <c r="F24" s="61">
        <f t="shared" si="4"/>
        <v>84890</v>
      </c>
      <c r="G24" s="61">
        <f t="shared" si="4"/>
        <v>7334890</v>
      </c>
      <c r="H24" s="61">
        <f t="shared" si="4"/>
        <v>-7000000</v>
      </c>
      <c r="I24" s="61">
        <f t="shared" si="4"/>
        <v>7000000</v>
      </c>
      <c r="J24" s="61">
        <f t="shared" si="4"/>
        <v>-190000</v>
      </c>
      <c r="K24" s="61">
        <f t="shared" si="4"/>
        <v>220000.00000000003</v>
      </c>
      <c r="L24" s="61">
        <f t="shared" si="4"/>
        <v>-280000</v>
      </c>
      <c r="M24" s="61">
        <f t="shared" si="4"/>
        <v>330000</v>
      </c>
      <c r="N24" s="61">
        <f>'IRR Calcs'!H61</f>
        <v>-250000</v>
      </c>
      <c r="O24" s="61">
        <f>O28*(DAYS360(N23,O23)/DAYS360(N23,O27))+P28*(DAYS360(N23,O23)/DAYS360(N23,P27))</f>
        <v>51136.363636363618</v>
      </c>
    </row>
    <row r="26" spans="1:19" x14ac:dyDescent="0.3">
      <c r="A26" s="59">
        <v>2010</v>
      </c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</row>
    <row r="27" spans="1:19" x14ac:dyDescent="0.3">
      <c r="A27" s="60">
        <f t="shared" ref="A27:N28" si="5">A23</f>
        <v>38142</v>
      </c>
      <c r="B27" s="60">
        <f t="shared" si="5"/>
        <v>38472</v>
      </c>
      <c r="C27" s="60">
        <f t="shared" si="5"/>
        <v>38564</v>
      </c>
      <c r="D27" s="60">
        <f t="shared" si="5"/>
        <v>38595</v>
      </c>
      <c r="E27" s="60">
        <f t="shared" si="5"/>
        <v>38656</v>
      </c>
      <c r="F27" s="60">
        <f t="shared" si="5"/>
        <v>38748</v>
      </c>
      <c r="G27" s="60">
        <f t="shared" si="5"/>
        <v>38837</v>
      </c>
      <c r="H27" s="60">
        <f t="shared" si="5"/>
        <v>38868</v>
      </c>
      <c r="I27" s="60">
        <f t="shared" si="5"/>
        <v>38929</v>
      </c>
      <c r="J27" s="60">
        <f t="shared" si="5"/>
        <v>39657</v>
      </c>
      <c r="K27" s="60">
        <f t="shared" si="5"/>
        <v>39701</v>
      </c>
      <c r="L27" s="60">
        <f t="shared" si="5"/>
        <v>39780</v>
      </c>
      <c r="M27" s="60">
        <f t="shared" si="5"/>
        <v>39810</v>
      </c>
      <c r="N27" s="60">
        <f t="shared" si="5"/>
        <v>39994</v>
      </c>
      <c r="O27" s="60">
        <f>'IRR Calcs'!A72</f>
        <v>40329</v>
      </c>
      <c r="P27" s="60">
        <v>40359</v>
      </c>
      <c r="Q27" s="60">
        <v>40543</v>
      </c>
    </row>
    <row r="28" spans="1:19" x14ac:dyDescent="0.3">
      <c r="A28" s="61">
        <f t="shared" si="5"/>
        <v>-34000000</v>
      </c>
      <c r="B28" s="61">
        <f t="shared" si="5"/>
        <v>-6530000</v>
      </c>
      <c r="C28" s="61">
        <f t="shared" si="5"/>
        <v>84890</v>
      </c>
      <c r="D28" s="61">
        <f t="shared" si="5"/>
        <v>38000000</v>
      </c>
      <c r="E28" s="61">
        <f t="shared" si="5"/>
        <v>84890</v>
      </c>
      <c r="F28" s="61">
        <f t="shared" si="5"/>
        <v>84890</v>
      </c>
      <c r="G28" s="61">
        <f t="shared" si="5"/>
        <v>7334890</v>
      </c>
      <c r="H28" s="61">
        <f t="shared" si="5"/>
        <v>-7000000</v>
      </c>
      <c r="I28" s="61">
        <f t="shared" si="5"/>
        <v>7000000</v>
      </c>
      <c r="J28" s="61">
        <f t="shared" si="5"/>
        <v>-190000</v>
      </c>
      <c r="K28" s="61">
        <f t="shared" si="5"/>
        <v>220000.00000000003</v>
      </c>
      <c r="L28" s="61">
        <f t="shared" si="5"/>
        <v>-280000</v>
      </c>
      <c r="M28" s="61">
        <f t="shared" si="5"/>
        <v>330000</v>
      </c>
      <c r="N28" s="61">
        <f t="shared" si="5"/>
        <v>-250000</v>
      </c>
      <c r="O28" s="61">
        <f>'IRR Calcs'!H72</f>
        <v>300000</v>
      </c>
      <c r="P28" s="61">
        <f>'IRR Calcs'!I73</f>
        <v>-225000</v>
      </c>
      <c r="Q28" s="61">
        <f>'IRR Calcs'!H79+'IRR Calcs'!I99*DAYS360(P27,Q27)/DAYS360(P27,'IRR Calcs'!A99)+'IRR Calcs'!I100*DAYS360(P27,Q27)/DAYS360(P27,'IRR Calcs'!A100)</f>
        <v>131823.07692307699</v>
      </c>
    </row>
    <row r="30" spans="1:19" x14ac:dyDescent="0.3">
      <c r="A30" s="59">
        <v>2011</v>
      </c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</row>
    <row r="31" spans="1:19" x14ac:dyDescent="0.3">
      <c r="A31" s="60">
        <f>A27</f>
        <v>38142</v>
      </c>
      <c r="B31" s="60">
        <f t="shared" ref="B31:P32" si="6">B27</f>
        <v>38472</v>
      </c>
      <c r="C31" s="60">
        <f t="shared" si="6"/>
        <v>38564</v>
      </c>
      <c r="D31" s="60">
        <f t="shared" si="6"/>
        <v>38595</v>
      </c>
      <c r="E31" s="60">
        <f t="shared" si="6"/>
        <v>38656</v>
      </c>
      <c r="F31" s="60">
        <f t="shared" si="6"/>
        <v>38748</v>
      </c>
      <c r="G31" s="60">
        <f t="shared" si="6"/>
        <v>38837</v>
      </c>
      <c r="H31" s="60">
        <f t="shared" si="6"/>
        <v>38868</v>
      </c>
      <c r="I31" s="60">
        <f t="shared" si="6"/>
        <v>38929</v>
      </c>
      <c r="J31" s="60">
        <f t="shared" si="6"/>
        <v>39657</v>
      </c>
      <c r="K31" s="60">
        <f t="shared" si="6"/>
        <v>39701</v>
      </c>
      <c r="L31" s="60">
        <f t="shared" si="6"/>
        <v>39780</v>
      </c>
      <c r="M31" s="60">
        <f t="shared" si="6"/>
        <v>39810</v>
      </c>
      <c r="N31" s="60">
        <f t="shared" si="6"/>
        <v>39994</v>
      </c>
      <c r="O31" s="60">
        <f t="shared" si="6"/>
        <v>40329</v>
      </c>
      <c r="P31" s="60">
        <f t="shared" si="6"/>
        <v>40359</v>
      </c>
      <c r="Q31" s="60">
        <v>40543</v>
      </c>
      <c r="R31" s="60">
        <v>40663</v>
      </c>
      <c r="S31" s="60">
        <v>40908</v>
      </c>
    </row>
    <row r="32" spans="1:19" x14ac:dyDescent="0.3">
      <c r="A32" s="61">
        <f>A28</f>
        <v>-34000000</v>
      </c>
      <c r="B32" s="61">
        <f t="shared" si="6"/>
        <v>-6530000</v>
      </c>
      <c r="C32" s="61">
        <f t="shared" si="6"/>
        <v>84890</v>
      </c>
      <c r="D32" s="61">
        <f t="shared" si="6"/>
        <v>38000000</v>
      </c>
      <c r="E32" s="61">
        <f t="shared" si="6"/>
        <v>84890</v>
      </c>
      <c r="F32" s="61">
        <f t="shared" si="6"/>
        <v>84890</v>
      </c>
      <c r="G32" s="61">
        <f t="shared" si="6"/>
        <v>7334890</v>
      </c>
      <c r="H32" s="61">
        <f t="shared" si="6"/>
        <v>-7000000</v>
      </c>
      <c r="I32" s="61">
        <f t="shared" si="6"/>
        <v>7000000</v>
      </c>
      <c r="J32" s="61">
        <f t="shared" si="6"/>
        <v>-190000</v>
      </c>
      <c r="K32" s="61">
        <f t="shared" si="6"/>
        <v>220000.00000000003</v>
      </c>
      <c r="L32" s="61">
        <f t="shared" si="6"/>
        <v>-280000</v>
      </c>
      <c r="M32" s="61">
        <f t="shared" si="6"/>
        <v>330000</v>
      </c>
      <c r="N32" s="61">
        <f t="shared" si="6"/>
        <v>-250000</v>
      </c>
      <c r="O32" s="61">
        <f t="shared" si="6"/>
        <v>300000</v>
      </c>
      <c r="P32" s="61">
        <f t="shared" si="6"/>
        <v>-225000</v>
      </c>
      <c r="Q32" s="61">
        <f>'IRR Calcs'!H79</f>
        <v>69900.000000000058</v>
      </c>
      <c r="R32" s="61">
        <f>'IRR Calcs'!J83+'IRR Calcs'!K83</f>
        <v>-11200000</v>
      </c>
      <c r="S32" s="61">
        <f>'IRR Calcs'!K91+'IRR Calcs'!J95*DAYS360(IRRh!R31,IRRh!S31)/DAYS360(IRRh!R31,'IRR Calcs'!A95)+'IRR Calcs'!K91*DAYS360(IRRh!R31,IRRh!S31)/DAYS360(IRRh!R31,'IRR Calcs'!A91)+'IRR Calcs'!K93*DAYS360(IRRh!R31,IRRh!S31)/DAYS360(R31,'IRR Calcs'!A93)+'IRR Calcs'!K94*DAYS360(IRRh!R31,IRRh!S31)/DAYS360(IRRh!R31,'IRR Calcs'!A94)+'IRR Calcs'!K95*DAYS360(IRRh!R31,IRRh!S31)/DAYS360(IRRh!R31,'IRR Calcs'!A95)+'IRR Calcs'!I99*DAYS360('IRR Calcs'!A73,S31)/DAYS360('IRR Calcs'!A73,'IRR Calcs'!A99)+'IRR Calcs'!I100*DAYS360('IRR Calcs'!A73,S31)/DAYS360('IRR Calcs'!A73,'IRR Calcs'!A100)</f>
        <v>11787735.380561467</v>
      </c>
    </row>
    <row r="33" spans="1:24" s="140" customFormat="1" x14ac:dyDescent="0.3">
      <c r="A33" s="139"/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</row>
    <row r="34" spans="1:24" s="59" customFormat="1" x14ac:dyDescent="0.3">
      <c r="A34" s="59">
        <v>2012</v>
      </c>
    </row>
    <row r="35" spans="1:24" s="60" customFormat="1" x14ac:dyDescent="0.3">
      <c r="A35" s="60">
        <f>A31</f>
        <v>38142</v>
      </c>
      <c r="B35" s="60">
        <f t="shared" ref="B35:S35" si="7">B31</f>
        <v>38472</v>
      </c>
      <c r="C35" s="60">
        <f t="shared" si="7"/>
        <v>38564</v>
      </c>
      <c r="D35" s="60">
        <f t="shared" si="7"/>
        <v>38595</v>
      </c>
      <c r="E35" s="60">
        <f t="shared" si="7"/>
        <v>38656</v>
      </c>
      <c r="F35" s="60">
        <f t="shared" si="7"/>
        <v>38748</v>
      </c>
      <c r="G35" s="60">
        <f t="shared" si="7"/>
        <v>38837</v>
      </c>
      <c r="H35" s="60">
        <f t="shared" si="7"/>
        <v>38868</v>
      </c>
      <c r="I35" s="60">
        <f t="shared" si="7"/>
        <v>38929</v>
      </c>
      <c r="J35" s="60">
        <f t="shared" si="7"/>
        <v>39657</v>
      </c>
      <c r="K35" s="60">
        <f t="shared" si="7"/>
        <v>39701</v>
      </c>
      <c r="L35" s="60">
        <f t="shared" si="7"/>
        <v>39780</v>
      </c>
      <c r="M35" s="60">
        <f t="shared" si="7"/>
        <v>39810</v>
      </c>
      <c r="N35" s="60">
        <f t="shared" si="7"/>
        <v>39994</v>
      </c>
      <c r="O35" s="60">
        <f t="shared" si="7"/>
        <v>40329</v>
      </c>
      <c r="P35" s="60">
        <f t="shared" si="7"/>
        <v>40359</v>
      </c>
      <c r="Q35" s="60">
        <f t="shared" si="7"/>
        <v>40543</v>
      </c>
      <c r="R35" s="60">
        <f t="shared" si="7"/>
        <v>40663</v>
      </c>
      <c r="S35" s="60">
        <f t="shared" si="7"/>
        <v>40908</v>
      </c>
      <c r="T35" s="60">
        <v>40968</v>
      </c>
      <c r="U35" s="60">
        <f>'IRR Calcs'!A94</f>
        <v>40999</v>
      </c>
      <c r="V35" s="60">
        <f>'IRR Calcs'!A95</f>
        <v>41029</v>
      </c>
      <c r="W35" s="60">
        <f>'IRR Calcs'!A99</f>
        <v>41152</v>
      </c>
      <c r="X35" s="60">
        <f>'IRR Calcs'!A100</f>
        <v>41182</v>
      </c>
    </row>
    <row r="36" spans="1:24" x14ac:dyDescent="0.3">
      <c r="A36" s="61">
        <f>A32</f>
        <v>-34000000</v>
      </c>
      <c r="B36" s="61">
        <f t="shared" ref="B36:R36" si="8">B32</f>
        <v>-6530000</v>
      </c>
      <c r="C36" s="61">
        <f t="shared" si="8"/>
        <v>84890</v>
      </c>
      <c r="D36" s="61">
        <f t="shared" si="8"/>
        <v>38000000</v>
      </c>
      <c r="E36" s="61">
        <f t="shared" si="8"/>
        <v>84890</v>
      </c>
      <c r="F36" s="61">
        <f t="shared" si="8"/>
        <v>84890</v>
      </c>
      <c r="G36" s="61">
        <f t="shared" si="8"/>
        <v>7334890</v>
      </c>
      <c r="H36" s="61">
        <f t="shared" si="8"/>
        <v>-7000000</v>
      </c>
      <c r="I36" s="61">
        <f t="shared" si="8"/>
        <v>7000000</v>
      </c>
      <c r="J36" s="61">
        <f t="shared" si="8"/>
        <v>-190000</v>
      </c>
      <c r="K36" s="61">
        <f t="shared" si="8"/>
        <v>220000.00000000003</v>
      </c>
      <c r="L36" s="61">
        <f t="shared" si="8"/>
        <v>-280000</v>
      </c>
      <c r="M36" s="61">
        <f t="shared" si="8"/>
        <v>330000</v>
      </c>
      <c r="N36" s="61">
        <f t="shared" si="8"/>
        <v>-250000</v>
      </c>
      <c r="O36" s="61">
        <f t="shared" si="8"/>
        <v>300000</v>
      </c>
      <c r="P36" s="61">
        <f t="shared" si="8"/>
        <v>-225000</v>
      </c>
      <c r="Q36" s="61">
        <f t="shared" si="8"/>
        <v>69900.000000000058</v>
      </c>
      <c r="R36" s="61">
        <f t="shared" si="8"/>
        <v>-11200000</v>
      </c>
      <c r="S36" s="61">
        <f>'IRR Calcs'!K91</f>
        <v>1500000</v>
      </c>
      <c r="T36" s="45">
        <f>'IRR Calcs'!K93</f>
        <v>3000000</v>
      </c>
      <c r="U36" s="45">
        <f>'IRR Calcs'!K94</f>
        <v>2100000</v>
      </c>
      <c r="V36" s="45">
        <f>'IRR Calcs'!J95+'IRR Calcs'!K95</f>
        <v>7000000</v>
      </c>
      <c r="W36" s="45">
        <f>'IRR Calcs'!I99</f>
        <v>225000</v>
      </c>
      <c r="X36" s="45">
        <f>'IRR Calcs'!I100</f>
        <v>45000</v>
      </c>
    </row>
    <row r="38" spans="1:24" x14ac:dyDescent="0.3">
      <c r="A38" s="58" t="s">
        <v>16</v>
      </c>
    </row>
    <row r="39" spans="1:24" x14ac:dyDescent="0.3">
      <c r="A39" s="59">
        <v>2004</v>
      </c>
      <c r="B39" s="59"/>
    </row>
    <row r="40" spans="1:24" x14ac:dyDescent="0.3">
      <c r="A40" s="60">
        <f>A3</f>
        <v>38142</v>
      </c>
      <c r="B40" s="60">
        <f>B3</f>
        <v>38352</v>
      </c>
    </row>
    <row r="41" spans="1:24" x14ac:dyDescent="0.3">
      <c r="A41" s="61">
        <v>-1000000</v>
      </c>
      <c r="B41" s="61">
        <f>-A41*(1+'S&amp;P'!S3)</f>
        <v>1092751.7785966028</v>
      </c>
    </row>
    <row r="42" spans="1:24" x14ac:dyDescent="0.3">
      <c r="A42" s="59"/>
      <c r="B42" s="59"/>
    </row>
    <row r="43" spans="1:24" x14ac:dyDescent="0.3">
      <c r="A43" s="59">
        <v>2005</v>
      </c>
      <c r="B43" s="59"/>
    </row>
    <row r="44" spans="1:24" x14ac:dyDescent="0.3">
      <c r="A44" s="60">
        <f>A40</f>
        <v>38142</v>
      </c>
      <c r="B44" s="60">
        <v>38717</v>
      </c>
    </row>
    <row r="45" spans="1:24" x14ac:dyDescent="0.3">
      <c r="A45" s="61">
        <f>A41</f>
        <v>-1000000</v>
      </c>
      <c r="B45" s="61">
        <f>-A45*(1+'S&amp;P'!S3)*(1+'S&amp;P'!S4)</f>
        <v>1146427.261532034</v>
      </c>
    </row>
    <row r="46" spans="1:24" x14ac:dyDescent="0.3">
      <c r="A46" s="59"/>
      <c r="B46" s="59"/>
    </row>
    <row r="47" spans="1:24" x14ac:dyDescent="0.3">
      <c r="A47" s="59">
        <v>2006</v>
      </c>
      <c r="B47" s="59"/>
    </row>
    <row r="48" spans="1:24" x14ac:dyDescent="0.3">
      <c r="A48" s="60">
        <f>A44</f>
        <v>38142</v>
      </c>
      <c r="B48" s="60">
        <v>39082</v>
      </c>
    </row>
    <row r="49" spans="1:14" x14ac:dyDescent="0.3">
      <c r="A49" s="61">
        <f>A45</f>
        <v>-1000000</v>
      </c>
      <c r="B49" s="61">
        <f>-A45*(1+'S&amp;P'!S3)*(1+'S&amp;P'!S4)*(1+'S&amp;P'!S5)</f>
        <v>1327496.7755725635</v>
      </c>
    </row>
    <row r="50" spans="1:14" x14ac:dyDescent="0.3">
      <c r="A50" s="59"/>
      <c r="B50" s="59"/>
    </row>
    <row r="51" spans="1:14" x14ac:dyDescent="0.3">
      <c r="A51" s="59">
        <v>2007</v>
      </c>
      <c r="B51" s="59"/>
    </row>
    <row r="52" spans="1:14" x14ac:dyDescent="0.3">
      <c r="A52" s="60">
        <f>A48</f>
        <v>38142</v>
      </c>
      <c r="B52" s="60">
        <v>39447</v>
      </c>
    </row>
    <row r="53" spans="1:14" x14ac:dyDescent="0.3">
      <c r="A53" s="61">
        <f>A49</f>
        <v>-1000000</v>
      </c>
      <c r="B53" s="61">
        <f>-A45*(1+'S&amp;P'!S3)*(1+'S&amp;P'!S4)*(1+'S&amp;P'!S5)*(1+'S&amp;P'!S6)</f>
        <v>1400428.9520793001</v>
      </c>
    </row>
    <row r="54" spans="1:14" x14ac:dyDescent="0.3">
      <c r="A54" s="59"/>
      <c r="B54" s="59"/>
      <c r="J54" s="73" t="s">
        <v>370</v>
      </c>
    </row>
    <row r="55" spans="1:14" x14ac:dyDescent="0.3">
      <c r="A55" s="59">
        <v>2008</v>
      </c>
      <c r="B55" s="59"/>
      <c r="D55" s="58" t="s">
        <v>354</v>
      </c>
      <c r="G55" s="58" t="s">
        <v>21</v>
      </c>
      <c r="J55" s="58" t="s">
        <v>347</v>
      </c>
      <c r="M55" s="58" t="s">
        <v>349</v>
      </c>
    </row>
    <row r="56" spans="1:14" x14ac:dyDescent="0.3">
      <c r="A56" s="60">
        <f>A52</f>
        <v>38142</v>
      </c>
      <c r="B56" s="60">
        <v>39813</v>
      </c>
      <c r="D56" s="59">
        <v>2004</v>
      </c>
      <c r="E56" s="59"/>
      <c r="G56" s="59">
        <v>2004</v>
      </c>
      <c r="H56" s="59"/>
      <c r="J56" s="59">
        <v>2004</v>
      </c>
      <c r="K56" s="59"/>
      <c r="M56" s="59">
        <v>2004</v>
      </c>
      <c r="N56" s="59"/>
    </row>
    <row r="57" spans="1:14" x14ac:dyDescent="0.3">
      <c r="A57" s="61">
        <f>A53</f>
        <v>-1000000</v>
      </c>
      <c r="B57" s="61">
        <f>-A45*(1+'S&amp;P'!S3)*(1+'S&amp;P'!S4)*(1+'S&amp;P'!S5)*(1+'S&amp;P'!S6)*(1+'S&amp;P'!S7)</f>
        <v>882300.50449233782</v>
      </c>
      <c r="D57" s="60">
        <f>A40</f>
        <v>38142</v>
      </c>
      <c r="E57" s="60">
        <v>38352</v>
      </c>
      <c r="G57" s="60">
        <f>D57</f>
        <v>38142</v>
      </c>
      <c r="H57" s="60">
        <v>38352</v>
      </c>
      <c r="J57" s="60">
        <f>G57</f>
        <v>38142</v>
      </c>
      <c r="K57" s="60">
        <v>38352</v>
      </c>
      <c r="M57" s="60">
        <f>J57</f>
        <v>38142</v>
      </c>
      <c r="N57" s="60">
        <v>38352</v>
      </c>
    </row>
    <row r="58" spans="1:14" x14ac:dyDescent="0.3">
      <c r="A58" s="59"/>
      <c r="B58" s="59"/>
      <c r="D58" s="61">
        <v>-1000000</v>
      </c>
      <c r="E58" s="61">
        <f>-D58*(1+HFR!S10)</f>
        <v>999639.70163800393</v>
      </c>
      <c r="G58" s="61">
        <f>D58</f>
        <v>-1000000</v>
      </c>
      <c r="H58" s="61">
        <f>-G58*(1+HFR!T10)</f>
        <v>1054235.5009387338</v>
      </c>
      <c r="J58" s="61">
        <f>G58</f>
        <v>-1000000</v>
      </c>
      <c r="K58" s="61">
        <f>-J58*(1+PE!N9)</f>
        <v>1166309.0128755365</v>
      </c>
      <c r="M58" s="61">
        <f>J58</f>
        <v>-1000000</v>
      </c>
      <c r="N58" s="61">
        <f>-M58*(1+PE!O9)</f>
        <v>1023148.1481481481</v>
      </c>
    </row>
    <row r="59" spans="1:14" x14ac:dyDescent="0.3">
      <c r="A59" s="59">
        <v>2009</v>
      </c>
      <c r="B59" s="59"/>
      <c r="D59" s="59"/>
      <c r="E59" s="59"/>
      <c r="G59" s="59"/>
      <c r="H59" s="59"/>
      <c r="J59" s="59"/>
      <c r="K59" s="59"/>
      <c r="M59" s="59"/>
      <c r="N59" s="59"/>
    </row>
    <row r="60" spans="1:14" x14ac:dyDescent="0.3">
      <c r="A60" s="60">
        <f>A56</f>
        <v>38142</v>
      </c>
      <c r="B60" s="60">
        <v>40178</v>
      </c>
      <c r="D60" s="59">
        <v>2005</v>
      </c>
      <c r="E60" s="59"/>
      <c r="G60" s="59">
        <v>2005</v>
      </c>
      <c r="H60" s="59"/>
      <c r="J60" s="59">
        <v>2005</v>
      </c>
      <c r="K60" s="59"/>
      <c r="M60" s="59">
        <v>2005</v>
      </c>
      <c r="N60" s="59"/>
    </row>
    <row r="61" spans="1:14" x14ac:dyDescent="0.3">
      <c r="A61" s="61">
        <f>A57</f>
        <v>-1000000</v>
      </c>
      <c r="B61" s="61">
        <f>-A45*(1+'S&amp;P'!S3)*(1+'S&amp;P'!S4)*(1+'S&amp;P'!S5)*(1+'S&amp;P'!S6)*(1+'S&amp;P'!S7)*(1+'S&amp;P'!S8)</f>
        <v>1115776.6140818452</v>
      </c>
      <c r="D61" s="60">
        <f>D57</f>
        <v>38142</v>
      </c>
      <c r="E61" s="60">
        <v>38717</v>
      </c>
      <c r="G61" s="60">
        <f>G57</f>
        <v>38142</v>
      </c>
      <c r="H61" s="60">
        <v>38717</v>
      </c>
      <c r="J61" s="60">
        <f>J57</f>
        <v>38142</v>
      </c>
      <c r="K61" s="60">
        <v>38717</v>
      </c>
      <c r="M61" s="60">
        <f>M57</f>
        <v>38142</v>
      </c>
      <c r="N61" s="60">
        <v>38717</v>
      </c>
    </row>
    <row r="62" spans="1:14" x14ac:dyDescent="0.3">
      <c r="A62" s="59"/>
      <c r="B62" s="59"/>
      <c r="D62" s="61">
        <f>D58</f>
        <v>-1000000</v>
      </c>
      <c r="E62" s="61">
        <f>-D58*(1+HFR!S10)*(1+HFR!S11)</f>
        <v>1123811.922656388</v>
      </c>
      <c r="G62" s="61">
        <f>G58</f>
        <v>-1000000</v>
      </c>
      <c r="H62" s="61">
        <f>-G58*(1+HFR!T10)*(1+HFR!T11)</f>
        <v>1133207.7184770498</v>
      </c>
      <c r="J62" s="61">
        <f>J58</f>
        <v>-1000000</v>
      </c>
      <c r="K62" s="61">
        <f>-J62*(1+PE!N9)*(1+PE!N10)</f>
        <v>1402297.7969555685</v>
      </c>
      <c r="M62" s="61">
        <f>M58</f>
        <v>-1000000</v>
      </c>
      <c r="N62" s="61">
        <f>-M62*(1+PE!O9)*(1+PE!O10)</f>
        <v>1091831.7043895747</v>
      </c>
    </row>
    <row r="63" spans="1:14" x14ac:dyDescent="0.3">
      <c r="A63" s="59">
        <v>2010</v>
      </c>
      <c r="B63" s="59"/>
      <c r="D63" s="59"/>
      <c r="E63" s="59"/>
      <c r="G63" s="59"/>
      <c r="H63" s="59"/>
      <c r="J63" s="59"/>
      <c r="K63" s="59"/>
      <c r="M63" s="59"/>
      <c r="N63" s="59"/>
    </row>
    <row r="64" spans="1:14" x14ac:dyDescent="0.3">
      <c r="A64" s="60">
        <f>A60</f>
        <v>38142</v>
      </c>
      <c r="B64" s="60">
        <v>40543</v>
      </c>
      <c r="D64" s="59">
        <v>2006</v>
      </c>
      <c r="E64" s="59"/>
      <c r="G64" s="59">
        <v>2006</v>
      </c>
      <c r="H64" s="59"/>
      <c r="J64" s="59">
        <v>2006</v>
      </c>
      <c r="K64" s="59"/>
      <c r="M64" s="59">
        <v>2006</v>
      </c>
      <c r="N64" s="59"/>
    </row>
    <row r="65" spans="1:14" x14ac:dyDescent="0.3">
      <c r="A65" s="61">
        <f>A61</f>
        <v>-1000000</v>
      </c>
      <c r="B65" s="61">
        <f>-A45*(1+'S&amp;P'!S3)*(1+'S&amp;P'!S4)*(1+'S&amp;P'!S5)*(1+'S&amp;P'!S6)*(1+'S&amp;P'!S7)*(1+'S&amp;P'!S8)*(1+'S&amp;P'!S9)</f>
        <v>1283717.6515498171</v>
      </c>
      <c r="D65" s="60">
        <f>D61</f>
        <v>38142</v>
      </c>
      <c r="E65" s="60">
        <v>39082</v>
      </c>
      <c r="G65" s="60">
        <f>G61</f>
        <v>38142</v>
      </c>
      <c r="H65" s="60">
        <v>39082</v>
      </c>
      <c r="J65" s="60">
        <f>J61</f>
        <v>38142</v>
      </c>
      <c r="K65" s="60">
        <v>39082</v>
      </c>
      <c r="M65" s="60">
        <f>M61</f>
        <v>38142</v>
      </c>
      <c r="N65" s="60">
        <v>39082</v>
      </c>
    </row>
    <row r="66" spans="1:14" x14ac:dyDescent="0.3">
      <c r="A66" s="59"/>
      <c r="B66" s="59"/>
      <c r="D66" s="61">
        <f>D62</f>
        <v>-1000000</v>
      </c>
      <c r="E66" s="61">
        <f>-D66*(1+HFR!S10)*(1+HFR!S11)*(1+HFR!S12)</f>
        <v>1200575.4602635135</v>
      </c>
      <c r="G66" s="61">
        <f>G62</f>
        <v>-1000000</v>
      </c>
      <c r="H66" s="61">
        <f>-G66*(1+HFR!T10)*(1+HFR!T11)*(1+HFR!T12)</f>
        <v>1250999.9698942346</v>
      </c>
      <c r="J66" s="61">
        <f>J62</f>
        <v>-1000000</v>
      </c>
      <c r="K66" s="61">
        <f>-J62*(1+PE!N9)*(1+PE!N10)*(1+PE!N11)</f>
        <v>1669782.3589371291</v>
      </c>
      <c r="M66" s="61">
        <f>M62</f>
        <v>-1000000</v>
      </c>
      <c r="N66" s="61">
        <f>-M62*(1+PE!O9)*(1+PE!O10)*(1+PE!O11)</f>
        <v>1186577.4308035462</v>
      </c>
    </row>
    <row r="67" spans="1:14" x14ac:dyDescent="0.3">
      <c r="A67" s="59">
        <v>2011</v>
      </c>
      <c r="B67" s="59"/>
      <c r="D67" s="59"/>
      <c r="E67" s="59"/>
      <c r="G67" s="59"/>
      <c r="H67" s="59"/>
      <c r="J67" s="59"/>
      <c r="K67" s="59"/>
      <c r="M67" s="59"/>
      <c r="N67" s="59"/>
    </row>
    <row r="68" spans="1:14" x14ac:dyDescent="0.3">
      <c r="A68" s="60">
        <f>A64</f>
        <v>38142</v>
      </c>
      <c r="B68" s="60">
        <v>40908</v>
      </c>
      <c r="D68" s="59">
        <v>2007</v>
      </c>
      <c r="E68" s="59"/>
      <c r="G68" s="59">
        <v>2007</v>
      </c>
      <c r="H68" s="59"/>
      <c r="J68" s="59">
        <v>2007</v>
      </c>
      <c r="K68" s="59"/>
      <c r="M68" s="59">
        <v>2007</v>
      </c>
      <c r="N68" s="59"/>
    </row>
    <row r="69" spans="1:14" x14ac:dyDescent="0.3">
      <c r="A69" s="61">
        <f>A65</f>
        <v>-1000000</v>
      </c>
      <c r="B69" s="61">
        <f>-A45*(1+'S&amp;P'!S3)*(1+'S&amp;P'!S4)*(1+'S&amp;P'!S5)*(1+'S&amp;P'!S6)*(1+'S&amp;P'!S7)*(1+'S&amp;P'!S8)*(1+'S&amp;P'!S9)*(1+'S&amp;P'!S10)</f>
        <v>1310891.3158553971</v>
      </c>
      <c r="D69" s="60">
        <f>D65</f>
        <v>38142</v>
      </c>
      <c r="E69" s="60">
        <v>39447</v>
      </c>
      <c r="G69" s="60">
        <f>G65</f>
        <v>38142</v>
      </c>
      <c r="H69" s="60">
        <v>39447</v>
      </c>
      <c r="J69" s="60">
        <f>J65</f>
        <v>38142</v>
      </c>
      <c r="K69" s="60">
        <v>39447</v>
      </c>
      <c r="M69" s="60">
        <f>M65</f>
        <v>38142</v>
      </c>
      <c r="N69" s="60">
        <v>39447</v>
      </c>
    </row>
    <row r="70" spans="1:14" x14ac:dyDescent="0.3">
      <c r="D70" s="61">
        <f>D66</f>
        <v>-1000000</v>
      </c>
      <c r="E70" s="61">
        <f>-D70*(1+HFR!S10)*(1+HFR!S11)*(1+HFR!S12)*(1+HFR!S13)</f>
        <v>1280201.1073324904</v>
      </c>
      <c r="G70" s="61">
        <f>G66</f>
        <v>-1000000</v>
      </c>
      <c r="H70" s="61">
        <f>-G70*(1+HFR!T10)*(1+HFR!T11)*(1+HFR!T12)*(1+HFR!T13)</f>
        <v>1379286.1808687625</v>
      </c>
      <c r="J70" s="61">
        <f>J66</f>
        <v>-1000000</v>
      </c>
      <c r="K70" s="61">
        <f>-J62*(1+PE!N9)*(1+PE!N10)*(1+PE!N11)*(1+PE!N12)</f>
        <v>1898428.6933143155</v>
      </c>
      <c r="M70" s="61">
        <f>M66</f>
        <v>-1000000</v>
      </c>
      <c r="N70" s="61">
        <f>-M62*(1+PE!O9)*(1+PE!O10)*(1+PE!O11)*(1+PE!O12)</f>
        <v>1386188.5873873204</v>
      </c>
    </row>
    <row r="71" spans="1:14" x14ac:dyDescent="0.3">
      <c r="A71" s="59">
        <f>IIRR!A67</f>
        <v>2012</v>
      </c>
      <c r="D71" s="59"/>
      <c r="E71" s="59"/>
      <c r="G71" s="59"/>
      <c r="H71" s="59"/>
      <c r="J71" s="59"/>
      <c r="K71" s="59"/>
      <c r="M71" s="59"/>
      <c r="N71" s="59"/>
    </row>
    <row r="72" spans="1:14" x14ac:dyDescent="0.3">
      <c r="A72" s="60">
        <f>IIRR!A68</f>
        <v>38142</v>
      </c>
      <c r="B72" s="60">
        <f>IIRR!B68</f>
        <v>41274</v>
      </c>
      <c r="D72" s="59">
        <v>2008</v>
      </c>
      <c r="E72" s="59"/>
      <c r="G72" s="59">
        <v>2008</v>
      </c>
      <c r="H72" s="59"/>
      <c r="J72" s="59">
        <v>2008</v>
      </c>
      <c r="K72" s="59"/>
      <c r="M72" s="59">
        <v>2008</v>
      </c>
      <c r="N72" s="59"/>
    </row>
    <row r="73" spans="1:14" x14ac:dyDescent="0.3">
      <c r="A73" s="61">
        <f>IIRR!A69</f>
        <v>-1000000</v>
      </c>
      <c r="B73" s="61">
        <f>IIRR!B69</f>
        <v>1460351.6882174993</v>
      </c>
      <c r="D73" s="60">
        <f>D69</f>
        <v>38142</v>
      </c>
      <c r="E73" s="60">
        <v>39813</v>
      </c>
      <c r="G73" s="60">
        <f>G69</f>
        <v>38142</v>
      </c>
      <c r="H73" s="60">
        <v>39813</v>
      </c>
      <c r="J73" s="60">
        <f>J69</f>
        <v>38142</v>
      </c>
      <c r="K73" s="60">
        <v>39813</v>
      </c>
      <c r="M73" s="60">
        <f>M69</f>
        <v>38142</v>
      </c>
      <c r="N73" s="60">
        <v>39813</v>
      </c>
    </row>
    <row r="74" spans="1:14" x14ac:dyDescent="0.3">
      <c r="D74" s="61">
        <f>D70</f>
        <v>-1000000</v>
      </c>
      <c r="E74" s="61">
        <f>-D74*(1+HFR!S10)*(1+HFR!S11)*(1+HFR!S12)*(1+HFR!S13)*(1+HFR!S14)</f>
        <v>1150688.9832380044</v>
      </c>
      <c r="G74" s="61">
        <f>G70</f>
        <v>-1000000</v>
      </c>
      <c r="H74" s="61">
        <f>-G74*(1+HFR!T10)*(1+HFR!T11)*(1+HFR!T12)*(1+HFR!T13)*(1+HFR!T14)</f>
        <v>1084540.5722466775</v>
      </c>
      <c r="J74" s="61">
        <f>J70</f>
        <v>-1000000</v>
      </c>
      <c r="K74" s="61">
        <f>-J62*(1+PE!N9)*(1+PE!N10)*(1+PE!N11)*(1+PE!N12)*(1+PE!N13)</f>
        <v>1482123.5179276231</v>
      </c>
      <c r="M74" s="61">
        <f>M70</f>
        <v>-1000000</v>
      </c>
      <c r="N74" s="61">
        <f>-M62*(1+PE!O9)*(1+PE!O10)*(1+PE!O11)*(1+PE!O12)*(1+PE!O13)</f>
        <v>1196844.1091775852</v>
      </c>
    </row>
    <row r="75" spans="1:14" x14ac:dyDescent="0.3">
      <c r="A75" s="59">
        <v>2013</v>
      </c>
      <c r="D75" s="59"/>
      <c r="E75" s="59"/>
      <c r="G75" s="59"/>
      <c r="H75" s="59"/>
      <c r="J75" s="59"/>
      <c r="K75" s="59"/>
      <c r="M75" s="59"/>
      <c r="N75" s="59"/>
    </row>
    <row r="76" spans="1:14" x14ac:dyDescent="0.3">
      <c r="A76" s="60">
        <f>IIRR!A72</f>
        <v>38142</v>
      </c>
      <c r="B76" s="60">
        <f>IIRR!B72</f>
        <v>41455</v>
      </c>
      <c r="D76" s="59">
        <v>2009</v>
      </c>
      <c r="E76" s="59"/>
      <c r="G76" s="59">
        <v>2009</v>
      </c>
      <c r="H76" s="59"/>
      <c r="J76" s="59">
        <v>2009</v>
      </c>
      <c r="K76" s="59"/>
      <c r="M76" s="59">
        <v>2009</v>
      </c>
      <c r="N76" s="59"/>
    </row>
    <row r="77" spans="1:14" x14ac:dyDescent="0.3">
      <c r="A77" s="61">
        <f>IIRR!A73</f>
        <v>-1000000</v>
      </c>
      <c r="B77" s="61">
        <f>IIRR!B73</f>
        <v>1662393.6785862036</v>
      </c>
      <c r="D77" s="60">
        <f>D73</f>
        <v>38142</v>
      </c>
      <c r="E77" s="60">
        <v>40178</v>
      </c>
      <c r="G77" s="60">
        <f>G73</f>
        <v>38142</v>
      </c>
      <c r="H77" s="60">
        <v>40178</v>
      </c>
      <c r="J77" s="60">
        <f>J73</f>
        <v>38142</v>
      </c>
      <c r="K77" s="60">
        <v>40178</v>
      </c>
      <c r="M77" s="60">
        <f>M73</f>
        <v>38142</v>
      </c>
      <c r="N77" s="60">
        <v>40178</v>
      </c>
    </row>
    <row r="78" spans="1:14" x14ac:dyDescent="0.3">
      <c r="D78" s="61">
        <f>D74</f>
        <v>-1000000</v>
      </c>
      <c r="E78" s="61">
        <f>-D78*(1+HFR!S10)*(1+HFR!S11)*(1+HFR!S12)*(1+HFR!S13)*(1+HFR!S14)*(1+HFR!S15)</f>
        <v>1111401.4747811838</v>
      </c>
      <c r="G78" s="61">
        <f>G74</f>
        <v>-1000000</v>
      </c>
      <c r="H78" s="61">
        <f>-G78*(1+HFR!T10)*(1+HFR!T11)*(1+HFR!T12)*(1+HFR!T13)*(1+HFR!T14)*(1+HFR!T15)</f>
        <v>1208924.7176644953</v>
      </c>
      <c r="J78" s="61">
        <f>J74</f>
        <v>-1000000</v>
      </c>
      <c r="K78" s="61">
        <f>-J62*(1+PE!N9)*(1+PE!N10)*(1+PE!N11)*(1+PE!N12)*(1+PE!N13)*(1+PE!N14)</f>
        <v>1634680.1990503713</v>
      </c>
      <c r="M78" s="61">
        <f>M74</f>
        <v>-1000000</v>
      </c>
      <c r="N78" s="61">
        <f>-M62*(1+PE!O9)*(1+PE!O10)*(1+PE!O11)*(1+PE!O12)*(1+PE!O13)*(1+PE!O14)</f>
        <v>1254177.9587190263</v>
      </c>
    </row>
    <row r="79" spans="1:14" x14ac:dyDescent="0.3">
      <c r="D79" s="59"/>
      <c r="E79" s="59"/>
      <c r="G79" s="59"/>
      <c r="H79" s="59"/>
      <c r="J79" s="59"/>
      <c r="K79" s="59"/>
      <c r="M79" s="59"/>
      <c r="N79" s="59"/>
    </row>
    <row r="80" spans="1:14" x14ac:dyDescent="0.3">
      <c r="D80" s="59">
        <v>2010</v>
      </c>
      <c r="E80" s="59"/>
      <c r="G80" s="59">
        <v>2010</v>
      </c>
      <c r="H80" s="59"/>
      <c r="J80" s="59">
        <v>2010</v>
      </c>
      <c r="K80" s="59"/>
      <c r="M80" s="59">
        <v>2010</v>
      </c>
      <c r="N80" s="59"/>
    </row>
    <row r="81" spans="4:14" x14ac:dyDescent="0.3">
      <c r="D81" s="60">
        <f>D77</f>
        <v>38142</v>
      </c>
      <c r="E81" s="60">
        <v>40543</v>
      </c>
      <c r="G81" s="60">
        <f>G77</f>
        <v>38142</v>
      </c>
      <c r="H81" s="60">
        <v>40543</v>
      </c>
      <c r="J81" s="60">
        <f>J77</f>
        <v>38142</v>
      </c>
      <c r="K81" s="60">
        <v>40543</v>
      </c>
      <c r="M81" s="60">
        <f>M77</f>
        <v>38142</v>
      </c>
      <c r="N81" s="60">
        <v>40543</v>
      </c>
    </row>
    <row r="82" spans="4:14" x14ac:dyDescent="0.3">
      <c r="D82" s="61">
        <f>D78</f>
        <v>-1000000</v>
      </c>
      <c r="E82" s="61">
        <f>-D82*(1+HFR!S10)*(1+HFR!S11)*(1+HFR!S12)*(1+HFR!S13)*(1+HFR!S14)*(1+HFR!S15)*(1+HFR!S16)</f>
        <v>1255080.8497244809</v>
      </c>
      <c r="G82" s="61">
        <f>G78</f>
        <v>-1000000</v>
      </c>
      <c r="H82" s="61">
        <f>-G82*(1+HFR!T10)*(1+HFR!T11)*(1+HFR!T12)*(1+HFR!T13)*(1+HFR!T14)*(1+HFR!T15)*(1+HFR!T16)</f>
        <v>1277875.0253509344</v>
      </c>
      <c r="J82" s="61">
        <f>J78</f>
        <v>-1000000</v>
      </c>
      <c r="K82" s="61">
        <f>-J62*(1+PE!N9)*(1+PE!N10)*(1+PE!N11)*(1+PE!N12)*(1+PE!N13)*(1+PE!N14)*(1+PE!N15)</f>
        <v>1839259.9365363161</v>
      </c>
      <c r="M82" s="61">
        <f>M78</f>
        <v>-1000000</v>
      </c>
      <c r="N82" s="61">
        <f>-M62*(1+PE!O9)*(1+PE!O10)*(1+PE!O11)*(1+PE!O12)*(1+PE!O13)*(1+PE!O14)*(1+PE!O15)</f>
        <v>1362826.143466814</v>
      </c>
    </row>
    <row r="83" spans="4:14" x14ac:dyDescent="0.3">
      <c r="D83" s="59"/>
      <c r="E83" s="59"/>
      <c r="G83" s="59"/>
      <c r="H83" s="59"/>
      <c r="J83" s="59"/>
      <c r="K83" s="59"/>
      <c r="M83" s="59"/>
      <c r="N83" s="59"/>
    </row>
    <row r="84" spans="4:14" x14ac:dyDescent="0.3">
      <c r="D84" s="59">
        <v>2011</v>
      </c>
      <c r="E84" s="59"/>
      <c r="G84" s="59">
        <v>2011</v>
      </c>
      <c r="H84" s="59"/>
      <c r="J84" s="59">
        <v>2011</v>
      </c>
      <c r="K84" s="59"/>
      <c r="M84" s="59">
        <v>2011</v>
      </c>
      <c r="N84" s="59"/>
    </row>
    <row r="85" spans="4:14" x14ac:dyDescent="0.3">
      <c r="D85" s="60">
        <f>D81</f>
        <v>38142</v>
      </c>
      <c r="E85" s="60">
        <v>40908</v>
      </c>
      <c r="G85" s="60">
        <f>G81</f>
        <v>38142</v>
      </c>
      <c r="H85" s="60">
        <v>40908</v>
      </c>
      <c r="J85" s="60">
        <f>J81</f>
        <v>38142</v>
      </c>
      <c r="K85" s="60">
        <v>40908</v>
      </c>
      <c r="M85" s="60">
        <f>M81</f>
        <v>38142</v>
      </c>
      <c r="N85" s="60">
        <v>40908</v>
      </c>
    </row>
    <row r="86" spans="4:14" x14ac:dyDescent="0.3">
      <c r="D86" s="61">
        <f>D82</f>
        <v>-1000000</v>
      </c>
      <c r="E86" s="61">
        <f>-D86*(1+HFR!S10)*(1+HFR!S11)*(1+HFR!S12)*(1+HFR!S13)*(1+HFR!S14)*(1+HFR!S15)*(1+HFR!S16)*(1+HFR!S17)</f>
        <v>1333895.0063543827</v>
      </c>
      <c r="G86" s="61">
        <f>G82</f>
        <v>-1000000</v>
      </c>
      <c r="H86" s="61">
        <f>-G86*(1+HFR!T10)*(1+HFR!T11)*(1+HFR!T12)*(1+HFR!T13)*(1+HFR!T14)*(1+HFR!T15)*(1+HFR!T16)*(1+HFR!T17)</f>
        <v>1204793.7076192014</v>
      </c>
      <c r="J86" s="61">
        <f>J82</f>
        <v>-1000000</v>
      </c>
      <c r="K86" s="61">
        <f>-J62*(1+PE!N9)*(1+PE!N10)*(1+PE!N11)*(1+PE!N12)*(1+PE!N13)*(1+PE!N14)*(1+PE!N15)*(1+PE!N16)</f>
        <v>1767479.3916233424</v>
      </c>
      <c r="M86" s="61">
        <f>M82</f>
        <v>-1000000</v>
      </c>
      <c r="N86" s="61">
        <f>-M62*(1+PE!O9)*(1+PE!O10)*(1+PE!O11)*(1+PE!O12)*(1+PE!O13)*(1+PE!O14)*(1+PE!O15)*(1+PE!O16)</f>
        <v>1407803.9039772698</v>
      </c>
    </row>
    <row r="88" spans="4:14" x14ac:dyDescent="0.3">
      <c r="D88">
        <v>2012</v>
      </c>
      <c r="G88">
        <v>2012</v>
      </c>
      <c r="M88">
        <v>2012</v>
      </c>
    </row>
    <row r="89" spans="4:14" x14ac:dyDescent="0.3">
      <c r="D89" s="19">
        <f>D85</f>
        <v>38142</v>
      </c>
      <c r="E89" s="19">
        <v>41274</v>
      </c>
      <c r="G89" s="19">
        <f>G85</f>
        <v>38142</v>
      </c>
      <c r="H89" s="19">
        <v>41274</v>
      </c>
      <c r="M89" s="19">
        <f>M85</f>
        <v>38142</v>
      </c>
      <c r="N89" s="19">
        <v>41274</v>
      </c>
    </row>
    <row r="90" spans="4:14" x14ac:dyDescent="0.3">
      <c r="D90" s="45">
        <f>D86</f>
        <v>-1000000</v>
      </c>
      <c r="E90" s="61">
        <f>E86*(1+HFR!S18)</f>
        <v>1322290.1197990996</v>
      </c>
      <c r="G90" s="45">
        <f>G86</f>
        <v>-1000000</v>
      </c>
      <c r="H90" s="61">
        <f>H86*(1+HFR!T18)</f>
        <v>1261982.8160198855</v>
      </c>
      <c r="M90" s="45">
        <f>M86</f>
        <v>-1000000</v>
      </c>
      <c r="N90" s="41">
        <f>N86*(1+PE!O17)</f>
        <v>1493261.648947136</v>
      </c>
    </row>
    <row r="92" spans="4:14" x14ac:dyDescent="0.3">
      <c r="G92">
        <v>2013</v>
      </c>
      <c r="M92">
        <v>2013</v>
      </c>
    </row>
    <row r="93" spans="4:14" x14ac:dyDescent="0.3">
      <c r="G93" s="19">
        <v>38142</v>
      </c>
      <c r="H93" s="19">
        <v>41455</v>
      </c>
      <c r="M93" s="19">
        <v>38142</v>
      </c>
      <c r="N93" s="19">
        <v>41455</v>
      </c>
    </row>
    <row r="94" spans="4:14" x14ac:dyDescent="0.3">
      <c r="G94" s="45">
        <f>G90</f>
        <v>-1000000</v>
      </c>
      <c r="H94" s="61">
        <f>H90*(1+HFR!T19)</f>
        <v>1303902.4291657452</v>
      </c>
      <c r="M94" s="45">
        <f>M90</f>
        <v>-1000000</v>
      </c>
      <c r="N94" s="41">
        <f>N90*(1+PE!O18)</f>
        <v>1506836.7548466553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1"/>
  <sheetViews>
    <sheetView zoomScale="115" zoomScaleNormal="115" workbookViewId="0">
      <pane xSplit="1" ySplit="1" topLeftCell="B16" activePane="bottomRight" state="frozen"/>
      <selection pane="topRight" activeCell="B1" sqref="B1"/>
      <selection pane="bottomLeft" activeCell="A2" sqref="A2"/>
      <selection pane="bottomRight" activeCell="B21" sqref="B21"/>
    </sheetView>
  </sheetViews>
  <sheetFormatPr defaultRowHeight="14.4" x14ac:dyDescent="0.3"/>
  <cols>
    <col min="1" max="1" width="10.6640625" bestFit="1" customWidth="1"/>
    <col min="2" max="2" width="16.88671875" bestFit="1" customWidth="1"/>
    <col min="3" max="4" width="15.88671875" bestFit="1" customWidth="1"/>
    <col min="5" max="6" width="14" bestFit="1" customWidth="1"/>
    <col min="7" max="7" width="16.88671875" bestFit="1" customWidth="1"/>
    <col min="8" max="8" width="14" bestFit="1" customWidth="1"/>
    <col min="9" max="9" width="14" customWidth="1"/>
    <col min="10" max="11" width="15.88671875" bestFit="1" customWidth="1"/>
    <col min="12" max="12" width="14" bestFit="1" customWidth="1"/>
    <col min="13" max="13" width="16.88671875" bestFit="1" customWidth="1"/>
    <col min="15" max="16" width="16.88671875" bestFit="1" customWidth="1"/>
    <col min="17" max="17" width="16.33203125" bestFit="1" customWidth="1"/>
    <col min="18" max="18" width="15.109375" bestFit="1" customWidth="1"/>
    <col min="19" max="20" width="9.5546875" bestFit="1" customWidth="1"/>
  </cols>
  <sheetData>
    <row r="1" spans="1:22" s="21" customFormat="1" ht="75" customHeight="1" x14ac:dyDescent="0.3">
      <c r="B1" s="21" t="s">
        <v>388</v>
      </c>
      <c r="C1" s="21" t="s">
        <v>388</v>
      </c>
      <c r="D1" s="21" t="s">
        <v>388</v>
      </c>
      <c r="E1" s="21" t="s">
        <v>388</v>
      </c>
      <c r="F1" s="21" t="s">
        <v>388</v>
      </c>
      <c r="G1" s="21" t="s">
        <v>388</v>
      </c>
      <c r="H1" s="21" t="s">
        <v>388</v>
      </c>
      <c r="I1" s="21" t="s">
        <v>388</v>
      </c>
      <c r="J1" s="21" t="s">
        <v>388</v>
      </c>
      <c r="K1" s="21" t="s">
        <v>388</v>
      </c>
      <c r="L1" s="21" t="s">
        <v>388</v>
      </c>
      <c r="M1" s="21" t="s">
        <v>14</v>
      </c>
    </row>
    <row r="2" spans="1:22" x14ac:dyDescent="0.3">
      <c r="A2" s="19">
        <v>38142</v>
      </c>
      <c r="B2" s="41">
        <v>-34000000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>
        <f>SUM(B2:L2)</f>
        <v>-34000000</v>
      </c>
    </row>
    <row r="3" spans="1:22" x14ac:dyDescent="0.3">
      <c r="A3" s="19">
        <f>EOMONTH(A2,1)</f>
        <v>38199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>
        <f t="shared" ref="M3:M66" si="0">SUM(B3:L3)</f>
        <v>0</v>
      </c>
      <c r="P3" s="19">
        <f>A2</f>
        <v>38142</v>
      </c>
      <c r="Q3" s="19">
        <f>A8</f>
        <v>38352</v>
      </c>
    </row>
    <row r="4" spans="1:22" x14ac:dyDescent="0.3">
      <c r="A4" s="19">
        <f t="shared" ref="A4:A67" si="1">EOMONTH(A3,1)</f>
        <v>38230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>
        <f t="shared" si="0"/>
        <v>0</v>
      </c>
      <c r="O4">
        <v>2004</v>
      </c>
      <c r="P4" s="41">
        <f>M2</f>
        <v>-34000000</v>
      </c>
      <c r="Q4" s="41">
        <f>B16*(DAYS360(A2,A8)/DAYS360(A2,A16))</f>
        <v>17597315.436241612</v>
      </c>
      <c r="S4" s="37">
        <f>XIRR(P4:Q4,P3:Q3)</f>
        <v>-0.68169146701693539</v>
      </c>
    </row>
    <row r="5" spans="1:22" x14ac:dyDescent="0.3">
      <c r="A5" s="19">
        <f t="shared" si="1"/>
        <v>38260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>
        <f t="shared" si="0"/>
        <v>0</v>
      </c>
      <c r="P5" s="19">
        <f>A12</f>
        <v>38472</v>
      </c>
      <c r="Q5" s="19">
        <f>A15</f>
        <v>38564</v>
      </c>
      <c r="R5" s="19">
        <f>A16</f>
        <v>38595</v>
      </c>
      <c r="S5" s="19">
        <f>A18</f>
        <v>38656</v>
      </c>
      <c r="T5" s="19">
        <f>A21</f>
        <v>38748</v>
      </c>
    </row>
    <row r="6" spans="1:22" x14ac:dyDescent="0.3">
      <c r="A6" s="19">
        <f t="shared" si="1"/>
        <v>38291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>
        <f t="shared" si="0"/>
        <v>0</v>
      </c>
      <c r="O6">
        <v>2005</v>
      </c>
      <c r="P6" s="39">
        <f>C12</f>
        <v>-6530000</v>
      </c>
      <c r="Q6" s="39">
        <f>C15</f>
        <v>84890</v>
      </c>
      <c r="R6" s="42">
        <f>B16-Q4</f>
        <v>20402684.563758388</v>
      </c>
      <c r="S6" s="39">
        <f>C18</f>
        <v>84890</v>
      </c>
      <c r="T6" s="39">
        <f>C21</f>
        <v>84890</v>
      </c>
      <c r="V6" s="37"/>
    </row>
    <row r="7" spans="1:22" x14ac:dyDescent="0.3">
      <c r="A7" s="19">
        <f t="shared" si="1"/>
        <v>38321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>
        <f t="shared" si="0"/>
        <v>0</v>
      </c>
    </row>
    <row r="8" spans="1:22" x14ac:dyDescent="0.3">
      <c r="A8" s="19">
        <f t="shared" si="1"/>
        <v>38352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>
        <f t="shared" si="0"/>
        <v>0</v>
      </c>
    </row>
    <row r="9" spans="1:22" x14ac:dyDescent="0.3">
      <c r="A9" s="19">
        <f t="shared" si="1"/>
        <v>38383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>
        <f t="shared" si="0"/>
        <v>0</v>
      </c>
      <c r="O9" s="45">
        <f>B2+C12+D25+E50+F54+G60+H61</f>
        <v>-63250000</v>
      </c>
    </row>
    <row r="10" spans="1:22" x14ac:dyDescent="0.3">
      <c r="A10" s="19">
        <f t="shared" si="1"/>
        <v>38411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>
        <f t="shared" si="0"/>
        <v>0</v>
      </c>
      <c r="Q10" s="43"/>
    </row>
    <row r="11" spans="1:22" x14ac:dyDescent="0.3">
      <c r="A11" s="19">
        <f t="shared" si="1"/>
        <v>38442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>
        <f t="shared" si="0"/>
        <v>0</v>
      </c>
      <c r="O11" s="45">
        <f>O9+J83+K83</f>
        <v>-74450000</v>
      </c>
    </row>
    <row r="12" spans="1:22" x14ac:dyDescent="0.3">
      <c r="A12" s="19">
        <f t="shared" si="1"/>
        <v>38472</v>
      </c>
      <c r="B12" s="41"/>
      <c r="C12" s="41">
        <f>+-7250000+720000</f>
        <v>-6530000</v>
      </c>
      <c r="D12" s="41"/>
      <c r="E12" s="41"/>
      <c r="F12" s="41"/>
      <c r="G12" s="41"/>
      <c r="H12" s="41"/>
      <c r="I12" s="41"/>
      <c r="J12" s="41"/>
      <c r="K12" s="41"/>
      <c r="L12" s="41"/>
      <c r="M12" s="41">
        <f t="shared" si="0"/>
        <v>-6530000</v>
      </c>
    </row>
    <row r="13" spans="1:22" x14ac:dyDescent="0.3">
      <c r="A13" s="19">
        <f t="shared" si="1"/>
        <v>38503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>
        <f t="shared" si="0"/>
        <v>0</v>
      </c>
    </row>
    <row r="14" spans="1:22" x14ac:dyDescent="0.3">
      <c r="A14" s="19">
        <f t="shared" si="1"/>
        <v>38533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>
        <f t="shared" si="0"/>
        <v>0</v>
      </c>
    </row>
    <row r="15" spans="1:22" x14ac:dyDescent="0.3">
      <c r="A15" s="19">
        <f t="shared" si="1"/>
        <v>38564</v>
      </c>
      <c r="B15" s="41"/>
      <c r="C15" s="41">
        <f>-0.052/4*(C$12)</f>
        <v>84890</v>
      </c>
      <c r="D15" s="41"/>
      <c r="E15" s="41"/>
      <c r="F15" s="41"/>
      <c r="G15" s="41"/>
      <c r="H15" s="41"/>
      <c r="I15" s="41"/>
      <c r="J15" s="41"/>
      <c r="K15" s="41"/>
      <c r="L15" s="41"/>
      <c r="M15" s="41">
        <f t="shared" si="0"/>
        <v>84890</v>
      </c>
    </row>
    <row r="16" spans="1:22" x14ac:dyDescent="0.3">
      <c r="A16" s="19">
        <f t="shared" si="1"/>
        <v>38595</v>
      </c>
      <c r="B16" s="41">
        <v>38000000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>
        <f t="shared" si="0"/>
        <v>38000000</v>
      </c>
    </row>
    <row r="17" spans="1:13" x14ac:dyDescent="0.3">
      <c r="A17" s="19">
        <f t="shared" si="1"/>
        <v>38625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>
        <f t="shared" si="0"/>
        <v>0</v>
      </c>
    </row>
    <row r="18" spans="1:13" x14ac:dyDescent="0.3">
      <c r="A18" s="19">
        <f t="shared" si="1"/>
        <v>38656</v>
      </c>
      <c r="B18" s="41"/>
      <c r="C18" s="41">
        <f>-0.052/4*(C$12)</f>
        <v>84890</v>
      </c>
      <c r="D18" s="41"/>
      <c r="E18" s="41"/>
      <c r="F18" s="41"/>
      <c r="G18" s="41"/>
      <c r="H18" s="41"/>
      <c r="I18" s="41"/>
      <c r="J18" s="41"/>
      <c r="K18" s="41"/>
      <c r="L18" s="41"/>
      <c r="M18" s="41">
        <f t="shared" si="0"/>
        <v>84890</v>
      </c>
    </row>
    <row r="19" spans="1:13" x14ac:dyDescent="0.3">
      <c r="A19" s="19">
        <f t="shared" si="1"/>
        <v>38686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>
        <f t="shared" si="0"/>
        <v>0</v>
      </c>
    </row>
    <row r="20" spans="1:13" x14ac:dyDescent="0.3">
      <c r="A20" s="19">
        <f t="shared" si="1"/>
        <v>38717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>
        <f t="shared" si="0"/>
        <v>0</v>
      </c>
    </row>
    <row r="21" spans="1:13" x14ac:dyDescent="0.3">
      <c r="A21" s="19">
        <f t="shared" si="1"/>
        <v>38748</v>
      </c>
      <c r="B21" s="41"/>
      <c r="C21" s="41">
        <f>-0.052/4*(C$12)</f>
        <v>84890</v>
      </c>
      <c r="D21" s="41"/>
      <c r="E21" s="41"/>
      <c r="F21" s="41"/>
      <c r="G21" s="41"/>
      <c r="H21" s="41"/>
      <c r="I21" s="41"/>
      <c r="J21" s="41"/>
      <c r="K21" s="41"/>
      <c r="L21" s="41"/>
      <c r="M21" s="41">
        <f t="shared" si="0"/>
        <v>84890</v>
      </c>
    </row>
    <row r="22" spans="1:13" x14ac:dyDescent="0.3">
      <c r="A22" s="19">
        <f t="shared" si="1"/>
        <v>38776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>
        <f t="shared" si="0"/>
        <v>0</v>
      </c>
    </row>
    <row r="23" spans="1:13" x14ac:dyDescent="0.3">
      <c r="A23" s="19">
        <f t="shared" si="1"/>
        <v>38807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>
        <f t="shared" si="0"/>
        <v>0</v>
      </c>
    </row>
    <row r="24" spans="1:13" x14ac:dyDescent="0.3">
      <c r="A24" s="19">
        <f t="shared" si="1"/>
        <v>38837</v>
      </c>
      <c r="B24" s="41"/>
      <c r="C24" s="41">
        <f>-C12+720000+C21</f>
        <v>7334890</v>
      </c>
      <c r="D24" s="41"/>
      <c r="E24" s="41"/>
      <c r="F24" s="41"/>
      <c r="G24" s="41"/>
      <c r="H24" s="41"/>
      <c r="I24" s="41"/>
      <c r="J24" s="41"/>
      <c r="K24" s="41"/>
      <c r="L24" s="41"/>
      <c r="M24" s="41">
        <f t="shared" si="0"/>
        <v>7334890</v>
      </c>
    </row>
    <row r="25" spans="1:13" x14ac:dyDescent="0.3">
      <c r="A25" s="19">
        <f t="shared" si="1"/>
        <v>38868</v>
      </c>
      <c r="B25" s="41"/>
      <c r="C25" s="41"/>
      <c r="D25" s="41">
        <f>+-7000000</f>
        <v>-7000000</v>
      </c>
      <c r="E25" s="41"/>
      <c r="F25" s="41"/>
      <c r="G25" s="41"/>
      <c r="H25" s="41"/>
      <c r="I25" s="41"/>
      <c r="J25" s="41"/>
      <c r="K25" s="41"/>
      <c r="L25" s="41"/>
      <c r="M25" s="41">
        <f t="shared" si="0"/>
        <v>-7000000</v>
      </c>
    </row>
    <row r="26" spans="1:13" x14ac:dyDescent="0.3">
      <c r="A26" s="19">
        <f t="shared" si="1"/>
        <v>38898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>
        <f t="shared" si="0"/>
        <v>0</v>
      </c>
    </row>
    <row r="27" spans="1:13" x14ac:dyDescent="0.3">
      <c r="A27" s="19">
        <f t="shared" si="1"/>
        <v>38929</v>
      </c>
      <c r="B27" s="41"/>
      <c r="C27" s="41"/>
      <c r="D27" s="41">
        <v>7000000</v>
      </c>
      <c r="E27" s="41"/>
      <c r="F27" s="41"/>
      <c r="G27" s="41"/>
      <c r="H27" s="41"/>
      <c r="I27" s="41"/>
      <c r="J27" s="41"/>
      <c r="K27" s="41"/>
      <c r="L27" s="41"/>
      <c r="M27" s="41">
        <f t="shared" si="0"/>
        <v>7000000</v>
      </c>
    </row>
    <row r="28" spans="1:13" x14ac:dyDescent="0.3">
      <c r="A28" s="19">
        <f t="shared" si="1"/>
        <v>38960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>
        <f t="shared" si="0"/>
        <v>0</v>
      </c>
    </row>
    <row r="29" spans="1:13" x14ac:dyDescent="0.3">
      <c r="A29" s="19">
        <f t="shared" si="1"/>
        <v>38990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>
        <f t="shared" si="0"/>
        <v>0</v>
      </c>
    </row>
    <row r="30" spans="1:13" x14ac:dyDescent="0.3">
      <c r="A30" s="19">
        <f t="shared" si="1"/>
        <v>39021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>
        <f t="shared" si="0"/>
        <v>0</v>
      </c>
    </row>
    <row r="31" spans="1:13" x14ac:dyDescent="0.3">
      <c r="A31" s="19">
        <f t="shared" si="1"/>
        <v>39051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>
        <f t="shared" si="0"/>
        <v>0</v>
      </c>
    </row>
    <row r="32" spans="1:13" x14ac:dyDescent="0.3">
      <c r="A32" s="19">
        <f t="shared" si="1"/>
        <v>39082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>
        <f t="shared" si="0"/>
        <v>0</v>
      </c>
    </row>
    <row r="33" spans="1:13" x14ac:dyDescent="0.3">
      <c r="A33" s="19">
        <f t="shared" si="1"/>
        <v>39113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>
        <f t="shared" si="0"/>
        <v>0</v>
      </c>
    </row>
    <row r="34" spans="1:13" x14ac:dyDescent="0.3">
      <c r="A34" s="19">
        <f t="shared" si="1"/>
        <v>39141</v>
      </c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>
        <f t="shared" si="0"/>
        <v>0</v>
      </c>
    </row>
    <row r="35" spans="1:13" x14ac:dyDescent="0.3">
      <c r="A35" s="19">
        <f t="shared" si="1"/>
        <v>39172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>
        <f t="shared" si="0"/>
        <v>0</v>
      </c>
    </row>
    <row r="36" spans="1:13" x14ac:dyDescent="0.3">
      <c r="A36" s="19">
        <f t="shared" si="1"/>
        <v>39202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>
        <f t="shared" si="0"/>
        <v>0</v>
      </c>
    </row>
    <row r="37" spans="1:13" x14ac:dyDescent="0.3">
      <c r="A37" s="19">
        <f t="shared" si="1"/>
        <v>39233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>
        <f t="shared" si="0"/>
        <v>0</v>
      </c>
    </row>
    <row r="38" spans="1:13" x14ac:dyDescent="0.3">
      <c r="A38" s="19">
        <f t="shared" si="1"/>
        <v>39263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>
        <f t="shared" si="0"/>
        <v>0</v>
      </c>
    </row>
    <row r="39" spans="1:13" x14ac:dyDescent="0.3">
      <c r="A39" s="19">
        <f t="shared" si="1"/>
        <v>39294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>
        <f t="shared" si="0"/>
        <v>0</v>
      </c>
    </row>
    <row r="40" spans="1:13" x14ac:dyDescent="0.3">
      <c r="A40" s="19">
        <f t="shared" si="1"/>
        <v>39325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>
        <f t="shared" si="0"/>
        <v>0</v>
      </c>
    </row>
    <row r="41" spans="1:13" x14ac:dyDescent="0.3">
      <c r="A41" s="19">
        <f t="shared" si="1"/>
        <v>39355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>
        <f t="shared" si="0"/>
        <v>0</v>
      </c>
    </row>
    <row r="42" spans="1:13" x14ac:dyDescent="0.3">
      <c r="A42" s="19">
        <f t="shared" si="1"/>
        <v>39386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>
        <f t="shared" si="0"/>
        <v>0</v>
      </c>
    </row>
    <row r="43" spans="1:13" x14ac:dyDescent="0.3">
      <c r="A43" s="19">
        <f t="shared" si="1"/>
        <v>39416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>
        <f t="shared" si="0"/>
        <v>0</v>
      </c>
    </row>
    <row r="44" spans="1:13" x14ac:dyDescent="0.3">
      <c r="A44" s="19">
        <f t="shared" si="1"/>
        <v>39447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>
        <f t="shared" si="0"/>
        <v>0</v>
      </c>
    </row>
    <row r="45" spans="1:13" x14ac:dyDescent="0.3">
      <c r="A45" s="19">
        <f t="shared" si="1"/>
        <v>39478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>
        <f t="shared" si="0"/>
        <v>0</v>
      </c>
    </row>
    <row r="46" spans="1:13" x14ac:dyDescent="0.3">
      <c r="A46" s="19">
        <f t="shared" si="1"/>
        <v>39507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>
        <f t="shared" si="0"/>
        <v>0</v>
      </c>
    </row>
    <row r="47" spans="1:13" x14ac:dyDescent="0.3">
      <c r="A47" s="19">
        <f t="shared" si="1"/>
        <v>39538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>
        <f t="shared" si="0"/>
        <v>0</v>
      </c>
    </row>
    <row r="48" spans="1:13" x14ac:dyDescent="0.3">
      <c r="A48" s="19">
        <f t="shared" si="1"/>
        <v>39568</v>
      </c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>
        <f t="shared" si="0"/>
        <v>0</v>
      </c>
    </row>
    <row r="49" spans="1:13" x14ac:dyDescent="0.3">
      <c r="A49" s="19">
        <f t="shared" si="1"/>
        <v>39599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>
        <f t="shared" si="0"/>
        <v>0</v>
      </c>
    </row>
    <row r="50" spans="1:13" x14ac:dyDescent="0.3">
      <c r="A50" s="38">
        <v>39657</v>
      </c>
      <c r="B50" s="41"/>
      <c r="C50" s="41"/>
      <c r="D50" s="41"/>
      <c r="E50" s="41">
        <f>-200000+10000</f>
        <v>-190000</v>
      </c>
      <c r="F50" s="41"/>
      <c r="G50" s="41"/>
      <c r="H50" s="41"/>
      <c r="I50" s="41"/>
      <c r="J50" s="41"/>
      <c r="K50" s="41"/>
      <c r="L50" s="41"/>
      <c r="M50" s="41">
        <f t="shared" si="0"/>
        <v>-190000</v>
      </c>
    </row>
    <row r="51" spans="1:13" x14ac:dyDescent="0.3">
      <c r="A51" s="19">
        <f t="shared" si="1"/>
        <v>39691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>
        <f t="shared" si="0"/>
        <v>0</v>
      </c>
    </row>
    <row r="52" spans="1:13" x14ac:dyDescent="0.3">
      <c r="A52" s="38">
        <v>39701</v>
      </c>
      <c r="B52" s="41"/>
      <c r="C52" s="41"/>
      <c r="D52" s="41"/>
      <c r="E52" s="41">
        <f>(-E50+10000)*1.1</f>
        <v>220000.00000000003</v>
      </c>
      <c r="F52" s="41"/>
      <c r="G52" s="41"/>
      <c r="H52" s="41"/>
      <c r="I52" s="41"/>
      <c r="J52" s="41"/>
      <c r="K52" s="41"/>
      <c r="L52" s="41"/>
      <c r="M52" s="41">
        <f t="shared" si="0"/>
        <v>220000.00000000003</v>
      </c>
    </row>
    <row r="53" spans="1:13" x14ac:dyDescent="0.3">
      <c r="A53" s="19">
        <f t="shared" si="1"/>
        <v>39752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>
        <f t="shared" si="0"/>
        <v>0</v>
      </c>
    </row>
    <row r="54" spans="1:13" x14ac:dyDescent="0.3">
      <c r="A54" s="38">
        <v>39780</v>
      </c>
      <c r="B54" s="41"/>
      <c r="C54" s="41"/>
      <c r="D54" s="41"/>
      <c r="E54" s="41"/>
      <c r="F54" s="41">
        <f>+-300000+20000</f>
        <v>-280000</v>
      </c>
      <c r="G54" s="41"/>
      <c r="H54" s="41"/>
      <c r="I54" s="41"/>
      <c r="J54" s="41"/>
      <c r="K54" s="41"/>
      <c r="L54" s="41"/>
      <c r="M54" s="41">
        <f t="shared" si="0"/>
        <v>-280000</v>
      </c>
    </row>
    <row r="55" spans="1:13" x14ac:dyDescent="0.3">
      <c r="A55" s="38">
        <v>39810</v>
      </c>
      <c r="B55" s="41"/>
      <c r="C55" s="41"/>
      <c r="D55" s="41"/>
      <c r="E55" s="41"/>
      <c r="F55" s="41">
        <f>(-F54+20000)*1.1</f>
        <v>330000</v>
      </c>
      <c r="G55" s="41"/>
      <c r="H55" s="41"/>
      <c r="I55" s="41"/>
      <c r="J55" s="41"/>
      <c r="K55" s="41"/>
      <c r="L55" s="41"/>
      <c r="M55" s="41">
        <f t="shared" si="0"/>
        <v>330000</v>
      </c>
    </row>
    <row r="56" spans="1:13" x14ac:dyDescent="0.3">
      <c r="A56" s="19">
        <f t="shared" si="1"/>
        <v>39844</v>
      </c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>
        <f t="shared" si="0"/>
        <v>0</v>
      </c>
    </row>
    <row r="57" spans="1:13" x14ac:dyDescent="0.3">
      <c r="A57" s="19">
        <f t="shared" si="1"/>
        <v>39872</v>
      </c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>
        <f t="shared" si="0"/>
        <v>0</v>
      </c>
    </row>
    <row r="58" spans="1:13" x14ac:dyDescent="0.3">
      <c r="A58" s="19">
        <f t="shared" si="1"/>
        <v>39903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>
        <f t="shared" si="0"/>
        <v>0</v>
      </c>
    </row>
    <row r="59" spans="1:13" x14ac:dyDescent="0.3">
      <c r="A59" s="19">
        <f t="shared" si="1"/>
        <v>39933</v>
      </c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>
        <f t="shared" si="0"/>
        <v>0</v>
      </c>
    </row>
    <row r="60" spans="1:13" x14ac:dyDescent="0.3">
      <c r="A60" s="38">
        <f t="shared" si="1"/>
        <v>39964</v>
      </c>
      <c r="B60" s="41"/>
      <c r="C60" s="41"/>
      <c r="D60" s="41"/>
      <c r="E60" s="41"/>
      <c r="F60" s="41"/>
      <c r="G60" s="41">
        <v>-15000000</v>
      </c>
      <c r="H60" s="41"/>
      <c r="I60" s="41"/>
      <c r="J60" s="41"/>
      <c r="K60" s="41"/>
      <c r="L60" s="41"/>
      <c r="M60" s="41">
        <f t="shared" si="0"/>
        <v>-15000000</v>
      </c>
    </row>
    <row r="61" spans="1:13" x14ac:dyDescent="0.3">
      <c r="A61" s="38">
        <f t="shared" si="1"/>
        <v>39994</v>
      </c>
      <c r="B61" s="41"/>
      <c r="C61" s="41"/>
      <c r="D61" s="41"/>
      <c r="E61" s="41"/>
      <c r="F61" s="41"/>
      <c r="G61" s="41"/>
      <c r="H61" s="41">
        <v>-250000</v>
      </c>
      <c r="I61" s="41"/>
      <c r="J61" s="41"/>
      <c r="K61" s="41"/>
      <c r="L61" s="41"/>
      <c r="M61" s="41">
        <f t="shared" si="0"/>
        <v>-250000</v>
      </c>
    </row>
    <row r="62" spans="1:13" x14ac:dyDescent="0.3">
      <c r="A62" s="19">
        <f t="shared" si="1"/>
        <v>40025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>
        <f t="shared" si="0"/>
        <v>0</v>
      </c>
    </row>
    <row r="63" spans="1:13" x14ac:dyDescent="0.3">
      <c r="A63" s="19">
        <f t="shared" si="1"/>
        <v>40056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>
        <f t="shared" si="0"/>
        <v>0</v>
      </c>
    </row>
    <row r="64" spans="1:13" x14ac:dyDescent="0.3">
      <c r="A64" s="19">
        <f t="shared" si="1"/>
        <v>40086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>
        <f t="shared" si="0"/>
        <v>0</v>
      </c>
    </row>
    <row r="65" spans="1:13" x14ac:dyDescent="0.3">
      <c r="A65" s="19">
        <f t="shared" si="1"/>
        <v>40117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>
        <f t="shared" si="0"/>
        <v>0</v>
      </c>
    </row>
    <row r="66" spans="1:13" x14ac:dyDescent="0.3">
      <c r="A66" s="19">
        <f t="shared" si="1"/>
        <v>40147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>
        <f t="shared" si="0"/>
        <v>0</v>
      </c>
    </row>
    <row r="67" spans="1:13" x14ac:dyDescent="0.3">
      <c r="A67" s="19">
        <f t="shared" si="1"/>
        <v>40178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>
        <f t="shared" ref="M67:M100" si="2">SUM(B67:L67)</f>
        <v>0</v>
      </c>
    </row>
    <row r="68" spans="1:13" x14ac:dyDescent="0.3">
      <c r="A68" s="19">
        <f t="shared" ref="A68:A100" si="3">EOMONTH(A67,1)</f>
        <v>40209</v>
      </c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>
        <f t="shared" si="2"/>
        <v>0</v>
      </c>
    </row>
    <row r="69" spans="1:13" x14ac:dyDescent="0.3">
      <c r="A69" s="19">
        <f t="shared" si="3"/>
        <v>40237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>
        <f t="shared" si="2"/>
        <v>0</v>
      </c>
    </row>
    <row r="70" spans="1:13" x14ac:dyDescent="0.3">
      <c r="A70" s="19">
        <f t="shared" si="3"/>
        <v>40268</v>
      </c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>
        <f t="shared" si="2"/>
        <v>0</v>
      </c>
    </row>
    <row r="71" spans="1:13" x14ac:dyDescent="0.3">
      <c r="A71" s="19">
        <f t="shared" si="3"/>
        <v>40298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>
        <f t="shared" si="2"/>
        <v>0</v>
      </c>
    </row>
    <row r="72" spans="1:13" x14ac:dyDescent="0.3">
      <c r="A72" s="38">
        <f t="shared" si="3"/>
        <v>40329</v>
      </c>
      <c r="B72" s="41"/>
      <c r="C72" s="41"/>
      <c r="D72" s="41"/>
      <c r="E72" s="41"/>
      <c r="F72" s="41"/>
      <c r="G72" s="41"/>
      <c r="H72" s="41">
        <f>-H61*1.2</f>
        <v>300000</v>
      </c>
      <c r="I72" s="41"/>
      <c r="J72" s="41"/>
      <c r="K72" s="41"/>
      <c r="L72" s="41"/>
      <c r="M72" s="41">
        <f t="shared" si="2"/>
        <v>300000</v>
      </c>
    </row>
    <row r="73" spans="1:13" x14ac:dyDescent="0.3">
      <c r="A73" s="19">
        <f t="shared" si="3"/>
        <v>40359</v>
      </c>
      <c r="B73" s="41"/>
      <c r="C73" s="41"/>
      <c r="D73" s="41"/>
      <c r="E73" s="41"/>
      <c r="F73" s="41"/>
      <c r="G73" s="41"/>
      <c r="H73" s="41"/>
      <c r="I73" s="41">
        <v>-225000</v>
      </c>
      <c r="J73" s="41"/>
      <c r="K73" s="41"/>
      <c r="L73" s="41"/>
      <c r="M73" s="41">
        <f t="shared" si="2"/>
        <v>-225000</v>
      </c>
    </row>
    <row r="74" spans="1:13" x14ac:dyDescent="0.3">
      <c r="A74" s="19">
        <f t="shared" si="3"/>
        <v>40390</v>
      </c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>
        <f t="shared" si="2"/>
        <v>0</v>
      </c>
    </row>
    <row r="75" spans="1:13" x14ac:dyDescent="0.3">
      <c r="A75" s="19">
        <f t="shared" si="3"/>
        <v>40421</v>
      </c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>
        <f t="shared" si="2"/>
        <v>0</v>
      </c>
    </row>
    <row r="76" spans="1:13" x14ac:dyDescent="0.3">
      <c r="A76" s="19">
        <f t="shared" si="3"/>
        <v>40451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>
        <f t="shared" si="2"/>
        <v>0</v>
      </c>
    </row>
    <row r="77" spans="1:13" x14ac:dyDescent="0.3">
      <c r="A77" s="19">
        <f t="shared" si="3"/>
        <v>40482</v>
      </c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>
        <f t="shared" si="2"/>
        <v>0</v>
      </c>
    </row>
    <row r="78" spans="1:13" x14ac:dyDescent="0.3">
      <c r="A78" s="19">
        <f t="shared" si="3"/>
        <v>40512</v>
      </c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>
        <f t="shared" si="2"/>
        <v>0</v>
      </c>
    </row>
    <row r="79" spans="1:13" x14ac:dyDescent="0.3">
      <c r="A79" s="38">
        <f t="shared" si="3"/>
        <v>40543</v>
      </c>
      <c r="B79" s="41"/>
      <c r="C79" s="41"/>
      <c r="D79" s="41"/>
      <c r="E79" s="41"/>
      <c r="F79" s="41"/>
      <c r="G79" s="41"/>
      <c r="H79" s="41">
        <f>3169*0.1*1000-H72+53000</f>
        <v>69900.000000000058</v>
      </c>
      <c r="I79" s="41"/>
      <c r="J79" s="41"/>
      <c r="K79" s="41"/>
      <c r="L79" s="41"/>
      <c r="M79" s="41">
        <f t="shared" si="2"/>
        <v>69900.000000000058</v>
      </c>
    </row>
    <row r="80" spans="1:13" x14ac:dyDescent="0.3">
      <c r="A80" s="19">
        <f t="shared" si="3"/>
        <v>40574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>
        <f t="shared" si="2"/>
        <v>0</v>
      </c>
    </row>
    <row r="81" spans="1:13" x14ac:dyDescent="0.3">
      <c r="A81" s="19">
        <f t="shared" si="3"/>
        <v>40602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>
        <f t="shared" si="2"/>
        <v>0</v>
      </c>
    </row>
    <row r="82" spans="1:13" x14ac:dyDescent="0.3">
      <c r="A82" s="19">
        <f t="shared" si="3"/>
        <v>40633</v>
      </c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>
        <f t="shared" si="2"/>
        <v>0</v>
      </c>
    </row>
    <row r="83" spans="1:13" x14ac:dyDescent="0.3">
      <c r="A83" s="38">
        <f t="shared" si="3"/>
        <v>40663</v>
      </c>
      <c r="B83" s="41"/>
      <c r="C83" s="41"/>
      <c r="D83" s="41"/>
      <c r="E83" s="41"/>
      <c r="F83" s="41"/>
      <c r="G83" s="41"/>
      <c r="H83" s="41"/>
      <c r="I83" s="41"/>
      <c r="J83" s="41">
        <f>-5000000</f>
        <v>-5000000</v>
      </c>
      <c r="K83" s="41">
        <v>-6200000</v>
      </c>
      <c r="L83" s="41"/>
      <c r="M83" s="41">
        <f t="shared" si="2"/>
        <v>-11200000</v>
      </c>
    </row>
    <row r="84" spans="1:13" x14ac:dyDescent="0.3">
      <c r="A84" s="19">
        <f t="shared" si="3"/>
        <v>40694</v>
      </c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>
        <f t="shared" si="2"/>
        <v>0</v>
      </c>
    </row>
    <row r="85" spans="1:13" x14ac:dyDescent="0.3">
      <c r="A85" s="19">
        <f t="shared" si="3"/>
        <v>40724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>
        <f t="shared" si="2"/>
        <v>0</v>
      </c>
    </row>
    <row r="86" spans="1:13" x14ac:dyDescent="0.3">
      <c r="A86" s="19">
        <f t="shared" si="3"/>
        <v>40755</v>
      </c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>
        <f t="shared" si="2"/>
        <v>0</v>
      </c>
    </row>
    <row r="87" spans="1:13" x14ac:dyDescent="0.3">
      <c r="A87" s="19">
        <f t="shared" si="3"/>
        <v>40786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>
        <f t="shared" si="2"/>
        <v>0</v>
      </c>
    </row>
    <row r="88" spans="1:13" x14ac:dyDescent="0.3">
      <c r="A88" s="19">
        <f t="shared" si="3"/>
        <v>40816</v>
      </c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>
        <f t="shared" si="2"/>
        <v>0</v>
      </c>
    </row>
    <row r="89" spans="1:13" x14ac:dyDescent="0.3">
      <c r="A89" s="19">
        <f t="shared" si="3"/>
        <v>40847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>
        <f t="shared" si="2"/>
        <v>0</v>
      </c>
    </row>
    <row r="90" spans="1:13" x14ac:dyDescent="0.3">
      <c r="A90" s="19">
        <f t="shared" si="3"/>
        <v>40877</v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>
        <f t="shared" si="2"/>
        <v>0</v>
      </c>
    </row>
    <row r="91" spans="1:13" x14ac:dyDescent="0.3">
      <c r="A91" s="38">
        <f t="shared" si="3"/>
        <v>40908</v>
      </c>
      <c r="B91" s="41"/>
      <c r="C91" s="41"/>
      <c r="D91" s="41"/>
      <c r="E91" s="41"/>
      <c r="F91" s="41"/>
      <c r="G91" s="41"/>
      <c r="H91" s="41"/>
      <c r="I91" s="41"/>
      <c r="J91" s="41"/>
      <c r="K91" s="41">
        <v>1500000</v>
      </c>
      <c r="L91" s="41"/>
      <c r="M91" s="41">
        <f t="shared" si="2"/>
        <v>1500000</v>
      </c>
    </row>
    <row r="92" spans="1:13" x14ac:dyDescent="0.3">
      <c r="A92" s="19">
        <f t="shared" si="3"/>
        <v>40939</v>
      </c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>
        <f t="shared" si="2"/>
        <v>0</v>
      </c>
    </row>
    <row r="93" spans="1:13" x14ac:dyDescent="0.3">
      <c r="A93" s="38">
        <f t="shared" si="3"/>
        <v>40968</v>
      </c>
      <c r="B93" s="41"/>
      <c r="C93" s="41"/>
      <c r="D93" s="41"/>
      <c r="E93" s="41"/>
      <c r="F93" s="41"/>
      <c r="G93" s="41"/>
      <c r="H93" s="41"/>
      <c r="I93" s="41"/>
      <c r="J93" s="41"/>
      <c r="K93" s="41">
        <v>3000000</v>
      </c>
      <c r="L93" s="41"/>
      <c r="M93" s="41">
        <f t="shared" si="2"/>
        <v>3000000</v>
      </c>
    </row>
    <row r="94" spans="1:13" x14ac:dyDescent="0.3">
      <c r="A94" s="38">
        <f t="shared" si="3"/>
        <v>40999</v>
      </c>
      <c r="B94" s="41"/>
      <c r="C94" s="41"/>
      <c r="D94" s="41"/>
      <c r="E94" s="41"/>
      <c r="F94" s="41"/>
      <c r="G94" s="41"/>
      <c r="H94" s="41"/>
      <c r="I94" s="41"/>
      <c r="J94" s="41"/>
      <c r="K94" s="41">
        <v>2100000</v>
      </c>
      <c r="L94" s="41"/>
      <c r="M94" s="41">
        <f t="shared" si="2"/>
        <v>2100000</v>
      </c>
    </row>
    <row r="95" spans="1:13" x14ac:dyDescent="0.3">
      <c r="A95" s="38">
        <f t="shared" si="3"/>
        <v>41029</v>
      </c>
      <c r="B95" s="41"/>
      <c r="C95" s="41"/>
      <c r="D95" s="41"/>
      <c r="E95" s="41"/>
      <c r="F95" s="41"/>
      <c r="G95" s="41"/>
      <c r="H95" s="41"/>
      <c r="I95" s="41"/>
      <c r="J95" s="41">
        <v>5000000</v>
      </c>
      <c r="K95" s="41">
        <v>2000000</v>
      </c>
      <c r="L95" s="41">
        <v>-300000</v>
      </c>
      <c r="M95" s="41">
        <f t="shared" si="2"/>
        <v>6700000</v>
      </c>
    </row>
    <row r="96" spans="1:13" x14ac:dyDescent="0.3">
      <c r="A96" s="19">
        <f t="shared" si="3"/>
        <v>41060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>
        <f t="shared" si="2"/>
        <v>0</v>
      </c>
    </row>
    <row r="97" spans="1:16" x14ac:dyDescent="0.3">
      <c r="A97" s="19">
        <f t="shared" si="3"/>
        <v>41090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>
        <f t="shared" si="2"/>
        <v>0</v>
      </c>
    </row>
    <row r="98" spans="1:16" x14ac:dyDescent="0.3">
      <c r="A98" s="19">
        <f t="shared" si="3"/>
        <v>41121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>
        <f t="shared" si="2"/>
        <v>0</v>
      </c>
    </row>
    <row r="99" spans="1:16" x14ac:dyDescent="0.3">
      <c r="A99" s="19">
        <f t="shared" si="3"/>
        <v>41152</v>
      </c>
      <c r="B99" s="41"/>
      <c r="C99" s="41"/>
      <c r="D99" s="41"/>
      <c r="E99" s="41"/>
      <c r="F99" s="41"/>
      <c r="G99" s="41"/>
      <c r="H99" s="41"/>
      <c r="I99" s="41">
        <v>225000</v>
      </c>
      <c r="J99" s="41"/>
      <c r="K99" s="41"/>
      <c r="L99" s="41"/>
      <c r="M99" s="41">
        <f t="shared" si="2"/>
        <v>225000</v>
      </c>
    </row>
    <row r="100" spans="1:16" x14ac:dyDescent="0.3">
      <c r="A100" s="19">
        <f t="shared" si="3"/>
        <v>41182</v>
      </c>
      <c r="B100" s="41"/>
      <c r="C100" s="41"/>
      <c r="D100" s="41"/>
      <c r="E100" s="41"/>
      <c r="F100" s="41"/>
      <c r="G100" s="41"/>
      <c r="H100" s="41"/>
      <c r="I100" s="41">
        <v>45000</v>
      </c>
      <c r="J100" s="41"/>
      <c r="K100" s="41"/>
      <c r="L100" s="41"/>
      <c r="M100" s="41">
        <f t="shared" si="2"/>
        <v>45000</v>
      </c>
    </row>
    <row r="101" spans="1:16" x14ac:dyDescent="0.3">
      <c r="A101" s="19" t="s">
        <v>13</v>
      </c>
      <c r="B101" s="46">
        <f>XIRR(B2:B16,$A2:$A16)</f>
        <v>9.3757364153862002E-2</v>
      </c>
      <c r="C101" s="28">
        <f>XIRR(C12:C24,$A12:$A24)</f>
        <v>0.16535587906837465</v>
      </c>
      <c r="D101" s="28">
        <f>XIRR(D25:D27,$A25:$A27)</f>
        <v>2.9802322387695314E-9</v>
      </c>
      <c r="E101" s="28">
        <f>XIRR(E50:E52,$A50:$A52)</f>
        <v>2.3741466760635386</v>
      </c>
      <c r="F101" s="28">
        <f>XIRR(F54:F55,$A54:$A55)</f>
        <v>6.3818217754364008</v>
      </c>
      <c r="G101" s="28" t="str">
        <f>IFERROR(XIRR(G60:G100,$A60:$A100),"NM")</f>
        <v>NM</v>
      </c>
      <c r="H101" s="28">
        <f>XIRR(H61:H79,$A61:$A79)</f>
        <v>0.46886292099952698</v>
      </c>
      <c r="I101" s="28">
        <f>XIRR(I73:I100,A73:A100)</f>
        <v>8.6970189213752769E-2</v>
      </c>
      <c r="J101" s="28">
        <f>XIRR(J83:J95,$A83:$A95)</f>
        <v>2.9802322387695314E-9</v>
      </c>
      <c r="K101" s="28">
        <f>XIRR(K83:K95,$A83:$A95)</f>
        <v>0.46024593710899353</v>
      </c>
      <c r="L101" s="40" t="str">
        <f>IFERROR(XIRR(L95:L100,$A95:$A100),"NM")</f>
        <v>NM</v>
      </c>
      <c r="M101" s="28">
        <f>AVERAGE(B101:L101)</f>
        <v>1.1145734164449905</v>
      </c>
    </row>
    <row r="102" spans="1:16" x14ac:dyDescent="0.3">
      <c r="A102" s="19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8"/>
    </row>
    <row r="103" spans="1:16" x14ac:dyDescent="0.3">
      <c r="A103" s="19"/>
      <c r="B103" s="20">
        <f>B101*B2</f>
        <v>-3187750.381231308</v>
      </c>
      <c r="C103" s="20">
        <f>C101*C12</f>
        <v>-1079773.8903164864</v>
      </c>
      <c r="D103" s="20">
        <f>D101*D25</f>
        <v>-2.0861625671386719E-2</v>
      </c>
      <c r="E103" s="20">
        <f>E101*E50</f>
        <v>-451087.86845207232</v>
      </c>
      <c r="F103" s="20">
        <f>F101*F54</f>
        <v>-1786910.0971221921</v>
      </c>
      <c r="G103" s="20"/>
      <c r="H103" s="20">
        <f>H101*H61</f>
        <v>-117215.73024988174</v>
      </c>
      <c r="I103" s="20"/>
      <c r="J103" s="20">
        <f>J101*J83</f>
        <v>-1.4901161193847656E-2</v>
      </c>
      <c r="K103" s="20">
        <f>K101*K83</f>
        <v>-2853524.8100757599</v>
      </c>
      <c r="L103" s="20" t="e">
        <f t="shared" ref="L103:M103" si="4">L101*L2</f>
        <v>#VALUE!</v>
      </c>
      <c r="M103" s="20">
        <f t="shared" si="4"/>
        <v>-37895496.159129679</v>
      </c>
      <c r="O103" s="28">
        <f>-SUM($B103:$H103)/-SUM($H61,$F54,D25,$E50,$C12,$B2)</f>
        <v>0.13725881840898582</v>
      </c>
      <c r="P103" s="28">
        <f>-SUM($B103:$K103)/-SUM($J83,$K83,$H61,$F54,$E50,$C12,$B2)</f>
        <v>0.18067231293060987</v>
      </c>
    </row>
    <row r="104" spans="1:16" x14ac:dyDescent="0.3">
      <c r="A104" s="19"/>
    </row>
    <row r="105" spans="1:16" x14ac:dyDescent="0.3">
      <c r="A105" s="19"/>
      <c r="B105" s="37">
        <f>(B2/$O$9)*B101</f>
        <v>5.0399215513538466E-2</v>
      </c>
      <c r="C105" s="37">
        <f>(C12/$O$9)*C101</f>
        <v>1.7071523957572908E-2</v>
      </c>
      <c r="D105" s="37">
        <f>(D12/$O$9)*D101+D10</f>
        <v>0</v>
      </c>
      <c r="E105" s="37">
        <f>(E50/$O$9)*E101</f>
        <v>7.1318240071473887E-3</v>
      </c>
      <c r="F105" s="37">
        <f>(F54/$O$9)*F101</f>
        <v>2.8251543037505013E-2</v>
      </c>
      <c r="H105" s="46">
        <f>(H61/$O$9)*H101</f>
        <v>1.8532131264803436E-3</v>
      </c>
      <c r="I105" s="46"/>
      <c r="M105" s="48">
        <f>SUM(B105:H105)</f>
        <v>0.10470731964224413</v>
      </c>
    </row>
    <row r="106" spans="1:16" x14ac:dyDescent="0.3">
      <c r="A106" s="19"/>
    </row>
    <row r="110" spans="1:16" x14ac:dyDescent="0.3">
      <c r="D110" t="s">
        <v>388</v>
      </c>
      <c r="E110" t="s">
        <v>388</v>
      </c>
      <c r="F110" t="s">
        <v>388</v>
      </c>
      <c r="G110" t="s">
        <v>388</v>
      </c>
      <c r="H110" t="s">
        <v>388</v>
      </c>
      <c r="J110" t="s">
        <v>388</v>
      </c>
      <c r="K110" t="s">
        <v>388</v>
      </c>
      <c r="L110" t="s">
        <v>388</v>
      </c>
    </row>
    <row r="111" spans="1:16" x14ac:dyDescent="0.3">
      <c r="D111" s="47">
        <f>B101</f>
        <v>9.3757364153862002E-2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workbookViewId="0">
      <selection activeCell="F6" sqref="F6"/>
    </sheetView>
  </sheetViews>
  <sheetFormatPr defaultRowHeight="14.4" x14ac:dyDescent="0.3"/>
  <cols>
    <col min="1" max="1" width="15" bestFit="1" customWidth="1"/>
    <col min="2" max="2" width="16" bestFit="1" customWidth="1"/>
    <col min="3" max="3" width="15.33203125" bestFit="1" customWidth="1"/>
    <col min="4" max="4" width="15" bestFit="1" customWidth="1"/>
    <col min="5" max="5" width="19" bestFit="1" customWidth="1"/>
    <col min="6" max="6" width="14.33203125" bestFit="1" customWidth="1"/>
    <col min="7" max="7" width="15" bestFit="1" customWidth="1"/>
    <col min="8" max="8" width="16.44140625" bestFit="1" customWidth="1"/>
    <col min="10" max="10" width="18.109375" bestFit="1" customWidth="1"/>
    <col min="11" max="11" width="23" bestFit="1" customWidth="1"/>
    <col min="12" max="12" width="15" bestFit="1" customWidth="1"/>
    <col min="15" max="15" width="15.33203125" bestFit="1" customWidth="1"/>
    <col min="16" max="16" width="12.33203125" bestFit="1" customWidth="1"/>
    <col min="18" max="19" width="15.33203125" bestFit="1" customWidth="1"/>
    <col min="22" max="22" width="20.44140625" bestFit="1" customWidth="1"/>
  </cols>
  <sheetData>
    <row r="1" spans="1:24" x14ac:dyDescent="0.3">
      <c r="A1" s="57" t="s">
        <v>17</v>
      </c>
      <c r="B1" s="65"/>
      <c r="C1" s="66"/>
      <c r="F1" s="44" t="s">
        <v>13</v>
      </c>
      <c r="G1" s="44" t="s">
        <v>357</v>
      </c>
      <c r="H1" s="44" t="s">
        <v>24</v>
      </c>
      <c r="I1" s="44" t="s">
        <v>25</v>
      </c>
      <c r="J1" s="44" t="s">
        <v>26</v>
      </c>
      <c r="K1" s="44" t="s">
        <v>27</v>
      </c>
      <c r="L1" s="44" t="s">
        <v>22</v>
      </c>
      <c r="M1" s="44" t="s">
        <v>23</v>
      </c>
      <c r="N1" s="44" t="s">
        <v>348</v>
      </c>
      <c r="O1" s="44" t="s">
        <v>347</v>
      </c>
      <c r="P1" s="44" t="s">
        <v>349</v>
      </c>
    </row>
    <row r="2" spans="1:24" x14ac:dyDescent="0.3">
      <c r="A2" s="67"/>
      <c r="B2" s="68">
        <f>'IRR Calcs'!A2</f>
        <v>38142</v>
      </c>
      <c r="C2" s="69">
        <f>'IRR Calcs'!A16</f>
        <v>38595</v>
      </c>
      <c r="F2" s="44" t="s">
        <v>388</v>
      </c>
      <c r="G2" s="46">
        <f>XIRR(B3:C3,B2:C2)</f>
        <v>9.3757364153862002E-2</v>
      </c>
      <c r="H2" s="46">
        <f>XIRR(B6:C6,B5:C5)</f>
        <v>7.5097331404685982E-2</v>
      </c>
      <c r="I2" s="48">
        <v>0.10879999999999999</v>
      </c>
      <c r="J2" s="48">
        <v>4.9099999999999998E-2</v>
      </c>
      <c r="K2" s="37">
        <f>XIRR(A34:B34,A33:B33)</f>
        <v>7.3461487889289884E-2</v>
      </c>
      <c r="L2" s="43">
        <f>Sheet1!B23</f>
        <v>6.8615580650975172E-2</v>
      </c>
      <c r="M2" s="43">
        <f>Sheet1!B22</f>
        <v>7.4910628392261369E-2</v>
      </c>
      <c r="N2" s="43">
        <f>XIRR(D34:E34,D33:E33)</f>
        <v>0.10699284672737125</v>
      </c>
      <c r="O2" s="37">
        <f>XIRR(G34:H34,G33:H33)</f>
        <v>0.26440498232841492</v>
      </c>
      <c r="P2" s="37">
        <f>XIRR(J34:K34,J33:K33)</f>
        <v>4.0834066271781932E-2</v>
      </c>
    </row>
    <row r="3" spans="1:24" ht="15" thickBot="1" x14ac:dyDescent="0.35">
      <c r="A3" s="70"/>
      <c r="B3" s="71">
        <f>'IRR Calcs'!B2</f>
        <v>-34000000</v>
      </c>
      <c r="C3" s="72">
        <f>'IRR Calcs'!B16</f>
        <v>38000000</v>
      </c>
      <c r="F3" s="44" t="s">
        <v>388</v>
      </c>
      <c r="G3" s="46">
        <f>XIRR(B11:H11,B10:H10)</f>
        <v>0.14170669913291931</v>
      </c>
      <c r="H3" s="46">
        <f>XIRR(B15:C15,B14:C14)</f>
        <v>0.102054101228714</v>
      </c>
      <c r="I3" s="48">
        <v>4.9099999999999998E-2</v>
      </c>
      <c r="J3" s="48">
        <v>0.15794243570111566</v>
      </c>
      <c r="K3" s="37">
        <f>XIRR(A38:B38,A37:B37)</f>
        <v>9.8311489820480352E-2</v>
      </c>
      <c r="L3" s="43">
        <f>Sheet1!B22</f>
        <v>7.4910628392261369E-2</v>
      </c>
      <c r="M3" s="43">
        <f>Sheet1!B21</f>
        <v>0.10394403047740242</v>
      </c>
      <c r="N3" s="43">
        <f>XIRR(D38:E38,D37:E37)</f>
        <v>9.0292140841484084E-2</v>
      </c>
      <c r="O3" s="37">
        <f>XIRR(G38:H38,G37:H37)</f>
        <v>0.28152636885643001</v>
      </c>
      <c r="P3" s="37">
        <f>XIRR(J38:K38,J37:K37)</f>
        <v>0.10945816636085509</v>
      </c>
    </row>
    <row r="4" spans="1:24" x14ac:dyDescent="0.3">
      <c r="A4" s="44" t="s">
        <v>16</v>
      </c>
      <c r="F4" s="44" t="s">
        <v>388</v>
      </c>
      <c r="G4" s="37">
        <f>XIRR(B19:E19,B18:E18)</f>
        <v>3.5608174085617068</v>
      </c>
      <c r="H4" s="49">
        <f>XIRR(B27:C27,B26:C26)</f>
        <v>-0.54131573811173461</v>
      </c>
      <c r="I4" s="48">
        <v>-0.36997838899122026</v>
      </c>
      <c r="J4" s="48">
        <f>I4</f>
        <v>-0.36997838899122026</v>
      </c>
      <c r="K4" s="37">
        <f>XIRR(A42:B42,A41:B41)</f>
        <v>-0.36287073269486436</v>
      </c>
      <c r="L4" s="43">
        <f>Sheet1!B19</f>
        <v>-0.21369501397061397</v>
      </c>
      <c r="M4" s="43">
        <f>L4</f>
        <v>-0.21369501397061397</v>
      </c>
      <c r="N4" s="43">
        <f>XIRR(D42:E42,D41:E41)</f>
        <v>-0.23479106798768051</v>
      </c>
      <c r="O4" s="37">
        <f>XIRR(G42:H42,G41:H41)</f>
        <v>-0.40291204974055295</v>
      </c>
      <c r="P4" s="37">
        <f>XIRR(J42:K42,J41:K41)</f>
        <v>-0.23549605980515487</v>
      </c>
    </row>
    <row r="5" spans="1:24" x14ac:dyDescent="0.3">
      <c r="A5" s="129">
        <f>'S&amp;P'!M429</f>
        <v>0.11396134573391836</v>
      </c>
      <c r="B5" s="63">
        <f>B2</f>
        <v>38142</v>
      </c>
      <c r="C5" s="63">
        <f>'IRR Calcs'!A19</f>
        <v>38686</v>
      </c>
      <c r="F5" s="44" t="s">
        <v>388</v>
      </c>
      <c r="G5" s="37">
        <f>XIRR(B23:D23,B22:D22)</f>
        <v>0.46886292099952698</v>
      </c>
      <c r="H5" s="37">
        <f>XIRR(B30:C30,B29:C29)</f>
        <v>0.25684058070182803</v>
      </c>
      <c r="I5" s="48">
        <v>0.26462198355405658</v>
      </c>
      <c r="J5" s="37">
        <v>0.15051492865905597</v>
      </c>
      <c r="K5" s="37">
        <f>XIRR(A46:B46,A45:B45)</f>
        <v>7.8322800993919375E-2</v>
      </c>
      <c r="L5" s="43">
        <f>Sheet1!B18</f>
        <v>0.11468819845946432</v>
      </c>
      <c r="M5" s="43">
        <f>Sheet1!B17</f>
        <v>5.7031652950595202E-2</v>
      </c>
      <c r="N5" s="43">
        <f>XIRR(D46:E46,D45:E45)</f>
        <v>6.2688586115837081E-2</v>
      </c>
      <c r="O5" s="37">
        <f>XIRR(G46:H46,G45:H45)</f>
        <v>0.17887739539146427</v>
      </c>
      <c r="P5" s="37">
        <f>XIRR(J46:K46,J45:K45)</f>
        <v>9.8450094461441068E-2</v>
      </c>
    </row>
    <row r="6" spans="1:24" x14ac:dyDescent="0.3">
      <c r="A6" s="62"/>
      <c r="B6" s="62">
        <v>-1000000</v>
      </c>
      <c r="C6" s="64">
        <f>-B6*(1+A5)</f>
        <v>1113961.3457339182</v>
      </c>
    </row>
    <row r="7" spans="1:24" x14ac:dyDescent="0.3">
      <c r="G7">
        <f>CORREL(G2:G5,H2:H5)</f>
        <v>-0.94628592013398638</v>
      </c>
      <c r="H7">
        <f>CORREL(G2:G5,O2:O5)</f>
        <v>-0.99874361984436055</v>
      </c>
      <c r="I7">
        <f>CORREL(G2:G5,P2:P5)</f>
        <v>-0.96896261857337107</v>
      </c>
      <c r="J7">
        <f>CORREL(O2:O5,P2:P5)</f>
        <v>0.96767172107497712</v>
      </c>
      <c r="K7">
        <f>CORREL(H2:H5,O2:O5)</f>
        <v>0.93446460613207627</v>
      </c>
      <c r="L7">
        <f>CORREL(G2:G5,K2:K5)</f>
        <v>-0.99491017531647197</v>
      </c>
    </row>
    <row r="8" spans="1:24" ht="15" thickBot="1" x14ac:dyDescent="0.35"/>
    <row r="9" spans="1:24" x14ac:dyDescent="0.3">
      <c r="A9" s="57" t="s">
        <v>7</v>
      </c>
      <c r="B9" s="65"/>
      <c r="C9" s="65"/>
      <c r="D9" s="65"/>
      <c r="E9" s="65"/>
      <c r="F9" s="65"/>
      <c r="G9" s="65"/>
      <c r="H9" s="66"/>
    </row>
    <row r="10" spans="1:24" x14ac:dyDescent="0.3">
      <c r="A10" s="67"/>
      <c r="B10" s="68">
        <f>'IRR Calcs'!A12</f>
        <v>38472</v>
      </c>
      <c r="C10" s="68">
        <f>'IRR Calcs'!A15</f>
        <v>38564</v>
      </c>
      <c r="D10" s="68">
        <f>'IRR Calcs'!A18</f>
        <v>38656</v>
      </c>
      <c r="E10" s="68">
        <f>'IRR Calcs'!A21</f>
        <v>38748</v>
      </c>
      <c r="F10" s="68">
        <f>'IRR Calcs'!A24</f>
        <v>38837</v>
      </c>
      <c r="G10" s="68">
        <f>'IRR Calcs'!A25</f>
        <v>38868</v>
      </c>
      <c r="H10" s="69">
        <f>'IRR Calcs'!A27</f>
        <v>38929</v>
      </c>
    </row>
    <row r="11" spans="1:24" ht="15" thickBot="1" x14ac:dyDescent="0.35">
      <c r="A11" s="70"/>
      <c r="B11" s="71">
        <f>'IRR Calcs'!C12</f>
        <v>-6530000</v>
      </c>
      <c r="C11" s="71">
        <f>'IRR Calcs'!C15</f>
        <v>84890</v>
      </c>
      <c r="D11" s="71">
        <f>'IRR Calcs'!C18</f>
        <v>84890</v>
      </c>
      <c r="E11" s="71">
        <f>'IRR Calcs'!C21</f>
        <v>84890</v>
      </c>
      <c r="F11" s="71">
        <f>'IRR Calcs'!C24</f>
        <v>7334890</v>
      </c>
      <c r="G11" s="71">
        <f>'IRR Calcs'!D25</f>
        <v>-7000000</v>
      </c>
      <c r="H11" s="72">
        <f>'IRR Calcs'!D27</f>
        <v>7000000</v>
      </c>
      <c r="L11" s="43"/>
    </row>
    <row r="12" spans="1:24" x14ac:dyDescent="0.3">
      <c r="A12" s="44" t="s">
        <v>16</v>
      </c>
    </row>
    <row r="13" spans="1:24" x14ac:dyDescent="0.3">
      <c r="A13" s="62" t="s">
        <v>18</v>
      </c>
      <c r="B13" s="62"/>
      <c r="C13" s="62"/>
      <c r="L13" s="43"/>
      <c r="O13" s="45">
        <f>-SUM(B3,B11,G11,B19,B23,D19)</f>
        <v>48250000</v>
      </c>
    </row>
    <row r="14" spans="1:24" ht="15" thickBot="1" x14ac:dyDescent="0.35">
      <c r="A14" s="62">
        <f>'S&amp;P'!O440</f>
        <v>0.1293807029964269</v>
      </c>
      <c r="B14" s="63">
        <f>B10</f>
        <v>38472</v>
      </c>
      <c r="C14" s="63">
        <f>H10</f>
        <v>38929</v>
      </c>
    </row>
    <row r="15" spans="1:24" x14ac:dyDescent="0.3">
      <c r="A15" s="62"/>
      <c r="B15" s="62">
        <f>B6</f>
        <v>-1000000</v>
      </c>
      <c r="C15" s="64">
        <f>-B15*(1+A14)</f>
        <v>1129380.702996427</v>
      </c>
      <c r="G15" s="130" t="s">
        <v>13</v>
      </c>
      <c r="H15" s="130" t="s">
        <v>357</v>
      </c>
      <c r="I15" s="130" t="s">
        <v>356</v>
      </c>
      <c r="J15" s="130" t="s">
        <v>67</v>
      </c>
      <c r="K15" s="130" t="s">
        <v>368</v>
      </c>
      <c r="L15" s="130" t="s">
        <v>369</v>
      </c>
      <c r="O15" s="75" t="s">
        <v>358</v>
      </c>
      <c r="P15" s="54"/>
      <c r="Q15" s="54"/>
      <c r="R15" s="54"/>
      <c r="S15" s="54"/>
      <c r="T15" s="54"/>
      <c r="U15" s="54"/>
      <c r="V15" s="54"/>
      <c r="W15" s="54"/>
      <c r="X15" s="55"/>
    </row>
    <row r="16" spans="1:24" ht="15" thickBot="1" x14ac:dyDescent="0.35">
      <c r="G16" s="130" t="s">
        <v>388</v>
      </c>
      <c r="H16" s="132">
        <f>G2</f>
        <v>9.3757364153862002E-2</v>
      </c>
      <c r="I16" s="132">
        <f>H2</f>
        <v>7.5097331404685982E-2</v>
      </c>
      <c r="J16" s="132">
        <f>K2</f>
        <v>7.3461487889289884E-2</v>
      </c>
      <c r="K16" s="132">
        <f>N2</f>
        <v>0.10699284672737125</v>
      </c>
      <c r="L16" s="132">
        <f>P2</f>
        <v>4.0834066271781932E-2</v>
      </c>
      <c r="O16" s="82">
        <f>(38-34)/34</f>
        <v>0.11764705882352941</v>
      </c>
      <c r="P16" s="76">
        <f>DAYS360(B2,C2)</f>
        <v>447</v>
      </c>
      <c r="Q16" s="76"/>
      <c r="R16" s="76"/>
      <c r="S16" s="77">
        <f>-B3</f>
        <v>34000000</v>
      </c>
      <c r="T16" s="78">
        <f>S16/$O$13</f>
        <v>0.70466321243523311</v>
      </c>
      <c r="U16" s="76"/>
      <c r="V16" s="78">
        <f>T16*O17</f>
        <v>6.6995062624471094E-2</v>
      </c>
      <c r="W16" s="76"/>
      <c r="X16" s="79">
        <f>AVERAGE(O17,O19,O21,O23)</f>
        <v>0.23181053481770081</v>
      </c>
    </row>
    <row r="17" spans="1:24" x14ac:dyDescent="0.3">
      <c r="A17" s="57" t="s">
        <v>19</v>
      </c>
      <c r="B17" s="65"/>
      <c r="C17" s="65"/>
      <c r="D17" s="65"/>
      <c r="E17" s="66"/>
      <c r="G17" s="130" t="s">
        <v>388</v>
      </c>
      <c r="H17" s="132">
        <f t="shared" ref="H17:I19" si="0">G3</f>
        <v>0.14170669913291931</v>
      </c>
      <c r="I17" s="132">
        <f t="shared" si="0"/>
        <v>0.102054101228714</v>
      </c>
      <c r="J17" s="132">
        <f t="shared" ref="J17:J19" si="1">K3</f>
        <v>9.8311489820480352E-2</v>
      </c>
      <c r="K17" s="132">
        <f t="shared" ref="K17:K19" si="2">N3</f>
        <v>9.0292140841484084E-2</v>
      </c>
      <c r="L17" s="132">
        <f>P3</f>
        <v>0.10945816636085509</v>
      </c>
      <c r="O17" s="80">
        <f>(1+O16)^(365/P16)-1</f>
        <v>9.5073875636197958E-2</v>
      </c>
      <c r="P17" s="76"/>
      <c r="Q17" s="76"/>
      <c r="R17" s="76"/>
      <c r="S17" s="76"/>
      <c r="T17" s="76"/>
      <c r="U17" s="76"/>
      <c r="V17" s="76"/>
      <c r="W17" s="76"/>
      <c r="X17" s="81"/>
    </row>
    <row r="18" spans="1:24" x14ac:dyDescent="0.3">
      <c r="A18" s="67"/>
      <c r="B18" s="68">
        <f>'IRR Calcs'!A50</f>
        <v>39657</v>
      </c>
      <c r="C18" s="68">
        <f>'IRR Calcs'!A52</f>
        <v>39701</v>
      </c>
      <c r="D18" s="68">
        <f>'IRR Calcs'!A54</f>
        <v>39780</v>
      </c>
      <c r="E18" s="69">
        <f>'IRR Calcs'!A55</f>
        <v>39810</v>
      </c>
      <c r="G18" s="130" t="s">
        <v>388</v>
      </c>
      <c r="H18" s="132">
        <f t="shared" si="0"/>
        <v>3.5608174085617068</v>
      </c>
      <c r="I18" s="132">
        <f t="shared" si="0"/>
        <v>-0.54131573811173461</v>
      </c>
      <c r="J18" s="132">
        <f t="shared" si="1"/>
        <v>-0.36287073269486436</v>
      </c>
      <c r="K18" s="132">
        <f t="shared" si="2"/>
        <v>-0.23479106798768051</v>
      </c>
      <c r="L18" s="132">
        <f>P4</f>
        <v>-0.23549605980515487</v>
      </c>
      <c r="O18" s="82">
        <f>(R18-S18)/S18</f>
        <v>7.8311899482631189E-2</v>
      </c>
      <c r="P18" s="76">
        <f>DAYS360(B10,H10)</f>
        <v>450</v>
      </c>
      <c r="Q18" s="76"/>
      <c r="R18" s="77">
        <f>SUM(C11:F11,H11)</f>
        <v>14589560</v>
      </c>
      <c r="S18" s="77">
        <f>-SUM(G11,B11)</f>
        <v>13530000</v>
      </c>
      <c r="T18" s="78">
        <f>S18/$O$13</f>
        <v>0.2804145077720207</v>
      </c>
      <c r="U18" s="76"/>
      <c r="V18" s="78">
        <f>T18*O19</f>
        <v>1.7684014938264988E-2</v>
      </c>
      <c r="W18" s="76"/>
      <c r="X18" s="81"/>
    </row>
    <row r="19" spans="1:24" ht="15" thickBot="1" x14ac:dyDescent="0.35">
      <c r="A19" s="70"/>
      <c r="B19" s="71">
        <f>'IRR Calcs'!E50</f>
        <v>-190000</v>
      </c>
      <c r="C19" s="71">
        <f>'IRR Calcs'!E52</f>
        <v>220000.00000000003</v>
      </c>
      <c r="D19" s="71">
        <f>'IRR Calcs'!F54</f>
        <v>-280000</v>
      </c>
      <c r="E19" s="72">
        <f>'IRR Calcs'!F55</f>
        <v>330000</v>
      </c>
      <c r="G19" s="130" t="s">
        <v>388</v>
      </c>
      <c r="H19" s="132">
        <f t="shared" si="0"/>
        <v>0.46886292099952698</v>
      </c>
      <c r="I19" s="132">
        <f t="shared" si="0"/>
        <v>0.25684058070182803</v>
      </c>
      <c r="J19" s="132">
        <f t="shared" si="1"/>
        <v>7.8322800993919375E-2</v>
      </c>
      <c r="K19" s="132">
        <f t="shared" si="2"/>
        <v>6.2688586115837081E-2</v>
      </c>
      <c r="L19" s="132">
        <f>P5</f>
        <v>9.8450094461441068E-2</v>
      </c>
      <c r="O19" s="83">
        <f>(1+O18)^(365/P18)-1</f>
        <v>6.3063837455379579E-2</v>
      </c>
      <c r="P19" s="76"/>
      <c r="Q19" s="76"/>
      <c r="R19" s="76"/>
      <c r="S19" s="76"/>
      <c r="T19" s="76"/>
      <c r="U19" s="76"/>
      <c r="V19" s="76"/>
      <c r="W19" s="76"/>
      <c r="X19" s="81"/>
    </row>
    <row r="20" spans="1:24" ht="15" thickBot="1" x14ac:dyDescent="0.35">
      <c r="H20" s="37"/>
      <c r="I20" s="37"/>
      <c r="J20" s="37"/>
      <c r="K20" s="37"/>
      <c r="L20" s="37"/>
      <c r="M20" s="37"/>
      <c r="O20" s="82">
        <f>(R20-S20)/S20</f>
        <v>0.1702127659574468</v>
      </c>
      <c r="P20" s="76">
        <f>DAYS360(B18,E18)</f>
        <v>150</v>
      </c>
      <c r="Q20" s="76"/>
      <c r="R20" s="77">
        <f>SUM(E19,C19)</f>
        <v>550000</v>
      </c>
      <c r="S20" s="77">
        <f>-SUM(D19,B19)</f>
        <v>470000</v>
      </c>
      <c r="T20" s="78">
        <f>S20/$O$13</f>
        <v>9.740932642487047E-3</v>
      </c>
      <c r="U20" s="76"/>
      <c r="V20" s="78">
        <f>T20*O21</f>
        <v>4.5385222990618089E-3</v>
      </c>
      <c r="W20" s="76"/>
      <c r="X20" s="81"/>
    </row>
    <row r="21" spans="1:24" x14ac:dyDescent="0.3">
      <c r="A21" s="57" t="s">
        <v>20</v>
      </c>
      <c r="B21" s="65"/>
      <c r="C21" s="65"/>
      <c r="D21" s="66"/>
      <c r="G21" s="44" t="s">
        <v>350</v>
      </c>
      <c r="H21" s="37">
        <f>AVERAGE(H16:H19)</f>
        <v>1.0662860982120037</v>
      </c>
      <c r="I21" s="37">
        <f t="shared" ref="I21:K21" si="3">AVERAGE(I16:I19)</f>
        <v>-2.6830931194126648E-2</v>
      </c>
      <c r="J21" s="37">
        <f t="shared" si="3"/>
        <v>-2.8193738497793688E-2</v>
      </c>
      <c r="K21" s="37">
        <f t="shared" si="3"/>
        <v>6.2956264242529716E-3</v>
      </c>
      <c r="L21" s="37">
        <f>AVERAGE(L16:L19)</f>
        <v>3.3115668222308062E-3</v>
      </c>
      <c r="O21" s="80">
        <f>(1+O20)^(365/P20)-1</f>
        <v>0.46592276793560061</v>
      </c>
      <c r="P21" s="76"/>
      <c r="Q21" s="76"/>
      <c r="R21" s="76"/>
      <c r="S21" s="76"/>
      <c r="T21" s="76"/>
      <c r="U21" s="76"/>
      <c r="V21" s="76"/>
      <c r="W21" s="76"/>
      <c r="X21" s="81"/>
    </row>
    <row r="22" spans="1:24" x14ac:dyDescent="0.3">
      <c r="A22" s="67"/>
      <c r="B22" s="68">
        <f>'IRR Calcs'!A61</f>
        <v>39994</v>
      </c>
      <c r="C22" s="68">
        <f>'IRR Calcs'!A72</f>
        <v>40329</v>
      </c>
      <c r="D22" s="69">
        <f>'IRR Calcs'!A79</f>
        <v>40543</v>
      </c>
      <c r="G22" s="44" t="s">
        <v>351</v>
      </c>
      <c r="H22" s="37">
        <f>_xlfn.STDEV.S(H16:H19)</f>
        <v>1.6713527569761997</v>
      </c>
      <c r="I22" s="37">
        <f t="shared" ref="I22:K22" si="4">_xlfn.STDEV.S(I16:I19)</f>
        <v>0.35221435968712494</v>
      </c>
      <c r="J22" s="37">
        <f t="shared" si="4"/>
        <v>0.22337697693491423</v>
      </c>
      <c r="K22" s="37">
        <f t="shared" si="4"/>
        <v>0.16175939409739443</v>
      </c>
      <c r="L22" s="37">
        <f>_xlfn.STDEV.S(L16:L19)</f>
        <v>0.16202413455543821</v>
      </c>
      <c r="O22" s="82">
        <f>(R22+B23)/-B23</f>
        <v>0.47960000000000025</v>
      </c>
      <c r="P22" s="76">
        <f>DAYS360(B22,D22)</f>
        <v>540</v>
      </c>
      <c r="Q22" s="76"/>
      <c r="R22" s="77">
        <f>C23+D23</f>
        <v>369900.00000000006</v>
      </c>
      <c r="S22" s="77">
        <f>-B23</f>
        <v>250000</v>
      </c>
      <c r="T22" s="78">
        <f>S22/$O$13</f>
        <v>5.1813471502590676E-3</v>
      </c>
      <c r="U22" s="76"/>
      <c r="V22" s="78">
        <f>T22*O23</f>
        <v>1.5708894209514254E-3</v>
      </c>
      <c r="W22" s="76"/>
      <c r="X22" s="81"/>
    </row>
    <row r="23" spans="1:24" ht="15" thickBot="1" x14ac:dyDescent="0.35">
      <c r="A23" s="70"/>
      <c r="B23" s="71">
        <f>'IRR Calcs'!H61</f>
        <v>-250000</v>
      </c>
      <c r="C23" s="71">
        <f>'IRR Calcs'!H72</f>
        <v>300000</v>
      </c>
      <c r="D23" s="72">
        <f>'IRR Calcs'!H79</f>
        <v>69900.000000000058</v>
      </c>
      <c r="G23" s="44" t="s">
        <v>353</v>
      </c>
      <c r="H23" s="52">
        <f>SKEW(H16:H19)</f>
        <v>1.9418668717825689</v>
      </c>
      <c r="I23" s="52">
        <f t="shared" ref="I23:K23" si="5">SKEW(I16:I19)</f>
        <v>-1.6806988165486925</v>
      </c>
      <c r="J23" s="52">
        <f t="shared" si="5"/>
        <v>-1.9859735537376455</v>
      </c>
      <c r="K23" s="52">
        <f t="shared" si="5"/>
        <v>-1.9246741302834043</v>
      </c>
      <c r="L23" s="52">
        <f>SKEW(L16:L19)</f>
        <v>-1.8038867742048996</v>
      </c>
      <c r="O23" s="80">
        <f>(1+O22)^(365/P22)-1</f>
        <v>0.30318165824362509</v>
      </c>
      <c r="P23" s="76"/>
      <c r="Q23" s="76"/>
      <c r="R23" s="76"/>
      <c r="S23" s="76"/>
      <c r="T23" s="76"/>
      <c r="U23" s="76"/>
      <c r="V23" s="76"/>
      <c r="W23" s="76"/>
      <c r="X23" s="81"/>
    </row>
    <row r="24" spans="1:24" ht="15" thickBot="1" x14ac:dyDescent="0.35">
      <c r="A24" s="44" t="s">
        <v>16</v>
      </c>
      <c r="G24" s="44" t="s">
        <v>352</v>
      </c>
      <c r="H24" s="52">
        <f>KURT(H16:H19)</f>
        <v>3.7897281799244595</v>
      </c>
      <c r="I24" s="52">
        <f t="shared" ref="I24:K24" si="6">KURT(I16:I19)</f>
        <v>3.1611004225332486</v>
      </c>
      <c r="J24" s="52">
        <f t="shared" si="6"/>
        <v>3.9550830912698238</v>
      </c>
      <c r="K24" s="52">
        <f t="shared" si="6"/>
        <v>3.7394303934545974</v>
      </c>
      <c r="L24" s="52">
        <f>KURT(L16:L19)</f>
        <v>3.2507428418736204</v>
      </c>
      <c r="O24" s="56"/>
      <c r="P24" s="84"/>
      <c r="Q24" s="84"/>
      <c r="R24" s="84"/>
      <c r="S24" s="84"/>
      <c r="T24" s="84"/>
      <c r="U24" s="84"/>
      <c r="V24" s="85">
        <f>SUM(V16:V22)</f>
        <v>9.0788489282749324E-2</v>
      </c>
      <c r="W24" s="84"/>
      <c r="X24" s="86"/>
    </row>
    <row r="25" spans="1:24" x14ac:dyDescent="0.3">
      <c r="A25" s="62" t="s">
        <v>19</v>
      </c>
      <c r="B25" s="62"/>
      <c r="C25" s="62"/>
    </row>
    <row r="26" spans="1:24" x14ac:dyDescent="0.3">
      <c r="A26" s="74">
        <f>'S&amp;P'!Q469</f>
        <v>-0.27870317326203298</v>
      </c>
      <c r="B26" s="63">
        <f>B18</f>
        <v>39657</v>
      </c>
      <c r="C26" s="63">
        <f>E18</f>
        <v>39810</v>
      </c>
    </row>
    <row r="27" spans="1:24" x14ac:dyDescent="0.3">
      <c r="A27" s="62"/>
      <c r="B27" s="64">
        <f>-1000000</f>
        <v>-1000000</v>
      </c>
      <c r="C27" s="64">
        <f>-B27*(1+A26)</f>
        <v>721296.82673796697</v>
      </c>
      <c r="N27" s="44" t="s">
        <v>372</v>
      </c>
    </row>
    <row r="28" spans="1:24" x14ac:dyDescent="0.3">
      <c r="A28" s="44" t="s">
        <v>16</v>
      </c>
      <c r="N28" s="136"/>
      <c r="O28" s="136" t="s">
        <v>28</v>
      </c>
      <c r="P28" s="136" t="s">
        <v>16</v>
      </c>
      <c r="Q28" s="136" t="s">
        <v>346</v>
      </c>
      <c r="R28" s="136" t="s">
        <v>355</v>
      </c>
      <c r="S28" s="136" t="s">
        <v>349</v>
      </c>
    </row>
    <row r="29" spans="1:24" x14ac:dyDescent="0.3">
      <c r="A29" t="s">
        <v>20</v>
      </c>
      <c r="B29" s="19">
        <f>B22</f>
        <v>39994</v>
      </c>
      <c r="C29" s="19">
        <f>D22</f>
        <v>40543</v>
      </c>
      <c r="N29" s="136" t="s">
        <v>28</v>
      </c>
      <c r="O29" s="137">
        <v>1</v>
      </c>
      <c r="P29" s="138">
        <f>CORREL(H16:H19,H2:H5)</f>
        <v>-0.94628592013398638</v>
      </c>
      <c r="Q29" s="138">
        <f>CORREL(H16:H19,J16:J19)</f>
        <v>-0.99491017531647197</v>
      </c>
      <c r="R29" s="138">
        <f>CORREL(H16:H19,K16:K19)</f>
        <v>-0.99951931214257006</v>
      </c>
      <c r="S29" s="138">
        <f>CORREL(H16:H19,L16:L19)</f>
        <v>-0.96896261857337107</v>
      </c>
    </row>
    <row r="30" spans="1:24" x14ac:dyDescent="0.3">
      <c r="A30">
        <f>'S&amp;P'!S493</f>
        <v>0.41035450508005389</v>
      </c>
      <c r="B30" s="45">
        <f>B27</f>
        <v>-1000000</v>
      </c>
      <c r="C30" s="41">
        <f>-B30*(1+A30)</f>
        <v>1410354.5050800538</v>
      </c>
      <c r="N30" s="136" t="s">
        <v>16</v>
      </c>
      <c r="O30" s="137"/>
      <c r="P30" s="137">
        <v>1</v>
      </c>
      <c r="Q30" s="138">
        <f>CORREL(I16:I19,J16:J19)</f>
        <v>0.97050528803999281</v>
      </c>
      <c r="R30" s="138">
        <f>CORREL(I16:I19,K16:K19)</f>
        <v>0.94266598984484562</v>
      </c>
      <c r="S30" s="138">
        <f>CORREL(I16:I19,L16:L19)</f>
        <v>0.97753886726857242</v>
      </c>
    </row>
    <row r="31" spans="1:24" x14ac:dyDescent="0.3">
      <c r="G31" s="73" t="s">
        <v>370</v>
      </c>
      <c r="N31" s="136" t="s">
        <v>346</v>
      </c>
      <c r="O31" s="137"/>
      <c r="P31" s="137"/>
      <c r="Q31" s="137">
        <v>1</v>
      </c>
      <c r="R31" s="138">
        <f>CORREL(J16:J19,K16:K19)</f>
        <v>0.99220827089308472</v>
      </c>
      <c r="S31" s="138">
        <f>CORREL(J16:J19,L16:L19)</f>
        <v>0.98823253369401176</v>
      </c>
    </row>
    <row r="32" spans="1:24" x14ac:dyDescent="0.3">
      <c r="A32" s="59" t="s">
        <v>21</v>
      </c>
      <c r="D32" s="59" t="s">
        <v>354</v>
      </c>
      <c r="G32" s="59" t="s">
        <v>347</v>
      </c>
      <c r="J32" s="59" t="s">
        <v>349</v>
      </c>
      <c r="N32" s="136" t="s">
        <v>355</v>
      </c>
      <c r="O32" s="137"/>
      <c r="P32" s="137"/>
      <c r="Q32" s="137"/>
      <c r="R32" s="137">
        <v>1</v>
      </c>
      <c r="S32" s="138">
        <f>CORREL(K16:K19,L16:L19)</f>
        <v>0.96192216736539526</v>
      </c>
    </row>
    <row r="33" spans="1:20" x14ac:dyDescent="0.3">
      <c r="A33" s="19">
        <f>'IRR Calcs'!A2</f>
        <v>38142</v>
      </c>
      <c r="B33" s="19">
        <f>C2</f>
        <v>38595</v>
      </c>
      <c r="D33" s="19">
        <f>A33</f>
        <v>38142</v>
      </c>
      <c r="E33" s="19">
        <f>B33</f>
        <v>38595</v>
      </c>
      <c r="G33" s="19">
        <f>D33</f>
        <v>38142</v>
      </c>
      <c r="H33" s="19">
        <f>E33</f>
        <v>38595</v>
      </c>
      <c r="J33" s="19">
        <f>G33</f>
        <v>38142</v>
      </c>
      <c r="K33" s="19">
        <f>H33</f>
        <v>38595</v>
      </c>
      <c r="N33" s="136" t="s">
        <v>349</v>
      </c>
      <c r="O33" s="137"/>
      <c r="P33" s="137"/>
      <c r="Q33" s="137"/>
      <c r="R33" s="137"/>
      <c r="S33" s="137">
        <v>1</v>
      </c>
    </row>
    <row r="34" spans="1:20" x14ac:dyDescent="0.3">
      <c r="A34" s="41">
        <v>-1000000</v>
      </c>
      <c r="B34" s="41">
        <f>-A34*(1+HFR!V4)</f>
        <v>1091965.6052047345</v>
      </c>
      <c r="D34" s="41">
        <v>-1000000</v>
      </c>
      <c r="E34" s="41">
        <f>-D34*(1+HFR!U4)</f>
        <v>1134456.7564869062</v>
      </c>
      <c r="G34" s="41">
        <v>-1000000</v>
      </c>
      <c r="H34" s="41">
        <f>-G34*(1+PE!P3)</f>
        <v>1337982.8326180258</v>
      </c>
      <c r="J34" s="41">
        <v>-1000000</v>
      </c>
      <c r="K34" s="41">
        <f>-J34*(1+PE!Q3)</f>
        <v>1050925.9259259258</v>
      </c>
      <c r="O34" s="53"/>
      <c r="P34" s="53"/>
      <c r="Q34" s="53"/>
      <c r="R34" s="53"/>
      <c r="S34" s="53"/>
      <c r="T34" s="53"/>
    </row>
    <row r="36" spans="1:20" x14ac:dyDescent="0.3">
      <c r="A36" t="s">
        <v>7</v>
      </c>
      <c r="D36" t="s">
        <v>7</v>
      </c>
      <c r="G36" t="s">
        <v>7</v>
      </c>
      <c r="J36" t="s">
        <v>7</v>
      </c>
    </row>
    <row r="37" spans="1:20" x14ac:dyDescent="0.3">
      <c r="A37" s="19">
        <f>B10</f>
        <v>38472</v>
      </c>
      <c r="B37" s="19">
        <f>H10</f>
        <v>38929</v>
      </c>
      <c r="D37" s="19">
        <f>A37</f>
        <v>38472</v>
      </c>
      <c r="E37" s="19">
        <f>B37</f>
        <v>38929</v>
      </c>
      <c r="G37" s="19">
        <f>D37</f>
        <v>38472</v>
      </c>
      <c r="H37" s="19">
        <f>E37</f>
        <v>38929</v>
      </c>
      <c r="J37" s="19">
        <f>G37</f>
        <v>38472</v>
      </c>
      <c r="K37" s="19">
        <f>H37</f>
        <v>38929</v>
      </c>
    </row>
    <row r="38" spans="1:20" x14ac:dyDescent="0.3">
      <c r="A38" s="45">
        <f>A34</f>
        <v>-1000000</v>
      </c>
      <c r="B38" s="41">
        <f>-A38*(1+HFR!V5)</f>
        <v>1124580.6175659574</v>
      </c>
      <c r="D38" s="45">
        <f>D34</f>
        <v>-1000000</v>
      </c>
      <c r="E38" s="41">
        <f>-D34*(1+HFR!U5)</f>
        <v>1114309.2764472875</v>
      </c>
      <c r="G38" s="45">
        <f>G34</f>
        <v>-1000000</v>
      </c>
      <c r="H38" s="41">
        <f>-G38*(1+PE!P4)</f>
        <v>1364208.633093525</v>
      </c>
      <c r="J38" s="45">
        <f>J34</f>
        <v>-1000000</v>
      </c>
      <c r="K38" s="41">
        <f>-J38*(1+PE!Q4)</f>
        <v>1138888.8888888888</v>
      </c>
    </row>
    <row r="40" spans="1:20" x14ac:dyDescent="0.3">
      <c r="A40" t="s">
        <v>19</v>
      </c>
      <c r="D40" t="s">
        <v>19</v>
      </c>
      <c r="G40" t="s">
        <v>19</v>
      </c>
      <c r="J40" t="s">
        <v>19</v>
      </c>
    </row>
    <row r="41" spans="1:20" x14ac:dyDescent="0.3">
      <c r="A41" s="19">
        <f>B18</f>
        <v>39657</v>
      </c>
      <c r="B41" s="19">
        <f>E18</f>
        <v>39810</v>
      </c>
      <c r="D41" s="19">
        <f>A41</f>
        <v>39657</v>
      </c>
      <c r="E41" s="19">
        <f>B41</f>
        <v>39810</v>
      </c>
      <c r="G41" s="19">
        <f>D41</f>
        <v>39657</v>
      </c>
      <c r="H41" s="19">
        <f>E41</f>
        <v>39810</v>
      </c>
      <c r="J41" s="19">
        <f>G41</f>
        <v>39657</v>
      </c>
      <c r="K41" s="19">
        <f>H41</f>
        <v>39810</v>
      </c>
    </row>
    <row r="42" spans="1:20" x14ac:dyDescent="0.3">
      <c r="A42" s="45">
        <f>A38</f>
        <v>-1000000</v>
      </c>
      <c r="B42" s="41">
        <f>-A42*(1+HFR!V6)</f>
        <v>827821.08296792686</v>
      </c>
      <c r="D42" s="45">
        <f>D38</f>
        <v>-1000000</v>
      </c>
      <c r="E42" s="41">
        <f>-D34*(1+HFR!U6)</f>
        <v>893888.05935759179</v>
      </c>
      <c r="G42" s="45">
        <f>G38</f>
        <v>-1000000</v>
      </c>
      <c r="H42" s="41">
        <f>-G42*(1+PE!P5)</f>
        <v>805601.31795716635</v>
      </c>
      <c r="J42" s="45">
        <f>J38</f>
        <v>-1000000</v>
      </c>
      <c r="K42" s="41">
        <f>-J42*(1+PE!Q5)</f>
        <v>893542.75741710304</v>
      </c>
    </row>
    <row r="44" spans="1:20" x14ac:dyDescent="0.3">
      <c r="A44" t="s">
        <v>20</v>
      </c>
      <c r="D44" t="s">
        <v>20</v>
      </c>
      <c r="G44" t="s">
        <v>20</v>
      </c>
      <c r="J44" t="s">
        <v>20</v>
      </c>
    </row>
    <row r="45" spans="1:20" x14ac:dyDescent="0.3">
      <c r="A45" s="19">
        <f>B22</f>
        <v>39994</v>
      </c>
      <c r="B45" s="19">
        <f>D22</f>
        <v>40543</v>
      </c>
      <c r="D45" s="19">
        <f>A45</f>
        <v>39994</v>
      </c>
      <c r="E45" s="19">
        <f>B45</f>
        <v>40543</v>
      </c>
      <c r="G45" s="19">
        <f>D45</f>
        <v>39994</v>
      </c>
      <c r="H45" s="19">
        <f>E45</f>
        <v>40543</v>
      </c>
      <c r="J45" s="19">
        <f>G45</f>
        <v>39994</v>
      </c>
      <c r="K45" s="19">
        <f>H45</f>
        <v>40543</v>
      </c>
    </row>
    <row r="46" spans="1:20" x14ac:dyDescent="0.3">
      <c r="A46" s="45">
        <f>A42</f>
        <v>-1000000</v>
      </c>
      <c r="B46" s="41">
        <f>-A46*(1+HFR!V7)</f>
        <v>1120102.5004585176</v>
      </c>
      <c r="D46" s="45">
        <f>D42</f>
        <v>-1000000</v>
      </c>
      <c r="E46" s="41">
        <f>-D34*(1+HFR!U7)</f>
        <v>1095765.2957846255</v>
      </c>
      <c r="G46" s="45">
        <f>G42</f>
        <v>-1000000</v>
      </c>
      <c r="H46" s="41">
        <f>-G46*(1+PE!P6)</f>
        <v>1280845.2624403546</v>
      </c>
      <c r="J46" s="45">
        <f>J42</f>
        <v>-1000000</v>
      </c>
      <c r="K46" s="41">
        <f>-J46*(1+PE!Q6)</f>
        <v>1151696.6067864271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4"/>
  <sheetViews>
    <sheetView workbookViewId="0">
      <selection activeCell="M7" sqref="M7"/>
    </sheetView>
  </sheetViews>
  <sheetFormatPr defaultRowHeight="14.4" x14ac:dyDescent="0.3"/>
  <cols>
    <col min="3" max="3" width="12.6640625" bestFit="1" customWidth="1"/>
  </cols>
  <sheetData>
    <row r="1" spans="1:19" ht="57.6" x14ac:dyDescent="0.3">
      <c r="A1" s="87" t="s">
        <v>359</v>
      </c>
      <c r="B1" s="88" t="s">
        <v>68</v>
      </c>
      <c r="C1" s="89" t="s">
        <v>360</v>
      </c>
      <c r="D1" s="90" t="s">
        <v>361</v>
      </c>
      <c r="E1" s="91" t="s">
        <v>362</v>
      </c>
      <c r="F1" s="91" t="s">
        <v>363</v>
      </c>
      <c r="G1" s="92"/>
      <c r="H1" s="93" t="s">
        <v>364</v>
      </c>
      <c r="I1" s="94" t="s">
        <v>365</v>
      </c>
      <c r="J1" s="95" t="s">
        <v>366</v>
      </c>
    </row>
    <row r="2" spans="1:19" x14ac:dyDescent="0.3">
      <c r="A2">
        <v>1</v>
      </c>
      <c r="B2" s="96">
        <v>25569</v>
      </c>
      <c r="C2" s="97">
        <v>11114700</v>
      </c>
      <c r="D2" s="98">
        <v>85.02</v>
      </c>
      <c r="E2" s="99"/>
      <c r="F2" s="100" t="s">
        <v>367</v>
      </c>
      <c r="G2" s="101"/>
      <c r="H2" s="98">
        <v>85.28</v>
      </c>
      <c r="I2" s="100" t="s">
        <v>367</v>
      </c>
      <c r="J2" s="100" t="s">
        <v>367</v>
      </c>
    </row>
    <row r="3" spans="1:19" x14ac:dyDescent="0.3">
      <c r="A3">
        <v>2</v>
      </c>
      <c r="B3" s="96">
        <v>25600</v>
      </c>
      <c r="C3" s="97">
        <v>12698400</v>
      </c>
      <c r="D3" s="98">
        <v>89.5</v>
      </c>
      <c r="E3" s="99">
        <f>(D3-D2)/D2</f>
        <v>5.2693483886144483E-2</v>
      </c>
      <c r="F3" s="100" t="s">
        <v>367</v>
      </c>
      <c r="G3" s="101"/>
      <c r="H3" s="98">
        <v>90.034000000000006</v>
      </c>
      <c r="I3" s="99">
        <f>(H3-H2)/H2</f>
        <v>5.5745778611632324E-2</v>
      </c>
      <c r="J3" s="100" t="s">
        <v>367</v>
      </c>
      <c r="O3">
        <v>1</v>
      </c>
      <c r="P3" s="48">
        <f>M429</f>
        <v>0.11396134573391836</v>
      </c>
      <c r="R3">
        <v>2004</v>
      </c>
      <c r="S3" s="46">
        <f>(1+I415)*(1+I416)*(1+I417)*(1+I418)*(1+I419)*(1+I420)*(1+I421)-1</f>
        <v>9.2751778596602774E-2</v>
      </c>
    </row>
    <row r="4" spans="1:19" x14ac:dyDescent="0.3">
      <c r="A4">
        <v>3</v>
      </c>
      <c r="B4" s="96">
        <v>25628</v>
      </c>
      <c r="C4" s="97">
        <v>10535700</v>
      </c>
      <c r="D4" s="98">
        <v>89.63</v>
      </c>
      <c r="E4" s="99">
        <f t="shared" ref="E4:E67" si="0">(D4-D3)/D3</f>
        <v>1.452513966480396E-3</v>
      </c>
      <c r="F4" s="100" t="s">
        <v>367</v>
      </c>
      <c r="G4" s="101"/>
      <c r="H4" s="98">
        <v>90.427000000000007</v>
      </c>
      <c r="I4" s="99">
        <f t="shared" ref="I4:I67" si="1">(H4-H3)/H3</f>
        <v>4.3650176599951199E-3</v>
      </c>
      <c r="J4" s="100" t="s">
        <v>367</v>
      </c>
      <c r="O4">
        <v>2</v>
      </c>
      <c r="P4" s="48">
        <f>O440</f>
        <v>0.1293807029964269</v>
      </c>
      <c r="R4">
        <v>2005</v>
      </c>
      <c r="S4" s="48">
        <f>J433</f>
        <v>4.9119556688679511E-2</v>
      </c>
    </row>
    <row r="5" spans="1:19" x14ac:dyDescent="0.3">
      <c r="A5">
        <v>4</v>
      </c>
      <c r="B5" s="96">
        <v>25659</v>
      </c>
      <c r="C5" s="97">
        <v>10590900</v>
      </c>
      <c r="D5" s="98">
        <v>81.52</v>
      </c>
      <c r="E5" s="99">
        <f t="shared" si="0"/>
        <v>-9.0483097177284394E-2</v>
      </c>
      <c r="F5" s="100" t="s">
        <v>367</v>
      </c>
      <c r="G5" s="101"/>
      <c r="H5" s="98">
        <v>82.516999999999996</v>
      </c>
      <c r="I5" s="99">
        <f t="shared" si="1"/>
        <v>-8.747387395357592E-2</v>
      </c>
      <c r="J5" s="100" t="s">
        <v>367</v>
      </c>
      <c r="O5">
        <v>3</v>
      </c>
      <c r="P5" s="48">
        <f>Q469</f>
        <v>-0.27870317326203298</v>
      </c>
      <c r="R5">
        <v>2006</v>
      </c>
      <c r="S5" s="48">
        <f>J445</f>
        <v>0.15794243570111566</v>
      </c>
    </row>
    <row r="6" spans="1:19" x14ac:dyDescent="0.3">
      <c r="A6">
        <v>5</v>
      </c>
      <c r="B6" s="96">
        <v>25689</v>
      </c>
      <c r="C6" s="97">
        <v>12992800</v>
      </c>
      <c r="D6" s="98">
        <v>76.55</v>
      </c>
      <c r="E6" s="99">
        <f t="shared" si="0"/>
        <v>-6.0966633954857692E-2</v>
      </c>
      <c r="F6" s="100" t="s">
        <v>367</v>
      </c>
      <c r="G6" s="101"/>
      <c r="H6" s="98">
        <v>77.75</v>
      </c>
      <c r="I6" s="99">
        <f t="shared" si="1"/>
        <v>-5.7769914078311092E-2</v>
      </c>
      <c r="J6" s="100" t="s">
        <v>367</v>
      </c>
      <c r="O6">
        <v>4</v>
      </c>
      <c r="P6" s="48">
        <f>S493</f>
        <v>0.41035450508005389</v>
      </c>
      <c r="R6">
        <v>2007</v>
      </c>
      <c r="S6" s="48">
        <f>J457</f>
        <v>5.493962610589409E-2</v>
      </c>
    </row>
    <row r="7" spans="1:19" x14ac:dyDescent="0.3">
      <c r="A7">
        <v>6</v>
      </c>
      <c r="B7" s="96">
        <v>25720</v>
      </c>
      <c r="C7" s="97">
        <v>10713600</v>
      </c>
      <c r="D7" s="98">
        <v>72.72</v>
      </c>
      <c r="E7" s="99">
        <f t="shared" si="0"/>
        <v>-5.0032658393207037E-2</v>
      </c>
      <c r="F7" s="100" t="s">
        <v>367</v>
      </c>
      <c r="G7" s="101"/>
      <c r="H7" s="98">
        <v>74.123999999999995</v>
      </c>
      <c r="I7" s="99">
        <f t="shared" si="1"/>
        <v>-4.6636655948553117E-2</v>
      </c>
      <c r="J7" s="100" t="s">
        <v>367</v>
      </c>
      <c r="R7">
        <v>2008</v>
      </c>
      <c r="S7" s="48">
        <f>J469</f>
        <v>-0.36997838899122026</v>
      </c>
    </row>
    <row r="8" spans="1:19" x14ac:dyDescent="0.3">
      <c r="A8">
        <v>7</v>
      </c>
      <c r="B8" s="96">
        <v>25750</v>
      </c>
      <c r="C8" s="97">
        <v>10880900</v>
      </c>
      <c r="D8" s="98">
        <v>78.05</v>
      </c>
      <c r="E8" s="99">
        <f t="shared" si="0"/>
        <v>7.329482948294827E-2</v>
      </c>
      <c r="F8" s="100" t="s">
        <v>367</v>
      </c>
      <c r="G8" s="101"/>
      <c r="H8" s="98">
        <v>79.820999999999998</v>
      </c>
      <c r="I8" s="99">
        <f t="shared" si="1"/>
        <v>7.6857697911607611E-2</v>
      </c>
      <c r="J8" s="100" t="s">
        <v>367</v>
      </c>
      <c r="R8">
        <v>2009</v>
      </c>
      <c r="S8" s="48">
        <f>J481</f>
        <v>0.26462198355405658</v>
      </c>
    </row>
    <row r="9" spans="1:19" x14ac:dyDescent="0.3">
      <c r="A9">
        <v>8</v>
      </c>
      <c r="B9" s="96">
        <v>25781</v>
      </c>
      <c r="C9" s="97">
        <v>10925200</v>
      </c>
      <c r="D9" s="98">
        <v>81.52</v>
      </c>
      <c r="E9" s="99">
        <f t="shared" si="0"/>
        <v>4.4458680333119782E-2</v>
      </c>
      <c r="F9" s="100" t="s">
        <v>367</v>
      </c>
      <c r="G9" s="101"/>
      <c r="H9" s="98">
        <v>83.635999999999996</v>
      </c>
      <c r="I9" s="99">
        <f t="shared" si="1"/>
        <v>4.7794440059633403E-2</v>
      </c>
      <c r="J9" s="100" t="s">
        <v>367</v>
      </c>
      <c r="R9">
        <v>2010</v>
      </c>
      <c r="S9" s="48">
        <f>J493</f>
        <v>0.15051492865905597</v>
      </c>
    </row>
    <row r="10" spans="1:19" x14ac:dyDescent="0.3">
      <c r="A10">
        <v>9</v>
      </c>
      <c r="B10" s="96">
        <v>25812</v>
      </c>
      <c r="C10" s="97">
        <v>15148500</v>
      </c>
      <c r="D10" s="98">
        <v>84.3</v>
      </c>
      <c r="E10" s="99">
        <f t="shared" si="0"/>
        <v>3.4102060843964686E-2</v>
      </c>
      <c r="F10" s="100" t="s">
        <v>367</v>
      </c>
      <c r="G10" s="101"/>
      <c r="H10" s="98">
        <v>86.662999999999997</v>
      </c>
      <c r="I10" s="99">
        <f t="shared" si="1"/>
        <v>3.6192548663255074E-2</v>
      </c>
      <c r="J10" s="100" t="s">
        <v>367</v>
      </c>
      <c r="R10">
        <v>2011</v>
      </c>
      <c r="S10" s="48">
        <f>J505</f>
        <v>2.1167944736736742E-2</v>
      </c>
    </row>
    <row r="11" spans="1:19" x14ac:dyDescent="0.3">
      <c r="A11">
        <v>10</v>
      </c>
      <c r="B11" s="96">
        <v>25842</v>
      </c>
      <c r="C11" s="97">
        <v>12358600</v>
      </c>
      <c r="D11" s="98">
        <v>83.25</v>
      </c>
      <c r="E11" s="99">
        <f t="shared" si="0"/>
        <v>-1.2455516014234842E-2</v>
      </c>
      <c r="F11" s="100" t="s">
        <v>367</v>
      </c>
      <c r="G11" s="101"/>
      <c r="H11" s="98">
        <v>85.941999999999993</v>
      </c>
      <c r="I11" s="99">
        <f t="shared" si="1"/>
        <v>-8.3195827515779933E-3</v>
      </c>
      <c r="J11" s="100" t="s">
        <v>367</v>
      </c>
      <c r="R11">
        <v>2012</v>
      </c>
      <c r="S11" s="48">
        <f>K517</f>
        <v>0.11401431266983009</v>
      </c>
    </row>
    <row r="12" spans="1:19" x14ac:dyDescent="0.3">
      <c r="A12">
        <v>11</v>
      </c>
      <c r="B12" s="96">
        <v>25873</v>
      </c>
      <c r="C12" s="97">
        <v>12399500</v>
      </c>
      <c r="D12" s="98">
        <v>87.2</v>
      </c>
      <c r="E12" s="99">
        <f t="shared" si="0"/>
        <v>4.7447447447447479E-2</v>
      </c>
      <c r="F12" s="100" t="s">
        <v>367</v>
      </c>
      <c r="G12" s="101"/>
      <c r="H12" s="98">
        <v>90.287999999999997</v>
      </c>
      <c r="I12" s="99">
        <f t="shared" si="1"/>
        <v>5.0568988387517208E-2</v>
      </c>
      <c r="J12" s="100" t="s">
        <v>367</v>
      </c>
      <c r="R12">
        <v>2013</v>
      </c>
      <c r="S12" s="48">
        <f>K523</f>
        <v>0.13835159845318912</v>
      </c>
    </row>
    <row r="13" spans="1:19" x14ac:dyDescent="0.3">
      <c r="A13">
        <v>12</v>
      </c>
      <c r="B13" s="102">
        <v>25903</v>
      </c>
      <c r="C13" s="103">
        <v>15846800</v>
      </c>
      <c r="D13" s="104">
        <v>92.15</v>
      </c>
      <c r="E13" s="105">
        <f t="shared" si="0"/>
        <v>5.6766055045871587E-2</v>
      </c>
      <c r="F13" s="106" t="s">
        <v>367</v>
      </c>
      <c r="G13" s="107"/>
      <c r="H13" s="104">
        <v>95.683000000000007</v>
      </c>
      <c r="I13" s="105">
        <f t="shared" si="1"/>
        <v>5.9753234095339475E-2</v>
      </c>
      <c r="J13" s="106" t="s">
        <v>367</v>
      </c>
    </row>
    <row r="14" spans="1:19" x14ac:dyDescent="0.3">
      <c r="A14">
        <v>13</v>
      </c>
      <c r="B14" s="96">
        <v>25934</v>
      </c>
      <c r="C14" s="97">
        <v>18472500</v>
      </c>
      <c r="D14" s="98">
        <v>95.88</v>
      </c>
      <c r="E14" s="99">
        <f t="shared" si="0"/>
        <v>4.0477482365707973E-2</v>
      </c>
      <c r="F14" s="99">
        <f>(D14-D2)/D2</f>
        <v>0.12773465067043049</v>
      </c>
      <c r="G14" s="101"/>
      <c r="H14" s="98">
        <v>99.816000000000003</v>
      </c>
      <c r="I14" s="99">
        <f t="shared" si="1"/>
        <v>4.319471588474437E-2</v>
      </c>
      <c r="J14" s="99">
        <f t="shared" ref="J14:J77" si="2">(H14-H2)/H2</f>
        <v>0.17045028142589119</v>
      </c>
    </row>
    <row r="15" spans="1:19" x14ac:dyDescent="0.3">
      <c r="A15">
        <v>14</v>
      </c>
      <c r="B15" s="96">
        <v>25965</v>
      </c>
      <c r="C15" s="97">
        <v>20444200</v>
      </c>
      <c r="D15" s="98">
        <v>96.75</v>
      </c>
      <c r="E15" s="99">
        <f t="shared" si="0"/>
        <v>9.0738423028786461E-3</v>
      </c>
      <c r="F15" s="99">
        <f t="shared" ref="F15:F78" si="3">(D15-D3)/D3</f>
        <v>8.1005586592178769E-2</v>
      </c>
      <c r="G15" s="101"/>
      <c r="H15" s="98">
        <v>100.982</v>
      </c>
      <c r="I15" s="99">
        <f t="shared" si="1"/>
        <v>1.1681493948865881E-2</v>
      </c>
      <c r="J15" s="99">
        <f t="shared" si="2"/>
        <v>0.12159850723060169</v>
      </c>
    </row>
    <row r="16" spans="1:19" x14ac:dyDescent="0.3">
      <c r="A16">
        <v>15</v>
      </c>
      <c r="B16" s="96">
        <v>25993</v>
      </c>
      <c r="C16" s="97">
        <v>17716900</v>
      </c>
      <c r="D16" s="98">
        <v>100.31</v>
      </c>
      <c r="E16" s="99">
        <f t="shared" si="0"/>
        <v>3.6795865633074958E-2</v>
      </c>
      <c r="F16" s="99">
        <f t="shared" si="3"/>
        <v>0.11915653241102318</v>
      </c>
      <c r="G16" s="101"/>
      <c r="H16" s="98">
        <v>104.958</v>
      </c>
      <c r="I16" s="99">
        <f t="shared" si="1"/>
        <v>3.937335366699015E-2</v>
      </c>
      <c r="J16" s="99">
        <f t="shared" si="2"/>
        <v>0.16069315580523505</v>
      </c>
    </row>
    <row r="17" spans="1:10" x14ac:dyDescent="0.3">
      <c r="A17">
        <v>16</v>
      </c>
      <c r="B17" s="96">
        <v>26024</v>
      </c>
      <c r="C17" s="97">
        <v>19955700</v>
      </c>
      <c r="D17" s="98">
        <v>103.95</v>
      </c>
      <c r="E17" s="99">
        <f t="shared" si="0"/>
        <v>3.6287508722958835E-2</v>
      </c>
      <c r="F17" s="99">
        <f t="shared" si="3"/>
        <v>0.27514720314033375</v>
      </c>
      <c r="G17" s="101"/>
      <c r="H17" s="98">
        <v>109.039</v>
      </c>
      <c r="I17" s="99">
        <f t="shared" si="1"/>
        <v>3.8882219554488492E-2</v>
      </c>
      <c r="J17" s="99">
        <f t="shared" si="2"/>
        <v>0.32141255741241209</v>
      </c>
    </row>
    <row r="18" spans="1:10" x14ac:dyDescent="0.3">
      <c r="A18">
        <v>17</v>
      </c>
      <c r="B18" s="96">
        <v>26054</v>
      </c>
      <c r="C18" s="97">
        <v>15956000</v>
      </c>
      <c r="D18" s="98">
        <v>99.63</v>
      </c>
      <c r="E18" s="99">
        <f t="shared" si="0"/>
        <v>-4.1558441558441628E-2</v>
      </c>
      <c r="F18" s="99">
        <f t="shared" si="3"/>
        <v>0.3015022860875245</v>
      </c>
      <c r="G18" s="101"/>
      <c r="H18" s="98">
        <v>104.78</v>
      </c>
      <c r="I18" s="99">
        <f t="shared" si="1"/>
        <v>-3.905941910692505E-2</v>
      </c>
      <c r="J18" s="99">
        <f t="shared" si="2"/>
        <v>0.3476527331189711</v>
      </c>
    </row>
    <row r="19" spans="1:10" x14ac:dyDescent="0.3">
      <c r="A19">
        <v>18</v>
      </c>
      <c r="B19" s="96">
        <v>26085</v>
      </c>
      <c r="C19" s="97">
        <v>14500000</v>
      </c>
      <c r="D19" s="98">
        <v>98.7</v>
      </c>
      <c r="E19" s="99">
        <f t="shared" si="0"/>
        <v>-9.3345377898222687E-3</v>
      </c>
      <c r="F19" s="99">
        <f t="shared" si="3"/>
        <v>0.35726072607260734</v>
      </c>
      <c r="G19" s="101"/>
      <c r="H19" s="98">
        <v>105.127</v>
      </c>
      <c r="I19" s="99">
        <f t="shared" si="1"/>
        <v>3.3117007062415937E-3</v>
      </c>
      <c r="J19" s="99">
        <f t="shared" si="2"/>
        <v>0.41825859370784096</v>
      </c>
    </row>
    <row r="20" spans="1:10" x14ac:dyDescent="0.3">
      <c r="A20">
        <v>19</v>
      </c>
      <c r="B20" s="96">
        <v>26115</v>
      </c>
      <c r="C20" s="97">
        <v>13248000</v>
      </c>
      <c r="D20" s="98">
        <v>95.58</v>
      </c>
      <c r="E20" s="99">
        <f t="shared" si="0"/>
        <v>-3.1610942249240166E-2</v>
      </c>
      <c r="F20" s="99">
        <f t="shared" si="3"/>
        <v>0.22459961563100578</v>
      </c>
      <c r="G20" s="101"/>
      <c r="H20" s="98">
        <v>101.057</v>
      </c>
      <c r="I20" s="99">
        <f t="shared" si="1"/>
        <v>-3.8715077953332573E-2</v>
      </c>
      <c r="J20" s="99">
        <f t="shared" si="2"/>
        <v>0.26604527630573416</v>
      </c>
    </row>
    <row r="21" spans="1:10" x14ac:dyDescent="0.3">
      <c r="A21">
        <v>20</v>
      </c>
      <c r="B21" s="96">
        <v>26146</v>
      </c>
      <c r="C21" s="97">
        <v>15043100</v>
      </c>
      <c r="D21" s="98">
        <v>99.03</v>
      </c>
      <c r="E21" s="99">
        <f t="shared" si="0"/>
        <v>3.6095417451349684E-2</v>
      </c>
      <c r="F21" s="99">
        <f t="shared" si="3"/>
        <v>0.21479391560353295</v>
      </c>
      <c r="G21" s="101"/>
      <c r="H21" s="98">
        <v>104.98</v>
      </c>
      <c r="I21" s="99">
        <f t="shared" si="1"/>
        <v>3.8819676024421879E-2</v>
      </c>
      <c r="J21" s="99">
        <f t="shared" si="2"/>
        <v>0.25520110957004172</v>
      </c>
    </row>
    <row r="22" spans="1:10" x14ac:dyDescent="0.3">
      <c r="A22">
        <v>21</v>
      </c>
      <c r="B22" s="96">
        <v>26177</v>
      </c>
      <c r="C22" s="97">
        <v>12676600</v>
      </c>
      <c r="D22" s="98">
        <v>98.34</v>
      </c>
      <c r="E22" s="99">
        <f t="shared" si="0"/>
        <v>-6.9675855801272111E-3</v>
      </c>
      <c r="F22" s="99">
        <f t="shared" si="3"/>
        <v>0.16654804270462642</v>
      </c>
      <c r="G22" s="101"/>
      <c r="H22" s="98">
        <v>104.51300000000001</v>
      </c>
      <c r="I22" s="99">
        <f t="shared" si="1"/>
        <v>-4.4484663745475205E-3</v>
      </c>
      <c r="J22" s="99">
        <f t="shared" si="2"/>
        <v>0.20597025258760959</v>
      </c>
    </row>
    <row r="23" spans="1:10" x14ac:dyDescent="0.3">
      <c r="A23">
        <v>22</v>
      </c>
      <c r="B23" s="96">
        <v>26207</v>
      </c>
      <c r="C23" s="97">
        <v>13894700</v>
      </c>
      <c r="D23" s="98">
        <v>94.23</v>
      </c>
      <c r="E23" s="99">
        <f t="shared" si="0"/>
        <v>-4.1793776693105543E-2</v>
      </c>
      <c r="F23" s="99">
        <f t="shared" si="3"/>
        <v>0.13189189189189193</v>
      </c>
      <c r="G23" s="101"/>
      <c r="H23" s="98">
        <v>100.422</v>
      </c>
      <c r="I23" s="99">
        <f t="shared" si="1"/>
        <v>-3.9143455838029792E-2</v>
      </c>
      <c r="J23" s="99">
        <f t="shared" si="2"/>
        <v>0.16848572292941758</v>
      </c>
    </row>
    <row r="24" spans="1:10" x14ac:dyDescent="0.3">
      <c r="A24">
        <v>23</v>
      </c>
      <c r="B24" s="96">
        <v>26238</v>
      </c>
      <c r="C24" s="97">
        <v>14034700</v>
      </c>
      <c r="D24" s="98">
        <v>93.99</v>
      </c>
      <c r="E24" s="99">
        <f t="shared" si="0"/>
        <v>-2.54695956701697E-3</v>
      </c>
      <c r="F24" s="99">
        <f t="shared" si="3"/>
        <v>7.7866972477064131E-2</v>
      </c>
      <c r="G24" s="101"/>
      <c r="H24" s="98">
        <v>100.443</v>
      </c>
      <c r="I24" s="99">
        <f t="shared" si="1"/>
        <v>2.091175240485232E-4</v>
      </c>
      <c r="J24" s="99">
        <f t="shared" si="2"/>
        <v>0.11247341839447104</v>
      </c>
    </row>
    <row r="25" spans="1:10" x14ac:dyDescent="0.3">
      <c r="A25">
        <v>24</v>
      </c>
      <c r="B25" s="102">
        <v>26268</v>
      </c>
      <c r="C25" s="103">
        <v>17805400</v>
      </c>
      <c r="D25" s="104">
        <v>102.09</v>
      </c>
      <c r="E25" s="105">
        <f t="shared" si="0"/>
        <v>8.617938078519001E-2</v>
      </c>
      <c r="F25" s="105">
        <f t="shared" si="3"/>
        <v>0.10786760716223545</v>
      </c>
      <c r="G25" s="107"/>
      <c r="H25" s="104">
        <v>109.366</v>
      </c>
      <c r="I25" s="105">
        <f t="shared" si="1"/>
        <v>8.8836454506536072E-2</v>
      </c>
      <c r="J25" s="105">
        <f t="shared" si="2"/>
        <v>0.14300345933969452</v>
      </c>
    </row>
    <row r="26" spans="1:10" x14ac:dyDescent="0.3">
      <c r="A26">
        <v>25</v>
      </c>
      <c r="B26" s="96">
        <v>26299</v>
      </c>
      <c r="C26" s="97">
        <v>18940000</v>
      </c>
      <c r="D26" s="98">
        <v>103.94</v>
      </c>
      <c r="E26" s="99">
        <f t="shared" si="0"/>
        <v>1.8121265550004841E-2</v>
      </c>
      <c r="F26" s="99">
        <f t="shared" si="3"/>
        <v>8.4063412599082218E-2</v>
      </c>
      <c r="G26" s="101"/>
      <c r="H26" s="98">
        <v>111.616</v>
      </c>
      <c r="I26" s="99">
        <f t="shared" si="1"/>
        <v>2.0573121445421796E-2</v>
      </c>
      <c r="J26" s="99">
        <f t="shared" si="2"/>
        <v>0.11821752023723649</v>
      </c>
    </row>
    <row r="27" spans="1:10" x14ac:dyDescent="0.3">
      <c r="A27">
        <v>26</v>
      </c>
      <c r="B27" s="96">
        <v>26330</v>
      </c>
      <c r="C27" s="97">
        <v>19829000</v>
      </c>
      <c r="D27" s="98">
        <v>106.57</v>
      </c>
      <c r="E27" s="99">
        <f t="shared" si="0"/>
        <v>2.5303059457379214E-2</v>
      </c>
      <c r="F27" s="99">
        <f t="shared" si="3"/>
        <v>0.10149870801033585</v>
      </c>
      <c r="G27" s="101"/>
      <c r="H27" s="98">
        <v>114.709</v>
      </c>
      <c r="I27" s="99">
        <f t="shared" si="1"/>
        <v>2.7711080848623885E-2</v>
      </c>
      <c r="J27" s="99">
        <f t="shared" si="2"/>
        <v>0.13593511714959106</v>
      </c>
    </row>
    <row r="28" spans="1:10" x14ac:dyDescent="0.3">
      <c r="A28">
        <v>27</v>
      </c>
      <c r="B28" s="96">
        <v>26359</v>
      </c>
      <c r="C28" s="97">
        <v>19000400</v>
      </c>
      <c r="D28" s="98">
        <v>107.2</v>
      </c>
      <c r="E28" s="99">
        <f t="shared" si="0"/>
        <v>5.911607394201086E-3</v>
      </c>
      <c r="F28" s="99">
        <f t="shared" si="3"/>
        <v>6.8687070082743495E-2</v>
      </c>
      <c r="G28" s="101"/>
      <c r="H28" s="98">
        <v>115.65600000000001</v>
      </c>
      <c r="I28" s="99">
        <f t="shared" si="1"/>
        <v>8.2556730509376133E-3</v>
      </c>
      <c r="J28" s="99">
        <f t="shared" si="2"/>
        <v>0.10192648487966623</v>
      </c>
    </row>
    <row r="29" spans="1:10" x14ac:dyDescent="0.3">
      <c r="A29">
        <v>28</v>
      </c>
      <c r="B29" s="96">
        <v>26390</v>
      </c>
      <c r="C29" s="97">
        <v>19107500</v>
      </c>
      <c r="D29" s="98">
        <v>107.67</v>
      </c>
      <c r="E29" s="99">
        <f t="shared" si="0"/>
        <v>4.3843283582089441E-3</v>
      </c>
      <c r="F29" s="99">
        <f t="shared" si="3"/>
        <v>3.5786435786435776E-2</v>
      </c>
      <c r="G29" s="101"/>
      <c r="H29" s="98">
        <v>116.443</v>
      </c>
      <c r="I29" s="99">
        <f t="shared" si="1"/>
        <v>6.8046621014040938E-3</v>
      </c>
      <c r="J29" s="99">
        <f t="shared" si="2"/>
        <v>6.7902310182595182E-2</v>
      </c>
    </row>
    <row r="30" spans="1:10" x14ac:dyDescent="0.3">
      <c r="A30">
        <v>29</v>
      </c>
      <c r="B30" s="96">
        <v>26420</v>
      </c>
      <c r="C30" s="97">
        <v>15958100</v>
      </c>
      <c r="D30" s="98">
        <v>109.53</v>
      </c>
      <c r="E30" s="99">
        <f t="shared" si="0"/>
        <v>1.7275006965728611E-2</v>
      </c>
      <c r="F30" s="99">
        <f t="shared" si="3"/>
        <v>9.9367660343270159E-2</v>
      </c>
      <c r="G30" s="101"/>
      <c r="H30" s="98">
        <v>118.736</v>
      </c>
      <c r="I30" s="99">
        <f t="shared" si="1"/>
        <v>1.969203816459561E-2</v>
      </c>
      <c r="J30" s="99">
        <f t="shared" si="2"/>
        <v>0.13319335751097541</v>
      </c>
    </row>
    <row r="31" spans="1:10" x14ac:dyDescent="0.3">
      <c r="A31">
        <v>30</v>
      </c>
      <c r="B31" s="96">
        <v>26451</v>
      </c>
      <c r="C31" s="97">
        <v>14880400</v>
      </c>
      <c r="D31" s="98">
        <v>107.14</v>
      </c>
      <c r="E31" s="99">
        <f t="shared" si="0"/>
        <v>-2.1820505797498408E-2</v>
      </c>
      <c r="F31" s="99">
        <f t="shared" si="3"/>
        <v>8.5511651469098254E-2</v>
      </c>
      <c r="G31" s="101"/>
      <c r="H31" s="98">
        <v>116.42700000000001</v>
      </c>
      <c r="I31" s="99">
        <f t="shared" si="1"/>
        <v>-1.9446503166689104E-2</v>
      </c>
      <c r="J31" s="99">
        <f t="shared" si="2"/>
        <v>0.10748903706944944</v>
      </c>
    </row>
    <row r="32" spans="1:10" x14ac:dyDescent="0.3">
      <c r="A32">
        <v>31</v>
      </c>
      <c r="B32" s="96">
        <v>26481</v>
      </c>
      <c r="C32" s="97">
        <v>15001000</v>
      </c>
      <c r="D32" s="98">
        <v>107.39</v>
      </c>
      <c r="E32" s="99">
        <f t="shared" si="0"/>
        <v>2.3333955572148591E-3</v>
      </c>
      <c r="F32" s="99">
        <f t="shared" si="3"/>
        <v>0.12356141452186653</v>
      </c>
      <c r="G32" s="101"/>
      <c r="H32" s="98">
        <v>116.98099999999999</v>
      </c>
      <c r="I32" s="99">
        <f t="shared" si="1"/>
        <v>4.7583464316695249E-3</v>
      </c>
      <c r="J32" s="99">
        <f t="shared" si="2"/>
        <v>0.15757443818834907</v>
      </c>
    </row>
    <row r="33" spans="1:10" x14ac:dyDescent="0.3">
      <c r="A33">
        <v>32</v>
      </c>
      <c r="B33" s="96">
        <v>26512</v>
      </c>
      <c r="C33" s="97">
        <v>16055200</v>
      </c>
      <c r="D33" s="98">
        <v>111.09</v>
      </c>
      <c r="E33" s="99">
        <f t="shared" si="0"/>
        <v>3.4453859763478936E-2</v>
      </c>
      <c r="F33" s="99">
        <f t="shared" si="3"/>
        <v>0.12178127840048472</v>
      </c>
      <c r="G33" s="101"/>
      <c r="H33" s="98">
        <v>121.295</v>
      </c>
      <c r="I33" s="99">
        <f t="shared" si="1"/>
        <v>3.6877783571691192E-2</v>
      </c>
      <c r="J33" s="99">
        <f t="shared" si="2"/>
        <v>0.1554105543913126</v>
      </c>
    </row>
    <row r="34" spans="1:10" x14ac:dyDescent="0.3">
      <c r="A34">
        <v>33</v>
      </c>
      <c r="B34" s="96">
        <v>26543</v>
      </c>
      <c r="C34" s="97">
        <v>13122000</v>
      </c>
      <c r="D34" s="98">
        <v>110.55</v>
      </c>
      <c r="E34" s="99">
        <f t="shared" si="0"/>
        <v>-4.8609235754793973E-3</v>
      </c>
      <c r="F34" s="99">
        <f t="shared" si="3"/>
        <v>0.12416107382550329</v>
      </c>
      <c r="G34" s="101"/>
      <c r="H34" s="98">
        <v>120.989</v>
      </c>
      <c r="I34" s="99">
        <f t="shared" si="1"/>
        <v>-2.522775052557792E-3</v>
      </c>
      <c r="J34" s="99">
        <f t="shared" si="2"/>
        <v>0.15764546037335067</v>
      </c>
    </row>
    <row r="35" spans="1:10" x14ac:dyDescent="0.3">
      <c r="A35">
        <v>34</v>
      </c>
      <c r="B35" s="96">
        <v>26573</v>
      </c>
      <c r="C35" s="97">
        <v>15125000</v>
      </c>
      <c r="D35" s="98">
        <v>111.58</v>
      </c>
      <c r="E35" s="99">
        <f t="shared" si="0"/>
        <v>9.3170511080958949E-3</v>
      </c>
      <c r="F35" s="99">
        <f t="shared" si="3"/>
        <v>0.18412395203226142</v>
      </c>
      <c r="G35" s="101"/>
      <c r="H35" s="98">
        <v>122.423</v>
      </c>
      <c r="I35" s="99">
        <f t="shared" si="1"/>
        <v>1.1852317152798993E-2</v>
      </c>
      <c r="J35" s="99">
        <f t="shared" si="2"/>
        <v>0.21908545936149454</v>
      </c>
    </row>
    <row r="36" spans="1:10" x14ac:dyDescent="0.3">
      <c r="A36">
        <v>35</v>
      </c>
      <c r="B36" s="96">
        <v>26604</v>
      </c>
      <c r="C36" s="97">
        <v>21245500</v>
      </c>
      <c r="D36" s="98">
        <v>116.67</v>
      </c>
      <c r="E36" s="99">
        <f t="shared" si="0"/>
        <v>4.5617494174583287E-2</v>
      </c>
      <c r="F36" s="99">
        <f t="shared" si="3"/>
        <v>0.24130226619853185</v>
      </c>
      <c r="G36" s="101"/>
      <c r="H36" s="98">
        <v>128.315</v>
      </c>
      <c r="I36" s="99">
        <f t="shared" si="1"/>
        <v>4.8128211202143355E-2</v>
      </c>
      <c r="J36" s="99">
        <f t="shared" si="2"/>
        <v>0.27749071612755494</v>
      </c>
    </row>
    <row r="37" spans="1:10" x14ac:dyDescent="0.3">
      <c r="A37">
        <v>36</v>
      </c>
      <c r="B37" s="102">
        <v>26634</v>
      </c>
      <c r="C37" s="103">
        <v>19593600</v>
      </c>
      <c r="D37" s="104">
        <v>118.05</v>
      </c>
      <c r="E37" s="105">
        <f t="shared" si="0"/>
        <v>1.1828233479043417E-2</v>
      </c>
      <c r="F37" s="105">
        <f t="shared" si="3"/>
        <v>0.15633264766382596</v>
      </c>
      <c r="G37" s="107"/>
      <c r="H37" s="104">
        <v>130.13999999999999</v>
      </c>
      <c r="I37" s="105">
        <f t="shared" si="1"/>
        <v>1.4222811050929264E-2</v>
      </c>
      <c r="J37" s="105">
        <f t="shared" si="2"/>
        <v>0.1899493444031965</v>
      </c>
    </row>
    <row r="38" spans="1:10" x14ac:dyDescent="0.3">
      <c r="A38">
        <v>37</v>
      </c>
      <c r="B38" s="96">
        <v>26665</v>
      </c>
      <c r="C38" s="97">
        <v>19458000</v>
      </c>
      <c r="D38" s="98">
        <v>116.03</v>
      </c>
      <c r="E38" s="99">
        <f t="shared" si="0"/>
        <v>-1.7111393477340076E-2</v>
      </c>
      <c r="F38" s="99">
        <f t="shared" si="3"/>
        <v>0.11631710602270544</v>
      </c>
      <c r="G38" s="101"/>
      <c r="H38" s="98">
        <v>128.19999999999999</v>
      </c>
      <c r="I38" s="99">
        <f t="shared" si="1"/>
        <v>-1.4907023205778377E-2</v>
      </c>
      <c r="J38" s="99">
        <f t="shared" si="2"/>
        <v>0.14858084862385312</v>
      </c>
    </row>
    <row r="39" spans="1:10" x14ac:dyDescent="0.3">
      <c r="A39">
        <v>38</v>
      </c>
      <c r="B39" s="96">
        <v>26696</v>
      </c>
      <c r="C39" s="97">
        <v>17691500</v>
      </c>
      <c r="D39" s="98">
        <v>111.68</v>
      </c>
      <c r="E39" s="99">
        <f t="shared" si="0"/>
        <v>-3.7490304231664176E-2</v>
      </c>
      <c r="F39" s="99">
        <f t="shared" si="3"/>
        <v>4.7949704419630423E-2</v>
      </c>
      <c r="G39" s="101"/>
      <c r="H39" s="98">
        <v>123.681</v>
      </c>
      <c r="I39" s="99">
        <f t="shared" si="1"/>
        <v>-3.5249609984399313E-2</v>
      </c>
      <c r="J39" s="99">
        <f t="shared" si="2"/>
        <v>7.821531004541922E-2</v>
      </c>
    </row>
    <row r="40" spans="1:10" x14ac:dyDescent="0.3">
      <c r="A40">
        <v>39</v>
      </c>
      <c r="B40" s="96">
        <v>26724</v>
      </c>
      <c r="C40" s="97">
        <v>16233600</v>
      </c>
      <c r="D40" s="98">
        <v>111.52</v>
      </c>
      <c r="E40" s="99">
        <f t="shared" si="0"/>
        <v>-1.4326647564470881E-3</v>
      </c>
      <c r="F40" s="99">
        <f t="shared" si="3"/>
        <v>4.0298507462686504E-2</v>
      </c>
      <c r="G40" s="101"/>
      <c r="H40" s="98">
        <v>123.78100000000001</v>
      </c>
      <c r="I40" s="99">
        <f t="shared" si="1"/>
        <v>8.0853162571460874E-4</v>
      </c>
      <c r="J40" s="99">
        <f t="shared" si="2"/>
        <v>7.0251435290862557E-2</v>
      </c>
    </row>
    <row r="41" spans="1:10" x14ac:dyDescent="0.3">
      <c r="A41">
        <v>40</v>
      </c>
      <c r="B41" s="96">
        <v>26755</v>
      </c>
      <c r="C41" s="97">
        <v>14640500</v>
      </c>
      <c r="D41" s="98">
        <v>106.97</v>
      </c>
      <c r="E41" s="99">
        <f t="shared" si="0"/>
        <v>-4.0799856527977019E-2</v>
      </c>
      <c r="F41" s="99">
        <f t="shared" si="3"/>
        <v>-6.5013467075323008E-3</v>
      </c>
      <c r="G41" s="101"/>
      <c r="H41" s="98">
        <v>119.041</v>
      </c>
      <c r="I41" s="99">
        <f t="shared" si="1"/>
        <v>-3.8293437603509499E-2</v>
      </c>
      <c r="J41" s="99">
        <f t="shared" si="2"/>
        <v>2.2311345465163203E-2</v>
      </c>
    </row>
    <row r="42" spans="1:10" x14ac:dyDescent="0.3">
      <c r="A42">
        <v>41</v>
      </c>
      <c r="B42" s="96">
        <v>26785</v>
      </c>
      <c r="C42" s="97">
        <v>15884000</v>
      </c>
      <c r="D42" s="98">
        <v>104.95</v>
      </c>
      <c r="E42" s="99">
        <f t="shared" si="0"/>
        <v>-1.8883799196036236E-2</v>
      </c>
      <c r="F42" s="99">
        <f t="shared" si="3"/>
        <v>-4.1815027846252149E-2</v>
      </c>
      <c r="G42" s="101"/>
      <c r="H42" s="98">
        <v>117.105</v>
      </c>
      <c r="I42" s="99">
        <f t="shared" si="1"/>
        <v>-1.626330423971567E-2</v>
      </c>
      <c r="J42" s="99">
        <f t="shared" si="2"/>
        <v>-1.3736356286214797E-2</v>
      </c>
    </row>
    <row r="43" spans="1:10" x14ac:dyDescent="0.3">
      <c r="A43">
        <v>42</v>
      </c>
      <c r="B43" s="96">
        <v>26816</v>
      </c>
      <c r="C43" s="97">
        <v>13308000</v>
      </c>
      <c r="D43" s="98">
        <v>104.26</v>
      </c>
      <c r="E43" s="99">
        <f t="shared" si="0"/>
        <v>-6.5745593139590061E-3</v>
      </c>
      <c r="F43" s="99">
        <f t="shared" si="3"/>
        <v>-2.6880716819115132E-2</v>
      </c>
      <c r="G43" s="101"/>
      <c r="H43" s="98">
        <v>116.636</v>
      </c>
      <c r="I43" s="99">
        <f t="shared" si="1"/>
        <v>-4.004952820118768E-3</v>
      </c>
      <c r="J43" s="99">
        <f t="shared" si="2"/>
        <v>1.7951162531027079E-3</v>
      </c>
    </row>
    <row r="44" spans="1:10" x14ac:dyDescent="0.3">
      <c r="A44">
        <v>43</v>
      </c>
      <c r="B44" s="96">
        <v>26846</v>
      </c>
      <c r="C44" s="97">
        <v>15300400</v>
      </c>
      <c r="D44" s="98">
        <v>108.22</v>
      </c>
      <c r="E44" s="99">
        <f t="shared" si="0"/>
        <v>3.7981968156531688E-2</v>
      </c>
      <c r="F44" s="99">
        <f t="shared" si="3"/>
        <v>7.7288388118074147E-3</v>
      </c>
      <c r="G44" s="101"/>
      <c r="H44" s="98">
        <v>121.38</v>
      </c>
      <c r="I44" s="99">
        <f t="shared" si="1"/>
        <v>4.06735484755993E-2</v>
      </c>
      <c r="J44" s="99">
        <f t="shared" si="2"/>
        <v>3.7604397295287278E-2</v>
      </c>
    </row>
    <row r="45" spans="1:10" x14ac:dyDescent="0.3">
      <c r="A45">
        <v>44</v>
      </c>
      <c r="B45" s="96">
        <v>26877</v>
      </c>
      <c r="C45" s="97">
        <v>12390800</v>
      </c>
      <c r="D45" s="98">
        <v>104.25</v>
      </c>
      <c r="E45" s="99">
        <f t="shared" si="0"/>
        <v>-3.6684531509887257E-2</v>
      </c>
      <c r="F45" s="99">
        <f t="shared" si="3"/>
        <v>-6.1571698622738348E-2</v>
      </c>
      <c r="G45" s="101"/>
      <c r="H45" s="98">
        <v>117.241</v>
      </c>
      <c r="I45" s="99">
        <f t="shared" si="1"/>
        <v>-3.4099522161805867E-2</v>
      </c>
      <c r="J45" s="99">
        <f t="shared" si="2"/>
        <v>-3.3422647264932617E-2</v>
      </c>
    </row>
    <row r="46" spans="1:10" x14ac:dyDescent="0.3">
      <c r="A46">
        <v>45</v>
      </c>
      <c r="B46" s="96">
        <v>26908</v>
      </c>
      <c r="C46" s="97">
        <v>18177300</v>
      </c>
      <c r="D46" s="98">
        <v>108.43</v>
      </c>
      <c r="E46" s="99">
        <f t="shared" si="0"/>
        <v>4.0095923261390956E-2</v>
      </c>
      <c r="F46" s="99">
        <f t="shared" si="3"/>
        <v>-1.9176843057439986E-2</v>
      </c>
      <c r="G46" s="101"/>
      <c r="H46" s="98">
        <v>122.246</v>
      </c>
      <c r="I46" s="99">
        <f t="shared" si="1"/>
        <v>4.2689843996554067E-2</v>
      </c>
      <c r="J46" s="99">
        <f t="shared" si="2"/>
        <v>1.0389374240633369E-2</v>
      </c>
    </row>
    <row r="47" spans="1:10" x14ac:dyDescent="0.3">
      <c r="A47">
        <v>46</v>
      </c>
      <c r="B47" s="96">
        <v>26938</v>
      </c>
      <c r="C47" s="97">
        <v>19164700</v>
      </c>
      <c r="D47" s="98">
        <v>108.29</v>
      </c>
      <c r="E47" s="99">
        <f t="shared" si="0"/>
        <v>-1.291155584247907E-3</v>
      </c>
      <c r="F47" s="99">
        <f t="shared" si="3"/>
        <v>-2.9485570890840581E-2</v>
      </c>
      <c r="G47" s="101"/>
      <c r="H47" s="98">
        <v>122.44799999999999</v>
      </c>
      <c r="I47" s="99">
        <f t="shared" si="1"/>
        <v>1.6524058046888911E-3</v>
      </c>
      <c r="J47" s="99">
        <f t="shared" si="2"/>
        <v>2.0420999322015858E-4</v>
      </c>
    </row>
    <row r="48" spans="1:10" x14ac:dyDescent="0.3">
      <c r="A48">
        <v>47</v>
      </c>
      <c r="B48" s="96">
        <v>26969</v>
      </c>
      <c r="C48" s="97">
        <v>19775200</v>
      </c>
      <c r="D48" s="98">
        <v>95.96</v>
      </c>
      <c r="E48" s="99">
        <f t="shared" si="0"/>
        <v>-0.11386092898697951</v>
      </c>
      <c r="F48" s="99">
        <f t="shared" si="3"/>
        <v>-0.17750921402245656</v>
      </c>
      <c r="G48" s="101"/>
      <c r="H48" s="98">
        <v>108.86799999999999</v>
      </c>
      <c r="I48" s="99">
        <f t="shared" si="1"/>
        <v>-0.11090422056709787</v>
      </c>
      <c r="J48" s="99">
        <f t="shared" si="2"/>
        <v>-0.15155671589447844</v>
      </c>
    </row>
    <row r="49" spans="1:10" x14ac:dyDescent="0.3">
      <c r="A49">
        <v>48</v>
      </c>
      <c r="B49" s="102">
        <v>26999</v>
      </c>
      <c r="C49" s="103">
        <v>20392500</v>
      </c>
      <c r="D49" s="104">
        <v>97.55</v>
      </c>
      <c r="E49" s="105">
        <f t="shared" si="0"/>
        <v>1.6569403918299329E-2</v>
      </c>
      <c r="F49" s="105">
        <f t="shared" si="3"/>
        <v>-0.17365523083439222</v>
      </c>
      <c r="G49" s="107"/>
      <c r="H49" s="104">
        <v>111.024</v>
      </c>
      <c r="I49" s="105">
        <f t="shared" si="1"/>
        <v>1.9803799096153193E-2</v>
      </c>
      <c r="J49" s="105">
        <f t="shared" si="2"/>
        <v>-0.14688796680497915</v>
      </c>
    </row>
    <row r="50" spans="1:10" x14ac:dyDescent="0.3">
      <c r="A50">
        <v>49</v>
      </c>
      <c r="B50" s="96">
        <v>27030</v>
      </c>
      <c r="C50" s="97">
        <v>17144000</v>
      </c>
      <c r="D50" s="98">
        <v>96.57</v>
      </c>
      <c r="E50" s="99">
        <f t="shared" si="0"/>
        <v>-1.0046130189646377E-2</v>
      </c>
      <c r="F50" s="99">
        <f t="shared" si="3"/>
        <v>-0.16771524605705429</v>
      </c>
      <c r="G50" s="101"/>
      <c r="H50" s="98">
        <v>110.227</v>
      </c>
      <c r="I50" s="99">
        <f t="shared" si="1"/>
        <v>-7.1786280443867723E-3</v>
      </c>
      <c r="J50" s="99">
        <f t="shared" si="2"/>
        <v>-0.14019500780031191</v>
      </c>
    </row>
    <row r="51" spans="1:10" x14ac:dyDescent="0.3">
      <c r="A51">
        <v>50</v>
      </c>
      <c r="B51" s="96">
        <v>27061</v>
      </c>
      <c r="C51" s="97">
        <v>14236300</v>
      </c>
      <c r="D51" s="98">
        <v>96.22</v>
      </c>
      <c r="E51" s="99">
        <f t="shared" si="0"/>
        <v>-3.6243139691414968E-3</v>
      </c>
      <c r="F51" s="99">
        <f t="shared" si="3"/>
        <v>-0.13843123209169061</v>
      </c>
      <c r="G51" s="101"/>
      <c r="H51" s="98">
        <v>110.14700000000001</v>
      </c>
      <c r="I51" s="99">
        <f t="shared" si="1"/>
        <v>-7.2577499160821112E-4</v>
      </c>
      <c r="J51" s="99">
        <f t="shared" si="2"/>
        <v>-0.10942667022420575</v>
      </c>
    </row>
    <row r="52" spans="1:10" x14ac:dyDescent="0.3">
      <c r="A52">
        <v>51</v>
      </c>
      <c r="B52" s="96">
        <v>27089</v>
      </c>
      <c r="C52" s="97">
        <v>15321400</v>
      </c>
      <c r="D52" s="98">
        <v>93.98</v>
      </c>
      <c r="E52" s="99">
        <f t="shared" si="0"/>
        <v>-2.3279983371440396E-2</v>
      </c>
      <c r="F52" s="99">
        <f t="shared" si="3"/>
        <v>-0.15728120516499275</v>
      </c>
      <c r="G52" s="101"/>
      <c r="H52" s="98">
        <v>107.892</v>
      </c>
      <c r="I52" s="99">
        <f t="shared" si="1"/>
        <v>-2.0472641106884522E-2</v>
      </c>
      <c r="J52" s="99">
        <f t="shared" si="2"/>
        <v>-0.12836380381480203</v>
      </c>
    </row>
    <row r="53" spans="1:10" x14ac:dyDescent="0.3">
      <c r="A53">
        <v>52</v>
      </c>
      <c r="B53" s="96">
        <v>27120</v>
      </c>
      <c r="C53" s="97">
        <v>12630900</v>
      </c>
      <c r="D53" s="98">
        <v>90.31</v>
      </c>
      <c r="E53" s="99">
        <f t="shared" si="0"/>
        <v>-3.9050861885507569E-2</v>
      </c>
      <c r="F53" s="99">
        <f t="shared" si="3"/>
        <v>-0.1557446012900813</v>
      </c>
      <c r="G53" s="101"/>
      <c r="H53" s="98">
        <v>104.023</v>
      </c>
      <c r="I53" s="99">
        <f t="shared" si="1"/>
        <v>-3.5859934008082156E-2</v>
      </c>
      <c r="J53" s="99">
        <f t="shared" si="2"/>
        <v>-0.12615821439672048</v>
      </c>
    </row>
    <row r="54" spans="1:10" x14ac:dyDescent="0.3">
      <c r="A54">
        <v>53</v>
      </c>
      <c r="B54" s="96">
        <v>27150</v>
      </c>
      <c r="C54" s="97">
        <v>12998100</v>
      </c>
      <c r="D54" s="98">
        <v>87.28</v>
      </c>
      <c r="E54" s="99">
        <f t="shared" si="0"/>
        <v>-3.355110176060238E-2</v>
      </c>
      <c r="F54" s="99">
        <f t="shared" si="3"/>
        <v>-0.16836588851834208</v>
      </c>
      <c r="G54" s="101"/>
      <c r="H54" s="98">
        <v>100.879</v>
      </c>
      <c r="I54" s="99">
        <f t="shared" si="1"/>
        <v>-3.0224085058112065E-2</v>
      </c>
      <c r="J54" s="99">
        <f t="shared" si="2"/>
        <v>-0.13855941249306178</v>
      </c>
    </row>
    <row r="55" spans="1:10" x14ac:dyDescent="0.3">
      <c r="A55">
        <v>54</v>
      </c>
      <c r="B55" s="96">
        <v>27181</v>
      </c>
      <c r="C55" s="97">
        <v>12867500</v>
      </c>
      <c r="D55" s="98">
        <v>86</v>
      </c>
      <c r="E55" s="99">
        <f t="shared" si="0"/>
        <v>-1.4665444546287822E-2</v>
      </c>
      <c r="F55" s="99">
        <f t="shared" si="3"/>
        <v>-0.175139075388452</v>
      </c>
      <c r="G55" s="101"/>
      <c r="H55" s="98">
        <v>99.733999999999995</v>
      </c>
      <c r="I55" s="99">
        <f t="shared" si="1"/>
        <v>-1.1350231465419068E-2</v>
      </c>
      <c r="J55" s="99">
        <f t="shared" si="2"/>
        <v>-0.14491237696766007</v>
      </c>
    </row>
    <row r="56" spans="1:10" x14ac:dyDescent="0.3">
      <c r="A56">
        <v>55</v>
      </c>
      <c r="B56" s="96">
        <v>27211</v>
      </c>
      <c r="C56" s="97">
        <v>12956800</v>
      </c>
      <c r="D56" s="98">
        <v>79.31</v>
      </c>
      <c r="E56" s="99">
        <f t="shared" si="0"/>
        <v>-7.7790697674418582E-2</v>
      </c>
      <c r="F56" s="99">
        <f t="shared" si="3"/>
        <v>-0.26714100905562738</v>
      </c>
      <c r="G56" s="101"/>
      <c r="H56" s="98">
        <v>92.334999999999994</v>
      </c>
      <c r="I56" s="99">
        <f t="shared" si="1"/>
        <v>-7.4187338319931032E-2</v>
      </c>
      <c r="J56" s="99">
        <f t="shared" si="2"/>
        <v>-0.23928983358049105</v>
      </c>
    </row>
    <row r="57" spans="1:10" x14ac:dyDescent="0.3">
      <c r="A57">
        <v>56</v>
      </c>
      <c r="B57" s="96">
        <v>27242</v>
      </c>
      <c r="C57" s="97">
        <v>13469500</v>
      </c>
      <c r="D57" s="98">
        <v>72.150000000000006</v>
      </c>
      <c r="E57" s="99">
        <f t="shared" si="0"/>
        <v>-9.0278653385449451E-2</v>
      </c>
      <c r="F57" s="99">
        <f t="shared" si="3"/>
        <v>-0.30791366906474815</v>
      </c>
      <c r="G57" s="101"/>
      <c r="H57" s="98">
        <v>84.36</v>
      </c>
      <c r="I57" s="99">
        <f t="shared" si="1"/>
        <v>-8.6370282124871342E-2</v>
      </c>
      <c r="J57" s="99">
        <f t="shared" si="2"/>
        <v>-0.28045649559454455</v>
      </c>
    </row>
    <row r="58" spans="1:10" x14ac:dyDescent="0.3">
      <c r="A58">
        <v>57</v>
      </c>
      <c r="B58" s="96">
        <v>27273</v>
      </c>
      <c r="C58" s="97">
        <v>14752500</v>
      </c>
      <c r="D58" s="98">
        <v>63.54</v>
      </c>
      <c r="E58" s="99">
        <f t="shared" si="0"/>
        <v>-0.11933471933471941</v>
      </c>
      <c r="F58" s="99">
        <f t="shared" si="3"/>
        <v>-0.41399981554920229</v>
      </c>
      <c r="G58" s="101"/>
      <c r="H58" s="98">
        <v>74.644000000000005</v>
      </c>
      <c r="I58" s="99">
        <f t="shared" si="1"/>
        <v>-0.11517306780464669</v>
      </c>
      <c r="J58" s="99">
        <f t="shared" si="2"/>
        <v>-0.38939515403366975</v>
      </c>
    </row>
    <row r="59" spans="1:10" x14ac:dyDescent="0.3">
      <c r="A59">
        <v>58</v>
      </c>
      <c r="B59" s="96">
        <v>27303</v>
      </c>
      <c r="C59" s="97">
        <v>17214700</v>
      </c>
      <c r="D59" s="98">
        <v>73.900000000000006</v>
      </c>
      <c r="E59" s="99">
        <f t="shared" si="0"/>
        <v>0.16304689959080904</v>
      </c>
      <c r="F59" s="99">
        <f t="shared" si="3"/>
        <v>-0.31757318311940158</v>
      </c>
      <c r="G59" s="101"/>
      <c r="H59" s="98">
        <v>87.191000000000003</v>
      </c>
      <c r="I59" s="99">
        <f t="shared" si="1"/>
        <v>0.16809120625904286</v>
      </c>
      <c r="J59" s="99">
        <f t="shared" si="2"/>
        <v>-0.28793447014242773</v>
      </c>
    </row>
    <row r="60" spans="1:10" x14ac:dyDescent="0.3">
      <c r="A60">
        <v>59</v>
      </c>
      <c r="B60" s="96">
        <v>27334</v>
      </c>
      <c r="C60" s="97">
        <v>14709500</v>
      </c>
      <c r="D60" s="98">
        <v>69.97</v>
      </c>
      <c r="E60" s="99">
        <f t="shared" si="0"/>
        <v>-5.317997293640063E-2</v>
      </c>
      <c r="F60" s="99">
        <f t="shared" si="3"/>
        <v>-0.2708420175072947</v>
      </c>
      <c r="G60" s="101"/>
      <c r="H60" s="98">
        <v>82.930999999999997</v>
      </c>
      <c r="I60" s="99">
        <f t="shared" si="1"/>
        <v>-4.8858253718847187E-2</v>
      </c>
      <c r="J60" s="99">
        <f t="shared" si="2"/>
        <v>-0.23824264246610574</v>
      </c>
    </row>
    <row r="61" spans="1:10" x14ac:dyDescent="0.3">
      <c r="A61">
        <v>60</v>
      </c>
      <c r="B61" s="102">
        <v>27364</v>
      </c>
      <c r="C61" s="103">
        <v>16005700</v>
      </c>
      <c r="D61" s="104">
        <v>68.56</v>
      </c>
      <c r="E61" s="105">
        <f t="shared" si="0"/>
        <v>-2.0151493497213045E-2</v>
      </c>
      <c r="F61" s="105">
        <f t="shared" si="3"/>
        <v>-0.29718093285494612</v>
      </c>
      <c r="G61" s="107"/>
      <c r="H61" s="104">
        <v>81.638999999999996</v>
      </c>
      <c r="I61" s="105">
        <f t="shared" si="1"/>
        <v>-1.5579216457054679E-2</v>
      </c>
      <c r="J61" s="105">
        <f t="shared" si="2"/>
        <v>-0.26467250324254221</v>
      </c>
    </row>
    <row r="62" spans="1:10" x14ac:dyDescent="0.3">
      <c r="A62">
        <v>61</v>
      </c>
      <c r="B62" s="96">
        <v>27395</v>
      </c>
      <c r="C62" s="97">
        <v>20781300</v>
      </c>
      <c r="D62" s="98">
        <v>76.98</v>
      </c>
      <c r="E62" s="99">
        <f t="shared" si="0"/>
        <v>0.12281213535589267</v>
      </c>
      <c r="F62" s="99">
        <f t="shared" si="3"/>
        <v>-0.20285803044423725</v>
      </c>
      <c r="G62" s="101"/>
      <c r="H62" s="98">
        <v>92.022999999999996</v>
      </c>
      <c r="I62" s="99">
        <f t="shared" si="1"/>
        <v>0.12719411065789635</v>
      </c>
      <c r="J62" s="99">
        <f t="shared" si="2"/>
        <v>-0.16515009934045205</v>
      </c>
    </row>
    <row r="63" spans="1:10" x14ac:dyDescent="0.3">
      <c r="A63">
        <v>62</v>
      </c>
      <c r="B63" s="96">
        <v>27426</v>
      </c>
      <c r="C63" s="97">
        <v>23221000</v>
      </c>
      <c r="D63" s="98">
        <v>81.59</v>
      </c>
      <c r="E63" s="99">
        <f t="shared" si="0"/>
        <v>5.9885684593400872E-2</v>
      </c>
      <c r="F63" s="99">
        <f t="shared" si="3"/>
        <v>-0.1520473913947204</v>
      </c>
      <c r="G63" s="101"/>
      <c r="H63" s="98">
        <v>97.891999999999996</v>
      </c>
      <c r="I63" s="99">
        <f t="shared" si="1"/>
        <v>6.3777533877400219E-2</v>
      </c>
      <c r="J63" s="99">
        <f t="shared" si="2"/>
        <v>-0.11126040654761372</v>
      </c>
    </row>
    <row r="64" spans="1:10" x14ac:dyDescent="0.3">
      <c r="A64">
        <v>63</v>
      </c>
      <c r="B64" s="96">
        <v>27454</v>
      </c>
      <c r="C64" s="97">
        <v>23494000</v>
      </c>
      <c r="D64" s="98">
        <v>83.36</v>
      </c>
      <c r="E64" s="99">
        <f t="shared" si="0"/>
        <v>2.16938350288025E-2</v>
      </c>
      <c r="F64" s="99">
        <f t="shared" si="3"/>
        <v>-0.11300276654607368</v>
      </c>
      <c r="G64" s="101"/>
      <c r="H64" s="98">
        <v>100.376</v>
      </c>
      <c r="I64" s="99">
        <f t="shared" si="1"/>
        <v>2.5374902954276232E-2</v>
      </c>
      <c r="J64" s="99">
        <f t="shared" si="2"/>
        <v>-6.9662254847439958E-2</v>
      </c>
    </row>
    <row r="65" spans="1:10" x14ac:dyDescent="0.3">
      <c r="A65">
        <v>64</v>
      </c>
      <c r="B65" s="96">
        <v>27485</v>
      </c>
      <c r="C65" s="97">
        <v>21336800</v>
      </c>
      <c r="D65" s="98">
        <v>87.3</v>
      </c>
      <c r="E65" s="99">
        <f t="shared" si="0"/>
        <v>4.7264875239923197E-2</v>
      </c>
      <c r="F65" s="99">
        <f t="shared" si="3"/>
        <v>-3.3329642343040693E-2</v>
      </c>
      <c r="G65" s="101"/>
      <c r="H65" s="98">
        <v>105.494</v>
      </c>
      <c r="I65" s="99">
        <f t="shared" si="1"/>
        <v>5.0988284051964559E-2</v>
      </c>
      <c r="J65" s="99">
        <f t="shared" si="2"/>
        <v>1.4141103409822863E-2</v>
      </c>
    </row>
    <row r="66" spans="1:10" x14ac:dyDescent="0.3">
      <c r="A66">
        <v>65</v>
      </c>
      <c r="B66" s="96">
        <v>27515</v>
      </c>
      <c r="C66" s="97">
        <v>22864700</v>
      </c>
      <c r="D66" s="98">
        <v>91.15</v>
      </c>
      <c r="E66" s="99">
        <f t="shared" si="0"/>
        <v>4.4100801832760696E-2</v>
      </c>
      <c r="F66" s="99">
        <f t="shared" si="3"/>
        <v>4.43400549954171E-2</v>
      </c>
      <c r="G66" s="101"/>
      <c r="H66" s="98">
        <v>110.52</v>
      </c>
      <c r="I66" s="99">
        <f t="shared" si="1"/>
        <v>4.7642519953741407E-2</v>
      </c>
      <c r="J66" s="99">
        <f t="shared" si="2"/>
        <v>9.5569940225418482E-2</v>
      </c>
    </row>
    <row r="67" spans="1:10" x14ac:dyDescent="0.3">
      <c r="A67">
        <v>66</v>
      </c>
      <c r="B67" s="96">
        <v>27546</v>
      </c>
      <c r="C67" s="97">
        <v>22210900</v>
      </c>
      <c r="D67" s="98">
        <v>95.19</v>
      </c>
      <c r="E67" s="99">
        <f t="shared" si="0"/>
        <v>4.4322545255073967E-2</v>
      </c>
      <c r="F67" s="99">
        <f t="shared" si="3"/>
        <v>0.10686046511627904</v>
      </c>
      <c r="G67" s="101"/>
      <c r="H67" s="98">
        <v>115.795</v>
      </c>
      <c r="I67" s="99">
        <f t="shared" si="1"/>
        <v>4.7728917842924413E-2</v>
      </c>
      <c r="J67" s="99">
        <f t="shared" si="2"/>
        <v>0.16103836204303454</v>
      </c>
    </row>
    <row r="68" spans="1:10" x14ac:dyDescent="0.3">
      <c r="A68">
        <v>67</v>
      </c>
      <c r="B68" s="96">
        <v>27576</v>
      </c>
      <c r="C68" s="97">
        <v>20737200</v>
      </c>
      <c r="D68" s="98">
        <v>88.75</v>
      </c>
      <c r="E68" s="99">
        <f t="shared" ref="E68:E131" si="4">(D68-D67)/D67</f>
        <v>-6.7654165353503493E-2</v>
      </c>
      <c r="F68" s="99">
        <f t="shared" si="3"/>
        <v>0.11902660446349764</v>
      </c>
      <c r="G68" s="101"/>
      <c r="H68" s="98">
        <v>108.33799999999999</v>
      </c>
      <c r="I68" s="99">
        <f t="shared" ref="I68:I131" si="5">(H68-H67)/H67</f>
        <v>-6.4398290081609813E-2</v>
      </c>
      <c r="J68" s="99">
        <f t="shared" si="2"/>
        <v>0.17331456110900526</v>
      </c>
    </row>
    <row r="69" spans="1:10" x14ac:dyDescent="0.3">
      <c r="A69">
        <v>68</v>
      </c>
      <c r="B69" s="96">
        <v>27607</v>
      </c>
      <c r="C69" s="97">
        <v>14140400</v>
      </c>
      <c r="D69" s="98">
        <v>86.88</v>
      </c>
      <c r="E69" s="99">
        <f t="shared" si="4"/>
        <v>-2.1070422535211318E-2</v>
      </c>
      <c r="F69" s="99">
        <f t="shared" si="3"/>
        <v>0.204158004158004</v>
      </c>
      <c r="G69" s="101"/>
      <c r="H69" s="98">
        <v>106.434</v>
      </c>
      <c r="I69" s="99">
        <f t="shared" si="5"/>
        <v>-1.7574627554505312E-2</v>
      </c>
      <c r="J69" s="99">
        <f t="shared" si="2"/>
        <v>0.26166429587482215</v>
      </c>
    </row>
    <row r="70" spans="1:10" x14ac:dyDescent="0.3">
      <c r="A70">
        <v>69</v>
      </c>
      <c r="B70" s="96">
        <v>27638</v>
      </c>
      <c r="C70" s="97">
        <v>13697100</v>
      </c>
      <c r="D70" s="98">
        <v>83.87</v>
      </c>
      <c r="E70" s="99">
        <f t="shared" si="4"/>
        <v>-3.4645488029465828E-2</v>
      </c>
      <c r="F70" s="99">
        <f t="shared" si="3"/>
        <v>0.31995593327038097</v>
      </c>
      <c r="G70" s="101"/>
      <c r="H70" s="98">
        <v>103.114</v>
      </c>
      <c r="I70" s="99">
        <f t="shared" si="5"/>
        <v>-3.1193039818103174E-2</v>
      </c>
      <c r="J70" s="99">
        <f t="shared" si="2"/>
        <v>0.38141042816569309</v>
      </c>
    </row>
    <row r="71" spans="1:10" x14ac:dyDescent="0.3">
      <c r="A71">
        <v>70</v>
      </c>
      <c r="B71" s="96">
        <v>27668</v>
      </c>
      <c r="C71" s="97">
        <v>16454300</v>
      </c>
      <c r="D71" s="98">
        <v>89.04</v>
      </c>
      <c r="E71" s="99">
        <f t="shared" si="4"/>
        <v>6.1643018957911071E-2</v>
      </c>
      <c r="F71" s="99">
        <f t="shared" si="3"/>
        <v>0.20487144790257103</v>
      </c>
      <c r="G71" s="101"/>
      <c r="H71" s="98">
        <v>109.851</v>
      </c>
      <c r="I71" s="99">
        <f t="shared" si="5"/>
        <v>6.533545396357425E-2</v>
      </c>
      <c r="J71" s="99">
        <f t="shared" si="2"/>
        <v>0.25988920874860932</v>
      </c>
    </row>
    <row r="72" spans="1:10" x14ac:dyDescent="0.3">
      <c r="A72">
        <v>71</v>
      </c>
      <c r="B72" s="96">
        <v>27699</v>
      </c>
      <c r="C72" s="97">
        <v>17456800</v>
      </c>
      <c r="D72" s="98">
        <v>91.24</v>
      </c>
      <c r="E72" s="99">
        <f t="shared" si="4"/>
        <v>2.4707996406109486E-2</v>
      </c>
      <c r="F72" s="99">
        <f t="shared" si="3"/>
        <v>0.3039874231813634</v>
      </c>
      <c r="G72" s="101"/>
      <c r="H72" s="98">
        <v>112.94799999999999</v>
      </c>
      <c r="I72" s="99">
        <f t="shared" si="5"/>
        <v>2.8192733793957217E-2</v>
      </c>
      <c r="J72" s="99">
        <f t="shared" si="2"/>
        <v>0.36195150185093627</v>
      </c>
    </row>
    <row r="73" spans="1:10" x14ac:dyDescent="0.3">
      <c r="A73">
        <v>72</v>
      </c>
      <c r="B73" s="102">
        <v>27729</v>
      </c>
      <c r="C73" s="103">
        <v>16633600</v>
      </c>
      <c r="D73" s="104">
        <v>90.19</v>
      </c>
      <c r="E73" s="105">
        <f t="shared" si="4"/>
        <v>-1.1508110477860557E-2</v>
      </c>
      <c r="F73" s="105">
        <f t="shared" si="3"/>
        <v>0.31549008168027998</v>
      </c>
      <c r="G73" s="107"/>
      <c r="H73" s="104">
        <v>112.032</v>
      </c>
      <c r="I73" s="105">
        <f t="shared" si="5"/>
        <v>-8.1099266919290019E-3</v>
      </c>
      <c r="J73" s="105">
        <f t="shared" si="2"/>
        <v>0.37228530481755046</v>
      </c>
    </row>
    <row r="74" spans="1:10" x14ac:dyDescent="0.3">
      <c r="A74">
        <v>73</v>
      </c>
      <c r="B74" s="96">
        <v>27760</v>
      </c>
      <c r="C74" s="97">
        <v>32111400</v>
      </c>
      <c r="D74" s="98">
        <v>100.86</v>
      </c>
      <c r="E74" s="99">
        <f t="shared" si="4"/>
        <v>0.11830579886905424</v>
      </c>
      <c r="F74" s="99">
        <f t="shared" si="3"/>
        <v>0.31021044427123923</v>
      </c>
      <c r="G74" s="101"/>
      <c r="H74" s="98">
        <v>125.67100000000001</v>
      </c>
      <c r="I74" s="99">
        <f t="shared" si="5"/>
        <v>0.1217420022850615</v>
      </c>
      <c r="J74" s="99">
        <f t="shared" si="2"/>
        <v>0.36564771850515643</v>
      </c>
    </row>
    <row r="75" spans="1:10" x14ac:dyDescent="0.3">
      <c r="A75">
        <v>74</v>
      </c>
      <c r="B75" s="96">
        <v>27791</v>
      </c>
      <c r="C75" s="97">
        <v>32793100</v>
      </c>
      <c r="D75" s="98">
        <v>99.71</v>
      </c>
      <c r="E75" s="99">
        <f t="shared" si="4"/>
        <v>-1.1401943287725617E-2</v>
      </c>
      <c r="F75" s="99">
        <f t="shared" si="3"/>
        <v>0.22208603995587681</v>
      </c>
      <c r="G75" s="101"/>
      <c r="H75" s="98">
        <v>124.61199999999999</v>
      </c>
      <c r="I75" s="99">
        <f t="shared" si="5"/>
        <v>-8.4267651248101129E-3</v>
      </c>
      <c r="J75" s="99">
        <f t="shared" si="2"/>
        <v>0.27295386752747924</v>
      </c>
    </row>
    <row r="76" spans="1:10" x14ac:dyDescent="0.3">
      <c r="A76">
        <v>75</v>
      </c>
      <c r="B76" s="96">
        <v>27820</v>
      </c>
      <c r="C76" s="97">
        <v>23787800</v>
      </c>
      <c r="D76" s="98">
        <v>102.77</v>
      </c>
      <c r="E76" s="99">
        <f t="shared" si="4"/>
        <v>3.0688998094474E-2</v>
      </c>
      <c r="F76" s="99">
        <f t="shared" si="3"/>
        <v>0.23284548944337807</v>
      </c>
      <c r="G76" s="101"/>
      <c r="H76" s="98">
        <v>128.81100000000001</v>
      </c>
      <c r="I76" s="99">
        <f t="shared" si="5"/>
        <v>3.3696594228485317E-2</v>
      </c>
      <c r="J76" s="99">
        <f t="shared" si="2"/>
        <v>0.28328484896788075</v>
      </c>
    </row>
    <row r="77" spans="1:10" x14ac:dyDescent="0.3">
      <c r="A77">
        <v>76</v>
      </c>
      <c r="B77" s="96">
        <v>27851</v>
      </c>
      <c r="C77" s="97">
        <v>19370900</v>
      </c>
      <c r="D77" s="98">
        <v>101.64</v>
      </c>
      <c r="E77" s="99">
        <f t="shared" si="4"/>
        <v>-1.0995426680937974E-2</v>
      </c>
      <c r="F77" s="99">
        <f t="shared" si="3"/>
        <v>0.16426116838487978</v>
      </c>
      <c r="G77" s="101"/>
      <c r="H77" s="98">
        <v>127.80800000000001</v>
      </c>
      <c r="I77" s="99">
        <f t="shared" si="5"/>
        <v>-7.7866020759096667E-3</v>
      </c>
      <c r="J77" s="99">
        <f t="shared" si="2"/>
        <v>0.21151913852920551</v>
      </c>
    </row>
    <row r="78" spans="1:10" x14ac:dyDescent="0.3">
      <c r="A78">
        <v>77</v>
      </c>
      <c r="B78" s="96">
        <v>27881</v>
      </c>
      <c r="C78" s="97">
        <v>18638500</v>
      </c>
      <c r="D78" s="98">
        <v>100.18</v>
      </c>
      <c r="E78" s="99">
        <f t="shared" si="4"/>
        <v>-1.4364423455332485E-2</v>
      </c>
      <c r="F78" s="99">
        <f t="shared" si="3"/>
        <v>9.9067471201316523E-2</v>
      </c>
      <c r="G78" s="101"/>
      <c r="H78" s="98">
        <v>126.387</v>
      </c>
      <c r="I78" s="99">
        <f t="shared" si="5"/>
        <v>-1.1118239859789734E-2</v>
      </c>
      <c r="J78" s="99">
        <f t="shared" ref="J78:J141" si="6">(H78-H66)/H66</f>
        <v>0.14356677524429973</v>
      </c>
    </row>
    <row r="79" spans="1:10" x14ac:dyDescent="0.3">
      <c r="A79">
        <v>78</v>
      </c>
      <c r="B79" s="96">
        <v>27912</v>
      </c>
      <c r="C79" s="97">
        <v>20048100</v>
      </c>
      <c r="D79" s="98">
        <v>104.28</v>
      </c>
      <c r="E79" s="99">
        <f t="shared" si="4"/>
        <v>4.0926332601317568E-2</v>
      </c>
      <c r="F79" s="99">
        <f t="shared" ref="F79:F142" si="7">(D79-D67)/D67</f>
        <v>9.5493224078159508E-2</v>
      </c>
      <c r="G79" s="101"/>
      <c r="H79" s="98">
        <v>131.989</v>
      </c>
      <c r="I79" s="99">
        <f t="shared" si="5"/>
        <v>4.4324178910805728E-2</v>
      </c>
      <c r="J79" s="99">
        <f t="shared" si="6"/>
        <v>0.13985059803963903</v>
      </c>
    </row>
    <row r="80" spans="1:10" x14ac:dyDescent="0.3">
      <c r="A80">
        <v>79</v>
      </c>
      <c r="B80" s="96">
        <v>27942</v>
      </c>
      <c r="C80" s="97">
        <v>19456600</v>
      </c>
      <c r="D80" s="98">
        <v>103.44</v>
      </c>
      <c r="E80" s="99">
        <f t="shared" si="4"/>
        <v>-8.055235903337201E-3</v>
      </c>
      <c r="F80" s="99">
        <f t="shared" si="7"/>
        <v>0.16552112676056335</v>
      </c>
      <c r="G80" s="101"/>
      <c r="H80" s="98">
        <v>131.35599999999999</v>
      </c>
      <c r="I80" s="99">
        <f t="shared" si="5"/>
        <v>-4.7958541999712839E-3</v>
      </c>
      <c r="J80" s="99">
        <f t="shared" si="6"/>
        <v>0.21246469382857355</v>
      </c>
    </row>
    <row r="81" spans="1:10" x14ac:dyDescent="0.3">
      <c r="A81">
        <v>80</v>
      </c>
      <c r="B81" s="96">
        <v>27973</v>
      </c>
      <c r="C81" s="97">
        <v>16461800</v>
      </c>
      <c r="D81" s="98">
        <v>102.91</v>
      </c>
      <c r="E81" s="99">
        <f t="shared" si="4"/>
        <v>-5.123743232791968E-3</v>
      </c>
      <c r="F81" s="99">
        <f t="shared" si="7"/>
        <v>0.18450736648250463</v>
      </c>
      <c r="G81" s="101"/>
      <c r="H81" s="98">
        <v>131.11500000000001</v>
      </c>
      <c r="I81" s="99">
        <f t="shared" si="5"/>
        <v>-1.8347087304728027E-3</v>
      </c>
      <c r="J81" s="99">
        <f t="shared" si="6"/>
        <v>0.23189018546705012</v>
      </c>
    </row>
    <row r="82" spans="1:10" x14ac:dyDescent="0.3">
      <c r="A82">
        <v>81</v>
      </c>
      <c r="B82" s="96">
        <v>28004</v>
      </c>
      <c r="C82" s="97">
        <v>20450000</v>
      </c>
      <c r="D82" s="98">
        <v>105.24</v>
      </c>
      <c r="E82" s="99">
        <f t="shared" si="4"/>
        <v>2.2641142746088801E-2</v>
      </c>
      <c r="F82" s="99">
        <f t="shared" si="7"/>
        <v>0.25479909383569799</v>
      </c>
      <c r="G82" s="101"/>
      <c r="H82" s="98">
        <v>134.50399999999999</v>
      </c>
      <c r="I82" s="99">
        <f t="shared" si="5"/>
        <v>2.5847538420470436E-2</v>
      </c>
      <c r="J82" s="99">
        <f t="shared" si="6"/>
        <v>0.30442035029190978</v>
      </c>
    </row>
    <row r="83" spans="1:10" x14ac:dyDescent="0.3">
      <c r="A83">
        <v>82</v>
      </c>
      <c r="B83" s="96">
        <v>28034</v>
      </c>
      <c r="C83" s="97">
        <v>18020000</v>
      </c>
      <c r="D83" s="98">
        <v>102.9</v>
      </c>
      <c r="E83" s="99">
        <f t="shared" si="4"/>
        <v>-2.2234891676168655E-2</v>
      </c>
      <c r="F83" s="99">
        <f t="shared" si="7"/>
        <v>0.15566037735849056</v>
      </c>
      <c r="G83" s="101"/>
      <c r="H83" s="98">
        <v>131.999</v>
      </c>
      <c r="I83" s="99">
        <f t="shared" si="5"/>
        <v>-1.8623981442931033E-2</v>
      </c>
      <c r="J83" s="99">
        <f t="shared" si="6"/>
        <v>0.20161855604409606</v>
      </c>
    </row>
    <row r="84" spans="1:10" x14ac:dyDescent="0.3">
      <c r="A84">
        <v>83</v>
      </c>
      <c r="B84" s="96">
        <v>28065</v>
      </c>
      <c r="C84" s="97">
        <v>19902500</v>
      </c>
      <c r="D84" s="98">
        <v>102.1</v>
      </c>
      <c r="E84" s="99">
        <f t="shared" si="4"/>
        <v>-7.7745383867833945E-3</v>
      </c>
      <c r="F84" s="99">
        <f t="shared" si="7"/>
        <v>0.11902674265672951</v>
      </c>
      <c r="G84" s="101"/>
      <c r="H84" s="98">
        <v>131.46</v>
      </c>
      <c r="I84" s="99">
        <f t="shared" si="5"/>
        <v>-4.083364267911024E-3</v>
      </c>
      <c r="J84" s="99">
        <f t="shared" si="6"/>
        <v>0.1638984311364523</v>
      </c>
    </row>
    <row r="85" spans="1:10" x14ac:dyDescent="0.3">
      <c r="A85">
        <v>84</v>
      </c>
      <c r="B85" s="102">
        <v>28095</v>
      </c>
      <c r="C85" s="103">
        <v>25169000</v>
      </c>
      <c r="D85" s="104">
        <v>107.46</v>
      </c>
      <c r="E85" s="105">
        <f t="shared" si="4"/>
        <v>5.2497551420176293E-2</v>
      </c>
      <c r="F85" s="105">
        <f t="shared" si="7"/>
        <v>0.19148464353032482</v>
      </c>
      <c r="G85" s="107"/>
      <c r="H85" s="104">
        <v>138.83799999999999</v>
      </c>
      <c r="I85" s="105">
        <f t="shared" si="5"/>
        <v>5.6123535676251224E-2</v>
      </c>
      <c r="J85" s="105">
        <f t="shared" si="6"/>
        <v>0.23927092259354468</v>
      </c>
    </row>
    <row r="86" spans="1:10" x14ac:dyDescent="0.3">
      <c r="A86">
        <v>85</v>
      </c>
      <c r="B86" s="96">
        <v>28126</v>
      </c>
      <c r="C86" s="97">
        <v>24978000</v>
      </c>
      <c r="D86" s="98">
        <v>102.03</v>
      </c>
      <c r="E86" s="99">
        <f t="shared" si="4"/>
        <v>-5.0530429927414786E-2</v>
      </c>
      <c r="F86" s="99">
        <f t="shared" si="7"/>
        <v>1.1600237953599065E-2</v>
      </c>
      <c r="G86" s="101"/>
      <c r="H86" s="98">
        <v>132.274</v>
      </c>
      <c r="I86" s="99">
        <f t="shared" si="5"/>
        <v>-4.7278122704158758E-2</v>
      </c>
      <c r="J86" s="99">
        <f t="shared" si="6"/>
        <v>5.2541954786704918E-2</v>
      </c>
    </row>
    <row r="87" spans="1:10" x14ac:dyDescent="0.3">
      <c r="A87">
        <v>86</v>
      </c>
      <c r="B87" s="96">
        <v>28157</v>
      </c>
      <c r="C87" s="97">
        <v>21824200</v>
      </c>
      <c r="D87" s="98">
        <v>99.82</v>
      </c>
      <c r="E87" s="99">
        <f t="shared" si="4"/>
        <v>-2.1660295991375162E-2</v>
      </c>
      <c r="F87" s="99">
        <f t="shared" si="7"/>
        <v>1.1031992779059216E-3</v>
      </c>
      <c r="G87" s="101"/>
      <c r="H87" s="98">
        <v>129.863</v>
      </c>
      <c r="I87" s="99">
        <f t="shared" si="5"/>
        <v>-1.822731602582519E-2</v>
      </c>
      <c r="J87" s="99">
        <f t="shared" si="6"/>
        <v>4.2138798831573246E-2</v>
      </c>
    </row>
    <row r="88" spans="1:10" x14ac:dyDescent="0.3">
      <c r="A88">
        <v>87</v>
      </c>
      <c r="B88" s="96">
        <v>28185</v>
      </c>
      <c r="C88" s="97">
        <v>19617300</v>
      </c>
      <c r="D88" s="98">
        <v>98.42</v>
      </c>
      <c r="E88" s="99">
        <f t="shared" si="4"/>
        <v>-1.4025245441795148E-2</v>
      </c>
      <c r="F88" s="99">
        <f t="shared" si="7"/>
        <v>-4.2327527488566649E-2</v>
      </c>
      <c r="G88" s="101"/>
      <c r="H88" s="98">
        <v>128.49700000000001</v>
      </c>
      <c r="I88" s="99">
        <f t="shared" si="5"/>
        <v>-1.0518777480883588E-2</v>
      </c>
      <c r="J88" s="99">
        <f t="shared" si="6"/>
        <v>-2.4376800118001796E-3</v>
      </c>
    </row>
    <row r="89" spans="1:10" x14ac:dyDescent="0.3">
      <c r="A89">
        <v>88</v>
      </c>
      <c r="B89" s="96">
        <v>28216</v>
      </c>
      <c r="C89" s="97">
        <v>21069500</v>
      </c>
      <c r="D89" s="98">
        <v>98.44</v>
      </c>
      <c r="E89" s="99">
        <f t="shared" si="4"/>
        <v>2.0321072952647856E-4</v>
      </c>
      <c r="F89" s="99">
        <f t="shared" si="7"/>
        <v>-3.1483667847304241E-2</v>
      </c>
      <c r="G89" s="101"/>
      <c r="H89" s="98">
        <v>129.03200000000001</v>
      </c>
      <c r="I89" s="99">
        <f t="shared" si="5"/>
        <v>4.1635213273461371E-3</v>
      </c>
      <c r="J89" s="99">
        <f t="shared" si="6"/>
        <v>9.5768652979469487E-3</v>
      </c>
    </row>
    <row r="90" spans="1:10" x14ac:dyDescent="0.3">
      <c r="A90">
        <v>89</v>
      </c>
      <c r="B90" s="96">
        <v>28246</v>
      </c>
      <c r="C90" s="97">
        <v>21124700</v>
      </c>
      <c r="D90" s="98">
        <v>96.12</v>
      </c>
      <c r="E90" s="99">
        <f t="shared" si="4"/>
        <v>-2.3567655424624068E-2</v>
      </c>
      <c r="F90" s="99">
        <f t="shared" si="7"/>
        <v>-4.0527051307646257E-2</v>
      </c>
      <c r="G90" s="101"/>
      <c r="H90" s="98">
        <v>126.502</v>
      </c>
      <c r="I90" s="99">
        <f t="shared" si="5"/>
        <v>-1.9607539215078549E-2</v>
      </c>
      <c r="J90" s="99">
        <f t="shared" si="6"/>
        <v>9.0990370845098689E-4</v>
      </c>
    </row>
    <row r="91" spans="1:10" x14ac:dyDescent="0.3">
      <c r="A91">
        <v>90</v>
      </c>
      <c r="B91" s="96">
        <v>28277</v>
      </c>
      <c r="C91" s="97">
        <v>22934500</v>
      </c>
      <c r="D91" s="98">
        <v>100.48</v>
      </c>
      <c r="E91" s="99">
        <f t="shared" si="4"/>
        <v>4.535996670828131E-2</v>
      </c>
      <c r="F91" s="99">
        <f t="shared" si="7"/>
        <v>-3.6440352896049071E-2</v>
      </c>
      <c r="G91" s="101"/>
      <c r="H91" s="98">
        <v>132.75399999999999</v>
      </c>
      <c r="I91" s="99">
        <f t="shared" si="5"/>
        <v>4.9422143523422522E-2</v>
      </c>
      <c r="J91" s="99">
        <f t="shared" si="6"/>
        <v>5.7959375402494625E-3</v>
      </c>
    </row>
    <row r="92" spans="1:10" x14ac:dyDescent="0.3">
      <c r="A92">
        <v>91</v>
      </c>
      <c r="B92" s="96">
        <v>28307</v>
      </c>
      <c r="C92" s="97">
        <v>24885700</v>
      </c>
      <c r="D92" s="98">
        <v>98.85</v>
      </c>
      <c r="E92" s="99">
        <f t="shared" si="4"/>
        <v>-1.622213375796188E-2</v>
      </c>
      <c r="F92" s="99">
        <f t="shared" si="7"/>
        <v>-4.4373549883990754E-2</v>
      </c>
      <c r="G92" s="101"/>
      <c r="H92" s="98">
        <v>130.70599999999999</v>
      </c>
      <c r="I92" s="99">
        <f t="shared" si="5"/>
        <v>-1.5427030447293506E-2</v>
      </c>
      <c r="J92" s="99">
        <f t="shared" si="6"/>
        <v>-4.9483845427693114E-3</v>
      </c>
    </row>
    <row r="93" spans="1:10" x14ac:dyDescent="0.3">
      <c r="A93">
        <v>92</v>
      </c>
      <c r="B93" s="96">
        <v>28338</v>
      </c>
      <c r="C93" s="97">
        <v>19683900</v>
      </c>
      <c r="D93" s="98">
        <v>96.77</v>
      </c>
      <c r="E93" s="99">
        <f t="shared" si="4"/>
        <v>-2.1041982802225578E-2</v>
      </c>
      <c r="F93" s="99">
        <f t="shared" si="7"/>
        <v>-5.9663783888834913E-2</v>
      </c>
      <c r="G93" s="101"/>
      <c r="H93" s="98">
        <v>128.84899999999999</v>
      </c>
      <c r="I93" s="99">
        <f t="shared" si="5"/>
        <v>-1.4207457959083741E-2</v>
      </c>
      <c r="J93" s="99">
        <f t="shared" si="6"/>
        <v>-1.7282538229798416E-2</v>
      </c>
    </row>
    <row r="94" spans="1:10" x14ac:dyDescent="0.3">
      <c r="A94">
        <v>93</v>
      </c>
      <c r="B94" s="96">
        <v>28369</v>
      </c>
      <c r="C94" s="97">
        <v>19278000</v>
      </c>
      <c r="D94" s="98">
        <v>96.53</v>
      </c>
      <c r="E94" s="99">
        <f t="shared" si="4"/>
        <v>-2.4801074713237045E-3</v>
      </c>
      <c r="F94" s="99">
        <f t="shared" si="7"/>
        <v>-8.2763207905739211E-2</v>
      </c>
      <c r="G94" s="101"/>
      <c r="H94" s="98">
        <v>129.04900000000001</v>
      </c>
      <c r="I94" s="99">
        <f t="shared" si="5"/>
        <v>1.5522045184674857E-3</v>
      </c>
      <c r="J94" s="99">
        <f t="shared" si="6"/>
        <v>-4.0556414679117234E-2</v>
      </c>
    </row>
    <row r="95" spans="1:10" x14ac:dyDescent="0.3">
      <c r="A95">
        <v>94</v>
      </c>
      <c r="B95" s="96">
        <v>28399</v>
      </c>
      <c r="C95" s="97">
        <v>20501900</v>
      </c>
      <c r="D95" s="98">
        <v>92.34</v>
      </c>
      <c r="E95" s="99">
        <f t="shared" si="4"/>
        <v>-4.3406194965295741E-2</v>
      </c>
      <c r="F95" s="99">
        <f t="shared" si="7"/>
        <v>-0.10262390670553938</v>
      </c>
      <c r="G95" s="101"/>
      <c r="H95" s="98">
        <v>124.02200000000001</v>
      </c>
      <c r="I95" s="99">
        <f t="shared" si="5"/>
        <v>-3.8954195693108824E-2</v>
      </c>
      <c r="J95" s="99">
        <f t="shared" si="6"/>
        <v>-6.0432276002090848E-2</v>
      </c>
    </row>
    <row r="96" spans="1:10" x14ac:dyDescent="0.3">
      <c r="A96">
        <v>95</v>
      </c>
      <c r="B96" s="96">
        <v>28430</v>
      </c>
      <c r="C96" s="97">
        <v>24635700</v>
      </c>
      <c r="D96" s="98">
        <v>94.83</v>
      </c>
      <c r="E96" s="99">
        <f t="shared" si="4"/>
        <v>2.6965562053281295E-2</v>
      </c>
      <c r="F96" s="99">
        <f t="shared" si="7"/>
        <v>-7.1204701273261478E-2</v>
      </c>
      <c r="G96" s="101"/>
      <c r="H96" s="98">
        <v>127.944</v>
      </c>
      <c r="I96" s="99">
        <f t="shared" si="5"/>
        <v>3.162342165099738E-2</v>
      </c>
      <c r="J96" s="99">
        <f t="shared" si="6"/>
        <v>-2.6745778183477904E-2</v>
      </c>
    </row>
    <row r="97" spans="1:10" x14ac:dyDescent="0.3">
      <c r="A97">
        <v>96</v>
      </c>
      <c r="B97" s="102">
        <v>28460</v>
      </c>
      <c r="C97" s="103">
        <v>22596600</v>
      </c>
      <c r="D97" s="104">
        <v>95.1</v>
      </c>
      <c r="E97" s="105">
        <f t="shared" si="4"/>
        <v>2.8472002530844252E-3</v>
      </c>
      <c r="F97" s="105">
        <f t="shared" si="7"/>
        <v>-0.11501954215522055</v>
      </c>
      <c r="G97" s="107"/>
      <c r="H97" s="104">
        <v>128.90199999999999</v>
      </c>
      <c r="I97" s="105">
        <f t="shared" si="5"/>
        <v>7.4876508472455465E-3</v>
      </c>
      <c r="J97" s="105">
        <f t="shared" si="6"/>
        <v>-7.1565421570463472E-2</v>
      </c>
    </row>
    <row r="98" spans="1:10" x14ac:dyDescent="0.3">
      <c r="A98">
        <v>97</v>
      </c>
      <c r="B98" s="96">
        <v>28491</v>
      </c>
      <c r="C98" s="97">
        <v>21333800</v>
      </c>
      <c r="D98" s="98">
        <v>89.25</v>
      </c>
      <c r="E98" s="99">
        <f t="shared" si="4"/>
        <v>-6.1514195583596158E-2</v>
      </c>
      <c r="F98" s="99">
        <f t="shared" si="7"/>
        <v>-0.12525727727139077</v>
      </c>
      <c r="G98" s="101"/>
      <c r="H98" s="98">
        <v>121.501</v>
      </c>
      <c r="I98" s="99">
        <f t="shared" si="5"/>
        <v>-5.7415711160416306E-2</v>
      </c>
      <c r="J98" s="99">
        <f t="shared" si="6"/>
        <v>-8.1444577165580512E-2</v>
      </c>
    </row>
    <row r="99" spans="1:10" x14ac:dyDescent="0.3">
      <c r="A99">
        <v>98</v>
      </c>
      <c r="B99" s="96">
        <v>28522</v>
      </c>
      <c r="C99" s="97">
        <v>20439400</v>
      </c>
      <c r="D99" s="98">
        <v>87.04</v>
      </c>
      <c r="E99" s="99">
        <f t="shared" si="4"/>
        <v>-2.4761904761904693E-2</v>
      </c>
      <c r="F99" s="99">
        <f t="shared" si="7"/>
        <v>-0.12803045481867348</v>
      </c>
      <c r="G99" s="101"/>
      <c r="H99" s="98">
        <v>119.03700000000001</v>
      </c>
      <c r="I99" s="99">
        <f t="shared" si="5"/>
        <v>-2.0279668480094801E-2</v>
      </c>
      <c r="J99" s="99">
        <f t="shared" si="6"/>
        <v>-8.3364776726242221E-2</v>
      </c>
    </row>
    <row r="100" spans="1:10" x14ac:dyDescent="0.3">
      <c r="A100">
        <v>99</v>
      </c>
      <c r="B100" s="96">
        <v>28550</v>
      </c>
      <c r="C100" s="97">
        <v>23532200</v>
      </c>
      <c r="D100" s="98">
        <v>89.21</v>
      </c>
      <c r="E100" s="99">
        <f t="shared" si="4"/>
        <v>2.4931066176470444E-2</v>
      </c>
      <c r="F100" s="99">
        <f t="shared" si="7"/>
        <v>-9.357854094696208E-2</v>
      </c>
      <c r="G100" s="101"/>
      <c r="H100" s="98">
        <v>122.538</v>
      </c>
      <c r="I100" s="99">
        <f t="shared" si="5"/>
        <v>2.9411023463292846E-2</v>
      </c>
      <c r="J100" s="99">
        <f t="shared" si="6"/>
        <v>-4.6374623532067026E-2</v>
      </c>
    </row>
    <row r="101" spans="1:10" x14ac:dyDescent="0.3">
      <c r="A101">
        <v>100</v>
      </c>
      <c r="B101" s="96">
        <v>28581</v>
      </c>
      <c r="C101" s="97">
        <v>36422500</v>
      </c>
      <c r="D101" s="98">
        <v>96.83</v>
      </c>
      <c r="E101" s="99">
        <f t="shared" si="4"/>
        <v>8.5416433135298786E-2</v>
      </c>
      <c r="F101" s="99">
        <f t="shared" si="7"/>
        <v>-1.6355140186915883E-2</v>
      </c>
      <c r="G101" s="101"/>
      <c r="H101" s="98">
        <v>133.596</v>
      </c>
      <c r="I101" s="99">
        <f t="shared" si="5"/>
        <v>9.0241394506194061E-2</v>
      </c>
      <c r="J101" s="99">
        <f t="shared" si="6"/>
        <v>3.5371070742141429E-2</v>
      </c>
    </row>
    <row r="102" spans="1:10" x14ac:dyDescent="0.3">
      <c r="A102">
        <v>101</v>
      </c>
      <c r="B102" s="96">
        <v>28611</v>
      </c>
      <c r="C102" s="97">
        <v>36582700</v>
      </c>
      <c r="D102" s="98">
        <v>97.24</v>
      </c>
      <c r="E102" s="99">
        <f t="shared" si="4"/>
        <v>4.2342249302901643E-3</v>
      </c>
      <c r="F102" s="99">
        <f t="shared" si="7"/>
        <v>1.1652101539741888E-2</v>
      </c>
      <c r="G102" s="101"/>
      <c r="H102" s="98">
        <v>134.82400000000001</v>
      </c>
      <c r="I102" s="99">
        <f t="shared" si="5"/>
        <v>9.191891972813622E-3</v>
      </c>
      <c r="J102" s="99">
        <f t="shared" si="6"/>
        <v>6.578552117753092E-2</v>
      </c>
    </row>
    <row r="103" spans="1:10" x14ac:dyDescent="0.3">
      <c r="A103">
        <v>102</v>
      </c>
      <c r="B103" s="96">
        <v>28642</v>
      </c>
      <c r="C103" s="97">
        <v>31108600</v>
      </c>
      <c r="D103" s="98">
        <v>95.53</v>
      </c>
      <c r="E103" s="99">
        <f t="shared" si="4"/>
        <v>-1.7585355820649875E-2</v>
      </c>
      <c r="F103" s="99">
        <f t="shared" si="7"/>
        <v>-4.9263535031847161E-2</v>
      </c>
      <c r="G103" s="101"/>
      <c r="H103" s="98">
        <v>132.96700000000001</v>
      </c>
      <c r="I103" s="99">
        <f t="shared" si="5"/>
        <v>-1.3773512134338094E-2</v>
      </c>
      <c r="J103" s="99">
        <f t="shared" si="6"/>
        <v>1.6044714283563757E-3</v>
      </c>
    </row>
    <row r="104" spans="1:10" x14ac:dyDescent="0.3">
      <c r="A104">
        <v>103</v>
      </c>
      <c r="B104" s="96">
        <v>28672</v>
      </c>
      <c r="C104" s="97">
        <v>28774000</v>
      </c>
      <c r="D104" s="98">
        <v>100.68</v>
      </c>
      <c r="E104" s="99">
        <f t="shared" si="4"/>
        <v>5.3909766565476872E-2</v>
      </c>
      <c r="F104" s="99">
        <f t="shared" si="7"/>
        <v>1.8512898330804377E-2</v>
      </c>
      <c r="G104" s="101"/>
      <c r="H104" s="98">
        <v>140.72</v>
      </c>
      <c r="I104" s="99">
        <f t="shared" si="5"/>
        <v>5.8307700406867759E-2</v>
      </c>
      <c r="J104" s="99">
        <f t="shared" si="6"/>
        <v>7.6614692516028426E-2</v>
      </c>
    </row>
    <row r="105" spans="1:10" x14ac:dyDescent="0.3">
      <c r="A105">
        <v>104</v>
      </c>
      <c r="B105" s="96">
        <v>28703</v>
      </c>
      <c r="C105" s="97">
        <v>39078200</v>
      </c>
      <c r="D105" s="98">
        <v>103.29</v>
      </c>
      <c r="E105" s="99">
        <f t="shared" si="4"/>
        <v>2.5923718712753271E-2</v>
      </c>
      <c r="F105" s="99">
        <f t="shared" si="7"/>
        <v>6.7376252970962183E-2</v>
      </c>
      <c r="G105" s="101"/>
      <c r="H105" s="98">
        <v>144.95500000000001</v>
      </c>
      <c r="I105" s="99">
        <f t="shared" si="5"/>
        <v>3.0095224559408853E-2</v>
      </c>
      <c r="J105" s="99">
        <f t="shared" si="6"/>
        <v>0.12499902987217615</v>
      </c>
    </row>
    <row r="106" spans="1:10" x14ac:dyDescent="0.3">
      <c r="A106">
        <v>105</v>
      </c>
      <c r="B106" s="96">
        <v>28734</v>
      </c>
      <c r="C106" s="97">
        <v>34795000</v>
      </c>
      <c r="D106" s="98">
        <v>102.54</v>
      </c>
      <c r="E106" s="99">
        <f t="shared" si="4"/>
        <v>-7.2611094975312219E-3</v>
      </c>
      <c r="F106" s="99">
        <f t="shared" si="7"/>
        <v>6.2260437169791828E-2</v>
      </c>
      <c r="G106" s="101"/>
      <c r="H106" s="98">
        <v>144.49100000000001</v>
      </c>
      <c r="I106" s="99">
        <f t="shared" si="5"/>
        <v>-3.200993411748464E-3</v>
      </c>
      <c r="J106" s="99">
        <f t="shared" si="6"/>
        <v>0.11965997411835819</v>
      </c>
    </row>
    <row r="107" spans="1:10" x14ac:dyDescent="0.3">
      <c r="A107">
        <v>106</v>
      </c>
      <c r="B107" s="96">
        <v>28764</v>
      </c>
      <c r="C107" s="97">
        <v>32957200</v>
      </c>
      <c r="D107" s="98">
        <v>93.15</v>
      </c>
      <c r="E107" s="99">
        <f t="shared" si="4"/>
        <v>-9.1574019894675243E-2</v>
      </c>
      <c r="F107" s="99">
        <f t="shared" si="7"/>
        <v>8.7719298245614273E-3</v>
      </c>
      <c r="G107" s="101"/>
      <c r="H107" s="98">
        <v>131.89400000000001</v>
      </c>
      <c r="I107" s="99">
        <f t="shared" si="5"/>
        <v>-8.7181900602805756E-2</v>
      </c>
      <c r="J107" s="99">
        <f t="shared" si="6"/>
        <v>6.3472609698279336E-2</v>
      </c>
    </row>
    <row r="108" spans="1:10" x14ac:dyDescent="0.3">
      <c r="A108">
        <v>107</v>
      </c>
      <c r="B108" s="96">
        <v>28795</v>
      </c>
      <c r="C108" s="97">
        <v>25452800</v>
      </c>
      <c r="D108" s="98">
        <v>94.7</v>
      </c>
      <c r="E108" s="99">
        <f t="shared" si="4"/>
        <v>1.6639828234031102E-2</v>
      </c>
      <c r="F108" s="99">
        <f t="shared" si="7"/>
        <v>-1.3708741959295103E-3</v>
      </c>
      <c r="G108" s="101"/>
      <c r="H108" s="98">
        <v>134.726</v>
      </c>
      <c r="I108" s="99">
        <f t="shared" si="5"/>
        <v>2.1471787950930243E-2</v>
      </c>
      <c r="J108" s="99">
        <f t="shared" si="6"/>
        <v>5.3007565810041866E-2</v>
      </c>
    </row>
    <row r="109" spans="1:10" x14ac:dyDescent="0.3">
      <c r="A109">
        <v>108</v>
      </c>
      <c r="B109" s="102">
        <v>28825</v>
      </c>
      <c r="C109" s="103">
        <v>26123500</v>
      </c>
      <c r="D109" s="104">
        <v>96.11</v>
      </c>
      <c r="E109" s="105">
        <f t="shared" si="4"/>
        <v>1.4889123548046427E-2</v>
      </c>
      <c r="F109" s="105">
        <f t="shared" si="7"/>
        <v>1.062039957939017E-2</v>
      </c>
      <c r="G109" s="107"/>
      <c r="H109" s="104">
        <v>137.37200000000001</v>
      </c>
      <c r="I109" s="105">
        <f t="shared" si="5"/>
        <v>1.9639861645116868E-2</v>
      </c>
      <c r="J109" s="105">
        <f t="shared" si="6"/>
        <v>6.5708833066981331E-2</v>
      </c>
    </row>
    <row r="110" spans="1:10" x14ac:dyDescent="0.3">
      <c r="A110">
        <v>109</v>
      </c>
      <c r="B110" s="96">
        <v>28856</v>
      </c>
      <c r="C110" s="97">
        <v>29366300</v>
      </c>
      <c r="D110" s="98">
        <v>99.93</v>
      </c>
      <c r="E110" s="99">
        <f t="shared" si="4"/>
        <v>3.9746124232650164E-2</v>
      </c>
      <c r="F110" s="99">
        <f t="shared" si="7"/>
        <v>0.11966386554621856</v>
      </c>
      <c r="G110" s="101"/>
      <c r="H110" s="98">
        <v>143.46100000000001</v>
      </c>
      <c r="I110" s="99">
        <f t="shared" si="5"/>
        <v>4.4324898814896763E-2</v>
      </c>
      <c r="J110" s="99">
        <f t="shared" si="6"/>
        <v>0.18073925317487105</v>
      </c>
    </row>
    <row r="111" spans="1:10" x14ac:dyDescent="0.3">
      <c r="A111">
        <v>110</v>
      </c>
      <c r="B111" s="96">
        <v>28887</v>
      </c>
      <c r="C111" s="97">
        <v>26357800</v>
      </c>
      <c r="D111" s="98">
        <v>96.28</v>
      </c>
      <c r="E111" s="99">
        <f t="shared" si="4"/>
        <v>-3.6525567897528324E-2</v>
      </c>
      <c r="F111" s="99">
        <f t="shared" si="7"/>
        <v>0.10615808823529405</v>
      </c>
      <c r="G111" s="101"/>
      <c r="H111" s="98">
        <v>138.852</v>
      </c>
      <c r="I111" s="99">
        <f t="shared" si="5"/>
        <v>-3.2127198332647953E-2</v>
      </c>
      <c r="J111" s="99">
        <f t="shared" si="6"/>
        <v>0.16646084830766902</v>
      </c>
    </row>
    <row r="112" spans="1:10" x14ac:dyDescent="0.3">
      <c r="A112">
        <v>111</v>
      </c>
      <c r="B112" s="96">
        <v>28915</v>
      </c>
      <c r="C112" s="97">
        <v>30898600</v>
      </c>
      <c r="D112" s="98">
        <v>101.59</v>
      </c>
      <c r="E112" s="99">
        <f t="shared" si="4"/>
        <v>5.5151641046946427E-2</v>
      </c>
      <c r="F112" s="99">
        <f t="shared" si="7"/>
        <v>0.13877368008070856</v>
      </c>
      <c r="G112" s="101"/>
      <c r="H112" s="98">
        <v>147.131</v>
      </c>
      <c r="I112" s="99">
        <f t="shared" si="5"/>
        <v>5.9624636303402152E-2</v>
      </c>
      <c r="J112" s="99">
        <f t="shared" si="6"/>
        <v>0.20069692666764599</v>
      </c>
    </row>
    <row r="113" spans="1:10" x14ac:dyDescent="0.3">
      <c r="A113">
        <v>112</v>
      </c>
      <c r="B113" s="96">
        <v>28946</v>
      </c>
      <c r="C113" s="97">
        <v>32354500</v>
      </c>
      <c r="D113" s="98">
        <v>101.76</v>
      </c>
      <c r="E113" s="99">
        <f t="shared" si="4"/>
        <v>1.6733930504971128E-3</v>
      </c>
      <c r="F113" s="99">
        <f t="shared" si="7"/>
        <v>5.0913972942270028E-2</v>
      </c>
      <c r="G113" s="101"/>
      <c r="H113" s="98">
        <v>148.05699999999999</v>
      </c>
      <c r="I113" s="99">
        <f t="shared" si="5"/>
        <v>6.2937110466182366E-3</v>
      </c>
      <c r="J113" s="99">
        <f t="shared" si="6"/>
        <v>0.10824425881014389</v>
      </c>
    </row>
    <row r="114" spans="1:10" x14ac:dyDescent="0.3">
      <c r="A114">
        <v>113</v>
      </c>
      <c r="B114" s="96">
        <v>28976</v>
      </c>
      <c r="C114" s="97">
        <v>29729000</v>
      </c>
      <c r="D114" s="98">
        <v>99.08</v>
      </c>
      <c r="E114" s="99">
        <f t="shared" si="4"/>
        <v>-2.6336477987421451E-2</v>
      </c>
      <c r="F114" s="99">
        <f t="shared" si="7"/>
        <v>1.8922254216371899E-2</v>
      </c>
      <c r="G114" s="101"/>
      <c r="H114" s="98">
        <v>144.84200000000001</v>
      </c>
      <c r="I114" s="99">
        <f t="shared" si="5"/>
        <v>-2.1714609913749267E-2</v>
      </c>
      <c r="J114" s="99">
        <f t="shared" si="6"/>
        <v>7.4304278170058746E-2</v>
      </c>
    </row>
    <row r="115" spans="1:10" x14ac:dyDescent="0.3">
      <c r="A115">
        <v>114</v>
      </c>
      <c r="B115" s="96">
        <v>29007</v>
      </c>
      <c r="C115" s="97">
        <v>36685700</v>
      </c>
      <c r="D115" s="98">
        <v>102.91</v>
      </c>
      <c r="E115" s="99">
        <f t="shared" si="4"/>
        <v>3.8655631812676609E-2</v>
      </c>
      <c r="F115" s="99">
        <f t="shared" si="7"/>
        <v>7.7253218884120123E-2</v>
      </c>
      <c r="G115" s="101"/>
      <c r="H115" s="98">
        <v>151.143</v>
      </c>
      <c r="I115" s="99">
        <f t="shared" si="5"/>
        <v>4.3502575219894694E-2</v>
      </c>
      <c r="J115" s="99">
        <f t="shared" si="6"/>
        <v>0.13669557108154645</v>
      </c>
    </row>
    <row r="116" spans="1:10" x14ac:dyDescent="0.3">
      <c r="A116">
        <v>115</v>
      </c>
      <c r="B116" s="96">
        <v>29037</v>
      </c>
      <c r="C116" s="97">
        <v>34052300</v>
      </c>
      <c r="D116" s="98">
        <v>103.81</v>
      </c>
      <c r="E116" s="99">
        <f t="shared" si="4"/>
        <v>8.7455057817511003E-3</v>
      </c>
      <c r="F116" s="99">
        <f t="shared" si="7"/>
        <v>3.1088597536750053E-2</v>
      </c>
      <c r="G116" s="101"/>
      <c r="H116" s="98">
        <v>153.16900000000001</v>
      </c>
      <c r="I116" s="99">
        <f t="shared" si="5"/>
        <v>1.3404524192321248E-2</v>
      </c>
      <c r="J116" s="99">
        <f t="shared" si="6"/>
        <v>8.8466458214894919E-2</v>
      </c>
    </row>
    <row r="117" spans="1:10" x14ac:dyDescent="0.3">
      <c r="A117">
        <v>116</v>
      </c>
      <c r="B117" s="96">
        <v>29068</v>
      </c>
      <c r="C117" s="97">
        <v>37018200</v>
      </c>
      <c r="D117" s="98">
        <v>109.32</v>
      </c>
      <c r="E117" s="99">
        <f t="shared" si="4"/>
        <v>5.3077738175512867E-2</v>
      </c>
      <c r="F117" s="99">
        <f t="shared" si="7"/>
        <v>5.8379320360150901E-2</v>
      </c>
      <c r="G117" s="101"/>
      <c r="H117" s="98">
        <v>162.00800000000001</v>
      </c>
      <c r="I117" s="99">
        <f t="shared" si="5"/>
        <v>5.7707499559310288E-2</v>
      </c>
      <c r="J117" s="99">
        <f t="shared" si="6"/>
        <v>0.11764340657445412</v>
      </c>
    </row>
    <row r="118" spans="1:10" x14ac:dyDescent="0.3">
      <c r="A118">
        <v>117</v>
      </c>
      <c r="B118" s="96">
        <v>29099</v>
      </c>
      <c r="C118" s="97">
        <v>39467800</v>
      </c>
      <c r="D118" s="98">
        <v>109.32</v>
      </c>
      <c r="E118" s="99">
        <f t="shared" si="4"/>
        <v>0</v>
      </c>
      <c r="F118" s="99">
        <f t="shared" si="7"/>
        <v>6.6120538326506592E-2</v>
      </c>
      <c r="G118" s="101"/>
      <c r="H118" s="98">
        <v>162.70400000000001</v>
      </c>
      <c r="I118" s="99">
        <f t="shared" si="5"/>
        <v>4.2960841439928761E-3</v>
      </c>
      <c r="J118" s="99">
        <f t="shared" si="6"/>
        <v>0.12604937331736921</v>
      </c>
    </row>
    <row r="119" spans="1:10" x14ac:dyDescent="0.3">
      <c r="A119">
        <v>118</v>
      </c>
      <c r="B119" s="96">
        <v>29129</v>
      </c>
      <c r="C119" s="97">
        <v>38509100</v>
      </c>
      <c r="D119" s="98">
        <v>101.82</v>
      </c>
      <c r="E119" s="99">
        <f t="shared" si="4"/>
        <v>-6.8605927552140511E-2</v>
      </c>
      <c r="F119" s="99">
        <f t="shared" si="7"/>
        <v>9.3075684380032067E-2</v>
      </c>
      <c r="G119" s="101"/>
      <c r="H119" s="98">
        <v>152.286</v>
      </c>
      <c r="I119" s="99">
        <f t="shared" si="5"/>
        <v>-6.4030386468679354E-2</v>
      </c>
      <c r="J119" s="99">
        <f t="shared" si="6"/>
        <v>0.15460900420034265</v>
      </c>
    </row>
    <row r="120" spans="1:10" x14ac:dyDescent="0.3">
      <c r="A120">
        <v>119</v>
      </c>
      <c r="B120" s="96">
        <v>29160</v>
      </c>
      <c r="C120" s="97">
        <v>32577600</v>
      </c>
      <c r="D120" s="98">
        <v>106.16</v>
      </c>
      <c r="E120" s="99">
        <f t="shared" si="4"/>
        <v>4.2624238852877666E-2</v>
      </c>
      <c r="F120" s="99">
        <f t="shared" si="7"/>
        <v>0.12101372756071799</v>
      </c>
      <c r="G120" s="101"/>
      <c r="H120" s="98">
        <v>159.52500000000001</v>
      </c>
      <c r="I120" s="99">
        <f t="shared" si="5"/>
        <v>4.7535558094637748E-2</v>
      </c>
      <c r="J120" s="99">
        <f t="shared" si="6"/>
        <v>0.1840698899989609</v>
      </c>
    </row>
    <row r="121" spans="1:10" x14ac:dyDescent="0.3">
      <c r="A121">
        <v>120</v>
      </c>
      <c r="B121" s="102">
        <v>29190</v>
      </c>
      <c r="C121" s="103">
        <v>37087000</v>
      </c>
      <c r="D121" s="104">
        <v>107.94</v>
      </c>
      <c r="E121" s="105">
        <f t="shared" si="4"/>
        <v>1.6767143933685016E-2</v>
      </c>
      <c r="F121" s="105">
        <f t="shared" si="7"/>
        <v>0.12308812818645301</v>
      </c>
      <c r="G121" s="107"/>
      <c r="H121" s="104">
        <v>162.93600000000001</v>
      </c>
      <c r="I121" s="105">
        <f t="shared" si="5"/>
        <v>2.1382228490832166E-2</v>
      </c>
      <c r="J121" s="105">
        <f t="shared" si="6"/>
        <v>0.18609323588504201</v>
      </c>
    </row>
    <row r="122" spans="1:10" x14ac:dyDescent="0.3">
      <c r="A122">
        <v>121</v>
      </c>
      <c r="B122" s="96">
        <v>29221</v>
      </c>
      <c r="C122" s="97">
        <v>55642700</v>
      </c>
      <c r="D122" s="98">
        <v>114.16</v>
      </c>
      <c r="E122" s="99">
        <f t="shared" si="4"/>
        <v>5.7624606262738548E-2</v>
      </c>
      <c r="F122" s="99">
        <f t="shared" si="7"/>
        <v>0.14239967977584297</v>
      </c>
      <c r="G122" s="101"/>
      <c r="H122" s="98">
        <v>173.06399999999999</v>
      </c>
      <c r="I122" s="99">
        <f t="shared" si="5"/>
        <v>6.215937546030334E-2</v>
      </c>
      <c r="J122" s="99">
        <f t="shared" si="6"/>
        <v>0.20634876377552072</v>
      </c>
    </row>
    <row r="123" spans="1:10" x14ac:dyDescent="0.3">
      <c r="A123">
        <v>122</v>
      </c>
      <c r="B123" s="96">
        <v>29252</v>
      </c>
      <c r="C123" s="97">
        <v>49767000</v>
      </c>
      <c r="D123" s="98">
        <v>113.66</v>
      </c>
      <c r="E123" s="99">
        <f t="shared" si="4"/>
        <v>-4.3798177995795374E-3</v>
      </c>
      <c r="F123" s="99">
        <f t="shared" si="7"/>
        <v>0.18051516410469459</v>
      </c>
      <c r="G123" s="101"/>
      <c r="H123" s="98">
        <v>173.04900000000001</v>
      </c>
      <c r="I123" s="99">
        <f t="shared" si="5"/>
        <v>-8.6673138260911334E-5</v>
      </c>
      <c r="J123" s="99">
        <f t="shared" si="6"/>
        <v>0.24628381298072768</v>
      </c>
    </row>
    <row r="124" spans="1:10" x14ac:dyDescent="0.3">
      <c r="A124">
        <v>123</v>
      </c>
      <c r="B124" s="96">
        <v>29281</v>
      </c>
      <c r="C124" s="97">
        <v>43442300</v>
      </c>
      <c r="D124" s="98">
        <v>102.09</v>
      </c>
      <c r="E124" s="99">
        <f t="shared" si="4"/>
        <v>-0.10179482667605133</v>
      </c>
      <c r="F124" s="99">
        <f t="shared" si="7"/>
        <v>4.9217442661679302E-3</v>
      </c>
      <c r="G124" s="101"/>
      <c r="H124" s="98">
        <v>156.22499999999999</v>
      </c>
      <c r="I124" s="99">
        <f t="shared" si="5"/>
        <v>-9.7221018324289712E-2</v>
      </c>
      <c r="J124" s="99">
        <f t="shared" si="6"/>
        <v>6.1808864209445966E-2</v>
      </c>
    </row>
    <row r="125" spans="1:10" x14ac:dyDescent="0.3">
      <c r="A125">
        <v>124</v>
      </c>
      <c r="B125" s="96">
        <v>29312</v>
      </c>
      <c r="C125" s="97">
        <v>33570900</v>
      </c>
      <c r="D125" s="98">
        <v>106.29</v>
      </c>
      <c r="E125" s="99">
        <f t="shared" si="4"/>
        <v>4.1140170437848983E-2</v>
      </c>
      <c r="F125" s="99">
        <f t="shared" si="7"/>
        <v>4.4516509433962272E-2</v>
      </c>
      <c r="G125" s="101"/>
      <c r="H125" s="98">
        <v>163.44800000000001</v>
      </c>
      <c r="I125" s="99">
        <f t="shared" si="5"/>
        <v>4.6234597535605784E-2</v>
      </c>
      <c r="J125" s="99">
        <f t="shared" si="6"/>
        <v>0.10395320721073655</v>
      </c>
    </row>
    <row r="126" spans="1:10" x14ac:dyDescent="0.3">
      <c r="A126">
        <v>125</v>
      </c>
      <c r="B126" s="96">
        <v>29342</v>
      </c>
      <c r="C126" s="97">
        <v>38082800</v>
      </c>
      <c r="D126" s="98">
        <v>111.24</v>
      </c>
      <c r="E126" s="99">
        <f t="shared" si="4"/>
        <v>4.657070279424206E-2</v>
      </c>
      <c r="F126" s="99">
        <f t="shared" si="7"/>
        <v>0.12272910779168346</v>
      </c>
      <c r="G126" s="101"/>
      <c r="H126" s="98">
        <v>171.86</v>
      </c>
      <c r="I126" s="99">
        <f t="shared" si="5"/>
        <v>5.1465909647104922E-2</v>
      </c>
      <c r="J126" s="99">
        <f t="shared" si="6"/>
        <v>0.18653429253945678</v>
      </c>
    </row>
    <row r="127" spans="1:10" x14ac:dyDescent="0.3">
      <c r="A127">
        <v>126</v>
      </c>
      <c r="B127" s="96">
        <v>29373</v>
      </c>
      <c r="C127" s="97">
        <v>40931900</v>
      </c>
      <c r="D127" s="98">
        <v>114.24</v>
      </c>
      <c r="E127" s="99">
        <f t="shared" si="4"/>
        <v>2.696871628910464E-2</v>
      </c>
      <c r="F127" s="99">
        <f t="shared" si="7"/>
        <v>0.11009620056359924</v>
      </c>
      <c r="G127" s="101"/>
      <c r="H127" s="98">
        <v>177.298</v>
      </c>
      <c r="I127" s="99">
        <f t="shared" si="5"/>
        <v>3.1642034213894957E-2</v>
      </c>
      <c r="J127" s="99">
        <f t="shared" si="6"/>
        <v>0.17304804059731513</v>
      </c>
    </row>
    <row r="128" spans="1:10" x14ac:dyDescent="0.3">
      <c r="A128">
        <v>127</v>
      </c>
      <c r="B128" s="96">
        <v>29403</v>
      </c>
      <c r="C128" s="97">
        <v>48926300</v>
      </c>
      <c r="D128" s="98">
        <v>121.67</v>
      </c>
      <c r="E128" s="99">
        <f t="shared" si="4"/>
        <v>6.5038515406162525E-2</v>
      </c>
      <c r="F128" s="99">
        <f t="shared" si="7"/>
        <v>0.1720450823620075</v>
      </c>
      <c r="G128" s="101"/>
      <c r="H128" s="98">
        <v>189.636</v>
      </c>
      <c r="I128" s="99">
        <f t="shared" si="5"/>
        <v>6.9589053458019801E-2</v>
      </c>
      <c r="J128" s="99">
        <f t="shared" si="6"/>
        <v>0.23808342419157913</v>
      </c>
    </row>
    <row r="129" spans="1:10" x14ac:dyDescent="0.3">
      <c r="A129">
        <v>128</v>
      </c>
      <c r="B129" s="96">
        <v>29434</v>
      </c>
      <c r="C129" s="97">
        <v>47579500</v>
      </c>
      <c r="D129" s="98">
        <v>122.38</v>
      </c>
      <c r="E129" s="99">
        <f t="shared" si="4"/>
        <v>5.8354565628338439E-3</v>
      </c>
      <c r="F129" s="99">
        <f t="shared" si="7"/>
        <v>0.11946578851079402</v>
      </c>
      <c r="G129" s="101"/>
      <c r="H129" s="98">
        <v>191.553</v>
      </c>
      <c r="I129" s="99">
        <f t="shared" si="5"/>
        <v>1.0108840093653112E-2</v>
      </c>
      <c r="J129" s="99">
        <f t="shared" si="6"/>
        <v>0.18236753740556014</v>
      </c>
    </row>
    <row r="130" spans="1:10" x14ac:dyDescent="0.3">
      <c r="A130">
        <v>129</v>
      </c>
      <c r="B130" s="96">
        <v>29465</v>
      </c>
      <c r="C130" s="97">
        <v>52285700</v>
      </c>
      <c r="D130" s="98">
        <v>125.46</v>
      </c>
      <c r="E130" s="99">
        <f t="shared" si="4"/>
        <v>2.5167511031214236E-2</v>
      </c>
      <c r="F130" s="99">
        <f t="shared" si="7"/>
        <v>0.14763995609220637</v>
      </c>
      <c r="G130" s="101"/>
      <c r="H130" s="98">
        <v>197.18799999999999</v>
      </c>
      <c r="I130" s="99">
        <f t="shared" si="5"/>
        <v>2.9417445824393203E-2</v>
      </c>
      <c r="J130" s="99">
        <f t="shared" si="6"/>
        <v>0.21194316058609486</v>
      </c>
    </row>
    <row r="131" spans="1:10" x14ac:dyDescent="0.3">
      <c r="A131">
        <v>130</v>
      </c>
      <c r="B131" s="96">
        <v>29495</v>
      </c>
      <c r="C131" s="97">
        <v>46604300</v>
      </c>
      <c r="D131" s="98">
        <v>127.47</v>
      </c>
      <c r="E131" s="99">
        <f t="shared" si="4"/>
        <v>1.6021042563366852E-2</v>
      </c>
      <c r="F131" s="99">
        <f t="shared" si="7"/>
        <v>0.25191514437242202</v>
      </c>
      <c r="G131" s="101"/>
      <c r="H131" s="98">
        <v>201.18</v>
      </c>
      <c r="I131" s="99">
        <f t="shared" si="5"/>
        <v>2.0244639633243498E-2</v>
      </c>
      <c r="J131" s="99">
        <f t="shared" si="6"/>
        <v>0.32106693983688589</v>
      </c>
    </row>
    <row r="132" spans="1:10" x14ac:dyDescent="0.3">
      <c r="A132">
        <v>131</v>
      </c>
      <c r="B132" s="96">
        <v>29526</v>
      </c>
      <c r="C132" s="97">
        <v>56797200</v>
      </c>
      <c r="D132" s="98">
        <v>140.52000000000001</v>
      </c>
      <c r="E132" s="99">
        <f t="shared" ref="E132:E195" si="8">(D132-D131)/D131</f>
        <v>0.10237702988938582</v>
      </c>
      <c r="F132" s="99">
        <f t="shared" si="7"/>
        <v>0.32366239638281852</v>
      </c>
      <c r="G132" s="101"/>
      <c r="H132" s="98">
        <v>222.613</v>
      </c>
      <c r="I132" s="99">
        <f t="shared" ref="I132:I195" si="9">(H132-H131)/H131</f>
        <v>0.10653643503330347</v>
      </c>
      <c r="J132" s="99">
        <f t="shared" si="6"/>
        <v>0.39547406362639081</v>
      </c>
    </row>
    <row r="133" spans="1:10" x14ac:dyDescent="0.3">
      <c r="A133">
        <v>132</v>
      </c>
      <c r="B133" s="102">
        <v>29556</v>
      </c>
      <c r="C133" s="103">
        <v>48493600</v>
      </c>
      <c r="D133" s="104">
        <v>135.76</v>
      </c>
      <c r="E133" s="105">
        <f t="shared" si="8"/>
        <v>-3.3874181611158689E-2</v>
      </c>
      <c r="F133" s="105">
        <f t="shared" si="7"/>
        <v>0.25773577913655726</v>
      </c>
      <c r="G133" s="107"/>
      <c r="H133" s="104">
        <v>215.89599999999999</v>
      </c>
      <c r="I133" s="105">
        <f t="shared" si="9"/>
        <v>-3.0173440005749948E-2</v>
      </c>
      <c r="J133" s="105">
        <f t="shared" si="6"/>
        <v>0.32503559679874294</v>
      </c>
    </row>
    <row r="134" spans="1:10" x14ac:dyDescent="0.3">
      <c r="A134">
        <v>133</v>
      </c>
      <c r="B134" s="96">
        <v>29587</v>
      </c>
      <c r="C134" s="97">
        <v>47460900</v>
      </c>
      <c r="D134" s="98">
        <v>129.55000000000001</v>
      </c>
      <c r="E134" s="99">
        <f t="shared" si="8"/>
        <v>-4.5742486741308042E-2</v>
      </c>
      <c r="F134" s="99">
        <f t="shared" si="7"/>
        <v>0.13481079187105829</v>
      </c>
      <c r="G134" s="101"/>
      <c r="H134" s="98">
        <v>206.863</v>
      </c>
      <c r="I134" s="99">
        <f t="shared" si="9"/>
        <v>-4.1839589431948661E-2</v>
      </c>
      <c r="J134" s="99">
        <f t="shared" si="6"/>
        <v>0.19529769333888047</v>
      </c>
    </row>
    <row r="135" spans="1:10" x14ac:dyDescent="0.3">
      <c r="A135">
        <v>134</v>
      </c>
      <c r="B135" s="96">
        <v>29618</v>
      </c>
      <c r="C135" s="97">
        <v>45764200</v>
      </c>
      <c r="D135" s="98">
        <v>131.27000000000001</v>
      </c>
      <c r="E135" s="99">
        <f t="shared" si="8"/>
        <v>1.3276727132381309E-2</v>
      </c>
      <c r="F135" s="99">
        <f t="shared" si="7"/>
        <v>0.15493577335914141</v>
      </c>
      <c r="G135" s="101"/>
      <c r="H135" s="98">
        <v>210.45599999999999</v>
      </c>
      <c r="I135" s="99">
        <f t="shared" si="9"/>
        <v>1.7368983336797733E-2</v>
      </c>
      <c r="J135" s="99">
        <f t="shared" si="6"/>
        <v>0.21616420782552909</v>
      </c>
    </row>
    <row r="136" spans="1:10" x14ac:dyDescent="0.3">
      <c r="A136">
        <v>135</v>
      </c>
      <c r="B136" s="96">
        <v>29646</v>
      </c>
      <c r="C136" s="97">
        <v>55705000</v>
      </c>
      <c r="D136" s="98">
        <v>136</v>
      </c>
      <c r="E136" s="99">
        <f t="shared" si="8"/>
        <v>3.6032604555496221E-2</v>
      </c>
      <c r="F136" s="99">
        <f t="shared" si="7"/>
        <v>0.33215789989225192</v>
      </c>
      <c r="G136" s="101"/>
      <c r="H136" s="98">
        <v>218.87299999999999</v>
      </c>
      <c r="I136" s="99">
        <f t="shared" si="9"/>
        <v>3.9994108032082726E-2</v>
      </c>
      <c r="J136" s="99">
        <f t="shared" si="6"/>
        <v>0.40101136181789088</v>
      </c>
    </row>
    <row r="137" spans="1:10" x14ac:dyDescent="0.3">
      <c r="A137">
        <v>136</v>
      </c>
      <c r="B137" s="96">
        <v>29677</v>
      </c>
      <c r="C137" s="97">
        <v>55782800</v>
      </c>
      <c r="D137" s="98">
        <v>132.81</v>
      </c>
      <c r="E137" s="99">
        <f t="shared" si="8"/>
        <v>-2.345588235294116E-2</v>
      </c>
      <c r="F137" s="99">
        <f t="shared" si="7"/>
        <v>0.24950606830369737</v>
      </c>
      <c r="G137" s="101"/>
      <c r="H137" s="98">
        <v>214.64099999999999</v>
      </c>
      <c r="I137" s="99">
        <f t="shared" si="9"/>
        <v>-1.9335413687389488E-2</v>
      </c>
      <c r="J137" s="99">
        <f t="shared" si="6"/>
        <v>0.31320664676227289</v>
      </c>
    </row>
    <row r="138" spans="1:10" x14ac:dyDescent="0.3">
      <c r="A138">
        <v>137</v>
      </c>
      <c r="B138" s="96">
        <v>29707</v>
      </c>
      <c r="C138" s="97">
        <v>47850500</v>
      </c>
      <c r="D138" s="98">
        <v>132.59</v>
      </c>
      <c r="E138" s="99">
        <f t="shared" si="8"/>
        <v>-1.6565017694450633E-3</v>
      </c>
      <c r="F138" s="99">
        <f t="shared" si="7"/>
        <v>0.19192736425746143</v>
      </c>
      <c r="G138" s="101"/>
      <c r="H138" s="98">
        <v>215.19</v>
      </c>
      <c r="I138" s="99">
        <f t="shared" si="9"/>
        <v>2.5577592351880892E-3</v>
      </c>
      <c r="J138" s="99">
        <f t="shared" si="6"/>
        <v>0.25212382171534958</v>
      </c>
    </row>
    <row r="139" spans="1:10" x14ac:dyDescent="0.3">
      <c r="A139">
        <v>138</v>
      </c>
      <c r="B139" s="96">
        <v>29738</v>
      </c>
      <c r="C139" s="97">
        <v>51932700</v>
      </c>
      <c r="D139" s="98">
        <v>131.21</v>
      </c>
      <c r="E139" s="99">
        <f t="shared" si="8"/>
        <v>-1.0408024737913836E-2</v>
      </c>
      <c r="F139" s="99">
        <f t="shared" si="7"/>
        <v>0.14854691876750711</v>
      </c>
      <c r="G139" s="101"/>
      <c r="H139" s="98">
        <v>213.84299999999999</v>
      </c>
      <c r="I139" s="99">
        <f t="shared" si="9"/>
        <v>-6.2595845531855957E-3</v>
      </c>
      <c r="J139" s="99">
        <f t="shared" si="6"/>
        <v>0.2061218964680932</v>
      </c>
    </row>
    <row r="140" spans="1:10" x14ac:dyDescent="0.3">
      <c r="A140">
        <v>139</v>
      </c>
      <c r="B140" s="96">
        <v>29768</v>
      </c>
      <c r="C140" s="97">
        <v>45338600</v>
      </c>
      <c r="D140" s="98">
        <v>130.91999999999999</v>
      </c>
      <c r="E140" s="99">
        <f t="shared" si="8"/>
        <v>-2.2101973934915056E-3</v>
      </c>
      <c r="F140" s="99">
        <f t="shared" si="7"/>
        <v>7.6025314374948513E-2</v>
      </c>
      <c r="G140" s="101"/>
      <c r="H140" s="98">
        <v>214.28299999999999</v>
      </c>
      <c r="I140" s="99">
        <f t="shared" si="9"/>
        <v>2.0575843025022926E-3</v>
      </c>
      <c r="J140" s="99">
        <f t="shared" si="6"/>
        <v>0.12997004788120395</v>
      </c>
    </row>
    <row r="141" spans="1:10" x14ac:dyDescent="0.3">
      <c r="A141">
        <v>140</v>
      </c>
      <c r="B141" s="96">
        <v>29799</v>
      </c>
      <c r="C141" s="97">
        <v>45757600</v>
      </c>
      <c r="D141" s="98">
        <v>122.79</v>
      </c>
      <c r="E141" s="99">
        <f t="shared" si="8"/>
        <v>-6.2098991750687303E-2</v>
      </c>
      <c r="F141" s="99">
        <f t="shared" si="7"/>
        <v>3.3502206242851025E-3</v>
      </c>
      <c r="G141" s="101"/>
      <c r="H141" s="98">
        <v>201.90899999999999</v>
      </c>
      <c r="I141" s="99">
        <f t="shared" si="9"/>
        <v>-5.774606478348724E-2</v>
      </c>
      <c r="J141" s="99">
        <f t="shared" si="6"/>
        <v>5.4063366274608046E-2</v>
      </c>
    </row>
    <row r="142" spans="1:10" x14ac:dyDescent="0.3">
      <c r="A142">
        <v>141</v>
      </c>
      <c r="B142" s="96">
        <v>29830</v>
      </c>
      <c r="C142" s="97">
        <v>47611400</v>
      </c>
      <c r="D142" s="98">
        <v>116.18</v>
      </c>
      <c r="E142" s="99">
        <f t="shared" si="8"/>
        <v>-5.3831745256128341E-2</v>
      </c>
      <c r="F142" s="99">
        <f t="shared" si="7"/>
        <v>-7.3967798501514331E-2</v>
      </c>
      <c r="G142" s="101"/>
      <c r="H142" s="98">
        <v>191.96100000000001</v>
      </c>
      <c r="I142" s="99">
        <f t="shared" si="9"/>
        <v>-4.9269720517658842E-2</v>
      </c>
      <c r="J142" s="99">
        <f t="shared" ref="J142:J205" si="10">(H142-H130)/H130</f>
        <v>-2.6507698237215122E-2</v>
      </c>
    </row>
    <row r="143" spans="1:10" x14ac:dyDescent="0.3">
      <c r="A143">
        <v>142</v>
      </c>
      <c r="B143" s="96">
        <v>29860</v>
      </c>
      <c r="C143" s="97">
        <v>48051300</v>
      </c>
      <c r="D143" s="98">
        <v>121.89</v>
      </c>
      <c r="E143" s="99">
        <f t="shared" si="8"/>
        <v>4.9147873988638263E-2</v>
      </c>
      <c r="F143" s="99">
        <f t="shared" ref="F143:F206" si="11">(D143-D131)/D131</f>
        <v>-4.3775005883737339E-2</v>
      </c>
      <c r="G143" s="101"/>
      <c r="H143" s="98">
        <v>202.321</v>
      </c>
      <c r="I143" s="99">
        <f t="shared" si="9"/>
        <v>5.3969295846552086E-2</v>
      </c>
      <c r="J143" s="99">
        <f t="shared" si="10"/>
        <v>5.6715379262351684E-3</v>
      </c>
    </row>
    <row r="144" spans="1:10" x14ac:dyDescent="0.3">
      <c r="A144">
        <v>143</v>
      </c>
      <c r="B144" s="96">
        <v>29891</v>
      </c>
      <c r="C144" s="97">
        <v>51775000</v>
      </c>
      <c r="D144" s="98">
        <v>126.35</v>
      </c>
      <c r="E144" s="99">
        <f t="shared" si="8"/>
        <v>3.6590368364919135E-2</v>
      </c>
      <c r="F144" s="99">
        <f t="shared" si="11"/>
        <v>-0.10083973811557084</v>
      </c>
      <c r="G144" s="101"/>
      <c r="H144" s="98">
        <v>210.67</v>
      </c>
      <c r="I144" s="99">
        <f t="shared" si="9"/>
        <v>4.1266106830235072E-2</v>
      </c>
      <c r="J144" s="99">
        <f t="shared" si="10"/>
        <v>-5.3649157955734897E-2</v>
      </c>
    </row>
    <row r="145" spans="1:10" x14ac:dyDescent="0.3">
      <c r="A145">
        <v>144</v>
      </c>
      <c r="B145" s="102">
        <v>29921</v>
      </c>
      <c r="C145" s="103">
        <v>45465900</v>
      </c>
      <c r="D145" s="104">
        <v>122.55</v>
      </c>
      <c r="E145" s="105">
        <f t="shared" si="8"/>
        <v>-3.007518796992479E-2</v>
      </c>
      <c r="F145" s="105">
        <f t="shared" si="11"/>
        <v>-9.730406599882141E-2</v>
      </c>
      <c r="G145" s="107"/>
      <c r="H145" s="104">
        <v>205.267</v>
      </c>
      <c r="I145" s="105">
        <f t="shared" si="9"/>
        <v>-2.5646746095789586E-2</v>
      </c>
      <c r="J145" s="105">
        <f t="shared" si="10"/>
        <v>-4.9232037647756285E-2</v>
      </c>
    </row>
    <row r="146" spans="1:10" x14ac:dyDescent="0.3">
      <c r="A146">
        <v>145</v>
      </c>
      <c r="B146" s="96">
        <v>29952</v>
      </c>
      <c r="C146" s="97">
        <v>52087000</v>
      </c>
      <c r="D146" s="98">
        <v>120.4</v>
      </c>
      <c r="E146" s="99">
        <f t="shared" si="8"/>
        <v>-1.7543859649122737E-2</v>
      </c>
      <c r="F146" s="99">
        <f t="shared" si="11"/>
        <v>-7.0629100733307637E-2</v>
      </c>
      <c r="G146" s="101"/>
      <c r="H146" s="98">
        <v>202.58799999999999</v>
      </c>
      <c r="I146" s="99">
        <f t="shared" si="9"/>
        <v>-1.3051294168083531E-2</v>
      </c>
      <c r="J146" s="99">
        <f t="shared" si="10"/>
        <v>-2.0665851312221161E-2</v>
      </c>
    </row>
    <row r="147" spans="1:10" x14ac:dyDescent="0.3">
      <c r="A147">
        <v>146</v>
      </c>
      <c r="B147" s="96">
        <v>29983</v>
      </c>
      <c r="C147" s="97">
        <v>53475200</v>
      </c>
      <c r="D147" s="98">
        <v>113.11</v>
      </c>
      <c r="E147" s="99">
        <f t="shared" si="8"/>
        <v>-6.0548172757475135E-2</v>
      </c>
      <c r="F147" s="99">
        <f t="shared" si="11"/>
        <v>-0.13834082425535163</v>
      </c>
      <c r="G147" s="101"/>
      <c r="H147" s="98">
        <v>191.26400000000001</v>
      </c>
      <c r="I147" s="99">
        <f t="shared" si="9"/>
        <v>-5.5896696744130871E-2</v>
      </c>
      <c r="J147" s="99">
        <f t="shared" si="10"/>
        <v>-9.1192458281065786E-2</v>
      </c>
    </row>
    <row r="148" spans="1:10" x14ac:dyDescent="0.3">
      <c r="A148">
        <v>147</v>
      </c>
      <c r="B148" s="96">
        <v>30011</v>
      </c>
      <c r="C148" s="97">
        <v>57043000</v>
      </c>
      <c r="D148" s="98">
        <v>111.96</v>
      </c>
      <c r="E148" s="99">
        <f t="shared" si="8"/>
        <v>-1.0167093979312224E-2</v>
      </c>
      <c r="F148" s="99">
        <f t="shared" si="11"/>
        <v>-0.17676470588235299</v>
      </c>
      <c r="G148" s="101"/>
      <c r="H148" s="98">
        <v>190.26599999999999</v>
      </c>
      <c r="I148" s="99">
        <f t="shared" si="9"/>
        <v>-5.217918688305268E-3</v>
      </c>
      <c r="J148" s="99">
        <f t="shared" si="10"/>
        <v>-0.13070136563212456</v>
      </c>
    </row>
    <row r="149" spans="1:10" x14ac:dyDescent="0.3">
      <c r="A149">
        <v>148</v>
      </c>
      <c r="B149" s="96">
        <v>30042</v>
      </c>
      <c r="C149" s="97">
        <v>56413800</v>
      </c>
      <c r="D149" s="98">
        <v>116.44</v>
      </c>
      <c r="E149" s="99">
        <f t="shared" si="8"/>
        <v>4.0014290818149376E-2</v>
      </c>
      <c r="F149" s="99">
        <f t="shared" si="11"/>
        <v>-0.12325879075370834</v>
      </c>
      <c r="G149" s="101"/>
      <c r="H149" s="98">
        <v>198.86500000000001</v>
      </c>
      <c r="I149" s="99">
        <f t="shared" si="9"/>
        <v>4.519462226567026E-2</v>
      </c>
      <c r="J149" s="99">
        <f t="shared" si="10"/>
        <v>-7.3499471210066961E-2</v>
      </c>
    </row>
    <row r="150" spans="1:10" x14ac:dyDescent="0.3">
      <c r="A150">
        <v>149</v>
      </c>
      <c r="B150" s="96">
        <v>30072</v>
      </c>
      <c r="C150" s="97">
        <v>53518000</v>
      </c>
      <c r="D150" s="98">
        <v>111.88</v>
      </c>
      <c r="E150" s="99">
        <f t="shared" si="8"/>
        <v>-3.9161800068704934E-2</v>
      </c>
      <c r="F150" s="99">
        <f t="shared" si="11"/>
        <v>-0.15619579153782343</v>
      </c>
      <c r="G150" s="101"/>
      <c r="H150" s="98">
        <v>192.08500000000001</v>
      </c>
      <c r="I150" s="99">
        <f t="shared" si="9"/>
        <v>-3.4093480501847989E-2</v>
      </c>
      <c r="J150" s="99">
        <f t="shared" si="10"/>
        <v>-0.10737023095868763</v>
      </c>
    </row>
    <row r="151" spans="1:10" x14ac:dyDescent="0.3">
      <c r="A151">
        <v>150</v>
      </c>
      <c r="B151" s="96">
        <v>30103</v>
      </c>
      <c r="C151" s="97">
        <v>53445900</v>
      </c>
      <c r="D151" s="98">
        <v>109.61</v>
      </c>
      <c r="E151" s="99">
        <f t="shared" si="8"/>
        <v>-2.0289595995709654E-2</v>
      </c>
      <c r="F151" s="99">
        <f t="shared" si="11"/>
        <v>-0.16462159896349368</v>
      </c>
      <c r="G151" s="101"/>
      <c r="H151" s="98">
        <v>189.2</v>
      </c>
      <c r="I151" s="99">
        <f t="shared" si="9"/>
        <v>-1.5019392456464687E-2</v>
      </c>
      <c r="J151" s="99">
        <f t="shared" si="10"/>
        <v>-0.11523874992400968</v>
      </c>
    </row>
    <row r="152" spans="1:10" x14ac:dyDescent="0.3">
      <c r="A152">
        <v>151</v>
      </c>
      <c r="B152" s="96">
        <v>30133</v>
      </c>
      <c r="C152" s="97">
        <v>56402800</v>
      </c>
      <c r="D152" s="98">
        <v>107.09</v>
      </c>
      <c r="E152" s="99">
        <f t="shared" si="8"/>
        <v>-2.2990603047167192E-2</v>
      </c>
      <c r="F152" s="99">
        <f t="shared" si="11"/>
        <v>-0.18201955392606162</v>
      </c>
      <c r="G152" s="101"/>
      <c r="H152" s="98">
        <v>185.834</v>
      </c>
      <c r="I152" s="99">
        <f t="shared" si="9"/>
        <v>-1.7790697674418529E-2</v>
      </c>
      <c r="J152" s="99">
        <f t="shared" si="10"/>
        <v>-0.13276368167330113</v>
      </c>
    </row>
    <row r="153" spans="1:10" x14ac:dyDescent="0.3">
      <c r="A153">
        <v>152</v>
      </c>
      <c r="B153" s="96">
        <v>30164</v>
      </c>
      <c r="C153" s="97">
        <v>79960400</v>
      </c>
      <c r="D153" s="98">
        <v>119.51</v>
      </c>
      <c r="E153" s="99">
        <f t="shared" si="8"/>
        <v>0.11597721542627698</v>
      </c>
      <c r="F153" s="99">
        <f t="shared" si="11"/>
        <v>-2.6712272986399551E-2</v>
      </c>
      <c r="G153" s="101"/>
      <c r="H153" s="98">
        <v>208.393</v>
      </c>
      <c r="I153" s="99">
        <f t="shared" si="9"/>
        <v>0.12139328648148345</v>
      </c>
      <c r="J153" s="99">
        <f t="shared" si="10"/>
        <v>3.2113476863339471E-2</v>
      </c>
    </row>
    <row r="154" spans="1:10" x14ac:dyDescent="0.3">
      <c r="A154">
        <v>153</v>
      </c>
      <c r="B154" s="96">
        <v>30195</v>
      </c>
      <c r="C154" s="97">
        <v>76697600</v>
      </c>
      <c r="D154" s="98">
        <v>120.42</v>
      </c>
      <c r="E154" s="99">
        <f t="shared" si="8"/>
        <v>7.6144255710818886E-3</v>
      </c>
      <c r="F154" s="99">
        <f t="shared" si="11"/>
        <v>3.6495093819934536E-2</v>
      </c>
      <c r="G154" s="101"/>
      <c r="H154" s="98">
        <v>210.99100000000001</v>
      </c>
      <c r="I154" s="99">
        <f t="shared" si="9"/>
        <v>1.2466829500031255E-2</v>
      </c>
      <c r="J154" s="99">
        <f t="shared" si="10"/>
        <v>9.9134720073348226E-2</v>
      </c>
    </row>
    <row r="155" spans="1:10" x14ac:dyDescent="0.3">
      <c r="A155">
        <v>154</v>
      </c>
      <c r="B155" s="96">
        <v>30225</v>
      </c>
      <c r="C155" s="97">
        <v>102066100</v>
      </c>
      <c r="D155" s="98">
        <v>133.72</v>
      </c>
      <c r="E155" s="99">
        <f t="shared" si="8"/>
        <v>0.11044676963959472</v>
      </c>
      <c r="F155" s="99">
        <f t="shared" si="11"/>
        <v>9.7054721470178018E-2</v>
      </c>
      <c r="G155" s="101"/>
      <c r="H155" s="98">
        <v>235.27600000000001</v>
      </c>
      <c r="I155" s="99">
        <f t="shared" si="9"/>
        <v>0.1150996961955723</v>
      </c>
      <c r="J155" s="99">
        <f t="shared" si="10"/>
        <v>0.16288472279199892</v>
      </c>
    </row>
    <row r="156" spans="1:10" x14ac:dyDescent="0.3">
      <c r="A156">
        <v>155</v>
      </c>
      <c r="B156" s="96">
        <v>30256</v>
      </c>
      <c r="C156" s="97">
        <v>92881400</v>
      </c>
      <c r="D156" s="98">
        <v>138.53</v>
      </c>
      <c r="E156" s="99">
        <f t="shared" si="8"/>
        <v>3.5970685013460978E-2</v>
      </c>
      <c r="F156" s="99">
        <f t="shared" si="11"/>
        <v>9.6398891966759062E-2</v>
      </c>
      <c r="G156" s="101"/>
      <c r="H156" s="98">
        <v>244.77799999999999</v>
      </c>
      <c r="I156" s="99">
        <f t="shared" si="9"/>
        <v>4.0386609768952128E-2</v>
      </c>
      <c r="J156" s="99">
        <f t="shared" si="10"/>
        <v>0.16190250154269714</v>
      </c>
    </row>
    <row r="157" spans="1:10" x14ac:dyDescent="0.3">
      <c r="A157">
        <v>156</v>
      </c>
      <c r="B157" s="102">
        <v>30286</v>
      </c>
      <c r="C157" s="103">
        <v>78372200</v>
      </c>
      <c r="D157" s="104">
        <v>140.63999999999999</v>
      </c>
      <c r="E157" s="105">
        <f t="shared" si="8"/>
        <v>1.5231357828629071E-2</v>
      </c>
      <c r="F157" s="105">
        <f t="shared" si="11"/>
        <v>0.14761321909424716</v>
      </c>
      <c r="G157" s="107"/>
      <c r="H157" s="104">
        <v>249.495</v>
      </c>
      <c r="I157" s="105">
        <f t="shared" si="9"/>
        <v>1.9270522677691675E-2</v>
      </c>
      <c r="J157" s="105">
        <f t="shared" si="10"/>
        <v>0.21546571051362376</v>
      </c>
    </row>
    <row r="158" spans="1:10" x14ac:dyDescent="0.3">
      <c r="A158">
        <v>157</v>
      </c>
      <c r="B158" s="96">
        <v>30317</v>
      </c>
      <c r="C158" s="97">
        <v>91654200</v>
      </c>
      <c r="D158" s="98">
        <v>145.30000000000001</v>
      </c>
      <c r="E158" s="99">
        <f t="shared" si="8"/>
        <v>3.3134243458475723E-2</v>
      </c>
      <c r="F158" s="99">
        <f t="shared" si="11"/>
        <v>0.20681063122923593</v>
      </c>
      <c r="G158" s="101"/>
      <c r="H158" s="98">
        <v>258.77300000000002</v>
      </c>
      <c r="I158" s="99">
        <f t="shared" si="9"/>
        <v>3.7187117978316281E-2</v>
      </c>
      <c r="J158" s="99">
        <f t="shared" si="10"/>
        <v>0.27733626868323907</v>
      </c>
    </row>
    <row r="159" spans="1:10" x14ac:dyDescent="0.3">
      <c r="A159">
        <v>158</v>
      </c>
      <c r="B159" s="96">
        <v>30348</v>
      </c>
      <c r="C159" s="97">
        <v>89431500</v>
      </c>
      <c r="D159" s="98">
        <v>148.06</v>
      </c>
      <c r="E159" s="99">
        <f t="shared" si="8"/>
        <v>1.8995182381280045E-2</v>
      </c>
      <c r="F159" s="99">
        <f t="shared" si="11"/>
        <v>0.30899124745822654</v>
      </c>
      <c r="G159" s="101"/>
      <c r="H159" s="98">
        <v>264.70400000000001</v>
      </c>
      <c r="I159" s="99">
        <f t="shared" si="9"/>
        <v>2.2919701823605951E-2</v>
      </c>
      <c r="J159" s="99">
        <f t="shared" si="10"/>
        <v>0.38397189225363892</v>
      </c>
    </row>
    <row r="160" spans="1:10" x14ac:dyDescent="0.3">
      <c r="A160">
        <v>159</v>
      </c>
      <c r="B160" s="96">
        <v>30376</v>
      </c>
      <c r="C160" s="97">
        <v>87064700</v>
      </c>
      <c r="D160" s="98">
        <v>152.96</v>
      </c>
      <c r="E160" s="99">
        <f t="shared" si="8"/>
        <v>3.309469134134814E-2</v>
      </c>
      <c r="F160" s="99">
        <f t="shared" si="11"/>
        <v>0.36620221507681328</v>
      </c>
      <c r="G160" s="101"/>
      <c r="H160" s="98">
        <v>274.483</v>
      </c>
      <c r="I160" s="99">
        <f t="shared" si="9"/>
        <v>3.6943151595744669E-2</v>
      </c>
      <c r="J160" s="99">
        <f t="shared" si="10"/>
        <v>0.44262768965553495</v>
      </c>
    </row>
    <row r="161" spans="1:10" x14ac:dyDescent="0.3">
      <c r="A161">
        <v>160</v>
      </c>
      <c r="B161" s="96">
        <v>30407</v>
      </c>
      <c r="C161" s="97">
        <v>94631000</v>
      </c>
      <c r="D161" s="98">
        <v>164.43</v>
      </c>
      <c r="E161" s="99">
        <f t="shared" si="8"/>
        <v>7.498692468619246E-2</v>
      </c>
      <c r="F161" s="99">
        <f t="shared" si="11"/>
        <v>0.41214359326691868</v>
      </c>
      <c r="G161" s="101"/>
      <c r="H161" s="98">
        <v>296.10700000000003</v>
      </c>
      <c r="I161" s="99">
        <f t="shared" si="9"/>
        <v>7.8780835242984168E-2</v>
      </c>
      <c r="J161" s="99">
        <f t="shared" si="10"/>
        <v>0.48898498981721278</v>
      </c>
    </row>
    <row r="162" spans="1:10" x14ac:dyDescent="0.3">
      <c r="A162">
        <v>161</v>
      </c>
      <c r="B162" s="96">
        <v>30437</v>
      </c>
      <c r="C162" s="97">
        <v>96525700</v>
      </c>
      <c r="D162" s="98">
        <v>162.38999999999999</v>
      </c>
      <c r="E162" s="99">
        <f t="shared" si="8"/>
        <v>-1.2406495165115978E-2</v>
      </c>
      <c r="F162" s="99">
        <f t="shared" si="11"/>
        <v>0.45146585627457986</v>
      </c>
      <c r="G162" s="101"/>
      <c r="H162" s="98">
        <v>293.53100000000001</v>
      </c>
      <c r="I162" s="99">
        <f t="shared" si="9"/>
        <v>-8.6995579300726475E-3</v>
      </c>
      <c r="J162" s="99">
        <f t="shared" si="10"/>
        <v>0.52813077543795717</v>
      </c>
    </row>
    <row r="163" spans="1:10" x14ac:dyDescent="0.3">
      <c r="A163">
        <v>162</v>
      </c>
      <c r="B163" s="96">
        <v>30468</v>
      </c>
      <c r="C163" s="97">
        <v>93189500</v>
      </c>
      <c r="D163" s="98">
        <v>167.64</v>
      </c>
      <c r="E163" s="99">
        <f t="shared" si="8"/>
        <v>3.2329576944393132E-2</v>
      </c>
      <c r="F163" s="99">
        <f t="shared" si="11"/>
        <v>0.52942249794726748</v>
      </c>
      <c r="G163" s="101"/>
      <c r="H163" s="98">
        <v>304.95499999999998</v>
      </c>
      <c r="I163" s="99">
        <f t="shared" si="9"/>
        <v>3.8919228292752649E-2</v>
      </c>
      <c r="J163" s="99">
        <f t="shared" si="10"/>
        <v>0.61181289640591963</v>
      </c>
    </row>
    <row r="164" spans="1:10" x14ac:dyDescent="0.3">
      <c r="A164">
        <v>163</v>
      </c>
      <c r="B164" s="96">
        <v>30498</v>
      </c>
      <c r="C164" s="97">
        <v>84270500</v>
      </c>
      <c r="D164" s="98">
        <v>162.56</v>
      </c>
      <c r="E164" s="99">
        <f t="shared" si="8"/>
        <v>-3.030303030303021E-2</v>
      </c>
      <c r="F164" s="99">
        <f t="shared" si="11"/>
        <v>0.51797553459706791</v>
      </c>
      <c r="G164" s="101"/>
      <c r="H164" s="98">
        <v>295.95800000000003</v>
      </c>
      <c r="I164" s="99">
        <f t="shared" si="9"/>
        <v>-2.9502713515108647E-2</v>
      </c>
      <c r="J164" s="99">
        <f t="shared" si="10"/>
        <v>0.5925933897994986</v>
      </c>
    </row>
    <row r="165" spans="1:10" x14ac:dyDescent="0.3">
      <c r="A165">
        <v>164</v>
      </c>
      <c r="B165" s="96">
        <v>30529</v>
      </c>
      <c r="C165" s="97">
        <v>77705600</v>
      </c>
      <c r="D165" s="98">
        <v>164.4</v>
      </c>
      <c r="E165" s="99">
        <f t="shared" si="8"/>
        <v>1.1318897637795297E-2</v>
      </c>
      <c r="F165" s="99">
        <f t="shared" si="11"/>
        <v>0.37561710317128272</v>
      </c>
      <c r="G165" s="101"/>
      <c r="H165" s="98">
        <v>300.39999999999998</v>
      </c>
      <c r="I165" s="99">
        <f t="shared" si="9"/>
        <v>1.5008886396042512E-2</v>
      </c>
      <c r="J165" s="99">
        <f t="shared" si="10"/>
        <v>0.4415071523515664</v>
      </c>
    </row>
    <row r="166" spans="1:10" x14ac:dyDescent="0.3">
      <c r="A166">
        <v>165</v>
      </c>
      <c r="B166" s="96">
        <v>30560</v>
      </c>
      <c r="C166" s="97">
        <v>86222300</v>
      </c>
      <c r="D166" s="98">
        <v>166.07</v>
      </c>
      <c r="E166" s="99">
        <f t="shared" si="8"/>
        <v>1.0158150851581432E-2</v>
      </c>
      <c r="F166" s="99">
        <f t="shared" si="11"/>
        <v>0.37908985218402252</v>
      </c>
      <c r="G166" s="101"/>
      <c r="H166" s="98">
        <v>304.548</v>
      </c>
      <c r="I166" s="99">
        <f t="shared" si="9"/>
        <v>1.3808255659121254E-2</v>
      </c>
      <c r="J166" s="99">
        <f t="shared" si="10"/>
        <v>0.44341701778748849</v>
      </c>
    </row>
    <row r="167" spans="1:10" x14ac:dyDescent="0.3">
      <c r="A167">
        <v>166</v>
      </c>
      <c r="B167" s="96">
        <v>30590</v>
      </c>
      <c r="C167" s="97">
        <v>89241900</v>
      </c>
      <c r="D167" s="98">
        <v>163.55000000000001</v>
      </c>
      <c r="E167" s="99">
        <f t="shared" si="8"/>
        <v>-1.5174324080207033E-2</v>
      </c>
      <c r="F167" s="99">
        <f t="shared" si="11"/>
        <v>0.22307807358659895</v>
      </c>
      <c r="G167" s="101"/>
      <c r="H167" s="98">
        <v>301.02699999999999</v>
      </c>
      <c r="I167" s="99">
        <f t="shared" si="9"/>
        <v>-1.1561395904750697E-2</v>
      </c>
      <c r="J167" s="99">
        <f t="shared" si="10"/>
        <v>0.27946326867168758</v>
      </c>
    </row>
    <row r="168" spans="1:10" x14ac:dyDescent="0.3">
      <c r="A168">
        <v>167</v>
      </c>
      <c r="B168" s="96">
        <v>30621</v>
      </c>
      <c r="C168" s="97">
        <v>92130400</v>
      </c>
      <c r="D168" s="98">
        <v>166.4</v>
      </c>
      <c r="E168" s="99">
        <f t="shared" si="8"/>
        <v>1.7425863650259825E-2</v>
      </c>
      <c r="F168" s="99">
        <f t="shared" si="11"/>
        <v>0.20118385909189349</v>
      </c>
      <c r="G168" s="101"/>
      <c r="H168" s="98">
        <v>307.37700000000001</v>
      </c>
      <c r="I168" s="99">
        <f t="shared" si="9"/>
        <v>2.1094453321462935E-2</v>
      </c>
      <c r="J168" s="99">
        <f t="shared" si="10"/>
        <v>0.25573785225796442</v>
      </c>
    </row>
    <row r="169" spans="1:10" x14ac:dyDescent="0.3">
      <c r="A169">
        <v>168</v>
      </c>
      <c r="B169" s="102">
        <v>30651</v>
      </c>
      <c r="C169" s="103">
        <v>91461900</v>
      </c>
      <c r="D169" s="104">
        <v>164.93</v>
      </c>
      <c r="E169" s="105">
        <f t="shared" si="8"/>
        <v>-8.8341346153846083E-3</v>
      </c>
      <c r="F169" s="105">
        <f t="shared" si="11"/>
        <v>0.17271046643913554</v>
      </c>
      <c r="G169" s="107"/>
      <c r="H169" s="104">
        <v>305.77</v>
      </c>
      <c r="I169" s="105">
        <f t="shared" si="9"/>
        <v>-5.2281075031639576E-3</v>
      </c>
      <c r="J169" s="105">
        <f t="shared" si="10"/>
        <v>0.22555562235716137</v>
      </c>
    </row>
    <row r="170" spans="1:10" x14ac:dyDescent="0.3">
      <c r="A170">
        <v>169</v>
      </c>
      <c r="B170" s="96">
        <v>30682</v>
      </c>
      <c r="C170" s="97">
        <v>110912800</v>
      </c>
      <c r="D170" s="98">
        <v>163.41</v>
      </c>
      <c r="E170" s="99">
        <f t="shared" si="8"/>
        <v>-9.2160310434730493E-3</v>
      </c>
      <c r="F170" s="99">
        <f t="shared" si="11"/>
        <v>0.12463867859600815</v>
      </c>
      <c r="G170" s="101"/>
      <c r="H170" s="98">
        <v>304.06400000000002</v>
      </c>
      <c r="I170" s="99">
        <f t="shared" si="9"/>
        <v>-5.5793570330639388E-3</v>
      </c>
      <c r="J170" s="99">
        <f t="shared" si="10"/>
        <v>0.17502212363731917</v>
      </c>
    </row>
    <row r="171" spans="1:10" x14ac:dyDescent="0.3">
      <c r="A171">
        <v>170</v>
      </c>
      <c r="B171" s="96">
        <v>30713</v>
      </c>
      <c r="C171" s="97">
        <v>101281000</v>
      </c>
      <c r="D171" s="98">
        <v>157.06</v>
      </c>
      <c r="E171" s="99">
        <f t="shared" si="8"/>
        <v>-3.8859310935683219E-2</v>
      </c>
      <c r="F171" s="99">
        <f t="shared" si="11"/>
        <v>6.0786167769823041E-2</v>
      </c>
      <c r="G171" s="101"/>
      <c r="H171" s="98">
        <v>293.36500000000001</v>
      </c>
      <c r="I171" s="99">
        <f t="shared" si="9"/>
        <v>-3.5186671227110118E-2</v>
      </c>
      <c r="J171" s="99">
        <f t="shared" si="10"/>
        <v>0.1082756588491296</v>
      </c>
    </row>
    <row r="172" spans="1:10" x14ac:dyDescent="0.3">
      <c r="A172">
        <v>171</v>
      </c>
      <c r="B172" s="96">
        <v>30742</v>
      </c>
      <c r="C172" s="97">
        <v>87568600</v>
      </c>
      <c r="D172" s="98">
        <v>159.18</v>
      </c>
      <c r="E172" s="99">
        <f t="shared" si="8"/>
        <v>1.3498026232013273E-2</v>
      </c>
      <c r="F172" s="99">
        <f t="shared" si="11"/>
        <v>4.0664225941422584E-2</v>
      </c>
      <c r="G172" s="101"/>
      <c r="H172" s="98">
        <v>298.44499999999999</v>
      </c>
      <c r="I172" s="99">
        <f t="shared" si="9"/>
        <v>1.731631244354297E-2</v>
      </c>
      <c r="J172" s="99">
        <f t="shared" si="10"/>
        <v>8.7298666948408418E-2</v>
      </c>
    </row>
    <row r="173" spans="1:10" x14ac:dyDescent="0.3">
      <c r="A173">
        <v>172</v>
      </c>
      <c r="B173" s="96">
        <v>30773</v>
      </c>
      <c r="C173" s="97">
        <v>89513500</v>
      </c>
      <c r="D173" s="98">
        <v>160.05000000000001</v>
      </c>
      <c r="E173" s="99">
        <f t="shared" si="8"/>
        <v>5.4655107425556262E-3</v>
      </c>
      <c r="F173" s="99">
        <f t="shared" si="11"/>
        <v>-2.6637474913336952E-2</v>
      </c>
      <c r="G173" s="101"/>
      <c r="H173" s="98">
        <v>301.27699999999999</v>
      </c>
      <c r="I173" s="99">
        <f t="shared" si="9"/>
        <v>9.4891856120893087E-3</v>
      </c>
      <c r="J173" s="99">
        <f t="shared" si="10"/>
        <v>1.7459904696612908E-2</v>
      </c>
    </row>
    <row r="174" spans="1:10" x14ac:dyDescent="0.3">
      <c r="A174">
        <v>173</v>
      </c>
      <c r="B174" s="96">
        <v>30803</v>
      </c>
      <c r="C174" s="97">
        <v>91883600</v>
      </c>
      <c r="D174" s="98">
        <v>150.55000000000001</v>
      </c>
      <c r="E174" s="99">
        <f t="shared" si="8"/>
        <v>-5.9356451109028423E-2</v>
      </c>
      <c r="F174" s="99">
        <f t="shared" si="11"/>
        <v>-7.2910893527926443E-2</v>
      </c>
      <c r="G174" s="101"/>
      <c r="H174" s="98">
        <v>284.59899999999999</v>
      </c>
      <c r="I174" s="99">
        <f t="shared" si="9"/>
        <v>-5.5357694082190136E-2</v>
      </c>
      <c r="J174" s="99">
        <f t="shared" si="10"/>
        <v>-3.0429494670068974E-2</v>
      </c>
    </row>
    <row r="175" spans="1:10" x14ac:dyDescent="0.3">
      <c r="A175">
        <v>174</v>
      </c>
      <c r="B175" s="96">
        <v>30834</v>
      </c>
      <c r="C175" s="97">
        <v>90649500</v>
      </c>
      <c r="D175" s="98">
        <v>153.18</v>
      </c>
      <c r="E175" s="99">
        <f t="shared" si="8"/>
        <v>1.7469279309199569E-2</v>
      </c>
      <c r="F175" s="99">
        <f t="shared" si="11"/>
        <v>-8.6256263421617643E-2</v>
      </c>
      <c r="G175" s="101"/>
      <c r="H175" s="98">
        <v>290.77999999999997</v>
      </c>
      <c r="I175" s="99">
        <f t="shared" si="9"/>
        <v>2.1718277295422625E-2</v>
      </c>
      <c r="J175" s="99">
        <f t="shared" si="10"/>
        <v>-4.6482267875588242E-2</v>
      </c>
    </row>
    <row r="176" spans="1:10" x14ac:dyDescent="0.3">
      <c r="A176">
        <v>175</v>
      </c>
      <c r="B176" s="96">
        <v>30864</v>
      </c>
      <c r="C176" s="97">
        <v>83290900</v>
      </c>
      <c r="D176" s="98">
        <v>150.66</v>
      </c>
      <c r="E176" s="99">
        <f t="shared" si="8"/>
        <v>-1.6451233842538257E-2</v>
      </c>
      <c r="F176" s="99">
        <f t="shared" si="11"/>
        <v>-7.3203740157480351E-2</v>
      </c>
      <c r="G176" s="101"/>
      <c r="H176" s="98">
        <v>287.173</v>
      </c>
      <c r="I176" s="99">
        <f t="shared" si="9"/>
        <v>-1.2404567026617963E-2</v>
      </c>
      <c r="J176" s="99">
        <f t="shared" si="10"/>
        <v>-2.9683265868805792E-2</v>
      </c>
    </row>
    <row r="177" spans="1:10" x14ac:dyDescent="0.3">
      <c r="A177">
        <v>176</v>
      </c>
      <c r="B177" s="96">
        <v>30895</v>
      </c>
      <c r="C177" s="97">
        <v>112364300</v>
      </c>
      <c r="D177" s="98">
        <v>166.68</v>
      </c>
      <c r="E177" s="99">
        <f t="shared" si="8"/>
        <v>0.10633213859020317</v>
      </c>
      <c r="F177" s="99">
        <f t="shared" si="11"/>
        <v>1.3868613138686137E-2</v>
      </c>
      <c r="G177" s="101"/>
      <c r="H177" s="98">
        <v>318.89100000000002</v>
      </c>
      <c r="I177" s="99">
        <f t="shared" si="9"/>
        <v>0.11044910210918163</v>
      </c>
      <c r="J177" s="99">
        <f t="shared" si="10"/>
        <v>6.1554593874833703E-2</v>
      </c>
    </row>
    <row r="178" spans="1:10" x14ac:dyDescent="0.3">
      <c r="A178">
        <v>177</v>
      </c>
      <c r="B178" s="96">
        <v>30926</v>
      </c>
      <c r="C178" s="97">
        <v>97242600</v>
      </c>
      <c r="D178" s="98">
        <v>166.1</v>
      </c>
      <c r="E178" s="99">
        <f t="shared" si="8"/>
        <v>-3.4797216222702933E-3</v>
      </c>
      <c r="F178" s="99">
        <f t="shared" si="11"/>
        <v>1.8064671524056807E-4</v>
      </c>
      <c r="G178" s="101"/>
      <c r="H178" s="98">
        <v>318.96699999999998</v>
      </c>
      <c r="I178" s="99">
        <f t="shared" si="9"/>
        <v>2.3832594836469196E-4</v>
      </c>
      <c r="J178" s="99">
        <f t="shared" si="10"/>
        <v>4.7345574425049525E-2</v>
      </c>
    </row>
    <row r="179" spans="1:10" x14ac:dyDescent="0.3">
      <c r="A179">
        <v>178</v>
      </c>
      <c r="B179" s="96">
        <v>30956</v>
      </c>
      <c r="C179" s="97">
        <v>95744300</v>
      </c>
      <c r="D179" s="98">
        <v>166.09</v>
      </c>
      <c r="E179" s="99">
        <f t="shared" si="8"/>
        <v>-6.0204695966230618E-5</v>
      </c>
      <c r="F179" s="99">
        <f t="shared" si="11"/>
        <v>1.5530418832161368E-2</v>
      </c>
      <c r="G179" s="101"/>
      <c r="H179" s="98">
        <v>320.19600000000003</v>
      </c>
      <c r="I179" s="99">
        <f t="shared" si="9"/>
        <v>3.853063169544316E-3</v>
      </c>
      <c r="J179" s="99">
        <f t="shared" si="10"/>
        <v>6.3678673341594078E-2</v>
      </c>
    </row>
    <row r="180" spans="1:10" x14ac:dyDescent="0.3">
      <c r="A180">
        <v>179</v>
      </c>
      <c r="B180" s="96">
        <v>30987</v>
      </c>
      <c r="C180" s="97">
        <v>87374200</v>
      </c>
      <c r="D180" s="98">
        <v>163.58000000000001</v>
      </c>
      <c r="E180" s="99">
        <f t="shared" si="8"/>
        <v>-1.5112288518273171E-2</v>
      </c>
      <c r="F180" s="99">
        <f t="shared" si="11"/>
        <v>-1.6947115384615342E-2</v>
      </c>
      <c r="G180" s="101"/>
      <c r="H180" s="98">
        <v>316.61099999999999</v>
      </c>
      <c r="I180" s="99">
        <f t="shared" si="9"/>
        <v>-1.1196267286287262E-2</v>
      </c>
      <c r="J180" s="99">
        <f t="shared" si="10"/>
        <v>3.0041284806605506E-2</v>
      </c>
    </row>
    <row r="181" spans="1:10" x14ac:dyDescent="0.3">
      <c r="A181">
        <v>180</v>
      </c>
      <c r="B181" s="102">
        <v>31017</v>
      </c>
      <c r="C181" s="103">
        <v>93063000</v>
      </c>
      <c r="D181" s="104">
        <v>167.24</v>
      </c>
      <c r="E181" s="105">
        <f t="shared" si="8"/>
        <v>2.2374373395280575E-2</v>
      </c>
      <c r="F181" s="105">
        <f t="shared" si="11"/>
        <v>1.4005941914751727E-2</v>
      </c>
      <c r="G181" s="107"/>
      <c r="H181" s="104">
        <v>324.95299999999997</v>
      </c>
      <c r="I181" s="105">
        <f t="shared" si="9"/>
        <v>2.6347789558796079E-2</v>
      </c>
      <c r="J181" s="105">
        <f t="shared" si="10"/>
        <v>6.2736697517742079E-2</v>
      </c>
    </row>
    <row r="182" spans="1:10" x14ac:dyDescent="0.3">
      <c r="A182">
        <v>181</v>
      </c>
      <c r="B182" s="96">
        <v>31048</v>
      </c>
      <c r="C182" s="97">
        <v>127555000</v>
      </c>
      <c r="D182" s="98">
        <v>179.63</v>
      </c>
      <c r="E182" s="99">
        <f t="shared" si="8"/>
        <v>7.4085147093996565E-2</v>
      </c>
      <c r="F182" s="99">
        <f t="shared" si="11"/>
        <v>9.9259531240438154E-2</v>
      </c>
      <c r="G182" s="101"/>
      <c r="H182" s="98">
        <v>350.27</v>
      </c>
      <c r="I182" s="99">
        <f t="shared" si="9"/>
        <v>7.790972848381153E-2</v>
      </c>
      <c r="J182" s="99">
        <f t="shared" si="10"/>
        <v>0.15196142917280558</v>
      </c>
    </row>
    <row r="183" spans="1:10" x14ac:dyDescent="0.3">
      <c r="A183">
        <v>182</v>
      </c>
      <c r="B183" s="96">
        <v>31079</v>
      </c>
      <c r="C183" s="97">
        <v>120806300</v>
      </c>
      <c r="D183" s="98">
        <v>181.18</v>
      </c>
      <c r="E183" s="99">
        <f t="shared" si="8"/>
        <v>8.6288481879419447E-3</v>
      </c>
      <c r="F183" s="99">
        <f t="shared" si="11"/>
        <v>0.15357188335667901</v>
      </c>
      <c r="G183" s="101"/>
      <c r="H183" s="98">
        <v>354.56</v>
      </c>
      <c r="I183" s="99">
        <f t="shared" si="9"/>
        <v>1.2247694635566908E-2</v>
      </c>
      <c r="J183" s="99">
        <f t="shared" si="10"/>
        <v>0.20859679920917626</v>
      </c>
    </row>
    <row r="184" spans="1:10" x14ac:dyDescent="0.3">
      <c r="A184">
        <v>183</v>
      </c>
      <c r="B184" s="96">
        <v>31107</v>
      </c>
      <c r="C184" s="97">
        <v>107356600</v>
      </c>
      <c r="D184" s="98">
        <v>180.66</v>
      </c>
      <c r="E184" s="99">
        <f t="shared" si="8"/>
        <v>-2.8700739595982458E-3</v>
      </c>
      <c r="F184" s="99">
        <f t="shared" si="11"/>
        <v>0.13494157557482089</v>
      </c>
      <c r="G184" s="101"/>
      <c r="H184" s="98">
        <v>354.79500000000002</v>
      </c>
      <c r="I184" s="99">
        <f t="shared" si="9"/>
        <v>6.6279332129967746E-4</v>
      </c>
      <c r="J184" s="99">
        <f t="shared" si="10"/>
        <v>0.18881200891286509</v>
      </c>
    </row>
    <row r="185" spans="1:10" x14ac:dyDescent="0.3">
      <c r="A185">
        <v>184</v>
      </c>
      <c r="B185" s="96">
        <v>31138</v>
      </c>
      <c r="C185" s="97">
        <v>99699000</v>
      </c>
      <c r="D185" s="98">
        <v>179.83</v>
      </c>
      <c r="E185" s="99">
        <f t="shared" si="8"/>
        <v>-4.5942654710505043E-3</v>
      </c>
      <c r="F185" s="99">
        <f t="shared" si="11"/>
        <v>0.12358637925648235</v>
      </c>
      <c r="G185" s="101"/>
      <c r="H185" s="98">
        <v>354.46100000000001</v>
      </c>
      <c r="I185" s="99">
        <f t="shared" si="9"/>
        <v>-9.4138868924309297E-4</v>
      </c>
      <c r="J185" s="99">
        <f t="shared" si="10"/>
        <v>0.17652857669188166</v>
      </c>
    </row>
    <row r="186" spans="1:10" x14ac:dyDescent="0.3">
      <c r="A186">
        <v>185</v>
      </c>
      <c r="B186" s="96">
        <v>31168</v>
      </c>
      <c r="C186" s="97">
        <v>112929000</v>
      </c>
      <c r="D186" s="98">
        <v>189.55</v>
      </c>
      <c r="E186" s="99">
        <f t="shared" si="8"/>
        <v>5.40510482122004E-2</v>
      </c>
      <c r="F186" s="99">
        <f t="shared" si="11"/>
        <v>0.25905014945200927</v>
      </c>
      <c r="G186" s="101"/>
      <c r="H186" s="98">
        <v>374.94099999999997</v>
      </c>
      <c r="I186" s="99">
        <f t="shared" si="9"/>
        <v>5.7777865547972727E-2</v>
      </c>
      <c r="J186" s="99">
        <f t="shared" si="10"/>
        <v>0.31743611186265586</v>
      </c>
    </row>
    <row r="187" spans="1:10" x14ac:dyDescent="0.3">
      <c r="A187">
        <v>186</v>
      </c>
      <c r="B187" s="96">
        <v>31199</v>
      </c>
      <c r="C187" s="97">
        <v>111110000</v>
      </c>
      <c r="D187" s="98">
        <v>191.85</v>
      </c>
      <c r="E187" s="99">
        <f t="shared" si="8"/>
        <v>1.2134001582695769E-2</v>
      </c>
      <c r="F187" s="99">
        <f t="shared" si="11"/>
        <v>0.25244810027418713</v>
      </c>
      <c r="G187" s="101"/>
      <c r="H187" s="98">
        <v>380.81599999999997</v>
      </c>
      <c r="I187" s="99">
        <f t="shared" si="9"/>
        <v>1.5669131943425767E-2</v>
      </c>
      <c r="J187" s="99">
        <f t="shared" si="10"/>
        <v>0.30963615104202491</v>
      </c>
    </row>
    <row r="188" spans="1:10" x14ac:dyDescent="0.3">
      <c r="A188">
        <v>187</v>
      </c>
      <c r="B188" s="96">
        <v>31229</v>
      </c>
      <c r="C188" s="97">
        <v>117603100</v>
      </c>
      <c r="D188" s="98">
        <v>190.92</v>
      </c>
      <c r="E188" s="99">
        <f t="shared" si="8"/>
        <v>-4.8475371383894022E-3</v>
      </c>
      <c r="F188" s="99">
        <f t="shared" si="11"/>
        <v>0.26722421346077252</v>
      </c>
      <c r="G188" s="101"/>
      <c r="H188" s="98">
        <v>380.26</v>
      </c>
      <c r="I188" s="99">
        <f t="shared" si="9"/>
        <v>-1.4600226881223038E-3</v>
      </c>
      <c r="J188" s="99">
        <f t="shared" si="10"/>
        <v>0.32414955444975674</v>
      </c>
    </row>
    <row r="189" spans="1:10" x14ac:dyDescent="0.3">
      <c r="A189">
        <v>188</v>
      </c>
      <c r="B189" s="96">
        <v>31260</v>
      </c>
      <c r="C189" s="97">
        <v>91128100</v>
      </c>
      <c r="D189" s="98">
        <v>188.63</v>
      </c>
      <c r="E189" s="99">
        <f t="shared" si="8"/>
        <v>-1.1994552692227069E-2</v>
      </c>
      <c r="F189" s="99">
        <f t="shared" si="11"/>
        <v>0.13168946484281249</v>
      </c>
      <c r="G189" s="101"/>
      <c r="H189" s="98">
        <v>377.01299999999998</v>
      </c>
      <c r="I189" s="99">
        <f t="shared" si="9"/>
        <v>-8.5388944406459104E-3</v>
      </c>
      <c r="J189" s="99">
        <f t="shared" si="10"/>
        <v>0.18226290487972366</v>
      </c>
    </row>
    <row r="190" spans="1:10" x14ac:dyDescent="0.3">
      <c r="A190">
        <v>189</v>
      </c>
      <c r="B190" s="96">
        <v>31291</v>
      </c>
      <c r="C190" s="97">
        <v>103355700</v>
      </c>
      <c r="D190" s="98">
        <v>182.08</v>
      </c>
      <c r="E190" s="99">
        <f t="shared" si="8"/>
        <v>-3.4724062980437807E-2</v>
      </c>
      <c r="F190" s="99">
        <f t="shared" si="11"/>
        <v>9.6207104154124132E-2</v>
      </c>
      <c r="G190" s="101"/>
      <c r="H190" s="98">
        <v>365.221</v>
      </c>
      <c r="I190" s="99">
        <f t="shared" si="9"/>
        <v>-3.1277436056581537E-2</v>
      </c>
      <c r="J190" s="99">
        <f t="shared" si="10"/>
        <v>0.14501186643132369</v>
      </c>
    </row>
    <row r="191" spans="1:10" x14ac:dyDescent="0.3">
      <c r="A191">
        <v>190</v>
      </c>
      <c r="B191" s="96">
        <v>31321</v>
      </c>
      <c r="C191" s="97">
        <v>115858200</v>
      </c>
      <c r="D191" s="98">
        <v>189.82</v>
      </c>
      <c r="E191" s="99">
        <f t="shared" si="8"/>
        <v>4.2508787346221329E-2</v>
      </c>
      <c r="F191" s="99">
        <f t="shared" si="11"/>
        <v>0.14287434523451134</v>
      </c>
      <c r="G191" s="101"/>
      <c r="H191" s="98">
        <v>382.09</v>
      </c>
      <c r="I191" s="99">
        <f t="shared" si="9"/>
        <v>4.6188472185334277E-2</v>
      </c>
      <c r="J191" s="99">
        <f t="shared" si="10"/>
        <v>0.19330035353346059</v>
      </c>
    </row>
    <row r="192" spans="1:10" x14ac:dyDescent="0.3">
      <c r="A192">
        <v>191</v>
      </c>
      <c r="B192" s="96">
        <v>31352</v>
      </c>
      <c r="C192" s="97">
        <v>126471500</v>
      </c>
      <c r="D192" s="98">
        <v>202.17</v>
      </c>
      <c r="E192" s="99">
        <f t="shared" si="8"/>
        <v>6.5061637340638467E-2</v>
      </c>
      <c r="F192" s="99">
        <f t="shared" si="11"/>
        <v>0.23590903533439278</v>
      </c>
      <c r="G192" s="101"/>
      <c r="H192" s="98">
        <v>408.298</v>
      </c>
      <c r="I192" s="99">
        <f t="shared" si="9"/>
        <v>6.8591169619723183E-2</v>
      </c>
      <c r="J192" s="99">
        <f t="shared" si="10"/>
        <v>0.28958880139982507</v>
      </c>
    </row>
    <row r="193" spans="1:10" x14ac:dyDescent="0.3">
      <c r="A193">
        <v>192</v>
      </c>
      <c r="B193" s="102">
        <v>31382</v>
      </c>
      <c r="C193" s="103">
        <v>138908500</v>
      </c>
      <c r="D193" s="104">
        <v>211.28</v>
      </c>
      <c r="E193" s="105">
        <f t="shared" si="8"/>
        <v>4.5061087203838425E-2</v>
      </c>
      <c r="F193" s="105">
        <f t="shared" si="11"/>
        <v>0.26333413059076771</v>
      </c>
      <c r="G193" s="107"/>
      <c r="H193" s="104">
        <v>428.05</v>
      </c>
      <c r="I193" s="105">
        <f t="shared" si="9"/>
        <v>4.8376430940146681E-2</v>
      </c>
      <c r="J193" s="105">
        <f t="shared" si="10"/>
        <v>0.31726742021153842</v>
      </c>
    </row>
    <row r="194" spans="1:10" x14ac:dyDescent="0.3">
      <c r="A194">
        <v>193</v>
      </c>
      <c r="B194" s="96">
        <v>31413</v>
      </c>
      <c r="C194" s="97">
        <v>137386800</v>
      </c>
      <c r="D194" s="98">
        <v>211.78</v>
      </c>
      <c r="E194" s="99">
        <f t="shared" si="8"/>
        <v>2.3665278303672851E-3</v>
      </c>
      <c r="F194" s="99">
        <f t="shared" si="11"/>
        <v>0.17897901241440742</v>
      </c>
      <c r="G194" s="101"/>
      <c r="H194" s="98">
        <v>430.44</v>
      </c>
      <c r="I194" s="99">
        <f t="shared" si="9"/>
        <v>5.5834598761826566E-3</v>
      </c>
      <c r="J194" s="99">
        <f t="shared" si="10"/>
        <v>0.22888057783995208</v>
      </c>
    </row>
    <row r="195" spans="1:10" x14ac:dyDescent="0.3">
      <c r="A195">
        <v>194</v>
      </c>
      <c r="B195" s="96">
        <v>31444</v>
      </c>
      <c r="C195" s="97">
        <v>162673600</v>
      </c>
      <c r="D195" s="98">
        <v>226.92</v>
      </c>
      <c r="E195" s="99">
        <f t="shared" si="8"/>
        <v>7.1489281329681686E-2</v>
      </c>
      <c r="F195" s="99">
        <f t="shared" si="11"/>
        <v>0.25245612098465603</v>
      </c>
      <c r="G195" s="101"/>
      <c r="H195" s="98">
        <v>462.61500000000001</v>
      </c>
      <c r="I195" s="99">
        <f t="shared" si="9"/>
        <v>7.4749093950376391E-2</v>
      </c>
      <c r="J195" s="99">
        <f t="shared" si="10"/>
        <v>0.30475800992779783</v>
      </c>
    </row>
    <row r="196" spans="1:10" x14ac:dyDescent="0.3">
      <c r="A196">
        <v>195</v>
      </c>
      <c r="B196" s="96">
        <v>31472</v>
      </c>
      <c r="C196" s="97">
        <v>167450000</v>
      </c>
      <c r="D196" s="98">
        <v>238.9</v>
      </c>
      <c r="E196" s="99">
        <f t="shared" ref="E196:E259" si="12">(D196-D195)/D195</f>
        <v>5.2793936188965357E-2</v>
      </c>
      <c r="F196" s="99">
        <f t="shared" si="11"/>
        <v>0.32237351931805608</v>
      </c>
      <c r="G196" s="101"/>
      <c r="H196" s="98">
        <v>488.42399999999998</v>
      </c>
      <c r="I196" s="99">
        <f t="shared" ref="I196:I218" si="13">(H196-H195)/H195</f>
        <v>5.5789371291462594E-2</v>
      </c>
      <c r="J196" s="99">
        <f t="shared" si="10"/>
        <v>0.37663721303851505</v>
      </c>
    </row>
    <row r="197" spans="1:10" x14ac:dyDescent="0.3">
      <c r="A197">
        <v>196</v>
      </c>
      <c r="B197" s="96">
        <v>31503</v>
      </c>
      <c r="C197" s="97">
        <v>153995400</v>
      </c>
      <c r="D197" s="98">
        <v>235.52</v>
      </c>
      <c r="E197" s="99">
        <f t="shared" si="12"/>
        <v>-1.4148179154457912E-2</v>
      </c>
      <c r="F197" s="99">
        <f t="shared" si="11"/>
        <v>0.3096813657343046</v>
      </c>
      <c r="G197" s="101"/>
      <c r="H197" s="98">
        <v>482.92500000000001</v>
      </c>
      <c r="I197" s="99">
        <f t="shared" si="13"/>
        <v>-1.1258660508083074E-2</v>
      </c>
      <c r="J197" s="99">
        <f t="shared" si="10"/>
        <v>0.36242068944115147</v>
      </c>
    </row>
    <row r="198" spans="1:10" x14ac:dyDescent="0.3">
      <c r="A198">
        <v>197</v>
      </c>
      <c r="B198" s="96">
        <v>31533</v>
      </c>
      <c r="C198" s="97">
        <v>134830400</v>
      </c>
      <c r="D198" s="98">
        <v>247.35</v>
      </c>
      <c r="E198" s="99">
        <f t="shared" si="12"/>
        <v>5.0229279891304275E-2</v>
      </c>
      <c r="F198" s="99">
        <f t="shared" si="11"/>
        <v>0.30493273542600885</v>
      </c>
      <c r="G198" s="101"/>
      <c r="H198" s="98">
        <v>508.61700000000002</v>
      </c>
      <c r="I198" s="99">
        <f t="shared" si="13"/>
        <v>5.3200807578816602E-2</v>
      </c>
      <c r="J198" s="99">
        <f t="shared" si="10"/>
        <v>0.35652542666712911</v>
      </c>
    </row>
    <row r="199" spans="1:10" x14ac:dyDescent="0.3">
      <c r="A199">
        <v>198</v>
      </c>
      <c r="B199" s="96">
        <v>31564</v>
      </c>
      <c r="C199" s="97">
        <v>132604700</v>
      </c>
      <c r="D199" s="98">
        <v>250.84</v>
      </c>
      <c r="E199" s="99">
        <f t="shared" si="12"/>
        <v>1.4109561350313358E-2</v>
      </c>
      <c r="F199" s="99">
        <f t="shared" si="11"/>
        <v>0.30747980192859009</v>
      </c>
      <c r="G199" s="101"/>
      <c r="H199" s="98">
        <v>517.21199999999999</v>
      </c>
      <c r="I199" s="99">
        <f t="shared" si="13"/>
        <v>1.6898766655459748E-2</v>
      </c>
      <c r="J199" s="99">
        <f t="shared" si="10"/>
        <v>0.35816772404520825</v>
      </c>
    </row>
    <row r="200" spans="1:10" x14ac:dyDescent="0.3">
      <c r="A200">
        <v>199</v>
      </c>
      <c r="B200" s="96">
        <v>31594</v>
      </c>
      <c r="C200" s="97">
        <v>142845400</v>
      </c>
      <c r="D200" s="98">
        <v>236.12</v>
      </c>
      <c r="E200" s="99">
        <f t="shared" si="12"/>
        <v>-5.8682825705629084E-2</v>
      </c>
      <c r="F200" s="99">
        <f t="shared" si="11"/>
        <v>0.23674837628326012</v>
      </c>
      <c r="G200" s="101"/>
      <c r="H200" s="98">
        <v>488.28300000000002</v>
      </c>
      <c r="I200" s="99">
        <f t="shared" si="13"/>
        <v>-5.5932576970371864E-2</v>
      </c>
      <c r="J200" s="99">
        <f t="shared" si="10"/>
        <v>0.28407668437384953</v>
      </c>
    </row>
    <row r="201" spans="1:10" x14ac:dyDescent="0.3">
      <c r="A201">
        <v>200</v>
      </c>
      <c r="B201" s="96">
        <v>31625</v>
      </c>
      <c r="C201" s="97">
        <v>134628500</v>
      </c>
      <c r="D201" s="98">
        <v>252.93</v>
      </c>
      <c r="E201" s="99">
        <f t="shared" si="12"/>
        <v>7.1192613925122827E-2</v>
      </c>
      <c r="F201" s="99">
        <f t="shared" si="11"/>
        <v>0.34087896941101636</v>
      </c>
      <c r="G201" s="101"/>
      <c r="H201" s="98">
        <v>524.49300000000005</v>
      </c>
      <c r="I201" s="99">
        <f t="shared" si="13"/>
        <v>7.4157814218393917E-2</v>
      </c>
      <c r="J201" s="99">
        <f t="shared" si="10"/>
        <v>0.39118014498173825</v>
      </c>
    </row>
    <row r="202" spans="1:10" x14ac:dyDescent="0.3">
      <c r="A202">
        <v>201</v>
      </c>
      <c r="B202" s="96">
        <v>31656</v>
      </c>
      <c r="C202" s="97">
        <v>156723800</v>
      </c>
      <c r="D202" s="98">
        <v>231.32</v>
      </c>
      <c r="E202" s="99">
        <f t="shared" si="12"/>
        <v>-8.5438658917487101E-2</v>
      </c>
      <c r="F202" s="99">
        <f t="shared" si="11"/>
        <v>0.27043057996485048</v>
      </c>
      <c r="G202" s="101"/>
      <c r="H202" s="98">
        <v>481.13299999999998</v>
      </c>
      <c r="I202" s="99">
        <f t="shared" si="13"/>
        <v>-8.2670312091867898E-2</v>
      </c>
      <c r="J202" s="99">
        <f t="shared" si="10"/>
        <v>0.31737495927123571</v>
      </c>
    </row>
    <row r="203" spans="1:10" x14ac:dyDescent="0.3">
      <c r="A203">
        <v>202</v>
      </c>
      <c r="B203" s="96">
        <v>31686</v>
      </c>
      <c r="C203" s="97">
        <v>137562600</v>
      </c>
      <c r="D203" s="98">
        <v>243.98</v>
      </c>
      <c r="E203" s="99">
        <f t="shared" si="12"/>
        <v>5.4729379214940331E-2</v>
      </c>
      <c r="F203" s="99">
        <f t="shared" si="11"/>
        <v>0.28532293751975557</v>
      </c>
      <c r="G203" s="101"/>
      <c r="H203" s="98">
        <v>508.87900000000002</v>
      </c>
      <c r="I203" s="99">
        <f t="shared" si="13"/>
        <v>5.7668046049637087E-2</v>
      </c>
      <c r="J203" s="99">
        <f t="shared" si="10"/>
        <v>0.33183019707398792</v>
      </c>
    </row>
    <row r="204" spans="1:10" x14ac:dyDescent="0.3">
      <c r="A204">
        <v>203</v>
      </c>
      <c r="B204" s="96">
        <v>31717</v>
      </c>
      <c r="C204" s="97">
        <v>159703100</v>
      </c>
      <c r="D204" s="98">
        <v>249.22</v>
      </c>
      <c r="E204" s="99">
        <f t="shared" si="12"/>
        <v>2.1477170259857403E-2</v>
      </c>
      <c r="F204" s="99">
        <f t="shared" si="11"/>
        <v>0.23272493446109715</v>
      </c>
      <c r="G204" s="101"/>
      <c r="H204" s="98">
        <v>521.24699999999996</v>
      </c>
      <c r="I204" s="99">
        <f t="shared" si="13"/>
        <v>2.4304402421793665E-2</v>
      </c>
      <c r="J204" s="99">
        <f t="shared" si="10"/>
        <v>0.27663373320466905</v>
      </c>
    </row>
    <row r="205" spans="1:10" x14ac:dyDescent="0.3">
      <c r="A205">
        <v>204</v>
      </c>
      <c r="B205" s="102">
        <v>31747</v>
      </c>
      <c r="C205" s="103">
        <v>154548600</v>
      </c>
      <c r="D205" s="104">
        <v>242.17</v>
      </c>
      <c r="E205" s="105">
        <f t="shared" si="12"/>
        <v>-2.8288259369232051E-2</v>
      </c>
      <c r="F205" s="105">
        <f t="shared" si="11"/>
        <v>0.1462040893600908</v>
      </c>
      <c r="G205" s="107"/>
      <c r="H205" s="104">
        <v>507.94499999999999</v>
      </c>
      <c r="I205" s="105">
        <f t="shared" si="13"/>
        <v>-2.5519571335662298E-2</v>
      </c>
      <c r="J205" s="105">
        <f t="shared" si="10"/>
        <v>0.18664875598645014</v>
      </c>
    </row>
    <row r="206" spans="1:10" x14ac:dyDescent="0.3">
      <c r="A206">
        <v>205</v>
      </c>
      <c r="B206" s="96">
        <v>31778</v>
      </c>
      <c r="C206" s="97">
        <v>200203800</v>
      </c>
      <c r="D206" s="98">
        <v>274.08</v>
      </c>
      <c r="E206" s="99">
        <f t="shared" si="12"/>
        <v>0.13176694057893215</v>
      </c>
      <c r="F206" s="99">
        <f t="shared" si="11"/>
        <v>0.2941731986023231</v>
      </c>
      <c r="G206" s="101"/>
      <c r="H206" s="98">
        <v>576.34400000000005</v>
      </c>
      <c r="I206" s="99">
        <f t="shared" si="13"/>
        <v>0.13465827993188251</v>
      </c>
      <c r="J206" s="99">
        <f t="shared" ref="J206:J230" si="14">(H206-H194)/H194</f>
        <v>0.3389647802248863</v>
      </c>
    </row>
    <row r="207" spans="1:10" x14ac:dyDescent="0.3">
      <c r="A207">
        <v>206</v>
      </c>
      <c r="B207" s="96">
        <v>31809</v>
      </c>
      <c r="C207" s="97">
        <v>190952600</v>
      </c>
      <c r="D207" s="98">
        <v>284.2</v>
      </c>
      <c r="E207" s="99">
        <f t="shared" si="12"/>
        <v>3.6923525977816715E-2</v>
      </c>
      <c r="F207" s="99">
        <f t="shared" ref="F207:F270" si="15">(D207-D195)/D195</f>
        <v>0.25242376167812447</v>
      </c>
      <c r="G207" s="101"/>
      <c r="H207" s="98">
        <v>599.11800000000005</v>
      </c>
      <c r="I207" s="99">
        <f t="shared" si="13"/>
        <v>3.951459544993962E-2</v>
      </c>
      <c r="J207" s="99">
        <f t="shared" si="14"/>
        <v>0.29506825329917974</v>
      </c>
    </row>
    <row r="208" spans="1:10" x14ac:dyDescent="0.3">
      <c r="A208">
        <v>207</v>
      </c>
      <c r="B208" s="96">
        <v>31837</v>
      </c>
      <c r="C208" s="97">
        <v>188040900</v>
      </c>
      <c r="D208" s="98">
        <v>291.7</v>
      </c>
      <c r="E208" s="99">
        <f t="shared" si="12"/>
        <v>2.6389866291344124E-2</v>
      </c>
      <c r="F208" s="99">
        <f t="shared" si="15"/>
        <v>0.22101297614064455</v>
      </c>
      <c r="G208" s="101"/>
      <c r="H208" s="98">
        <v>616.404</v>
      </c>
      <c r="I208" s="99">
        <f t="shared" si="13"/>
        <v>2.8852413047179257E-2</v>
      </c>
      <c r="J208" s="99">
        <f t="shared" si="14"/>
        <v>0.26202643604736875</v>
      </c>
    </row>
    <row r="209" spans="1:10" x14ac:dyDescent="0.3">
      <c r="A209">
        <v>208</v>
      </c>
      <c r="B209" s="96">
        <v>31868</v>
      </c>
      <c r="C209" s="97">
        <v>195942800</v>
      </c>
      <c r="D209" s="98">
        <v>288.36</v>
      </c>
      <c r="E209" s="99">
        <f t="shared" si="12"/>
        <v>-1.1450119986287196E-2</v>
      </c>
      <c r="F209" s="99">
        <f t="shared" si="15"/>
        <v>0.22435461956521741</v>
      </c>
      <c r="G209" s="101"/>
      <c r="H209" s="98">
        <v>610.93100000000004</v>
      </c>
      <c r="I209" s="99">
        <f t="shared" si="13"/>
        <v>-8.8789170738670688E-3</v>
      </c>
      <c r="J209" s="99">
        <f t="shared" si="14"/>
        <v>0.26506393332297984</v>
      </c>
    </row>
    <row r="210" spans="1:10" x14ac:dyDescent="0.3">
      <c r="A210">
        <v>209</v>
      </c>
      <c r="B210" s="96">
        <v>31898</v>
      </c>
      <c r="C210" s="97">
        <v>178560000</v>
      </c>
      <c r="D210" s="98">
        <v>290.10000000000002</v>
      </c>
      <c r="E210" s="99">
        <f t="shared" si="12"/>
        <v>6.0341240116521325E-3</v>
      </c>
      <c r="F210" s="99">
        <f t="shared" si="15"/>
        <v>0.17283201940570053</v>
      </c>
      <c r="G210" s="101"/>
      <c r="H210" s="98">
        <v>616.22799999999995</v>
      </c>
      <c r="I210" s="99">
        <f t="shared" si="13"/>
        <v>8.670373577376024E-3</v>
      </c>
      <c r="J210" s="99">
        <f t="shared" si="14"/>
        <v>0.21157570431188877</v>
      </c>
    </row>
    <row r="211" spans="1:10" x14ac:dyDescent="0.3">
      <c r="A211">
        <v>210</v>
      </c>
      <c r="B211" s="96">
        <v>31929</v>
      </c>
      <c r="C211" s="97">
        <v>170931800</v>
      </c>
      <c r="D211" s="98">
        <v>304</v>
      </c>
      <c r="E211" s="99">
        <f t="shared" si="12"/>
        <v>4.7914512237159521E-2</v>
      </c>
      <c r="F211" s="99">
        <f t="shared" si="15"/>
        <v>0.21192792218147025</v>
      </c>
      <c r="G211" s="101"/>
      <c r="H211" s="98">
        <v>647.34699999999998</v>
      </c>
      <c r="I211" s="99">
        <f t="shared" si="13"/>
        <v>5.0499165893143495E-2</v>
      </c>
      <c r="J211" s="99">
        <f t="shared" si="14"/>
        <v>0.25160862470321649</v>
      </c>
    </row>
    <row r="212" spans="1:10" x14ac:dyDescent="0.3">
      <c r="A212">
        <v>211</v>
      </c>
      <c r="B212" s="96">
        <v>31959</v>
      </c>
      <c r="C212" s="97">
        <v>188559000</v>
      </c>
      <c r="D212" s="98">
        <v>318.66000000000003</v>
      </c>
      <c r="E212" s="99">
        <f t="shared" si="12"/>
        <v>4.8223684210526398E-2</v>
      </c>
      <c r="F212" s="99">
        <f t="shared" si="15"/>
        <v>0.34956801626291722</v>
      </c>
      <c r="G212" s="101"/>
      <c r="H212" s="98">
        <v>680.14</v>
      </c>
      <c r="I212" s="99">
        <f t="shared" si="13"/>
        <v>5.0657529887371079E-2</v>
      </c>
      <c r="J212" s="99">
        <f t="shared" si="14"/>
        <v>0.39292172776852763</v>
      </c>
    </row>
    <row r="213" spans="1:10" x14ac:dyDescent="0.3">
      <c r="A213">
        <v>212</v>
      </c>
      <c r="B213" s="96">
        <v>31990</v>
      </c>
      <c r="C213" s="97">
        <v>201342800</v>
      </c>
      <c r="D213" s="98">
        <v>329.8</v>
      </c>
      <c r="E213" s="99">
        <f t="shared" si="12"/>
        <v>3.495889035335463E-2</v>
      </c>
      <c r="F213" s="99">
        <f t="shared" si="15"/>
        <v>0.30391808010121379</v>
      </c>
      <c r="G213" s="101"/>
      <c r="H213" s="98">
        <v>705.51800000000003</v>
      </c>
      <c r="I213" s="99">
        <f t="shared" si="13"/>
        <v>3.7312906166377571E-2</v>
      </c>
      <c r="J213" s="99">
        <f t="shared" si="14"/>
        <v>0.34514283317413191</v>
      </c>
    </row>
    <row r="214" spans="1:10" x14ac:dyDescent="0.3">
      <c r="A214">
        <v>213</v>
      </c>
      <c r="B214" s="96">
        <v>32021</v>
      </c>
      <c r="C214" s="97">
        <v>186014200</v>
      </c>
      <c r="D214" s="98">
        <v>321.83</v>
      </c>
      <c r="E214" s="99">
        <f t="shared" si="12"/>
        <v>-2.4166161309884859E-2</v>
      </c>
      <c r="F214" s="99">
        <f t="shared" si="15"/>
        <v>0.3912761542452014</v>
      </c>
      <c r="G214" s="101"/>
      <c r="H214" s="98">
        <v>690.05100000000004</v>
      </c>
      <c r="I214" s="99">
        <f t="shared" si="13"/>
        <v>-2.1922899203138665E-2</v>
      </c>
      <c r="J214" s="99">
        <f t="shared" si="14"/>
        <v>0.43422089110495449</v>
      </c>
    </row>
    <row r="215" spans="1:10" x14ac:dyDescent="0.3">
      <c r="A215">
        <v>214</v>
      </c>
      <c r="B215" s="96">
        <v>32051</v>
      </c>
      <c r="C215" s="97">
        <v>290813600</v>
      </c>
      <c r="D215" s="98">
        <v>251.79</v>
      </c>
      <c r="E215" s="99">
        <f t="shared" si="12"/>
        <v>-0.21763042600130503</v>
      </c>
      <c r="F215" s="99">
        <f t="shared" si="15"/>
        <v>3.2010820559062229E-2</v>
      </c>
      <c r="G215" s="101"/>
      <c r="H215" s="98">
        <v>541.44000000000005</v>
      </c>
      <c r="I215" s="99">
        <f t="shared" si="13"/>
        <v>-0.21536234278335947</v>
      </c>
      <c r="J215" s="99">
        <f t="shared" si="14"/>
        <v>6.3985741207634894E-2</v>
      </c>
    </row>
    <row r="216" spans="1:10" x14ac:dyDescent="0.3">
      <c r="A216">
        <v>215</v>
      </c>
      <c r="B216" s="96">
        <v>32082</v>
      </c>
      <c r="C216" s="97">
        <v>192922000</v>
      </c>
      <c r="D216" s="98">
        <v>230.3</v>
      </c>
      <c r="E216" s="99">
        <f t="shared" si="12"/>
        <v>-8.5348901862663251E-2</v>
      </c>
      <c r="F216" s="99">
        <f t="shared" si="15"/>
        <v>-7.591686060508783E-2</v>
      </c>
      <c r="G216" s="101"/>
      <c r="H216" s="98">
        <v>496.82</v>
      </c>
      <c r="I216" s="99">
        <f t="shared" si="13"/>
        <v>-8.2409869976359448E-2</v>
      </c>
      <c r="J216" s="99">
        <f t="shared" si="14"/>
        <v>-4.6862619832823915E-2</v>
      </c>
    </row>
    <row r="217" spans="1:10" x14ac:dyDescent="0.3">
      <c r="A217">
        <v>216</v>
      </c>
      <c r="B217" s="102">
        <v>32112</v>
      </c>
      <c r="C217" s="103">
        <v>186222200</v>
      </c>
      <c r="D217" s="108">
        <v>247.08</v>
      </c>
      <c r="E217" s="105">
        <f t="shared" si="12"/>
        <v>7.2861485019539735E-2</v>
      </c>
      <c r="F217" s="105">
        <f t="shared" si="15"/>
        <v>2.0275013420324669E-2</v>
      </c>
      <c r="G217" s="107"/>
      <c r="H217" s="104">
        <v>534.61599999999999</v>
      </c>
      <c r="I217" s="105">
        <f t="shared" si="13"/>
        <v>7.6075842357393009E-2</v>
      </c>
      <c r="J217" s="105">
        <f t="shared" si="14"/>
        <v>5.2507653387669911E-2</v>
      </c>
    </row>
    <row r="218" spans="1:10" x14ac:dyDescent="0.3">
      <c r="A218">
        <v>217</v>
      </c>
      <c r="B218" s="96">
        <v>32143</v>
      </c>
      <c r="C218" s="97">
        <v>185329000</v>
      </c>
      <c r="D218" s="109">
        <v>257.07</v>
      </c>
      <c r="E218" s="99">
        <f t="shared" si="12"/>
        <v>4.0432248664400115E-2</v>
      </c>
      <c r="F218" s="99">
        <f t="shared" si="15"/>
        <v>-6.2062171628721512E-2</v>
      </c>
      <c r="G218" s="101"/>
      <c r="H218" s="98">
        <v>557.10299999999995</v>
      </c>
      <c r="I218" s="99">
        <f t="shared" si="13"/>
        <v>4.2061965971837666E-2</v>
      </c>
      <c r="J218" s="99">
        <f t="shared" si="14"/>
        <v>-3.3384575878295075E-2</v>
      </c>
    </row>
    <row r="219" spans="1:10" x14ac:dyDescent="0.3">
      <c r="A219">
        <v>218</v>
      </c>
      <c r="B219" s="96">
        <v>32174</v>
      </c>
      <c r="C219" s="97">
        <v>196464500</v>
      </c>
      <c r="D219" s="109">
        <v>267.82</v>
      </c>
      <c r="E219" s="99">
        <f t="shared" si="12"/>
        <v>4.1817403819971212E-2</v>
      </c>
      <c r="F219" s="99">
        <f t="shared" si="15"/>
        <v>-5.7635467980295556E-2</v>
      </c>
      <c r="G219" s="101"/>
      <c r="H219" s="98">
        <v>583.072</v>
      </c>
      <c r="I219" s="110">
        <v>4.6614596481961312E-2</v>
      </c>
      <c r="J219" s="99">
        <f t="shared" si="14"/>
        <v>-2.6782703908078288E-2</v>
      </c>
    </row>
    <row r="220" spans="1:10" x14ac:dyDescent="0.3">
      <c r="A220">
        <v>219</v>
      </c>
      <c r="B220" s="96">
        <v>32203</v>
      </c>
      <c r="C220" s="97">
        <v>182297300</v>
      </c>
      <c r="D220" s="109">
        <v>258.89</v>
      </c>
      <c r="E220" s="99">
        <f t="shared" si="12"/>
        <v>-3.3343290269584075E-2</v>
      </c>
      <c r="F220" s="99">
        <f t="shared" si="15"/>
        <v>-0.11247857387727118</v>
      </c>
      <c r="G220" s="101"/>
      <c r="H220" s="98">
        <v>565.05899999999997</v>
      </c>
      <c r="I220" s="110">
        <v>-3.0893403840801748E-2</v>
      </c>
      <c r="J220" s="99">
        <f t="shared" si="14"/>
        <v>-8.329764245527288E-2</v>
      </c>
    </row>
    <row r="221" spans="1:10" x14ac:dyDescent="0.3">
      <c r="A221">
        <v>220</v>
      </c>
      <c r="B221" s="96">
        <v>32234</v>
      </c>
      <c r="C221" s="97">
        <v>169819000</v>
      </c>
      <c r="D221" s="109">
        <v>261.33</v>
      </c>
      <c r="E221" s="99">
        <f t="shared" si="12"/>
        <v>9.4248522538529795E-3</v>
      </c>
      <c r="F221" s="99">
        <f t="shared" si="15"/>
        <v>-9.373699542238878E-2</v>
      </c>
      <c r="G221" s="101"/>
      <c r="H221" s="98">
        <v>571.30899999999997</v>
      </c>
      <c r="I221" s="110">
        <v>1.1058778479801079E-2</v>
      </c>
      <c r="J221" s="99">
        <f t="shared" si="14"/>
        <v>-6.4855114571040054E-2</v>
      </c>
    </row>
    <row r="222" spans="1:10" x14ac:dyDescent="0.3">
      <c r="A222">
        <v>221</v>
      </c>
      <c r="B222" s="96">
        <v>32264</v>
      </c>
      <c r="C222" s="97">
        <v>165665700</v>
      </c>
      <c r="D222" s="109">
        <v>262.16000000000003</v>
      </c>
      <c r="E222" s="99">
        <f t="shared" si="12"/>
        <v>3.1760609191445336E-3</v>
      </c>
      <c r="F222" s="99">
        <f t="shared" si="15"/>
        <v>-9.631161668390209E-2</v>
      </c>
      <c r="G222" s="101"/>
      <c r="H222" s="98">
        <v>576.25099999999998</v>
      </c>
      <c r="I222" s="110">
        <v>8.6502700368886742E-3</v>
      </c>
      <c r="J222" s="99">
        <f t="shared" si="14"/>
        <v>-6.4873715572807439E-2</v>
      </c>
    </row>
    <row r="223" spans="1:10" x14ac:dyDescent="0.3">
      <c r="A223">
        <v>222</v>
      </c>
      <c r="B223" s="96">
        <v>32295</v>
      </c>
      <c r="C223" s="97">
        <v>206096300</v>
      </c>
      <c r="D223" s="109">
        <v>273.5</v>
      </c>
      <c r="E223" s="99">
        <f t="shared" si="12"/>
        <v>4.3256026853829621E-2</v>
      </c>
      <c r="F223" s="99">
        <f t="shared" si="15"/>
        <v>-0.10032894736842106</v>
      </c>
      <c r="G223" s="101"/>
      <c r="H223" s="98">
        <v>602.69500000000005</v>
      </c>
      <c r="I223" s="110">
        <v>4.5891815171108519E-2</v>
      </c>
      <c r="J223" s="99">
        <f t="shared" si="14"/>
        <v>-6.8976916553254955E-2</v>
      </c>
    </row>
    <row r="224" spans="1:10" x14ac:dyDescent="0.3">
      <c r="A224">
        <v>223</v>
      </c>
      <c r="B224" s="96">
        <v>32325</v>
      </c>
      <c r="C224" s="97">
        <v>176540500</v>
      </c>
      <c r="D224" s="109">
        <v>272.02</v>
      </c>
      <c r="E224" s="99">
        <f t="shared" si="12"/>
        <v>-5.411334552102443E-3</v>
      </c>
      <c r="F224" s="99">
        <f t="shared" si="15"/>
        <v>-0.14636289462122651</v>
      </c>
      <c r="G224" s="101"/>
      <c r="H224" s="98">
        <v>600.41</v>
      </c>
      <c r="I224" s="110">
        <v>-3.7947326095696399E-3</v>
      </c>
      <c r="J224" s="99">
        <f t="shared" si="14"/>
        <v>-0.11722586526303411</v>
      </c>
    </row>
    <row r="225" spans="1:10" x14ac:dyDescent="0.3">
      <c r="A225">
        <v>224</v>
      </c>
      <c r="B225" s="96">
        <v>32356</v>
      </c>
      <c r="C225" s="97">
        <v>150345600</v>
      </c>
      <c r="D225" s="109">
        <v>261.52</v>
      </c>
      <c r="E225" s="99">
        <f t="shared" si="12"/>
        <v>-3.8600102933607827E-2</v>
      </c>
      <c r="F225" s="99">
        <f t="shared" si="15"/>
        <v>-0.20703456640388121</v>
      </c>
      <c r="G225" s="101"/>
      <c r="H225" s="98">
        <v>580.02599999999995</v>
      </c>
      <c r="I225" s="110">
        <v>-3.3947536280979018E-2</v>
      </c>
      <c r="J225" s="99">
        <f t="shared" si="14"/>
        <v>-0.17787214500551377</v>
      </c>
    </row>
    <row r="226" spans="1:10" x14ac:dyDescent="0.3">
      <c r="A226">
        <v>225</v>
      </c>
      <c r="B226" s="96">
        <v>32387</v>
      </c>
      <c r="C226" s="97">
        <v>154057100</v>
      </c>
      <c r="D226" s="109">
        <v>271.91000000000003</v>
      </c>
      <c r="E226" s="99">
        <f t="shared" si="12"/>
        <v>3.9729275007647766E-2</v>
      </c>
      <c r="F226" s="99">
        <f t="shared" si="15"/>
        <v>-0.15511294782959936</v>
      </c>
      <c r="G226" s="101"/>
      <c r="H226" s="98">
        <v>604.73800000000006</v>
      </c>
      <c r="I226" s="110">
        <v>4.2605020386694337E-2</v>
      </c>
      <c r="J226" s="99">
        <f t="shared" si="14"/>
        <v>-0.12363289090226662</v>
      </c>
    </row>
    <row r="227" spans="1:10" x14ac:dyDescent="0.3">
      <c r="A227">
        <v>226</v>
      </c>
      <c r="B227" s="96">
        <v>32417</v>
      </c>
      <c r="C227" s="97">
        <v>169458000</v>
      </c>
      <c r="D227" s="109">
        <v>278.97000000000003</v>
      </c>
      <c r="E227" s="99">
        <f t="shared" si="12"/>
        <v>2.5964473539038659E-2</v>
      </c>
      <c r="F227" s="99">
        <f t="shared" si="15"/>
        <v>0.10794709877278699</v>
      </c>
      <c r="G227" s="101"/>
      <c r="H227" s="98">
        <v>621.57600000000002</v>
      </c>
      <c r="I227" s="110">
        <v>2.7843771467826794E-2</v>
      </c>
      <c r="J227" s="99">
        <f t="shared" si="14"/>
        <v>0.14800531914893608</v>
      </c>
    </row>
    <row r="228" spans="1:10" x14ac:dyDescent="0.3">
      <c r="A228">
        <v>227</v>
      </c>
      <c r="B228" s="96">
        <v>32448</v>
      </c>
      <c r="C228" s="97">
        <v>141934700</v>
      </c>
      <c r="D228" s="109">
        <v>273.7</v>
      </c>
      <c r="E228" s="99">
        <f t="shared" si="12"/>
        <v>-1.8890920170627802E-2</v>
      </c>
      <c r="F228" s="99">
        <f t="shared" si="15"/>
        <v>0.188449848024316</v>
      </c>
      <c r="G228" s="101"/>
      <c r="H228" s="98">
        <v>612.71799999999996</v>
      </c>
      <c r="I228" s="110">
        <v>-1.4251401120896734E-2</v>
      </c>
      <c r="J228" s="99">
        <f t="shared" si="14"/>
        <v>0.23327965862887962</v>
      </c>
    </row>
    <row r="229" spans="1:10" x14ac:dyDescent="0.3">
      <c r="A229">
        <v>228</v>
      </c>
      <c r="B229" s="102">
        <v>32478</v>
      </c>
      <c r="C229" s="103">
        <v>141529000</v>
      </c>
      <c r="D229" s="108">
        <v>277.72000000000003</v>
      </c>
      <c r="E229" s="105">
        <f t="shared" si="12"/>
        <v>1.4687614176105366E-2</v>
      </c>
      <c r="F229" s="105">
        <f t="shared" si="15"/>
        <v>0.12400841832604829</v>
      </c>
      <c r="G229" s="107"/>
      <c r="H229" s="104">
        <v>623.40700000000004</v>
      </c>
      <c r="I229" s="111">
        <v>1.7444981213097233E-2</v>
      </c>
      <c r="J229" s="105">
        <f t="shared" si="14"/>
        <v>0.16608369371661166</v>
      </c>
    </row>
    <row r="230" spans="1:10" x14ac:dyDescent="0.3">
      <c r="A230">
        <v>229</v>
      </c>
      <c r="B230" s="96">
        <v>32509</v>
      </c>
      <c r="C230" s="97">
        <v>177441400</v>
      </c>
      <c r="D230" s="109">
        <v>297.47000000000003</v>
      </c>
      <c r="E230" s="99">
        <f t="shared" si="12"/>
        <v>7.1114791876710354E-2</v>
      </c>
      <c r="F230" s="99">
        <f t="shared" si="15"/>
        <v>0.15715563854203149</v>
      </c>
      <c r="G230" s="101"/>
      <c r="H230" s="98">
        <v>669.05799999999999</v>
      </c>
      <c r="I230" s="110">
        <v>7.3227450054839105E-2</v>
      </c>
      <c r="J230" s="99">
        <f t="shared" si="14"/>
        <v>0.20095924811031363</v>
      </c>
    </row>
    <row r="231" spans="1:10" x14ac:dyDescent="0.3">
      <c r="A231">
        <v>230</v>
      </c>
      <c r="B231" s="96">
        <v>32540</v>
      </c>
      <c r="C231" s="97">
        <v>177037300</v>
      </c>
      <c r="D231" s="109">
        <v>288.86</v>
      </c>
      <c r="E231" s="99">
        <f t="shared" si="12"/>
        <v>-2.8944095202877645E-2</v>
      </c>
      <c r="F231" s="99">
        <f t="shared" si="15"/>
        <v>7.8560227018146592E-2</v>
      </c>
      <c r="G231" s="101"/>
      <c r="H231" s="98">
        <v>652.38499999999999</v>
      </c>
      <c r="I231" s="110">
        <v>-2.4921251948488821E-2</v>
      </c>
      <c r="J231" s="110">
        <v>0.1188718805083957</v>
      </c>
    </row>
    <row r="232" spans="1:10" x14ac:dyDescent="0.3">
      <c r="A232">
        <v>231</v>
      </c>
      <c r="B232" s="96">
        <v>32568</v>
      </c>
      <c r="C232" s="97">
        <v>167067700</v>
      </c>
      <c r="D232" s="109">
        <v>294.87</v>
      </c>
      <c r="E232" s="99">
        <f t="shared" si="12"/>
        <v>2.0805926746520775E-2</v>
      </c>
      <c r="F232" s="99">
        <f t="shared" si="15"/>
        <v>0.13897794430066832</v>
      </c>
      <c r="G232" s="101"/>
      <c r="H232" s="98">
        <v>667.60400000000004</v>
      </c>
      <c r="I232" s="110">
        <v>2.332939756159047E-2</v>
      </c>
      <c r="J232" s="110">
        <v>0.18147424851617844</v>
      </c>
    </row>
    <row r="233" spans="1:10" x14ac:dyDescent="0.3">
      <c r="A233">
        <v>232</v>
      </c>
      <c r="B233" s="96">
        <v>32599</v>
      </c>
      <c r="C233" s="97">
        <v>169782000</v>
      </c>
      <c r="D233" s="109">
        <v>309.64</v>
      </c>
      <c r="E233" s="99">
        <f t="shared" si="12"/>
        <v>5.0089870112252792E-2</v>
      </c>
      <c r="F233" s="99">
        <f t="shared" si="15"/>
        <v>0.18486205181188536</v>
      </c>
      <c r="G233" s="101"/>
      <c r="H233" s="98">
        <v>702.26599999999996</v>
      </c>
      <c r="I233" s="110">
        <v>5.1921618450648577E-2</v>
      </c>
      <c r="J233" s="110">
        <v>0.22922458131026602</v>
      </c>
    </row>
    <row r="234" spans="1:10" x14ac:dyDescent="0.3">
      <c r="A234">
        <v>233</v>
      </c>
      <c r="B234" s="96">
        <v>32629</v>
      </c>
      <c r="C234" s="97">
        <v>177720400</v>
      </c>
      <c r="D234" s="109">
        <v>320.52</v>
      </c>
      <c r="E234" s="99">
        <f t="shared" si="12"/>
        <v>3.5137579124144155E-2</v>
      </c>
      <c r="F234" s="99">
        <f t="shared" si="15"/>
        <v>0.22261214525480605</v>
      </c>
      <c r="G234" s="101"/>
      <c r="H234" s="98">
        <v>730.67899999999997</v>
      </c>
      <c r="I234" s="110">
        <v>4.0457601321165049E-2</v>
      </c>
      <c r="J234" s="110">
        <v>0.26798762400402509</v>
      </c>
    </row>
    <row r="235" spans="1:10" x14ac:dyDescent="0.3">
      <c r="A235">
        <v>234</v>
      </c>
      <c r="B235" s="96">
        <v>32660</v>
      </c>
      <c r="C235" s="97">
        <v>188049000</v>
      </c>
      <c r="D235" s="109">
        <v>317.98</v>
      </c>
      <c r="E235" s="99">
        <f t="shared" si="12"/>
        <v>-7.9246224884561463E-3</v>
      </c>
      <c r="F235" s="99">
        <f t="shared" si="15"/>
        <v>0.16263254113345527</v>
      </c>
      <c r="G235" s="101"/>
      <c r="H235" s="98">
        <v>726.53399999999999</v>
      </c>
      <c r="I235" s="110">
        <v>-5.670831198751447E-3</v>
      </c>
      <c r="J235" s="110">
        <v>0.20547561606065834</v>
      </c>
    </row>
    <row r="236" spans="1:10" x14ac:dyDescent="0.3">
      <c r="A236">
        <v>235</v>
      </c>
      <c r="B236" s="96">
        <v>32690</v>
      </c>
      <c r="C236" s="97">
        <v>170784000</v>
      </c>
      <c r="D236" s="109">
        <v>346.08</v>
      </c>
      <c r="E236" s="99">
        <f t="shared" si="12"/>
        <v>8.8370337757091535E-2</v>
      </c>
      <c r="F236" s="99">
        <f t="shared" si="15"/>
        <v>0.2722593926917139</v>
      </c>
      <c r="G236" s="101"/>
      <c r="H236" s="98">
        <v>792.13400000000001</v>
      </c>
      <c r="I236" s="110">
        <v>9.0288821781057793E-2</v>
      </c>
      <c r="J236" s="110">
        <v>0.31932306738694072</v>
      </c>
    </row>
    <row r="237" spans="1:10" x14ac:dyDescent="0.3">
      <c r="A237">
        <v>236</v>
      </c>
      <c r="B237" s="96">
        <v>32721</v>
      </c>
      <c r="C237" s="97">
        <v>177996500</v>
      </c>
      <c r="D237" s="109">
        <v>351.45</v>
      </c>
      <c r="E237" s="99">
        <f t="shared" si="12"/>
        <v>1.5516643550624147E-2</v>
      </c>
      <c r="F237" s="99">
        <f t="shared" si="15"/>
        <v>0.34387427347812793</v>
      </c>
      <c r="G237" s="101"/>
      <c r="H237" s="98">
        <v>807.61900000000003</v>
      </c>
      <c r="I237" s="110">
        <v>1.9549570466682153E-2</v>
      </c>
      <c r="J237" s="110">
        <v>0.39238324747171416</v>
      </c>
    </row>
    <row r="238" spans="1:10" x14ac:dyDescent="0.3">
      <c r="A238">
        <v>237</v>
      </c>
      <c r="B238" s="96">
        <v>32752</v>
      </c>
      <c r="C238" s="97">
        <v>159516000</v>
      </c>
      <c r="D238" s="109">
        <v>349.15</v>
      </c>
      <c r="E238" s="99">
        <f t="shared" si="12"/>
        <v>-6.5443164034713654E-3</v>
      </c>
      <c r="F238" s="99">
        <f t="shared" si="15"/>
        <v>0.28406458019197506</v>
      </c>
      <c r="G238" s="101"/>
      <c r="H238" s="98">
        <v>804.34199999999998</v>
      </c>
      <c r="I238" s="110">
        <v>-4.0562408238937753E-3</v>
      </c>
      <c r="J238" s="110">
        <v>0.33006783833295161</v>
      </c>
    </row>
    <row r="239" spans="1:10" x14ac:dyDescent="0.3">
      <c r="A239">
        <v>238</v>
      </c>
      <c r="B239" s="96">
        <v>32782</v>
      </c>
      <c r="C239" s="97">
        <v>190398600</v>
      </c>
      <c r="D239" s="109">
        <v>340.36</v>
      </c>
      <c r="E239" s="99">
        <f t="shared" si="12"/>
        <v>-2.5175426034655491E-2</v>
      </c>
      <c r="F239" s="99">
        <f t="shared" si="15"/>
        <v>0.22005950460623</v>
      </c>
      <c r="G239" s="101"/>
      <c r="H239" s="98">
        <v>785.66600000000005</v>
      </c>
      <c r="I239" s="110">
        <v>-2.3220655407841018E-2</v>
      </c>
      <c r="J239" s="110">
        <v>0.26398858217008403</v>
      </c>
    </row>
    <row r="240" spans="1:10" x14ac:dyDescent="0.3">
      <c r="A240">
        <v>239</v>
      </c>
      <c r="B240" s="96">
        <v>32813</v>
      </c>
      <c r="C240" s="97">
        <v>151683800</v>
      </c>
      <c r="D240" s="109">
        <v>345.99</v>
      </c>
      <c r="E240" s="99">
        <f t="shared" si="12"/>
        <v>1.6541309202021376E-2</v>
      </c>
      <c r="F240" s="99">
        <f t="shared" si="15"/>
        <v>0.26412130069419082</v>
      </c>
      <c r="G240" s="101"/>
      <c r="H240" s="98">
        <v>801.68899999999996</v>
      </c>
      <c r="I240" s="110">
        <v>2.0393493910868976E-2</v>
      </c>
      <c r="J240" s="110">
        <v>0.30841243608215407</v>
      </c>
    </row>
    <row r="241" spans="1:10" x14ac:dyDescent="0.3">
      <c r="A241">
        <v>240</v>
      </c>
      <c r="B241" s="102">
        <v>32843</v>
      </c>
      <c r="C241" s="103">
        <v>167968000</v>
      </c>
      <c r="D241" s="108">
        <v>353.4</v>
      </c>
      <c r="E241" s="105">
        <f t="shared" si="12"/>
        <v>2.1416803953871407E-2</v>
      </c>
      <c r="F241" s="105">
        <f t="shared" si="15"/>
        <v>0.27250468097364233</v>
      </c>
      <c r="G241" s="107"/>
      <c r="H241" s="104">
        <v>820.94100000000003</v>
      </c>
      <c r="I241" s="111">
        <v>2.4015481321742138E-2</v>
      </c>
      <c r="J241" s="111">
        <v>0.31686195837787556</v>
      </c>
    </row>
    <row r="242" spans="1:10" x14ac:dyDescent="0.3">
      <c r="A242">
        <v>241</v>
      </c>
      <c r="B242" s="96">
        <v>32874</v>
      </c>
      <c r="C242" s="97">
        <v>181041300</v>
      </c>
      <c r="D242" s="109">
        <v>329.08</v>
      </c>
      <c r="E242" s="99">
        <f t="shared" si="12"/>
        <v>-6.8817204301075255E-2</v>
      </c>
      <c r="F242" s="99">
        <f t="shared" si="15"/>
        <v>0.10626281641846221</v>
      </c>
      <c r="G242" s="101"/>
      <c r="H242" s="98">
        <v>765.82600000000002</v>
      </c>
      <c r="I242" s="110">
        <v>-6.713599308398055E-2</v>
      </c>
      <c r="J242" s="110">
        <v>0.14463446027670157</v>
      </c>
    </row>
    <row r="243" spans="1:10" x14ac:dyDescent="0.3">
      <c r="A243">
        <v>242</v>
      </c>
      <c r="B243" s="96">
        <v>32905</v>
      </c>
      <c r="C243" s="97">
        <v>165598400</v>
      </c>
      <c r="D243" s="109">
        <v>331.89</v>
      </c>
      <c r="E243" s="99">
        <f t="shared" si="12"/>
        <v>8.538957092500311E-3</v>
      </c>
      <c r="F243" s="99">
        <f t="shared" si="15"/>
        <v>0.14896489648964886</v>
      </c>
      <c r="G243" s="101"/>
      <c r="H243" s="98">
        <v>775.69</v>
      </c>
      <c r="I243" s="110">
        <v>1.2880823423377485E-2</v>
      </c>
      <c r="J243" s="110">
        <v>0.1890099101848044</v>
      </c>
    </row>
    <row r="244" spans="1:10" x14ac:dyDescent="0.3">
      <c r="A244">
        <v>243</v>
      </c>
      <c r="B244" s="96">
        <v>32933</v>
      </c>
      <c r="C244" s="97">
        <v>155573600</v>
      </c>
      <c r="D244" s="109">
        <v>339.94</v>
      </c>
      <c r="E244" s="99">
        <f t="shared" si="12"/>
        <v>2.425502425502429E-2</v>
      </c>
      <c r="F244" s="99">
        <f t="shared" si="15"/>
        <v>0.15284701732967068</v>
      </c>
      <c r="G244" s="101"/>
      <c r="H244" s="98">
        <v>796.245</v>
      </c>
      <c r="I244" s="110">
        <v>2.6496808890475787E-2</v>
      </c>
      <c r="J244" s="110">
        <v>0.1926901361889144</v>
      </c>
    </row>
    <row r="245" spans="1:10" x14ac:dyDescent="0.3">
      <c r="A245">
        <v>244</v>
      </c>
      <c r="B245" s="96">
        <v>32964</v>
      </c>
      <c r="C245" s="97">
        <v>146198500</v>
      </c>
      <c r="D245" s="109">
        <v>330.8</v>
      </c>
      <c r="E245" s="99">
        <f t="shared" si="12"/>
        <v>-2.688709772312757E-2</v>
      </c>
      <c r="F245" s="99">
        <f t="shared" si="15"/>
        <v>6.8337424105412825E-2</v>
      </c>
      <c r="G245" s="101"/>
      <c r="H245" s="98">
        <v>776.38</v>
      </c>
      <c r="I245" s="110">
        <v>-2.4945991114009747E-2</v>
      </c>
      <c r="J245" s="110">
        <v>0.10553607631207584</v>
      </c>
    </row>
    <row r="246" spans="1:10" x14ac:dyDescent="0.3">
      <c r="A246">
        <v>245</v>
      </c>
      <c r="B246" s="96">
        <v>32994</v>
      </c>
      <c r="C246" s="97">
        <v>171016800</v>
      </c>
      <c r="D246" s="109">
        <v>361.23</v>
      </c>
      <c r="E246" s="99">
        <f t="shared" si="12"/>
        <v>9.1989117291414776E-2</v>
      </c>
      <c r="F246" s="99">
        <f t="shared" si="15"/>
        <v>0.12701235492324983</v>
      </c>
      <c r="G246" s="101"/>
      <c r="H246" s="98">
        <v>852.08100000000002</v>
      </c>
      <c r="I246" s="110">
        <v>9.7504284937920627E-2</v>
      </c>
      <c r="J246" s="110">
        <v>0.16615091221908651</v>
      </c>
    </row>
    <row r="247" spans="1:10" x14ac:dyDescent="0.3">
      <c r="A247">
        <v>246</v>
      </c>
      <c r="B247" s="96">
        <v>33025</v>
      </c>
      <c r="C247" s="97">
        <v>160561400</v>
      </c>
      <c r="D247" s="109">
        <v>358.02</v>
      </c>
      <c r="E247" s="99">
        <f t="shared" si="12"/>
        <v>-8.8863051241592234E-3</v>
      </c>
      <c r="F247" s="99">
        <f t="shared" si="15"/>
        <v>0.12591986917416179</v>
      </c>
      <c r="G247" s="101"/>
      <c r="H247" s="98">
        <v>846.33299999999997</v>
      </c>
      <c r="I247" s="110">
        <v>-6.7470626026850944E-3</v>
      </c>
      <c r="J247" s="110">
        <v>0.16488870622852003</v>
      </c>
    </row>
    <row r="248" spans="1:10" x14ac:dyDescent="0.3">
      <c r="A248">
        <v>247</v>
      </c>
      <c r="B248" s="96">
        <v>33055</v>
      </c>
      <c r="C248" s="97">
        <v>168996100</v>
      </c>
      <c r="D248" s="109">
        <v>356.15</v>
      </c>
      <c r="E248" s="99">
        <f t="shared" si="12"/>
        <v>-5.2231718898385696E-3</v>
      </c>
      <c r="F248" s="99">
        <f t="shared" si="15"/>
        <v>2.9097318539066094E-2</v>
      </c>
      <c r="G248" s="101"/>
      <c r="H248" s="98">
        <v>843.61900000000003</v>
      </c>
      <c r="I248" s="110">
        <v>-3.2059804061931318E-3</v>
      </c>
      <c r="J248" s="110">
        <v>6.4996790450565944E-2</v>
      </c>
    </row>
    <row r="249" spans="1:10" x14ac:dyDescent="0.3">
      <c r="A249">
        <v>248</v>
      </c>
      <c r="B249" s="96">
        <v>33086</v>
      </c>
      <c r="C249" s="97">
        <v>179009100</v>
      </c>
      <c r="D249" s="109">
        <v>322.56</v>
      </c>
      <c r="E249" s="99">
        <f t="shared" si="12"/>
        <v>-9.4314193457812653E-2</v>
      </c>
      <c r="F249" s="99">
        <f t="shared" si="15"/>
        <v>-8.2202304737515969E-2</v>
      </c>
      <c r="G249" s="101"/>
      <c r="H249" s="98">
        <v>767.36400000000003</v>
      </c>
      <c r="I249" s="110">
        <v>-9.0389597065838934E-2</v>
      </c>
      <c r="J249" s="110">
        <v>-4.9843001511043483E-2</v>
      </c>
    </row>
    <row r="250" spans="1:10" x14ac:dyDescent="0.3">
      <c r="A250">
        <v>249</v>
      </c>
      <c r="B250" s="96">
        <v>33117</v>
      </c>
      <c r="C250" s="97">
        <v>152015200</v>
      </c>
      <c r="D250" s="109">
        <v>306.05</v>
      </c>
      <c r="E250" s="99">
        <f t="shared" si="12"/>
        <v>-5.1184275793650764E-2</v>
      </c>
      <c r="F250" s="99">
        <f t="shared" si="15"/>
        <v>-0.12344264642703701</v>
      </c>
      <c r="G250" s="101"/>
      <c r="H250" s="98">
        <v>730.02</v>
      </c>
      <c r="I250" s="110">
        <v>-4.8667975006203457E-2</v>
      </c>
      <c r="J250" s="110">
        <v>-9.240378976591046E-2</v>
      </c>
    </row>
    <row r="251" spans="1:10" x14ac:dyDescent="0.3">
      <c r="A251">
        <v>250</v>
      </c>
      <c r="B251" s="96">
        <v>33147</v>
      </c>
      <c r="C251" s="97">
        <v>166433000</v>
      </c>
      <c r="D251" s="109">
        <v>304</v>
      </c>
      <c r="E251" s="99">
        <f t="shared" si="12"/>
        <v>-6.6982519196210136E-3</v>
      </c>
      <c r="F251" s="99">
        <f t="shared" si="15"/>
        <v>-0.10682806440239749</v>
      </c>
      <c r="G251" s="101"/>
      <c r="H251" s="98">
        <v>726.91099999999994</v>
      </c>
      <c r="I251" s="110">
        <v>-4.256227251710154E-3</v>
      </c>
      <c r="J251" s="110">
        <v>-7.4782570378897573E-2</v>
      </c>
    </row>
    <row r="252" spans="1:10" x14ac:dyDescent="0.3">
      <c r="A252">
        <v>251</v>
      </c>
      <c r="B252" s="96">
        <v>33178</v>
      </c>
      <c r="C252" s="97">
        <v>159148500</v>
      </c>
      <c r="D252" s="109">
        <v>322.22000000000003</v>
      </c>
      <c r="E252" s="99">
        <f t="shared" si="12"/>
        <v>5.9934210526315881E-2</v>
      </c>
      <c r="F252" s="99">
        <f t="shared" si="15"/>
        <v>-6.8701407555131599E-2</v>
      </c>
      <c r="G252" s="101"/>
      <c r="H252" s="98">
        <v>773.899</v>
      </c>
      <c r="I252" s="110">
        <v>6.4640186693337265E-2</v>
      </c>
      <c r="J252" s="110">
        <v>-3.4662938482258321E-2</v>
      </c>
    </row>
    <row r="253" spans="1:10" x14ac:dyDescent="0.3">
      <c r="A253">
        <v>252</v>
      </c>
      <c r="B253" s="102">
        <v>33208</v>
      </c>
      <c r="C253" s="103">
        <v>161548000</v>
      </c>
      <c r="D253" s="108">
        <v>330.22</v>
      </c>
      <c r="E253" s="105">
        <f t="shared" si="12"/>
        <v>2.4827757432809881E-2</v>
      </c>
      <c r="F253" s="105">
        <f t="shared" si="15"/>
        <v>-6.5591397849462232E-2</v>
      </c>
      <c r="G253" s="107"/>
      <c r="H253" s="104">
        <v>795.45699999999999</v>
      </c>
      <c r="I253" s="111">
        <v>2.7855441359025512E-2</v>
      </c>
      <c r="J253" s="111">
        <v>-3.1043016902603804E-2</v>
      </c>
    </row>
    <row r="254" spans="1:10" x14ac:dyDescent="0.3">
      <c r="A254">
        <v>253</v>
      </c>
      <c r="B254" s="96">
        <v>33239</v>
      </c>
      <c r="C254" s="97">
        <v>175670900</v>
      </c>
      <c r="D254" s="109">
        <v>343.93</v>
      </c>
      <c r="E254" s="99">
        <f t="shared" si="12"/>
        <v>4.1517776028102409E-2</v>
      </c>
      <c r="F254" s="99">
        <f t="shared" si="15"/>
        <v>4.5125805275313062E-2</v>
      </c>
      <c r="G254" s="101"/>
      <c r="H254" s="98">
        <v>830.09900000000005</v>
      </c>
      <c r="I254" s="110">
        <v>4.35518223436E-2</v>
      </c>
      <c r="J254" s="110">
        <v>8.3927365604613113E-2</v>
      </c>
    </row>
    <row r="255" spans="1:10" x14ac:dyDescent="0.3">
      <c r="A255">
        <v>254</v>
      </c>
      <c r="B255" s="96">
        <v>33270</v>
      </c>
      <c r="C255" s="97">
        <v>238220000</v>
      </c>
      <c r="D255" s="109">
        <v>367.07</v>
      </c>
      <c r="E255" s="99">
        <f t="shared" si="12"/>
        <v>6.7281132788648806E-2</v>
      </c>
      <c r="F255" s="99">
        <f t="shared" si="15"/>
        <v>0.10599897556419298</v>
      </c>
      <c r="G255" s="101"/>
      <c r="H255" s="98">
        <v>889.46400000000006</v>
      </c>
      <c r="I255" s="110">
        <v>7.1514589122150252E-2</v>
      </c>
      <c r="J255" s="110">
        <v>0.14667388199589393</v>
      </c>
    </row>
    <row r="256" spans="1:10" x14ac:dyDescent="0.3">
      <c r="A256">
        <v>255</v>
      </c>
      <c r="B256" s="96">
        <v>33298</v>
      </c>
      <c r="C256" s="97">
        <v>203933500</v>
      </c>
      <c r="D256" s="109">
        <v>375.22</v>
      </c>
      <c r="E256" s="99">
        <f t="shared" si="12"/>
        <v>2.2202849592720827E-2</v>
      </c>
      <c r="F256" s="99">
        <f t="shared" si="15"/>
        <v>0.10378302053303533</v>
      </c>
      <c r="G256" s="101"/>
      <c r="H256" s="98">
        <v>911.00300000000004</v>
      </c>
      <c r="I256" s="110">
        <v>2.421438267190168E-2</v>
      </c>
      <c r="J256" s="110">
        <v>0.14412424081848929</v>
      </c>
    </row>
    <row r="257" spans="1:10" x14ac:dyDescent="0.3">
      <c r="A257">
        <v>256</v>
      </c>
      <c r="B257" s="96">
        <v>33329</v>
      </c>
      <c r="C257" s="97">
        <v>191974000</v>
      </c>
      <c r="D257" s="109">
        <v>375.35</v>
      </c>
      <c r="E257" s="99">
        <f t="shared" si="12"/>
        <v>3.4646340813388263E-4</v>
      </c>
      <c r="F257" s="99">
        <f t="shared" si="15"/>
        <v>0.1346735187424426</v>
      </c>
      <c r="G257" s="101"/>
      <c r="H257" s="98">
        <v>913.15899999999999</v>
      </c>
      <c r="I257" s="110">
        <v>2.3679910315606012E-3</v>
      </c>
      <c r="J257" s="110">
        <v>0.17617435168540885</v>
      </c>
    </row>
    <row r="258" spans="1:10" x14ac:dyDescent="0.3">
      <c r="A258">
        <v>257</v>
      </c>
      <c r="B258" s="96">
        <v>33359</v>
      </c>
      <c r="C258" s="97">
        <v>180533600</v>
      </c>
      <c r="D258" s="109">
        <v>389.83</v>
      </c>
      <c r="E258" s="99">
        <f t="shared" si="12"/>
        <v>3.8577327827361022E-2</v>
      </c>
      <c r="F258" s="99">
        <f t="shared" si="15"/>
        <v>7.9173933504969041E-2</v>
      </c>
      <c r="G258" s="101"/>
      <c r="H258" s="98">
        <v>952.553</v>
      </c>
      <c r="I258" s="110">
        <v>4.313921555153799E-2</v>
      </c>
      <c r="J258" s="110">
        <v>0.11791234659129879</v>
      </c>
    </row>
    <row r="259" spans="1:10" x14ac:dyDescent="0.3">
      <c r="A259">
        <v>258</v>
      </c>
      <c r="B259" s="96">
        <v>33390</v>
      </c>
      <c r="C259" s="97">
        <v>171125000</v>
      </c>
      <c r="D259" s="109">
        <v>371.16</v>
      </c>
      <c r="E259" s="99">
        <f t="shared" si="12"/>
        <v>-4.7892671164353591E-2</v>
      </c>
      <c r="F259" s="99">
        <f t="shared" si="15"/>
        <v>3.6701860231272115E-2</v>
      </c>
      <c r="G259" s="101"/>
      <c r="H259" s="98">
        <v>908.91300000000001</v>
      </c>
      <c r="I259" s="110">
        <v>-4.5811895919224965E-2</v>
      </c>
      <c r="J259" s="110">
        <v>7.3944634201214887E-2</v>
      </c>
    </row>
    <row r="260" spans="1:10" x14ac:dyDescent="0.3">
      <c r="A260">
        <v>259</v>
      </c>
      <c r="B260" s="96">
        <v>33420</v>
      </c>
      <c r="C260" s="97">
        <v>165836300</v>
      </c>
      <c r="D260" s="109">
        <v>387.81</v>
      </c>
      <c r="E260" s="99">
        <f t="shared" ref="E260:E323" si="16">(D260-D259)/D259</f>
        <v>4.4859359844810799E-2</v>
      </c>
      <c r="F260" s="99">
        <f t="shared" si="15"/>
        <v>8.8895128457110839E-2</v>
      </c>
      <c r="G260" s="101"/>
      <c r="H260" s="98">
        <v>951.27700000000004</v>
      </c>
      <c r="I260" s="110">
        <v>4.6609231384517225E-2</v>
      </c>
      <c r="J260" s="110">
        <v>0.12761548128959466</v>
      </c>
    </row>
    <row r="261" spans="1:10" x14ac:dyDescent="0.3">
      <c r="A261">
        <v>260</v>
      </c>
      <c r="B261" s="96">
        <v>33451</v>
      </c>
      <c r="C261" s="97">
        <v>175330000</v>
      </c>
      <c r="D261" s="109">
        <v>395.43</v>
      </c>
      <c r="E261" s="99">
        <f t="shared" si="16"/>
        <v>1.9648797091359183E-2</v>
      </c>
      <c r="F261" s="99">
        <f t="shared" si="15"/>
        <v>0.22591145833333334</v>
      </c>
      <c r="G261" s="101"/>
      <c r="H261" s="98">
        <v>973.81500000000005</v>
      </c>
      <c r="I261" s="110">
        <v>2.3691788393389146E-2</v>
      </c>
      <c r="J261" s="110">
        <v>0.26903859601633173</v>
      </c>
    </row>
    <row r="262" spans="1:10" x14ac:dyDescent="0.3">
      <c r="A262">
        <v>261</v>
      </c>
      <c r="B262" s="96">
        <v>33482</v>
      </c>
      <c r="C262" s="97">
        <v>170388500</v>
      </c>
      <c r="D262" s="109">
        <v>387.86</v>
      </c>
      <c r="E262" s="99">
        <f t="shared" si="16"/>
        <v>-1.9143716966340422E-2</v>
      </c>
      <c r="F262" s="99">
        <f t="shared" si="15"/>
        <v>0.26730926319228882</v>
      </c>
      <c r="G262" s="101"/>
      <c r="H262" s="98">
        <v>957.51800000000003</v>
      </c>
      <c r="I262" s="110">
        <v>-1.6735472001635388E-2</v>
      </c>
      <c r="J262" s="110">
        <v>0.31163526859283674</v>
      </c>
    </row>
    <row r="263" spans="1:10" x14ac:dyDescent="0.3">
      <c r="A263">
        <v>262</v>
      </c>
      <c r="B263" s="96">
        <v>33512</v>
      </c>
      <c r="C263" s="97">
        <v>185306900</v>
      </c>
      <c r="D263" s="109">
        <v>392.46</v>
      </c>
      <c r="E263" s="99">
        <f t="shared" si="16"/>
        <v>1.1859949466302186E-2</v>
      </c>
      <c r="F263" s="99">
        <f t="shared" si="15"/>
        <v>0.2909868421052631</v>
      </c>
      <c r="G263" s="101"/>
      <c r="H263" s="98">
        <v>970.39099999999996</v>
      </c>
      <c r="I263" s="110">
        <v>1.3445416129979959E-2</v>
      </c>
      <c r="J263" s="110">
        <v>0.33495261227794448</v>
      </c>
    </row>
    <row r="264" spans="1:10" x14ac:dyDescent="0.3">
      <c r="A264">
        <v>263</v>
      </c>
      <c r="B264" s="96">
        <v>33543</v>
      </c>
      <c r="C264" s="97">
        <v>190722500</v>
      </c>
      <c r="D264" s="109">
        <v>375.22</v>
      </c>
      <c r="E264" s="99">
        <f t="shared" si="16"/>
        <v>-4.392804362227986E-2</v>
      </c>
      <c r="F264" s="99">
        <f t="shared" si="15"/>
        <v>0.16448389299236546</v>
      </c>
      <c r="G264" s="101"/>
      <c r="H264" s="98">
        <v>931.29200000000003</v>
      </c>
      <c r="I264" s="110">
        <v>-4.0293881555476307E-2</v>
      </c>
      <c r="J264" s="110">
        <v>0.20337575628795412</v>
      </c>
    </row>
    <row r="265" spans="1:10" x14ac:dyDescent="0.3">
      <c r="A265">
        <v>264</v>
      </c>
      <c r="B265" s="102">
        <v>33573</v>
      </c>
      <c r="C265" s="103">
        <v>209637600</v>
      </c>
      <c r="D265" s="108">
        <v>417.09</v>
      </c>
      <c r="E265" s="105">
        <f t="shared" si="16"/>
        <v>0.11158786845050889</v>
      </c>
      <c r="F265" s="105">
        <f t="shared" si="15"/>
        <v>0.26306704621161631</v>
      </c>
      <c r="G265" s="107"/>
      <c r="H265" s="104">
        <v>1037.8</v>
      </c>
      <c r="I265" s="111">
        <v>0.11436563826499913</v>
      </c>
      <c r="J265" s="111">
        <v>0.3046587474940905</v>
      </c>
    </row>
    <row r="266" spans="1:10" x14ac:dyDescent="0.3">
      <c r="A266">
        <v>265</v>
      </c>
      <c r="B266" s="96">
        <v>33604</v>
      </c>
      <c r="C266" s="97">
        <v>249268100</v>
      </c>
      <c r="D266" s="109">
        <v>408.79</v>
      </c>
      <c r="E266" s="99">
        <f t="shared" si="16"/>
        <v>-1.9899781821669075E-2</v>
      </c>
      <c r="F266" s="99">
        <f t="shared" si="15"/>
        <v>0.18858488645945398</v>
      </c>
      <c r="G266" s="101"/>
      <c r="H266" s="98">
        <v>1018.461</v>
      </c>
      <c r="I266" s="110">
        <v>-1.8635081405991683E-2</v>
      </c>
      <c r="J266" s="110">
        <v>0.22691206906438821</v>
      </c>
    </row>
    <row r="267" spans="1:10" x14ac:dyDescent="0.3">
      <c r="A267">
        <v>266</v>
      </c>
      <c r="B267" s="96">
        <v>33635</v>
      </c>
      <c r="C267" s="97">
        <v>235259400</v>
      </c>
      <c r="D267" s="109">
        <v>412.7</v>
      </c>
      <c r="E267" s="99">
        <f t="shared" si="16"/>
        <v>9.5648132292863522E-3</v>
      </c>
      <c r="F267" s="99">
        <f t="shared" si="15"/>
        <v>0.12430871495899963</v>
      </c>
      <c r="G267" s="101"/>
      <c r="H267" s="98">
        <v>1031.6500000000001</v>
      </c>
      <c r="I267" s="110">
        <v>1.2951061727870528E-2</v>
      </c>
      <c r="J267" s="110">
        <v>0.15985530726528796</v>
      </c>
    </row>
    <row r="268" spans="1:10" x14ac:dyDescent="0.3">
      <c r="A268">
        <v>267</v>
      </c>
      <c r="B268" s="96">
        <v>33664</v>
      </c>
      <c r="C268" s="97">
        <v>193118100</v>
      </c>
      <c r="D268" s="109">
        <v>403.69</v>
      </c>
      <c r="E268" s="99">
        <f t="shared" si="16"/>
        <v>-2.1831839108311102E-2</v>
      </c>
      <c r="F268" s="99">
        <f t="shared" si="15"/>
        <v>7.5875486381322868E-2</v>
      </c>
      <c r="G268" s="101"/>
      <c r="H268" s="98">
        <v>1011.586</v>
      </c>
      <c r="I268" s="110">
        <v>-1.9448773152177856E-2</v>
      </c>
      <c r="J268" s="110">
        <v>0.11040966007334352</v>
      </c>
    </row>
    <row r="269" spans="1:10" x14ac:dyDescent="0.3">
      <c r="A269">
        <v>268</v>
      </c>
      <c r="B269" s="96">
        <v>33695</v>
      </c>
      <c r="C269" s="97">
        <v>216163300</v>
      </c>
      <c r="D269" s="109">
        <v>414.95</v>
      </c>
      <c r="E269" s="99">
        <f t="shared" si="16"/>
        <v>2.7892689935346406E-2</v>
      </c>
      <c r="F269" s="99">
        <f t="shared" si="15"/>
        <v>0.10550153190355659</v>
      </c>
      <c r="G269" s="101"/>
      <c r="H269" s="98">
        <v>1041.338</v>
      </c>
      <c r="I269" s="110">
        <v>2.9352880530803205E-2</v>
      </c>
      <c r="J269" s="110">
        <v>0.14030315452255637</v>
      </c>
    </row>
    <row r="270" spans="1:10" x14ac:dyDescent="0.3">
      <c r="A270">
        <v>269</v>
      </c>
      <c r="B270" s="96">
        <v>33725</v>
      </c>
      <c r="C270" s="97">
        <v>192399500</v>
      </c>
      <c r="D270" s="109">
        <v>415.35</v>
      </c>
      <c r="E270" s="99">
        <f t="shared" si="16"/>
        <v>9.6397156283897843E-4</v>
      </c>
      <c r="F270" s="99">
        <f t="shared" si="15"/>
        <v>6.5464433214478202E-2</v>
      </c>
      <c r="G270" s="101"/>
      <c r="H270" s="98">
        <v>1046.443</v>
      </c>
      <c r="I270" s="110">
        <v>4.9019098538987116E-3</v>
      </c>
      <c r="J270" s="110">
        <v>9.8504207979829062E-2</v>
      </c>
    </row>
    <row r="271" spans="1:10" x14ac:dyDescent="0.3">
      <c r="A271">
        <v>270</v>
      </c>
      <c r="B271" s="96">
        <v>33756</v>
      </c>
      <c r="C271" s="97">
        <v>202516300</v>
      </c>
      <c r="D271" s="109">
        <v>408.14</v>
      </c>
      <c r="E271" s="99">
        <f t="shared" si="16"/>
        <v>-1.7358853978572376E-2</v>
      </c>
      <c r="F271" s="99">
        <f t="shared" ref="F271:F334" si="17">(D271-D259)/D259</f>
        <v>9.9633581204871105E-2</v>
      </c>
      <c r="G271" s="101"/>
      <c r="H271" s="98">
        <v>1030.875</v>
      </c>
      <c r="I271" s="110">
        <v>-1.4869727047146508E-2</v>
      </c>
      <c r="J271" s="110">
        <v>0.13412622272161334</v>
      </c>
    </row>
    <row r="272" spans="1:10" x14ac:dyDescent="0.3">
      <c r="A272">
        <v>271</v>
      </c>
      <c r="B272" s="96">
        <v>33786</v>
      </c>
      <c r="C272" s="97">
        <v>201733600</v>
      </c>
      <c r="D272" s="109">
        <v>424.21</v>
      </c>
      <c r="E272" s="99">
        <f t="shared" si="16"/>
        <v>3.937374430342528E-2</v>
      </c>
      <c r="F272" s="99">
        <f t="shared" si="17"/>
        <v>9.3860395554524065E-2</v>
      </c>
      <c r="G272" s="101"/>
      <c r="H272" s="98">
        <v>1072.9880000000001</v>
      </c>
      <c r="I272" s="110">
        <v>4.085355230484744E-2</v>
      </c>
      <c r="J272" s="110">
        <v>0.12788925635625015</v>
      </c>
    </row>
    <row r="273" spans="1:10" x14ac:dyDescent="0.3">
      <c r="A273">
        <v>272</v>
      </c>
      <c r="B273" s="96">
        <v>33817</v>
      </c>
      <c r="C273" s="97">
        <v>181680900</v>
      </c>
      <c r="D273" s="109">
        <v>414.03</v>
      </c>
      <c r="E273" s="99">
        <f t="shared" si="16"/>
        <v>-2.3997548384055083E-2</v>
      </c>
      <c r="F273" s="99">
        <f t="shared" si="17"/>
        <v>4.7037402321523321E-2</v>
      </c>
      <c r="G273" s="101"/>
      <c r="H273" s="98">
        <v>1051.028</v>
      </c>
      <c r="I273" s="110">
        <v>-2.0466975348477079E-2</v>
      </c>
      <c r="J273" s="110">
        <v>7.9235749741146666E-2</v>
      </c>
    </row>
    <row r="274" spans="1:10" x14ac:dyDescent="0.3">
      <c r="A274">
        <v>273</v>
      </c>
      <c r="B274" s="96">
        <v>33848</v>
      </c>
      <c r="C274" s="97">
        <v>200396100</v>
      </c>
      <c r="D274" s="109">
        <v>417.8</v>
      </c>
      <c r="E274" s="99">
        <f t="shared" si="16"/>
        <v>9.1056203656740796E-3</v>
      </c>
      <c r="F274" s="99">
        <f t="shared" si="17"/>
        <v>7.719280152632392E-2</v>
      </c>
      <c r="G274" s="101"/>
      <c r="H274" s="98">
        <v>1063.3789999999999</v>
      </c>
      <c r="I274" s="110">
        <v>1.1751553869180587E-2</v>
      </c>
      <c r="J274" s="110">
        <v>0.11050324271800793</v>
      </c>
    </row>
    <row r="275" spans="1:10" x14ac:dyDescent="0.3">
      <c r="A275">
        <v>274</v>
      </c>
      <c r="B275" s="96">
        <v>33878</v>
      </c>
      <c r="C275" s="97">
        <v>214042700</v>
      </c>
      <c r="D275" s="109">
        <v>418.68</v>
      </c>
      <c r="E275" s="99">
        <f t="shared" si="16"/>
        <v>2.1062709430349339E-3</v>
      </c>
      <c r="F275" s="99">
        <f t="shared" si="17"/>
        <v>6.6809356367527981E-2</v>
      </c>
      <c r="G275" s="101"/>
      <c r="H275" s="98">
        <v>1067.0519999999999</v>
      </c>
      <c r="I275" s="110">
        <v>3.4552154829468051E-3</v>
      </c>
      <c r="J275" s="110">
        <v>9.9556278986799862E-2</v>
      </c>
    </row>
    <row r="276" spans="1:10" x14ac:dyDescent="0.3">
      <c r="A276">
        <v>275</v>
      </c>
      <c r="B276" s="96">
        <v>33909</v>
      </c>
      <c r="C276" s="97">
        <v>218946000</v>
      </c>
      <c r="D276" s="109">
        <v>431.35</v>
      </c>
      <c r="E276" s="99">
        <f t="shared" si="16"/>
        <v>3.0261775102703774E-2</v>
      </c>
      <c r="F276" s="99">
        <f t="shared" si="17"/>
        <v>0.14959223921965778</v>
      </c>
      <c r="G276" s="101"/>
      <c r="H276" s="98">
        <v>1103.386</v>
      </c>
      <c r="I276" s="110">
        <v>3.4049913917048036E-2</v>
      </c>
      <c r="J276" s="110">
        <v>0.18473359060800321</v>
      </c>
    </row>
    <row r="277" spans="1:10" x14ac:dyDescent="0.3">
      <c r="A277">
        <v>276</v>
      </c>
      <c r="B277" s="102">
        <v>33939</v>
      </c>
      <c r="C277" s="103">
        <v>229184500</v>
      </c>
      <c r="D277" s="108">
        <v>435.71</v>
      </c>
      <c r="E277" s="105">
        <f t="shared" si="16"/>
        <v>1.010780108960231E-2</v>
      </c>
      <c r="F277" s="105">
        <f t="shared" si="17"/>
        <v>4.4642643074636182E-2</v>
      </c>
      <c r="G277" s="107"/>
      <c r="H277" s="104">
        <v>1116.9269999999999</v>
      </c>
      <c r="I277" s="111">
        <v>1.2272513335425117E-2</v>
      </c>
      <c r="J277" s="111">
        <v>7.6193673079208546E-2</v>
      </c>
    </row>
    <row r="278" spans="1:10" x14ac:dyDescent="0.3">
      <c r="A278">
        <v>277</v>
      </c>
      <c r="B278" s="96">
        <v>33970</v>
      </c>
      <c r="C278" s="97">
        <v>276402500</v>
      </c>
      <c r="D278" s="109">
        <v>438.78</v>
      </c>
      <c r="E278" s="99">
        <f t="shared" si="16"/>
        <v>7.0459709439764824E-3</v>
      </c>
      <c r="F278" s="99">
        <f t="shared" si="17"/>
        <v>7.3362851341764596E-2</v>
      </c>
      <c r="G278" s="101"/>
      <c r="H278" s="98">
        <v>1126.211</v>
      </c>
      <c r="I278" s="110">
        <v>8.3614567067951118E-3</v>
      </c>
      <c r="J278" s="110">
        <v>0.10579887188094217</v>
      </c>
    </row>
    <row r="279" spans="1:10" x14ac:dyDescent="0.3">
      <c r="A279">
        <v>278</v>
      </c>
      <c r="B279" s="96">
        <v>34001</v>
      </c>
      <c r="C279" s="97">
        <v>298768900</v>
      </c>
      <c r="D279" s="109">
        <v>443.38</v>
      </c>
      <c r="E279" s="99">
        <f t="shared" si="16"/>
        <v>1.0483613656046362E-2</v>
      </c>
      <c r="F279" s="99">
        <f t="shared" si="17"/>
        <v>7.4339714078022798E-2</v>
      </c>
      <c r="G279" s="101"/>
      <c r="H279" s="98">
        <v>1141.5609999999999</v>
      </c>
      <c r="I279" s="110">
        <v>1.3627438548763138E-2</v>
      </c>
      <c r="J279" s="110">
        <v>0.10653724587922175</v>
      </c>
    </row>
    <row r="280" spans="1:10" x14ac:dyDescent="0.3">
      <c r="A280">
        <v>279</v>
      </c>
      <c r="B280" s="96">
        <v>34029</v>
      </c>
      <c r="C280" s="97">
        <v>262875600</v>
      </c>
      <c r="D280" s="109">
        <v>451.67</v>
      </c>
      <c r="E280" s="99">
        <f t="shared" si="16"/>
        <v>1.8697279985565477E-2</v>
      </c>
      <c r="F280" s="99">
        <f t="shared" si="17"/>
        <v>0.11885357576358101</v>
      </c>
      <c r="G280" s="101"/>
      <c r="H280" s="98">
        <v>1165.6469999999999</v>
      </c>
      <c r="I280" s="110">
        <v>2.109983756233591E-2</v>
      </c>
      <c r="J280" s="110">
        <v>0.15229574048485861</v>
      </c>
    </row>
    <row r="281" spans="1:10" x14ac:dyDescent="0.3">
      <c r="A281">
        <v>280</v>
      </c>
      <c r="B281" s="96">
        <v>34060</v>
      </c>
      <c r="C281" s="97">
        <v>290506100</v>
      </c>
      <c r="D281" s="109">
        <v>440.19</v>
      </c>
      <c r="E281" s="99">
        <f t="shared" si="16"/>
        <v>-2.5416786591980909E-2</v>
      </c>
      <c r="F281" s="99">
        <f t="shared" si="17"/>
        <v>6.082660561513438E-2</v>
      </c>
      <c r="G281" s="101"/>
      <c r="H281" s="98">
        <v>1137.472</v>
      </c>
      <c r="I281" s="110">
        <v>-2.417030028642031E-2</v>
      </c>
      <c r="J281" s="110">
        <v>9.2379909442462216E-2</v>
      </c>
    </row>
    <row r="282" spans="1:10" x14ac:dyDescent="0.3">
      <c r="A282">
        <v>281</v>
      </c>
      <c r="B282" s="96">
        <v>34090</v>
      </c>
      <c r="C282" s="97">
        <v>265823000</v>
      </c>
      <c r="D282" s="109">
        <v>450.19</v>
      </c>
      <c r="E282" s="99">
        <f t="shared" si="16"/>
        <v>2.2717462913741795E-2</v>
      </c>
      <c r="F282" s="99">
        <f t="shared" si="17"/>
        <v>8.3881064162754232E-2</v>
      </c>
      <c r="G282" s="101"/>
      <c r="H282" s="98">
        <v>1167.9000000000001</v>
      </c>
      <c r="I282" s="110">
        <v>2.6751100441698483E-2</v>
      </c>
      <c r="J282" s="110">
        <v>0.11613110008271277</v>
      </c>
    </row>
    <row r="283" spans="1:10" x14ac:dyDescent="0.3">
      <c r="A283">
        <v>282</v>
      </c>
      <c r="B283" s="96">
        <v>34121</v>
      </c>
      <c r="C283" s="97">
        <v>264796300</v>
      </c>
      <c r="D283" s="109">
        <v>450.53</v>
      </c>
      <c r="E283" s="99">
        <f t="shared" si="16"/>
        <v>7.5523667784707562E-4</v>
      </c>
      <c r="F283" s="99">
        <f t="shared" si="17"/>
        <v>0.10386142010094572</v>
      </c>
      <c r="G283" s="101"/>
      <c r="H283" s="98">
        <v>1171.32</v>
      </c>
      <c r="I283" s="110">
        <v>2.9272214924753737E-3</v>
      </c>
      <c r="J283" s="110">
        <v>0.13629465438310362</v>
      </c>
    </row>
    <row r="284" spans="1:10" x14ac:dyDescent="0.3">
      <c r="A284">
        <v>283</v>
      </c>
      <c r="B284" s="96">
        <v>34151</v>
      </c>
      <c r="C284" s="97">
        <v>264902300</v>
      </c>
      <c r="D284" s="109">
        <v>448.13</v>
      </c>
      <c r="E284" s="99">
        <f t="shared" si="16"/>
        <v>-5.32705924133793E-3</v>
      </c>
      <c r="F284" s="99">
        <f t="shared" si="17"/>
        <v>5.6387166733457526E-2</v>
      </c>
      <c r="G284" s="101"/>
      <c r="H284" s="98">
        <v>1166.6089999999999</v>
      </c>
      <c r="I284" s="110">
        <v>-4.0214947694706682E-3</v>
      </c>
      <c r="J284" s="110">
        <v>8.7304788332472905E-2</v>
      </c>
    </row>
    <row r="285" spans="1:10" x14ac:dyDescent="0.3">
      <c r="A285">
        <v>284</v>
      </c>
      <c r="B285" s="96">
        <v>34182</v>
      </c>
      <c r="C285" s="97">
        <v>261774000</v>
      </c>
      <c r="D285" s="109">
        <v>463.56</v>
      </c>
      <c r="E285" s="99">
        <f t="shared" si="16"/>
        <v>3.4431972865016862E-2</v>
      </c>
      <c r="F285" s="99">
        <f t="shared" si="17"/>
        <v>0.11962901239040657</v>
      </c>
      <c r="G285" s="101"/>
      <c r="H285" s="98">
        <v>1210.873</v>
      </c>
      <c r="I285" s="110">
        <v>3.7942073283824485E-2</v>
      </c>
      <c r="J285" s="110">
        <v>0.1521402116020858</v>
      </c>
    </row>
    <row r="286" spans="1:10" x14ac:dyDescent="0.3">
      <c r="A286">
        <v>285</v>
      </c>
      <c r="B286" s="96">
        <v>34213</v>
      </c>
      <c r="C286" s="97">
        <v>277795200</v>
      </c>
      <c r="D286" s="109">
        <v>458.93</v>
      </c>
      <c r="E286" s="99">
        <f t="shared" si="16"/>
        <v>-9.9879195789110264E-3</v>
      </c>
      <c r="F286" s="99">
        <f t="shared" si="17"/>
        <v>9.8444231689803721E-2</v>
      </c>
      <c r="G286" s="101"/>
      <c r="H286" s="98">
        <v>1201.587</v>
      </c>
      <c r="I286" s="110">
        <v>-7.6676893826356229E-3</v>
      </c>
      <c r="J286" s="110">
        <v>0.13002639231143354</v>
      </c>
    </row>
    <row r="287" spans="1:10" x14ac:dyDescent="0.3">
      <c r="A287">
        <v>286</v>
      </c>
      <c r="B287" s="96">
        <v>34243</v>
      </c>
      <c r="C287" s="97">
        <v>295763300</v>
      </c>
      <c r="D287" s="109">
        <v>467.83</v>
      </c>
      <c r="E287" s="99">
        <f t="shared" si="16"/>
        <v>1.9392935741834216E-2</v>
      </c>
      <c r="F287" s="99">
        <f t="shared" si="17"/>
        <v>0.1173927581924142</v>
      </c>
      <c r="G287" s="101"/>
      <c r="H287" s="98">
        <v>1226.443</v>
      </c>
      <c r="I287" s="110">
        <v>2.06849981092323E-2</v>
      </c>
      <c r="J287" s="110">
        <v>0.14942945963429444</v>
      </c>
    </row>
    <row r="288" spans="1:10" x14ac:dyDescent="0.3">
      <c r="A288">
        <v>287</v>
      </c>
      <c r="B288" s="96">
        <v>34274</v>
      </c>
      <c r="C288" s="97">
        <v>293489000</v>
      </c>
      <c r="D288" s="109">
        <v>461.79</v>
      </c>
      <c r="E288" s="99">
        <f t="shared" si="16"/>
        <v>-1.2910672680247022E-2</v>
      </c>
      <c r="F288" s="99">
        <f t="shared" si="17"/>
        <v>7.0569143387040678E-2</v>
      </c>
      <c r="G288" s="101"/>
      <c r="H288" s="98">
        <v>1214.7380000000001</v>
      </c>
      <c r="I288" s="110">
        <v>-9.5321770518527194E-3</v>
      </c>
      <c r="J288" s="110">
        <v>0.10098446815186679</v>
      </c>
    </row>
    <row r="289" spans="1:10" x14ac:dyDescent="0.3">
      <c r="A289">
        <v>288</v>
      </c>
      <c r="B289" s="102">
        <v>34304</v>
      </c>
      <c r="C289" s="103">
        <v>270900000</v>
      </c>
      <c r="D289" s="108">
        <v>466.45</v>
      </c>
      <c r="E289" s="105">
        <f t="shared" si="16"/>
        <v>1.0091166980662137E-2</v>
      </c>
      <c r="F289" s="105">
        <f t="shared" si="17"/>
        <v>7.0551513621445475E-2</v>
      </c>
      <c r="G289" s="107"/>
      <c r="H289" s="104">
        <v>1229.425</v>
      </c>
      <c r="I289" s="111">
        <v>1.2090899051323989E-2</v>
      </c>
      <c r="J289" s="111">
        <v>0.10078693783927251</v>
      </c>
    </row>
    <row r="290" spans="1:10" x14ac:dyDescent="0.3">
      <c r="A290">
        <v>289</v>
      </c>
      <c r="B290" s="96">
        <v>34335</v>
      </c>
      <c r="C290" s="97">
        <v>330964700</v>
      </c>
      <c r="D290" s="109">
        <v>481.61</v>
      </c>
      <c r="E290" s="99">
        <f t="shared" si="16"/>
        <v>3.2500803944688662E-2</v>
      </c>
      <c r="F290" s="99">
        <f t="shared" si="17"/>
        <v>9.7611559323579108E-2</v>
      </c>
      <c r="G290" s="101"/>
      <c r="H290" s="98">
        <v>1271.222</v>
      </c>
      <c r="I290" s="110">
        <v>3.3996712436774157E-2</v>
      </c>
      <c r="J290" s="110">
        <v>0.12877189746663742</v>
      </c>
    </row>
    <row r="291" spans="1:10" x14ac:dyDescent="0.3">
      <c r="A291">
        <v>290</v>
      </c>
      <c r="B291" s="96">
        <v>34366</v>
      </c>
      <c r="C291" s="97">
        <v>322199400</v>
      </c>
      <c r="D291" s="109">
        <v>467.14</v>
      </c>
      <c r="E291" s="99">
        <f t="shared" si="16"/>
        <v>-3.0045057203961768E-2</v>
      </c>
      <c r="F291" s="99">
        <f t="shared" si="17"/>
        <v>5.3588344084081356E-2</v>
      </c>
      <c r="G291" s="101"/>
      <c r="H291" s="98">
        <v>1236.7180000000001</v>
      </c>
      <c r="I291" s="110">
        <v>-2.7141249900003328E-2</v>
      </c>
      <c r="J291" s="110">
        <v>8.3372031532240154E-2</v>
      </c>
    </row>
    <row r="292" spans="1:10" x14ac:dyDescent="0.3">
      <c r="A292">
        <v>291</v>
      </c>
      <c r="B292" s="96">
        <v>34394</v>
      </c>
      <c r="C292" s="97">
        <v>331677800</v>
      </c>
      <c r="D292" s="109">
        <v>445.77</v>
      </c>
      <c r="E292" s="99">
        <f t="shared" si="16"/>
        <v>-4.5746457164875638E-2</v>
      </c>
      <c r="F292" s="99">
        <f t="shared" si="17"/>
        <v>-1.3062634224101742E-2</v>
      </c>
      <c r="G292" s="101"/>
      <c r="H292" s="98">
        <v>1182.8009999999999</v>
      </c>
      <c r="I292" s="110">
        <v>-4.3597230799915287E-2</v>
      </c>
      <c r="J292" s="110">
        <v>1.4729385820808183E-2</v>
      </c>
    </row>
    <row r="293" spans="1:10" x14ac:dyDescent="0.3">
      <c r="A293">
        <v>292</v>
      </c>
      <c r="B293" s="96">
        <v>34425</v>
      </c>
      <c r="C293" s="97">
        <v>317314700</v>
      </c>
      <c r="D293" s="109">
        <v>450.91</v>
      </c>
      <c r="E293" s="99">
        <f t="shared" si="16"/>
        <v>1.1530609955806903E-2</v>
      </c>
      <c r="F293" s="99">
        <f t="shared" si="17"/>
        <v>2.4353120243531264E-2</v>
      </c>
      <c r="G293" s="101"/>
      <c r="H293" s="98">
        <v>1197.9690000000001</v>
      </c>
      <c r="I293" s="110">
        <v>1.2823467860840765E-2</v>
      </c>
      <c r="J293" s="110">
        <v>5.3197843628851604E-2</v>
      </c>
    </row>
    <row r="294" spans="1:10" x14ac:dyDescent="0.3">
      <c r="A294">
        <v>293</v>
      </c>
      <c r="B294" s="96">
        <v>34455</v>
      </c>
      <c r="C294" s="97">
        <v>280603300</v>
      </c>
      <c r="D294" s="109">
        <v>456.5</v>
      </c>
      <c r="E294" s="99">
        <f t="shared" si="16"/>
        <v>1.2397152425095861E-2</v>
      </c>
      <c r="F294" s="99">
        <f t="shared" si="17"/>
        <v>1.4016304227104117E-2</v>
      </c>
      <c r="G294" s="101"/>
      <c r="H294" s="98">
        <v>1217.6289999999999</v>
      </c>
      <c r="I294" s="110">
        <v>1.6410675066466318E-2</v>
      </c>
      <c r="J294" s="110">
        <v>4.2591072715516765E-2</v>
      </c>
    </row>
    <row r="295" spans="1:10" x14ac:dyDescent="0.3">
      <c r="A295">
        <v>294</v>
      </c>
      <c r="B295" s="96">
        <v>34486</v>
      </c>
      <c r="C295" s="97">
        <v>279367200</v>
      </c>
      <c r="D295" s="109">
        <v>444.27</v>
      </c>
      <c r="E295" s="99">
        <f t="shared" si="16"/>
        <v>-2.6790799561883939E-2</v>
      </c>
      <c r="F295" s="99">
        <f t="shared" si="17"/>
        <v>-1.3894746187823211E-2</v>
      </c>
      <c r="G295" s="101"/>
      <c r="H295" s="98">
        <v>1187.7819999999999</v>
      </c>
      <c r="I295" s="110">
        <v>-2.4511772545535271E-2</v>
      </c>
      <c r="J295" s="110">
        <v>1.4066919002994505E-2</v>
      </c>
    </row>
    <row r="296" spans="1:10" x14ac:dyDescent="0.3">
      <c r="A296">
        <v>295</v>
      </c>
      <c r="B296" s="96">
        <v>34516</v>
      </c>
      <c r="C296" s="97">
        <v>262483000</v>
      </c>
      <c r="D296" s="109">
        <v>458.26</v>
      </c>
      <c r="E296" s="99">
        <f t="shared" si="16"/>
        <v>3.148985976995973E-2</v>
      </c>
      <c r="F296" s="99">
        <f t="shared" si="17"/>
        <v>2.2605047642425179E-2</v>
      </c>
      <c r="G296" s="101"/>
      <c r="H296" s="98">
        <v>1226.7860000000001</v>
      </c>
      <c r="I296" s="110">
        <v>3.2836875815183575E-2</v>
      </c>
      <c r="J296" s="110">
        <v>5.1594691040202978E-2</v>
      </c>
    </row>
    <row r="297" spans="1:10" x14ac:dyDescent="0.3">
      <c r="A297">
        <v>296</v>
      </c>
      <c r="B297" s="96">
        <v>34547</v>
      </c>
      <c r="C297" s="97">
        <v>293626000</v>
      </c>
      <c r="D297" s="109">
        <v>475.49</v>
      </c>
      <c r="E297" s="99">
        <f t="shared" si="16"/>
        <v>3.759874307161877E-2</v>
      </c>
      <c r="F297" s="99">
        <f t="shared" si="17"/>
        <v>2.5735611355595839E-2</v>
      </c>
      <c r="G297" s="101"/>
      <c r="H297" s="98">
        <v>1277.0830000000001</v>
      </c>
      <c r="I297" s="110">
        <v>4.0999537904201411E-2</v>
      </c>
      <c r="J297" s="110">
        <v>5.4692372159014679E-2</v>
      </c>
    </row>
    <row r="298" spans="1:10" x14ac:dyDescent="0.3">
      <c r="A298">
        <v>297</v>
      </c>
      <c r="B298" s="96">
        <v>34578</v>
      </c>
      <c r="C298" s="97">
        <v>306893800</v>
      </c>
      <c r="D298" s="109">
        <v>462.69</v>
      </c>
      <c r="E298" s="99">
        <f t="shared" si="16"/>
        <v>-2.6919598729731459E-2</v>
      </c>
      <c r="F298" s="99">
        <f t="shared" si="17"/>
        <v>8.1929706055389514E-3</v>
      </c>
      <c r="G298" s="101"/>
      <c r="H298" s="98">
        <v>1245.854</v>
      </c>
      <c r="I298" s="110">
        <v>-2.4453262129211062E-2</v>
      </c>
      <c r="J298" s="110">
        <v>3.685196189652995E-2</v>
      </c>
    </row>
    <row r="299" spans="1:10" x14ac:dyDescent="0.3">
      <c r="A299">
        <v>298</v>
      </c>
      <c r="B299" s="96">
        <v>34608</v>
      </c>
      <c r="C299" s="97">
        <v>316548500</v>
      </c>
      <c r="D299" s="109">
        <v>472.35</v>
      </c>
      <c r="E299" s="99">
        <f t="shared" si="16"/>
        <v>2.0877909615509359E-2</v>
      </c>
      <c r="F299" s="99">
        <f t="shared" si="17"/>
        <v>9.661629224290957E-3</v>
      </c>
      <c r="G299" s="101"/>
      <c r="H299" s="98">
        <v>1273.8430000000001</v>
      </c>
      <c r="I299" s="110">
        <v>2.2466329162288634E-2</v>
      </c>
      <c r="J299" s="110">
        <v>3.8661508035221281E-2</v>
      </c>
    </row>
    <row r="300" spans="1:10" x14ac:dyDescent="0.3">
      <c r="A300">
        <v>299</v>
      </c>
      <c r="B300" s="96">
        <v>34639</v>
      </c>
      <c r="C300" s="97">
        <v>311899500</v>
      </c>
      <c r="D300" s="109">
        <v>453.69</v>
      </c>
      <c r="E300" s="99">
        <f t="shared" si="16"/>
        <v>-3.9504604636392555E-2</v>
      </c>
      <c r="F300" s="99">
        <f t="shared" si="17"/>
        <v>-1.7540440459949375E-2</v>
      </c>
      <c r="G300" s="101"/>
      <c r="H300" s="98">
        <v>1227.4459999999999</v>
      </c>
      <c r="I300" s="110">
        <v>-3.6419009700525473E-2</v>
      </c>
      <c r="J300" s="110">
        <v>1.046642940860032E-2</v>
      </c>
    </row>
    <row r="301" spans="1:10" x14ac:dyDescent="0.3">
      <c r="A301">
        <v>300</v>
      </c>
      <c r="B301" s="102">
        <v>34669</v>
      </c>
      <c r="C301" s="103">
        <v>314656600</v>
      </c>
      <c r="D301" s="108">
        <v>459.27</v>
      </c>
      <c r="E301" s="105">
        <f t="shared" si="16"/>
        <v>1.2299146994643885E-2</v>
      </c>
      <c r="F301" s="105">
        <f t="shared" si="17"/>
        <v>-1.5392860971165198E-2</v>
      </c>
      <c r="G301" s="107"/>
      <c r="H301" s="104">
        <v>1245.6590000000001</v>
      </c>
      <c r="I301" s="111">
        <v>1.4833682948756532E-2</v>
      </c>
      <c r="J301" s="111">
        <v>1.3204810965114611E-2</v>
      </c>
    </row>
    <row r="302" spans="1:10" x14ac:dyDescent="0.3">
      <c r="A302">
        <v>301</v>
      </c>
      <c r="B302" s="96">
        <v>34700</v>
      </c>
      <c r="C302" s="97">
        <v>345888000</v>
      </c>
      <c r="D302" s="109">
        <v>470.42</v>
      </c>
      <c r="E302" s="99">
        <f t="shared" si="16"/>
        <v>2.4277658022514064E-2</v>
      </c>
      <c r="F302" s="99">
        <f t="shared" si="17"/>
        <v>-2.3234567388550897E-2</v>
      </c>
      <c r="G302" s="101"/>
      <c r="H302" s="98">
        <v>1277.963</v>
      </c>
      <c r="I302" s="110">
        <v>2.5933420762369597E-2</v>
      </c>
      <c r="J302" s="110">
        <v>5.3036582646688313E-3</v>
      </c>
    </row>
    <row r="303" spans="1:10" x14ac:dyDescent="0.3">
      <c r="A303">
        <v>302</v>
      </c>
      <c r="B303" s="96">
        <v>34731</v>
      </c>
      <c r="C303" s="97">
        <v>349858900</v>
      </c>
      <c r="D303" s="109">
        <v>487.39</v>
      </c>
      <c r="E303" s="99">
        <f t="shared" si="16"/>
        <v>3.6074146507376323E-2</v>
      </c>
      <c r="F303" s="99">
        <f t="shared" si="17"/>
        <v>4.3348888984030484E-2</v>
      </c>
      <c r="G303" s="101"/>
      <c r="H303" s="98">
        <v>1327.7670000000001</v>
      </c>
      <c r="I303" s="110">
        <v>3.8971615295402495E-2</v>
      </c>
      <c r="J303" s="110">
        <v>7.3621392193123247E-2</v>
      </c>
    </row>
    <row r="304" spans="1:10" x14ac:dyDescent="0.3">
      <c r="A304">
        <v>303</v>
      </c>
      <c r="B304" s="96">
        <v>34759</v>
      </c>
      <c r="C304" s="97">
        <v>354150400</v>
      </c>
      <c r="D304" s="109">
        <v>500.71</v>
      </c>
      <c r="E304" s="99">
        <f t="shared" si="16"/>
        <v>2.7329243521615119E-2</v>
      </c>
      <c r="F304" s="99">
        <f t="shared" si="17"/>
        <v>0.12324741458599726</v>
      </c>
      <c r="G304" s="101"/>
      <c r="H304" s="98">
        <v>1366.9459999999999</v>
      </c>
      <c r="I304" s="110">
        <v>2.9506903738757861E-2</v>
      </c>
      <c r="J304" s="110">
        <v>0.1556853146597299</v>
      </c>
    </row>
    <row r="305" spans="1:10" x14ac:dyDescent="0.3">
      <c r="A305">
        <v>304</v>
      </c>
      <c r="B305" s="96">
        <v>34790</v>
      </c>
      <c r="C305" s="97">
        <v>348814200</v>
      </c>
      <c r="D305" s="109">
        <v>514.71</v>
      </c>
      <c r="E305" s="99">
        <f t="shared" si="16"/>
        <v>2.7960296379141734E-2</v>
      </c>
      <c r="F305" s="99">
        <f t="shared" si="17"/>
        <v>0.14149165021844715</v>
      </c>
      <c r="G305" s="101"/>
      <c r="H305" s="98">
        <v>1407.1980000000001</v>
      </c>
      <c r="I305" s="110">
        <v>2.9446308724832226E-2</v>
      </c>
      <c r="J305" s="110">
        <v>0.17465285805109243</v>
      </c>
    </row>
    <row r="306" spans="1:10" x14ac:dyDescent="0.3">
      <c r="A306">
        <v>305</v>
      </c>
      <c r="B306" s="96">
        <v>34820</v>
      </c>
      <c r="C306" s="97">
        <v>359721300</v>
      </c>
      <c r="D306" s="109">
        <v>533.4</v>
      </c>
      <c r="E306" s="99">
        <f t="shared" si="16"/>
        <v>3.6311709506323835E-2</v>
      </c>
      <c r="F306" s="99">
        <f t="shared" si="17"/>
        <v>0.16845564074479732</v>
      </c>
      <c r="G306" s="101"/>
      <c r="H306" s="98">
        <v>1463.44</v>
      </c>
      <c r="I306" s="110">
        <v>3.996844838959146E-2</v>
      </c>
      <c r="J306" s="110">
        <v>0.20187827632163469</v>
      </c>
    </row>
    <row r="307" spans="1:10" x14ac:dyDescent="0.3">
      <c r="A307">
        <v>306</v>
      </c>
      <c r="B307" s="96">
        <v>34851</v>
      </c>
      <c r="C307" s="97">
        <v>357604500</v>
      </c>
      <c r="D307" s="109">
        <v>544.75</v>
      </c>
      <c r="E307" s="99">
        <f t="shared" si="16"/>
        <v>2.1278590176228015E-2</v>
      </c>
      <c r="F307" s="99">
        <f t="shared" si="17"/>
        <v>0.22616877124271281</v>
      </c>
      <c r="G307" s="101"/>
      <c r="H307" s="98">
        <v>1497.432</v>
      </c>
      <c r="I307" s="110">
        <v>2.3227378440675572E-2</v>
      </c>
      <c r="J307" s="110">
        <v>0.26069666785680456</v>
      </c>
    </row>
    <row r="308" spans="1:10" x14ac:dyDescent="0.3">
      <c r="A308">
        <v>307</v>
      </c>
      <c r="B308" s="96">
        <v>34881</v>
      </c>
      <c r="C308" s="97">
        <v>379995500</v>
      </c>
      <c r="D308" s="109">
        <v>562.05999999999995</v>
      </c>
      <c r="E308" s="99">
        <f t="shared" si="16"/>
        <v>3.177604405690674E-2</v>
      </c>
      <c r="F308" s="99">
        <f t="shared" si="17"/>
        <v>0.22650896870772042</v>
      </c>
      <c r="G308" s="101"/>
      <c r="H308" s="98">
        <v>1547.0909999999999</v>
      </c>
      <c r="I308" s="110">
        <v>3.3162974105108267E-2</v>
      </c>
      <c r="J308" s="110">
        <v>0.26109470847399052</v>
      </c>
    </row>
    <row r="309" spans="1:10" x14ac:dyDescent="0.3">
      <c r="A309">
        <v>308</v>
      </c>
      <c r="B309" s="96">
        <v>34912</v>
      </c>
      <c r="C309" s="97">
        <v>323806000</v>
      </c>
      <c r="D309" s="109">
        <v>561.88</v>
      </c>
      <c r="E309" s="99">
        <f t="shared" si="16"/>
        <v>-3.202505070632139E-4</v>
      </c>
      <c r="F309" s="99">
        <f t="shared" si="17"/>
        <v>0.18168626048917955</v>
      </c>
      <c r="G309" s="101"/>
      <c r="H309" s="98">
        <v>1550.981</v>
      </c>
      <c r="I309" s="110">
        <v>2.5132234433258294E-3</v>
      </c>
      <c r="J309" s="110">
        <v>0.21447135683159746</v>
      </c>
    </row>
    <row r="310" spans="1:10" x14ac:dyDescent="0.3">
      <c r="A310">
        <v>309</v>
      </c>
      <c r="B310" s="96">
        <v>34943</v>
      </c>
      <c r="C310" s="97">
        <v>369404000</v>
      </c>
      <c r="D310" s="109">
        <v>584.41</v>
      </c>
      <c r="E310" s="99">
        <f t="shared" si="16"/>
        <v>4.0097529721648699E-2</v>
      </c>
      <c r="F310" s="99">
        <f t="shared" si="17"/>
        <v>0.26307030625256644</v>
      </c>
      <c r="G310" s="101"/>
      <c r="H310" s="98">
        <v>1616.4359999999999</v>
      </c>
      <c r="I310" s="110">
        <v>4.2201962849549801E-2</v>
      </c>
      <c r="J310" s="110">
        <v>0.29745134987278465</v>
      </c>
    </row>
    <row r="311" spans="1:10" x14ac:dyDescent="0.3">
      <c r="A311">
        <v>310</v>
      </c>
      <c r="B311" s="96">
        <v>34973</v>
      </c>
      <c r="C311" s="97">
        <v>382759500</v>
      </c>
      <c r="D311" s="109">
        <v>581.5</v>
      </c>
      <c r="E311" s="99">
        <f t="shared" si="16"/>
        <v>-4.9793809140842357E-3</v>
      </c>
      <c r="F311" s="99">
        <f t="shared" si="17"/>
        <v>0.23107864930665814</v>
      </c>
      <c r="G311" s="101"/>
      <c r="H311" s="98">
        <v>1610.6579999999999</v>
      </c>
      <c r="I311" s="110">
        <v>-3.5739814152967453E-3</v>
      </c>
      <c r="J311" s="110">
        <v>0.26440768364499223</v>
      </c>
    </row>
    <row r="312" spans="1:10" x14ac:dyDescent="0.3">
      <c r="A312">
        <v>311</v>
      </c>
      <c r="B312" s="96">
        <v>35004</v>
      </c>
      <c r="C312" s="97">
        <v>382961900</v>
      </c>
      <c r="D312" s="109">
        <v>605.37</v>
      </c>
      <c r="E312" s="99">
        <f t="shared" si="16"/>
        <v>4.1049011177987968E-2</v>
      </c>
      <c r="F312" s="99">
        <f t="shared" si="17"/>
        <v>0.33432520002644978</v>
      </c>
      <c r="G312" s="101"/>
      <c r="H312" s="98">
        <v>1681.3630000000001</v>
      </c>
      <c r="I312" s="110">
        <v>4.3898677585586077E-2</v>
      </c>
      <c r="J312" s="110">
        <v>0.36980027851716057</v>
      </c>
    </row>
    <row r="313" spans="1:10" x14ac:dyDescent="0.3">
      <c r="A313">
        <v>312</v>
      </c>
      <c r="B313" s="102">
        <v>35034</v>
      </c>
      <c r="C313" s="103">
        <v>400939500</v>
      </c>
      <c r="D313" s="108">
        <v>615.92999999999995</v>
      </c>
      <c r="E313" s="105">
        <f t="shared" si="16"/>
        <v>1.7443877298181188E-2</v>
      </c>
      <c r="F313" s="105">
        <f t="shared" si="17"/>
        <v>0.34110653863740276</v>
      </c>
      <c r="G313" s="107"/>
      <c r="H313" s="104">
        <v>1713.749</v>
      </c>
      <c r="I313" s="111">
        <v>1.92620007875699E-2</v>
      </c>
      <c r="J313" s="111">
        <v>0.37577752494767291</v>
      </c>
    </row>
    <row r="314" spans="1:10" x14ac:dyDescent="0.3">
      <c r="A314">
        <v>313</v>
      </c>
      <c r="B314" s="96">
        <v>35065</v>
      </c>
      <c r="C314" s="97">
        <v>439102700</v>
      </c>
      <c r="D314" s="109">
        <v>636.02</v>
      </c>
      <c r="E314" s="99">
        <f t="shared" si="16"/>
        <v>3.2617342879872765E-2</v>
      </c>
      <c r="F314" s="99">
        <f t="shared" si="17"/>
        <v>0.35202584924110358</v>
      </c>
      <c r="G314" s="101"/>
      <c r="H314" s="98">
        <v>1772.079</v>
      </c>
      <c r="I314" s="110">
        <v>3.4036073844568859E-2</v>
      </c>
      <c r="J314" s="110">
        <v>0.38664318911002571</v>
      </c>
    </row>
    <row r="315" spans="1:10" x14ac:dyDescent="0.3">
      <c r="A315">
        <v>314</v>
      </c>
      <c r="B315" s="96">
        <v>35096</v>
      </c>
      <c r="C315" s="97">
        <v>460156500</v>
      </c>
      <c r="D315" s="109">
        <v>640.42999999999995</v>
      </c>
      <c r="E315" s="99">
        <f t="shared" si="16"/>
        <v>6.9337442218797649E-3</v>
      </c>
      <c r="F315" s="99">
        <f t="shared" si="17"/>
        <v>0.31399905619729573</v>
      </c>
      <c r="G315" s="101"/>
      <c r="H315" s="98">
        <v>1788.509</v>
      </c>
      <c r="I315" s="110">
        <v>9.2710622710621138E-3</v>
      </c>
      <c r="J315" s="110">
        <v>0.34700392567134841</v>
      </c>
    </row>
    <row r="316" spans="1:10" x14ac:dyDescent="0.3">
      <c r="A316">
        <v>315</v>
      </c>
      <c r="B316" s="96">
        <v>35125</v>
      </c>
      <c r="C316" s="97">
        <v>447510000</v>
      </c>
      <c r="D316" s="109">
        <v>645.5</v>
      </c>
      <c r="E316" s="99">
        <f t="shared" si="16"/>
        <v>7.9165560638946499E-3</v>
      </c>
      <c r="F316" s="99">
        <f t="shared" si="17"/>
        <v>0.28916937948113686</v>
      </c>
      <c r="G316" s="101"/>
      <c r="H316" s="98">
        <v>1805.7239999999999</v>
      </c>
      <c r="I316" s="110">
        <v>9.6262610498758505E-3</v>
      </c>
      <c r="J316" s="110">
        <v>0.32099214891731043</v>
      </c>
    </row>
    <row r="317" spans="1:10" x14ac:dyDescent="0.3">
      <c r="A317">
        <v>316</v>
      </c>
      <c r="B317" s="96">
        <v>35156</v>
      </c>
      <c r="C317" s="97">
        <v>441379500</v>
      </c>
      <c r="D317" s="109">
        <v>654.16999999999996</v>
      </c>
      <c r="E317" s="99">
        <f t="shared" si="16"/>
        <v>1.3431448489542927E-2</v>
      </c>
      <c r="F317" s="99">
        <f t="shared" si="17"/>
        <v>0.27094868955334056</v>
      </c>
      <c r="G317" s="101"/>
      <c r="H317" s="98">
        <v>1832.347</v>
      </c>
      <c r="I317" s="110">
        <v>1.4743274818764807E-2</v>
      </c>
      <c r="J317" s="110">
        <v>0.30212512089402366</v>
      </c>
    </row>
    <row r="318" spans="1:10" x14ac:dyDescent="0.3">
      <c r="A318">
        <v>317</v>
      </c>
      <c r="B318" s="96">
        <v>35186</v>
      </c>
      <c r="C318" s="97">
        <v>421495000</v>
      </c>
      <c r="D318" s="109">
        <v>669.12</v>
      </c>
      <c r="E318" s="99">
        <f t="shared" si="16"/>
        <v>2.2853386734335183E-2</v>
      </c>
      <c r="F318" s="99">
        <f t="shared" si="17"/>
        <v>0.25444319460067499</v>
      </c>
      <c r="G318" s="101"/>
      <c r="H318" s="98">
        <v>1879.6020000000001</v>
      </c>
      <c r="I318" s="110">
        <v>2.5789569394488288E-2</v>
      </c>
      <c r="J318" s="110">
        <v>0.28437201063935169</v>
      </c>
    </row>
    <row r="319" spans="1:10" x14ac:dyDescent="0.3">
      <c r="A319">
        <v>318</v>
      </c>
      <c r="B319" s="96">
        <v>35217</v>
      </c>
      <c r="C319" s="97">
        <v>420065000</v>
      </c>
      <c r="D319" s="109">
        <v>670.63</v>
      </c>
      <c r="E319" s="99">
        <f t="shared" si="16"/>
        <v>2.2566953610712441E-3</v>
      </c>
      <c r="F319" s="99">
        <f t="shared" si="17"/>
        <v>0.23107847636530518</v>
      </c>
      <c r="G319" s="101"/>
      <c r="H319" s="98">
        <v>1886.7729999999999</v>
      </c>
      <c r="I319" s="110">
        <v>3.8149221705228165E-3</v>
      </c>
      <c r="J319" s="110">
        <v>0.26000517290955938</v>
      </c>
    </row>
    <row r="320" spans="1:10" x14ac:dyDescent="0.3">
      <c r="A320">
        <v>319</v>
      </c>
      <c r="B320" s="96">
        <v>35247</v>
      </c>
      <c r="C320" s="97">
        <v>420610000</v>
      </c>
      <c r="D320" s="109">
        <v>639.95000000000005</v>
      </c>
      <c r="E320" s="99">
        <f t="shared" si="16"/>
        <v>-4.5748027973696301E-2</v>
      </c>
      <c r="F320" s="99">
        <f t="shared" si="17"/>
        <v>0.13857951108422609</v>
      </c>
      <c r="G320" s="101"/>
      <c r="H320" s="98">
        <v>1803.415</v>
      </c>
      <c r="I320" s="110">
        <v>-4.4180787332226412E-2</v>
      </c>
      <c r="J320" s="110">
        <v>0.16567974512529737</v>
      </c>
    </row>
    <row r="321" spans="1:10" x14ac:dyDescent="0.3">
      <c r="A321">
        <v>320</v>
      </c>
      <c r="B321" s="96">
        <v>35278</v>
      </c>
      <c r="C321" s="97">
        <v>347213600</v>
      </c>
      <c r="D321" s="109">
        <v>651.99</v>
      </c>
      <c r="E321" s="99">
        <f t="shared" si="16"/>
        <v>1.8813969841393802E-2</v>
      </c>
      <c r="F321" s="99">
        <f t="shared" si="17"/>
        <v>0.16037232149213357</v>
      </c>
      <c r="G321" s="101"/>
      <c r="H321" s="98">
        <v>1841.4559999999999</v>
      </c>
      <c r="I321" s="110">
        <v>2.1094636716809667E-2</v>
      </c>
      <c r="J321" s="110">
        <v>0.18728542231956635</v>
      </c>
    </row>
    <row r="322" spans="1:10" x14ac:dyDescent="0.3">
      <c r="A322">
        <v>321</v>
      </c>
      <c r="B322" s="96">
        <v>35309</v>
      </c>
      <c r="C322" s="97">
        <v>422632000</v>
      </c>
      <c r="D322" s="109">
        <v>687.31</v>
      </c>
      <c r="E322" s="99">
        <f t="shared" si="16"/>
        <v>5.4172610009355873E-2</v>
      </c>
      <c r="F322" s="99">
        <f t="shared" si="17"/>
        <v>0.176075015827929</v>
      </c>
      <c r="G322" s="101"/>
      <c r="H322" s="98">
        <v>1945.1020000000001</v>
      </c>
      <c r="I322" s="110">
        <v>5.6284838743032362E-2</v>
      </c>
      <c r="J322" s="110">
        <v>0.2033287554245542</v>
      </c>
    </row>
    <row r="323" spans="1:10" x14ac:dyDescent="0.3">
      <c r="A323">
        <v>322</v>
      </c>
      <c r="B323" s="96">
        <v>35339</v>
      </c>
      <c r="C323" s="97">
        <v>442891700</v>
      </c>
      <c r="D323" s="109">
        <v>705.27</v>
      </c>
      <c r="E323" s="99">
        <f t="shared" si="16"/>
        <v>2.6130857982569783E-2</v>
      </c>
      <c r="F323" s="99">
        <f t="shared" si="17"/>
        <v>0.2128460877042132</v>
      </c>
      <c r="G323" s="101"/>
      <c r="H323" s="98">
        <v>1998.75</v>
      </c>
      <c r="I323" s="110">
        <v>2.7580575906096527E-2</v>
      </c>
      <c r="J323" s="110">
        <v>0.2409523963051925</v>
      </c>
    </row>
    <row r="324" spans="1:10" x14ac:dyDescent="0.3">
      <c r="A324">
        <v>323</v>
      </c>
      <c r="B324" s="96">
        <v>35370</v>
      </c>
      <c r="C324" s="97">
        <v>438942000</v>
      </c>
      <c r="D324" s="109">
        <v>757.02</v>
      </c>
      <c r="E324" s="99">
        <f t="shared" ref="E324:E387" si="18">(D324-D323)/D323</f>
        <v>7.3376153813433154E-2</v>
      </c>
      <c r="F324" s="99">
        <f t="shared" si="17"/>
        <v>0.25050795381337032</v>
      </c>
      <c r="G324" s="101"/>
      <c r="H324" s="98">
        <v>2149.8290000000002</v>
      </c>
      <c r="I324" s="110">
        <v>7.5586732484627994E-2</v>
      </c>
      <c r="J324" s="110">
        <v>0.27862211320929542</v>
      </c>
    </row>
    <row r="325" spans="1:10" x14ac:dyDescent="0.3">
      <c r="A325">
        <v>324</v>
      </c>
      <c r="B325" s="102">
        <v>35400</v>
      </c>
      <c r="C325" s="103">
        <v>451853800</v>
      </c>
      <c r="D325" s="108">
        <v>740.74</v>
      </c>
      <c r="E325" s="105">
        <f t="shared" si="18"/>
        <v>-2.1505376344085985E-2</v>
      </c>
      <c r="F325" s="105">
        <f t="shared" si="17"/>
        <v>0.20263666325718843</v>
      </c>
      <c r="G325" s="107"/>
      <c r="H325" s="104">
        <v>2107.2310000000002</v>
      </c>
      <c r="I325" s="111">
        <v>-1.9814127441665663E-2</v>
      </c>
      <c r="J325" s="111">
        <v>0.22960272308791696</v>
      </c>
    </row>
    <row r="326" spans="1:10" x14ac:dyDescent="0.3">
      <c r="A326">
        <v>325</v>
      </c>
      <c r="B326" s="96">
        <v>35431</v>
      </c>
      <c r="C326" s="97">
        <v>555199000</v>
      </c>
      <c r="D326" s="109">
        <v>786.16</v>
      </c>
      <c r="E326" s="99">
        <f t="shared" si="18"/>
        <v>6.1317061317061258E-2</v>
      </c>
      <c r="F326" s="99">
        <f t="shared" si="17"/>
        <v>0.23606175906418037</v>
      </c>
      <c r="G326" s="101"/>
      <c r="H326" s="98">
        <v>2238.8809999999999</v>
      </c>
      <c r="I326" s="110">
        <v>6.2474779160424543E-2</v>
      </c>
      <c r="J326" s="110">
        <v>0.26342002442002443</v>
      </c>
    </row>
    <row r="327" spans="1:10" x14ac:dyDescent="0.3">
      <c r="A327">
        <v>326</v>
      </c>
      <c r="B327" s="96">
        <v>35462</v>
      </c>
      <c r="C327" s="97">
        <v>538116300</v>
      </c>
      <c r="D327" s="109">
        <v>790.82</v>
      </c>
      <c r="E327" s="99">
        <f t="shared" si="18"/>
        <v>5.9275465554086727E-3</v>
      </c>
      <c r="F327" s="99">
        <f t="shared" si="17"/>
        <v>0.23482660087753557</v>
      </c>
      <c r="G327" s="101"/>
      <c r="H327" s="98">
        <v>2256.4279999999999</v>
      </c>
      <c r="I327" s="110">
        <v>7.8377101129656346E-3</v>
      </c>
      <c r="J327" s="110">
        <v>0.26162573358351704</v>
      </c>
    </row>
    <row r="328" spans="1:10" x14ac:dyDescent="0.3">
      <c r="A328">
        <v>327</v>
      </c>
      <c r="B328" s="96">
        <v>35490</v>
      </c>
      <c r="C328" s="97">
        <v>533832000</v>
      </c>
      <c r="D328" s="109">
        <v>757.12</v>
      </c>
      <c r="E328" s="99">
        <f t="shared" si="18"/>
        <v>-4.2613995599504365E-2</v>
      </c>
      <c r="F328" s="99">
        <f t="shared" si="17"/>
        <v>0.17292021688613479</v>
      </c>
      <c r="G328" s="101"/>
      <c r="H328" s="98">
        <v>2163.7150000000001</v>
      </c>
      <c r="I328" s="110">
        <v>-4.1088324218896188E-2</v>
      </c>
      <c r="J328" s="110">
        <v>0.19825295069198967</v>
      </c>
    </row>
    <row r="329" spans="1:10" x14ac:dyDescent="0.3">
      <c r="A329">
        <v>328</v>
      </c>
      <c r="B329" s="96">
        <v>35521</v>
      </c>
      <c r="C329" s="97">
        <v>500497700</v>
      </c>
      <c r="D329" s="109">
        <v>801.34</v>
      </c>
      <c r="E329" s="99">
        <f t="shared" si="18"/>
        <v>5.8405536770921425E-2</v>
      </c>
      <c r="F329" s="99">
        <f t="shared" si="17"/>
        <v>0.22497210205298329</v>
      </c>
      <c r="G329" s="101"/>
      <c r="H329" s="98">
        <v>2292.8850000000002</v>
      </c>
      <c r="I329" s="110">
        <v>5.9698880602238935E-2</v>
      </c>
      <c r="J329" s="110">
        <v>0.25133848337493836</v>
      </c>
    </row>
    <row r="330" spans="1:10" x14ac:dyDescent="0.3">
      <c r="A330">
        <v>329</v>
      </c>
      <c r="B330" s="96">
        <v>35551</v>
      </c>
      <c r="C330" s="97">
        <v>506850000</v>
      </c>
      <c r="D330" s="109">
        <v>848.28</v>
      </c>
      <c r="E330" s="99">
        <f t="shared" si="18"/>
        <v>5.857688371976931E-2</v>
      </c>
      <c r="F330" s="99">
        <f t="shared" si="17"/>
        <v>0.267754662840746</v>
      </c>
      <c r="G330" s="101"/>
      <c r="H330" s="98">
        <v>2432.4850000000001</v>
      </c>
      <c r="I330" s="110">
        <v>6.0883211396422166E-2</v>
      </c>
      <c r="J330" s="110">
        <v>0.29414845733940842</v>
      </c>
    </row>
    <row r="331" spans="1:10" x14ac:dyDescent="0.3">
      <c r="A331">
        <v>330</v>
      </c>
      <c r="B331" s="96">
        <v>35582</v>
      </c>
      <c r="C331" s="97">
        <v>543785200</v>
      </c>
      <c r="D331" s="109">
        <v>885.14</v>
      </c>
      <c r="E331" s="99">
        <f t="shared" si="18"/>
        <v>4.3452633564389137E-2</v>
      </c>
      <c r="F331" s="99">
        <f t="shared" si="17"/>
        <v>0.31986341201556745</v>
      </c>
      <c r="G331" s="101"/>
      <c r="H331" s="98">
        <v>2541.4650000000001</v>
      </c>
      <c r="I331" s="110">
        <v>4.4801769050336171E-2</v>
      </c>
      <c r="J331" s="110">
        <v>0.34698993587214799</v>
      </c>
    </row>
    <row r="332" spans="1:10" x14ac:dyDescent="0.3">
      <c r="A332">
        <v>331</v>
      </c>
      <c r="B332" s="96">
        <v>35612</v>
      </c>
      <c r="C332" s="97">
        <v>568452200</v>
      </c>
      <c r="D332" s="109">
        <v>954.29</v>
      </c>
      <c r="E332" s="99">
        <f t="shared" si="18"/>
        <v>7.8123234742526582E-2</v>
      </c>
      <c r="F332" s="99">
        <f t="shared" si="17"/>
        <v>0.49119462458004515</v>
      </c>
      <c r="G332" s="101"/>
      <c r="H332" s="98">
        <v>2743.683</v>
      </c>
      <c r="I332" s="110">
        <v>7.9567609353423219E-2</v>
      </c>
      <c r="J332" s="110">
        <v>0.52138258534677417</v>
      </c>
    </row>
    <row r="333" spans="1:10" x14ac:dyDescent="0.3">
      <c r="A333">
        <v>332</v>
      </c>
      <c r="B333" s="96">
        <v>35643</v>
      </c>
      <c r="C333" s="97">
        <v>524762300</v>
      </c>
      <c r="D333" s="109">
        <v>899.47</v>
      </c>
      <c r="E333" s="99">
        <f t="shared" si="18"/>
        <v>-5.7445849794087685E-2</v>
      </c>
      <c r="F333" s="99">
        <f t="shared" si="17"/>
        <v>0.37957637387076493</v>
      </c>
      <c r="G333" s="101"/>
      <c r="H333" s="98">
        <v>2589.9769999999999</v>
      </c>
      <c r="I333" s="110">
        <v>-5.6021671155203512E-2</v>
      </c>
      <c r="J333" s="110">
        <v>0.40648294370341143</v>
      </c>
    </row>
    <row r="334" spans="1:10" x14ac:dyDescent="0.3">
      <c r="A334">
        <v>333</v>
      </c>
      <c r="B334" s="96">
        <v>35674</v>
      </c>
      <c r="C334" s="97">
        <v>570023800</v>
      </c>
      <c r="D334" s="109">
        <v>947.28</v>
      </c>
      <c r="E334" s="99">
        <f t="shared" si="18"/>
        <v>5.3153523741758975E-2</v>
      </c>
      <c r="F334" s="99">
        <f t="shared" si="17"/>
        <v>0.37824271435014772</v>
      </c>
      <c r="G334" s="101"/>
      <c r="H334" s="98">
        <v>2731.8209999999999</v>
      </c>
      <c r="I334" s="110">
        <v>5.476659702073583E-2</v>
      </c>
      <c r="J334" s="110">
        <v>0.40446134781515664</v>
      </c>
    </row>
    <row r="335" spans="1:10" x14ac:dyDescent="0.3">
      <c r="A335">
        <v>334</v>
      </c>
      <c r="B335" s="96">
        <v>35704</v>
      </c>
      <c r="C335" s="97">
        <v>637188200</v>
      </c>
      <c r="D335" s="109">
        <v>914.62</v>
      </c>
      <c r="E335" s="99">
        <f t="shared" si="18"/>
        <v>-3.4477662359597976E-2</v>
      </c>
      <c r="F335" s="99">
        <f t="shared" ref="F335:F398" si="19">(D335-D323)/D323</f>
        <v>0.29683667248004314</v>
      </c>
      <c r="G335" s="101"/>
      <c r="H335" s="98">
        <v>2640.585</v>
      </c>
      <c r="I335" s="110">
        <v>-3.3397145330569811E-2</v>
      </c>
      <c r="J335" s="110">
        <v>0.32111912184983105</v>
      </c>
    </row>
    <row r="336" spans="1:10" x14ac:dyDescent="0.3">
      <c r="A336">
        <v>335</v>
      </c>
      <c r="B336" s="96">
        <v>35735</v>
      </c>
      <c r="C336" s="97">
        <v>545404700</v>
      </c>
      <c r="D336" s="109">
        <v>955.4</v>
      </c>
      <c r="E336" s="99">
        <f t="shared" si="18"/>
        <v>4.4586822942861488E-2</v>
      </c>
      <c r="F336" s="99">
        <f t="shared" si="19"/>
        <v>0.262053842699004</v>
      </c>
      <c r="G336" s="101"/>
      <c r="H336" s="98">
        <v>2762.8249999999998</v>
      </c>
      <c r="I336" s="110">
        <v>4.6292313075171565E-2</v>
      </c>
      <c r="J336" s="110">
        <v>0.28513744182676071</v>
      </c>
    </row>
    <row r="337" spans="1:10" x14ac:dyDescent="0.3">
      <c r="A337">
        <v>336</v>
      </c>
      <c r="B337" s="102">
        <v>35765</v>
      </c>
      <c r="C337" s="103">
        <v>564825400</v>
      </c>
      <c r="D337" s="108">
        <v>970.43</v>
      </c>
      <c r="E337" s="105">
        <f t="shared" si="18"/>
        <v>1.573163073058402E-2</v>
      </c>
      <c r="F337" s="105">
        <f t="shared" si="19"/>
        <v>0.31008181008181002</v>
      </c>
      <c r="G337" s="107"/>
      <c r="H337" s="104">
        <v>2810.2730000000001</v>
      </c>
      <c r="I337" s="111">
        <v>1.71737312161091E-2</v>
      </c>
      <c r="J337" s="111">
        <v>0.33363281743346551</v>
      </c>
    </row>
    <row r="338" spans="1:10" x14ac:dyDescent="0.3">
      <c r="A338">
        <v>337</v>
      </c>
      <c r="B338" s="96">
        <v>35796</v>
      </c>
      <c r="C338" s="97">
        <v>667360500</v>
      </c>
      <c r="D338" s="109">
        <v>980.28</v>
      </c>
      <c r="E338" s="99">
        <f t="shared" si="18"/>
        <v>1.015013962882436E-2</v>
      </c>
      <c r="F338" s="99">
        <f t="shared" si="19"/>
        <v>0.24692174620942303</v>
      </c>
      <c r="G338" s="101"/>
      <c r="H338" s="98">
        <v>2841.357</v>
      </c>
      <c r="I338" s="110">
        <v>1.1060800526015546E-2</v>
      </c>
      <c r="J338" s="110">
        <v>0.26909729101292013</v>
      </c>
    </row>
    <row r="339" spans="1:10" x14ac:dyDescent="0.3">
      <c r="A339">
        <v>338</v>
      </c>
      <c r="B339" s="96">
        <v>35827</v>
      </c>
      <c r="C339" s="97">
        <v>643738400</v>
      </c>
      <c r="D339" s="109">
        <v>1049.3399999999999</v>
      </c>
      <c r="E339" s="99">
        <f t="shared" si="18"/>
        <v>7.0449259395274771E-2</v>
      </c>
      <c r="F339" s="99">
        <f t="shared" si="19"/>
        <v>0.32690119116866018</v>
      </c>
      <c r="G339" s="101"/>
      <c r="H339" s="98">
        <v>3046.29</v>
      </c>
      <c r="I339" s="110">
        <v>7.2125295178828486E-2</v>
      </c>
      <c r="J339" s="110">
        <v>0.35005000714387768</v>
      </c>
    </row>
    <row r="340" spans="1:10" x14ac:dyDescent="0.3">
      <c r="A340">
        <v>339</v>
      </c>
      <c r="B340" s="96">
        <v>35855</v>
      </c>
      <c r="C340" s="97">
        <v>654296300</v>
      </c>
      <c r="D340" s="109">
        <v>1101.75</v>
      </c>
      <c r="E340" s="99">
        <f t="shared" si="18"/>
        <v>4.9945680141803499E-2</v>
      </c>
      <c r="F340" s="99">
        <f t="shared" si="19"/>
        <v>0.45518543956043955</v>
      </c>
      <c r="G340" s="101"/>
      <c r="H340" s="98">
        <v>3202.2860000000001</v>
      </c>
      <c r="I340" s="110">
        <v>5.1208146027313051E-2</v>
      </c>
      <c r="J340" s="110">
        <v>0.47999404001192003</v>
      </c>
    </row>
    <row r="341" spans="1:10" x14ac:dyDescent="0.3">
      <c r="A341">
        <v>340</v>
      </c>
      <c r="B341" s="96">
        <v>35886</v>
      </c>
      <c r="C341" s="97">
        <v>683412300</v>
      </c>
      <c r="D341" s="109">
        <v>1111.75</v>
      </c>
      <c r="E341" s="99">
        <f t="shared" si="18"/>
        <v>9.0764692534604039E-3</v>
      </c>
      <c r="F341" s="99">
        <f t="shared" si="19"/>
        <v>0.38736366585968496</v>
      </c>
      <c r="G341" s="101"/>
      <c r="H341" s="98">
        <v>3234.5030000000002</v>
      </c>
      <c r="I341" s="110">
        <v>1.0060831204387499E-2</v>
      </c>
      <c r="J341" s="110">
        <v>0.41066866974740979</v>
      </c>
    </row>
    <row r="342" spans="1:10" x14ac:dyDescent="0.3">
      <c r="A342">
        <v>341</v>
      </c>
      <c r="B342" s="96">
        <v>35916</v>
      </c>
      <c r="C342" s="97">
        <v>601696000</v>
      </c>
      <c r="D342" s="109">
        <v>1090.82</v>
      </c>
      <c r="E342" s="99">
        <f t="shared" si="18"/>
        <v>-1.882617494940415E-2</v>
      </c>
      <c r="F342" s="99">
        <f t="shared" si="19"/>
        <v>0.28591974348092608</v>
      </c>
      <c r="G342" s="101"/>
      <c r="H342" s="98">
        <v>3178.9090000000001</v>
      </c>
      <c r="I342" s="110">
        <v>-1.7187921227490799E-2</v>
      </c>
      <c r="J342" s="110">
        <v>0.3068565822139635</v>
      </c>
    </row>
    <row r="343" spans="1:10" x14ac:dyDescent="0.3">
      <c r="A343">
        <v>342</v>
      </c>
      <c r="B343" s="96">
        <v>35947</v>
      </c>
      <c r="C343" s="97">
        <v>650416800</v>
      </c>
      <c r="D343" s="109">
        <v>1133.8399999999999</v>
      </c>
      <c r="E343" s="99">
        <f t="shared" si="18"/>
        <v>3.9438220788031011E-2</v>
      </c>
      <c r="F343" s="99">
        <f t="shared" si="19"/>
        <v>0.28097250152518238</v>
      </c>
      <c r="G343" s="101"/>
      <c r="H343" s="98">
        <v>3308.0329999999999</v>
      </c>
      <c r="I343" s="110">
        <v>4.0618897585273039E-2</v>
      </c>
      <c r="J343" s="110">
        <v>0.30162457240253149</v>
      </c>
    </row>
    <row r="344" spans="1:10" x14ac:dyDescent="0.3">
      <c r="A344">
        <v>343</v>
      </c>
      <c r="B344" s="96">
        <v>35977</v>
      </c>
      <c r="C344" s="97">
        <v>674577700</v>
      </c>
      <c r="D344" s="109">
        <v>1120.67</v>
      </c>
      <c r="E344" s="99">
        <f t="shared" si="18"/>
        <v>-1.1615395470260218E-2</v>
      </c>
      <c r="F344" s="99">
        <f t="shared" si="19"/>
        <v>0.17434951639438756</v>
      </c>
      <c r="G344" s="101"/>
      <c r="H344" s="98">
        <v>3272.8069999999998</v>
      </c>
      <c r="I344" s="110">
        <v>-1.0648387371064882E-2</v>
      </c>
      <c r="J344" s="110">
        <v>0.19285198869125297</v>
      </c>
    </row>
    <row r="345" spans="1:10" x14ac:dyDescent="0.3">
      <c r="A345">
        <v>344</v>
      </c>
      <c r="B345" s="96">
        <v>36008</v>
      </c>
      <c r="C345" s="97">
        <v>761383300</v>
      </c>
      <c r="D345" s="109">
        <v>957.28</v>
      </c>
      <c r="E345" s="99">
        <f t="shared" si="18"/>
        <v>-0.14579671089616042</v>
      </c>
      <c r="F345" s="99">
        <f t="shared" si="19"/>
        <v>6.4271181918240675E-2</v>
      </c>
      <c r="G345" s="101"/>
      <c r="H345" s="98">
        <v>2799.6329999999998</v>
      </c>
      <c r="I345" s="110">
        <v>-0.14457718218420057</v>
      </c>
      <c r="J345" s="110">
        <v>8.094940129840511E-2</v>
      </c>
    </row>
    <row r="346" spans="1:10" x14ac:dyDescent="0.3">
      <c r="A346">
        <v>345</v>
      </c>
      <c r="B346" s="96">
        <v>36039</v>
      </c>
      <c r="C346" s="97">
        <v>834008500</v>
      </c>
      <c r="D346" s="109">
        <v>1017.01</v>
      </c>
      <c r="E346" s="99">
        <f t="shared" si="18"/>
        <v>6.2395537355841572E-2</v>
      </c>
      <c r="F346" s="99">
        <f t="shared" si="19"/>
        <v>7.3610759226416703E-2</v>
      </c>
      <c r="G346" s="101"/>
      <c r="H346" s="98">
        <v>2978.98</v>
      </c>
      <c r="I346" s="110">
        <v>6.4060393970495344E-2</v>
      </c>
      <c r="J346" s="110">
        <v>9.0473901104340726E-2</v>
      </c>
    </row>
    <row r="347" spans="1:10" x14ac:dyDescent="0.3">
      <c r="A347">
        <v>346</v>
      </c>
      <c r="B347" s="96">
        <v>36069</v>
      </c>
      <c r="C347" s="97">
        <v>853938600</v>
      </c>
      <c r="D347" s="109">
        <v>1098.67</v>
      </c>
      <c r="E347" s="99">
        <f t="shared" si="18"/>
        <v>8.02941957306222E-2</v>
      </c>
      <c r="F347" s="99">
        <f t="shared" si="19"/>
        <v>0.20123111237453814</v>
      </c>
      <c r="G347" s="101"/>
      <c r="H347" s="98">
        <v>3221.2950000000001</v>
      </c>
      <c r="I347" s="110">
        <v>8.1341989203888465E-2</v>
      </c>
      <c r="J347" s="110">
        <v>0.21991696144779116</v>
      </c>
    </row>
    <row r="348" spans="1:10" x14ac:dyDescent="0.3">
      <c r="A348">
        <v>347</v>
      </c>
      <c r="B348" s="96">
        <v>36100</v>
      </c>
      <c r="C348" s="97">
        <v>706959000</v>
      </c>
      <c r="D348" s="109">
        <v>1163.6300000000001</v>
      </c>
      <c r="E348" s="99">
        <f t="shared" si="18"/>
        <v>5.9126034204993343E-2</v>
      </c>
      <c r="F348" s="99">
        <f t="shared" si="19"/>
        <v>0.21795059660875041</v>
      </c>
      <c r="G348" s="101"/>
      <c r="H348" s="98">
        <v>3416.5309999999999</v>
      </c>
      <c r="I348" s="110">
        <v>6.0607892486682191E-2</v>
      </c>
      <c r="J348" s="110">
        <v>0.23660810781178054</v>
      </c>
    </row>
    <row r="349" spans="1:10" x14ac:dyDescent="0.3">
      <c r="A349">
        <v>348</v>
      </c>
      <c r="B349" s="102">
        <v>36130</v>
      </c>
      <c r="C349" s="103">
        <v>722756800</v>
      </c>
      <c r="D349" s="108">
        <v>1229.23</v>
      </c>
      <c r="E349" s="105">
        <f t="shared" si="18"/>
        <v>5.6375308302467196E-2</v>
      </c>
      <c r="F349" s="105">
        <f t="shared" si="19"/>
        <v>0.2666859021258618</v>
      </c>
      <c r="G349" s="107"/>
      <c r="H349" s="104">
        <v>3613.4090000000001</v>
      </c>
      <c r="I349" s="111">
        <v>5.7625165055430028E-2</v>
      </c>
      <c r="J349" s="111">
        <v>0.285786109094325</v>
      </c>
    </row>
    <row r="350" spans="1:10" x14ac:dyDescent="0.3">
      <c r="A350">
        <v>349</v>
      </c>
      <c r="B350" s="96">
        <v>36161</v>
      </c>
      <c r="C350" s="97">
        <v>901605200</v>
      </c>
      <c r="D350" s="109">
        <v>1279.6400000000001</v>
      </c>
      <c r="E350" s="99">
        <f t="shared" si="18"/>
        <v>4.1009412396378286E-2</v>
      </c>
      <c r="F350" s="99">
        <f t="shared" si="19"/>
        <v>0.30538213571632611</v>
      </c>
      <c r="G350" s="101"/>
      <c r="H350" s="98">
        <v>3764.5079999999998</v>
      </c>
      <c r="I350" s="110">
        <v>4.1816017427482199E-2</v>
      </c>
      <c r="J350" s="110">
        <v>0.32489812951240005</v>
      </c>
    </row>
    <row r="351" spans="1:10" x14ac:dyDescent="0.3">
      <c r="A351">
        <v>350</v>
      </c>
      <c r="B351" s="96">
        <v>36192</v>
      </c>
      <c r="C351" s="97">
        <v>807392600</v>
      </c>
      <c r="D351" s="109">
        <v>1238.33</v>
      </c>
      <c r="E351" s="99">
        <f t="shared" si="18"/>
        <v>-3.2282516957894539E-2</v>
      </c>
      <c r="F351" s="99">
        <f t="shared" si="19"/>
        <v>0.1801036842205577</v>
      </c>
      <c r="G351" s="101"/>
      <c r="H351" s="98">
        <v>3647.511</v>
      </c>
      <c r="I351" s="110">
        <v>-3.1078737745274032E-2</v>
      </c>
      <c r="J351" s="110">
        <v>0.19736188837141255</v>
      </c>
    </row>
    <row r="352" spans="1:10" x14ac:dyDescent="0.3">
      <c r="A352">
        <v>351</v>
      </c>
      <c r="B352" s="96">
        <v>36220</v>
      </c>
      <c r="C352" s="97">
        <v>822904300</v>
      </c>
      <c r="D352" s="109">
        <v>1286.3699999999999</v>
      </c>
      <c r="E352" s="99">
        <f t="shared" si="18"/>
        <v>3.8794182487705192E-2</v>
      </c>
      <c r="F352" s="99">
        <f t="shared" si="19"/>
        <v>0.16756977535738588</v>
      </c>
      <c r="G352" s="101"/>
      <c r="H352" s="98">
        <v>3793.4430000000002</v>
      </c>
      <c r="I352" s="110">
        <v>4.0008494649616422E-2</v>
      </c>
      <c r="J352" s="110">
        <v>0.18460510392926466</v>
      </c>
    </row>
    <row r="353" spans="1:10" x14ac:dyDescent="0.3">
      <c r="A353">
        <v>352</v>
      </c>
      <c r="B353" s="96">
        <v>36251</v>
      </c>
      <c r="C353" s="97">
        <v>926652300</v>
      </c>
      <c r="D353" s="109">
        <v>1335.18</v>
      </c>
      <c r="E353" s="99">
        <f t="shared" si="18"/>
        <v>3.7943981902563165E-2</v>
      </c>
      <c r="F353" s="99">
        <f t="shared" si="19"/>
        <v>0.20097144142118287</v>
      </c>
      <c r="G353" s="101"/>
      <c r="H353" s="98">
        <v>3940.3449999999998</v>
      </c>
      <c r="I353" s="110">
        <v>3.8725493551264867E-2</v>
      </c>
      <c r="J353" s="110">
        <v>0.21822318342456648</v>
      </c>
    </row>
    <row r="354" spans="1:10" x14ac:dyDescent="0.3">
      <c r="A354">
        <v>353</v>
      </c>
      <c r="B354" s="96">
        <v>36281</v>
      </c>
      <c r="C354" s="97">
        <v>826511000</v>
      </c>
      <c r="D354" s="109">
        <v>1301.8399999999999</v>
      </c>
      <c r="E354" s="99">
        <f t="shared" si="18"/>
        <v>-2.4970415973876288E-2</v>
      </c>
      <c r="F354" s="99">
        <f t="shared" si="19"/>
        <v>0.19345079848187602</v>
      </c>
      <c r="G354" s="101"/>
      <c r="H354" s="98">
        <v>3847.3</v>
      </c>
      <c r="I354" s="110">
        <v>-2.3613672131111541E-2</v>
      </c>
      <c r="J354" s="110">
        <v>0.21025828465014462</v>
      </c>
    </row>
    <row r="355" spans="1:10" x14ac:dyDescent="0.3">
      <c r="A355">
        <v>354</v>
      </c>
      <c r="B355" s="96">
        <v>36312</v>
      </c>
      <c r="C355" s="97">
        <v>781644000</v>
      </c>
      <c r="D355" s="109">
        <v>1372.71</v>
      </c>
      <c r="E355" s="99">
        <f t="shared" si="18"/>
        <v>5.4438333435752564E-2</v>
      </c>
      <c r="F355" s="99">
        <f t="shared" si="19"/>
        <v>0.21067346362802525</v>
      </c>
      <c r="G355" s="101"/>
      <c r="H355" s="98">
        <v>4060.8159999999998</v>
      </c>
      <c r="I355" s="110">
        <v>5.5497347454000145E-2</v>
      </c>
      <c r="J355" s="110">
        <v>0.22756218645143145</v>
      </c>
    </row>
    <row r="356" spans="1:10" x14ac:dyDescent="0.3">
      <c r="A356">
        <v>355</v>
      </c>
      <c r="B356" s="96">
        <v>36342</v>
      </c>
      <c r="C356" s="97">
        <v>765225200</v>
      </c>
      <c r="D356" s="109">
        <v>1328.72</v>
      </c>
      <c r="E356" s="99">
        <f t="shared" si="18"/>
        <v>-3.2046098593293562E-2</v>
      </c>
      <c r="F356" s="99">
        <f t="shared" si="19"/>
        <v>0.18564787136266692</v>
      </c>
      <c r="G356" s="101"/>
      <c r="H356" s="98">
        <v>3934.018</v>
      </c>
      <c r="I356" s="110">
        <v>-3.1224707384924E-2</v>
      </c>
      <c r="J356" s="110">
        <v>0.20203161464772346</v>
      </c>
    </row>
    <row r="357" spans="1:10" x14ac:dyDescent="0.3">
      <c r="A357">
        <v>356</v>
      </c>
      <c r="B357" s="96">
        <v>36373</v>
      </c>
      <c r="C357" s="97">
        <v>758193100</v>
      </c>
      <c r="D357" s="109">
        <v>1320.41</v>
      </c>
      <c r="E357" s="99">
        <f t="shared" si="18"/>
        <v>-6.2541393220542666E-3</v>
      </c>
      <c r="F357" s="99">
        <f t="shared" si="19"/>
        <v>0.37933519973257573</v>
      </c>
      <c r="G357" s="101"/>
      <c r="H357" s="98">
        <v>3914.5549999999998</v>
      </c>
      <c r="I357" s="110">
        <v>-4.9472522262635765E-3</v>
      </c>
      <c r="J357" s="110">
        <v>0.39823820005193578</v>
      </c>
    </row>
    <row r="358" spans="1:10" x14ac:dyDescent="0.3">
      <c r="A358">
        <v>357</v>
      </c>
      <c r="B358" s="96">
        <v>36404</v>
      </c>
      <c r="C358" s="97">
        <v>831252300</v>
      </c>
      <c r="D358" s="109">
        <v>1282.71</v>
      </c>
      <c r="E358" s="99">
        <f t="shared" si="18"/>
        <v>-2.8551737717830102E-2</v>
      </c>
      <c r="F358" s="99">
        <f t="shared" si="19"/>
        <v>0.26125603484724835</v>
      </c>
      <c r="G358" s="101"/>
      <c r="H358" s="98">
        <v>3807.2420000000002</v>
      </c>
      <c r="I358" s="110">
        <v>-2.7413986179419925E-2</v>
      </c>
      <c r="J358" s="110">
        <v>0.27803546214678754</v>
      </c>
    </row>
    <row r="359" spans="1:10" x14ac:dyDescent="0.3">
      <c r="A359">
        <v>358</v>
      </c>
      <c r="B359" s="96">
        <v>36434</v>
      </c>
      <c r="C359" s="97">
        <v>950119000</v>
      </c>
      <c r="D359" s="109">
        <v>1362.93</v>
      </c>
      <c r="E359" s="99">
        <f t="shared" si="18"/>
        <v>6.2539467221741488E-2</v>
      </c>
      <c r="F359" s="99">
        <f t="shared" si="19"/>
        <v>0.2405271828665568</v>
      </c>
      <c r="G359" s="101"/>
      <c r="H359" s="98">
        <v>4048.1669999999999</v>
      </c>
      <c r="I359" s="110">
        <v>6.328068656942043E-2</v>
      </c>
      <c r="J359" s="110">
        <v>0.25668885257287322</v>
      </c>
    </row>
    <row r="360" spans="1:10" x14ac:dyDescent="0.3">
      <c r="A360">
        <v>359</v>
      </c>
      <c r="B360" s="96">
        <v>36465</v>
      </c>
      <c r="C360" s="97">
        <v>920777100</v>
      </c>
      <c r="D360" s="109">
        <v>1388.91</v>
      </c>
      <c r="E360" s="99">
        <f t="shared" si="18"/>
        <v>1.9061874050758307E-2</v>
      </c>
      <c r="F360" s="99">
        <f t="shared" si="19"/>
        <v>0.19360105875579003</v>
      </c>
      <c r="G360" s="101"/>
      <c r="H360" s="98">
        <v>4130.4579999999996</v>
      </c>
      <c r="I360" s="110">
        <v>2.0328316773894572E-2</v>
      </c>
      <c r="J360" s="110">
        <v>0.20896254943746562</v>
      </c>
    </row>
    <row r="361" spans="1:10" x14ac:dyDescent="0.3">
      <c r="A361">
        <v>360</v>
      </c>
      <c r="B361" s="102">
        <v>36495</v>
      </c>
      <c r="C361" s="103">
        <v>909760900</v>
      </c>
      <c r="D361" s="108">
        <v>1469.25</v>
      </c>
      <c r="E361" s="105">
        <f t="shared" si="18"/>
        <v>5.7843920772404196E-2</v>
      </c>
      <c r="F361" s="105">
        <f t="shared" si="19"/>
        <v>0.19526044759727632</v>
      </c>
      <c r="G361" s="107"/>
      <c r="H361" s="104">
        <v>4373.7259999999997</v>
      </c>
      <c r="I361" s="111">
        <v>5.8896158661477127E-2</v>
      </c>
      <c r="J361" s="111">
        <v>0.21041541168115563</v>
      </c>
    </row>
    <row r="362" spans="1:10" x14ac:dyDescent="0.3">
      <c r="A362">
        <v>361</v>
      </c>
      <c r="B362" s="96">
        <v>36526</v>
      </c>
      <c r="C362" s="97">
        <v>1124410000</v>
      </c>
      <c r="D362" s="109">
        <v>1394.46</v>
      </c>
      <c r="E362" s="99">
        <f t="shared" si="18"/>
        <v>-5.0903522205206712E-2</v>
      </c>
      <c r="F362" s="99">
        <f t="shared" si="19"/>
        <v>8.9728361101559753E-2</v>
      </c>
      <c r="G362" s="101"/>
      <c r="H362" s="98">
        <v>4153.9790000000003</v>
      </c>
      <c r="I362" s="110">
        <v>-5.024238139785242E-2</v>
      </c>
      <c r="J362" s="110">
        <v>0.10345899821765125</v>
      </c>
    </row>
    <row r="363" spans="1:10" x14ac:dyDescent="0.3">
      <c r="A363">
        <v>362</v>
      </c>
      <c r="B363" s="96">
        <v>36557</v>
      </c>
      <c r="C363" s="97">
        <v>1105815000</v>
      </c>
      <c r="D363" s="109">
        <v>1366.42</v>
      </c>
      <c r="E363" s="99">
        <f t="shared" si="18"/>
        <v>-2.0108142219927402E-2</v>
      </c>
      <c r="F363" s="99">
        <f t="shared" si="19"/>
        <v>0.10343769431411672</v>
      </c>
      <c r="G363" s="101"/>
      <c r="H363" s="98">
        <v>4075.346</v>
      </c>
      <c r="I363" s="110">
        <v>-1.8929692615169635E-2</v>
      </c>
      <c r="J363" s="110">
        <v>0.11729497611472994</v>
      </c>
    </row>
    <row r="364" spans="1:10" x14ac:dyDescent="0.3">
      <c r="A364">
        <v>363</v>
      </c>
      <c r="B364" s="96">
        <v>36586</v>
      </c>
      <c r="C364" s="97">
        <v>1190591300</v>
      </c>
      <c r="D364" s="109">
        <v>1498.58</v>
      </c>
      <c r="E364" s="99">
        <f t="shared" si="18"/>
        <v>9.6719895786068599E-2</v>
      </c>
      <c r="F364" s="99">
        <f t="shared" si="19"/>
        <v>0.16496808849708874</v>
      </c>
      <c r="G364" s="101"/>
      <c r="H364" s="98">
        <v>4474.0330000000004</v>
      </c>
      <c r="I364" s="110">
        <v>9.7828562691034016E-2</v>
      </c>
      <c r="J364" s="110">
        <v>0.17941184523035436</v>
      </c>
    </row>
    <row r="365" spans="1:10" x14ac:dyDescent="0.3">
      <c r="A365">
        <v>364</v>
      </c>
      <c r="B365" s="96">
        <v>36617</v>
      </c>
      <c r="C365" s="97">
        <v>1110055700</v>
      </c>
      <c r="D365" s="109">
        <v>1452.43</v>
      </c>
      <c r="E365" s="99">
        <f t="shared" si="18"/>
        <v>-3.0795820042973925E-2</v>
      </c>
      <c r="F365" s="99">
        <f t="shared" si="19"/>
        <v>8.7815875013106837E-2</v>
      </c>
      <c r="G365" s="101"/>
      <c r="H365" s="98">
        <v>4339.4279999999999</v>
      </c>
      <c r="I365" s="110">
        <v>-3.0085711149123284E-2</v>
      </c>
      <c r="J365" s="110">
        <v>0.10128076015344512</v>
      </c>
    </row>
    <row r="366" spans="1:10" x14ac:dyDescent="0.3">
      <c r="A366">
        <v>365</v>
      </c>
      <c r="B366" s="96">
        <v>36647</v>
      </c>
      <c r="C366" s="97">
        <v>948127200</v>
      </c>
      <c r="D366" s="109">
        <v>1420.6</v>
      </c>
      <c r="E366" s="99">
        <f t="shared" si="18"/>
        <v>-2.1914997624670484E-2</v>
      </c>
      <c r="F366" s="99">
        <f t="shared" si="19"/>
        <v>9.1224728077183057E-2</v>
      </c>
      <c r="G366" s="101"/>
      <c r="H366" s="98">
        <v>4250.3959999999997</v>
      </c>
      <c r="I366" s="110">
        <v>-2.051707537437375E-2</v>
      </c>
      <c r="J366" s="110">
        <v>0.10477345800552618</v>
      </c>
    </row>
    <row r="367" spans="1:10" x14ac:dyDescent="0.3">
      <c r="A367">
        <v>366</v>
      </c>
      <c r="B367" s="96">
        <v>36678</v>
      </c>
      <c r="C367" s="97">
        <v>1054454500</v>
      </c>
      <c r="D367" s="109">
        <v>1454.6</v>
      </c>
      <c r="E367" s="99">
        <f t="shared" si="18"/>
        <v>2.3933549204561453E-2</v>
      </c>
      <c r="F367" s="99">
        <f t="shared" si="19"/>
        <v>5.9655717522273367E-2</v>
      </c>
      <c r="G367" s="101"/>
      <c r="H367" s="98">
        <v>4355.1809999999996</v>
      </c>
      <c r="I367" s="110">
        <v>2.4653316710793627E-2</v>
      </c>
      <c r="J367" s="110">
        <v>7.2489467349182046E-2</v>
      </c>
    </row>
    <row r="368" spans="1:10" x14ac:dyDescent="0.3">
      <c r="A368">
        <v>367</v>
      </c>
      <c r="B368" s="96">
        <v>36708</v>
      </c>
      <c r="C368" s="97">
        <v>1002085000</v>
      </c>
      <c r="D368" s="109">
        <v>1430.83</v>
      </c>
      <c r="E368" s="99">
        <f t="shared" si="18"/>
        <v>-1.6341262202667389E-2</v>
      </c>
      <c r="F368" s="99">
        <f t="shared" si="19"/>
        <v>7.6848395448250867E-2</v>
      </c>
      <c r="G368" s="101"/>
      <c r="H368" s="98">
        <v>4287.0919999999996</v>
      </c>
      <c r="I368" s="110">
        <v>-1.5634206564886122E-2</v>
      </c>
      <c r="J368" s="110">
        <v>8.9749040387068213E-2</v>
      </c>
    </row>
    <row r="369" spans="1:10" x14ac:dyDescent="0.3">
      <c r="A369">
        <v>368</v>
      </c>
      <c r="B369" s="96">
        <v>36739</v>
      </c>
      <c r="C369" s="97">
        <v>931317300</v>
      </c>
      <c r="D369" s="109">
        <v>1517.68</v>
      </c>
      <c r="E369" s="99">
        <f t="shared" si="18"/>
        <v>6.0699034825940287E-2</v>
      </c>
      <c r="F369" s="99">
        <f t="shared" si="19"/>
        <v>0.14940056497603016</v>
      </c>
      <c r="G369" s="101"/>
      <c r="H369" s="98">
        <v>4553.3819999999996</v>
      </c>
      <c r="I369" s="110">
        <v>6.2114374917039195E-2</v>
      </c>
      <c r="J369" s="110">
        <v>0.16319272866360879</v>
      </c>
    </row>
    <row r="370" spans="1:10" x14ac:dyDescent="0.3">
      <c r="A370">
        <v>369</v>
      </c>
      <c r="B370" s="96">
        <v>36770</v>
      </c>
      <c r="C370" s="97">
        <v>1101770000</v>
      </c>
      <c r="D370" s="109">
        <v>1436.51</v>
      </c>
      <c r="E370" s="99">
        <f t="shared" si="18"/>
        <v>-5.3482947656950129E-2</v>
      </c>
      <c r="F370" s="99">
        <f t="shared" si="19"/>
        <v>0.11990239414988575</v>
      </c>
      <c r="G370" s="101"/>
      <c r="H370" s="98">
        <v>4312.9939999999997</v>
      </c>
      <c r="I370" s="110">
        <v>-5.2793342811741972E-2</v>
      </c>
      <c r="J370" s="110">
        <v>0.13283954377982599</v>
      </c>
    </row>
    <row r="371" spans="1:10" x14ac:dyDescent="0.3">
      <c r="A371">
        <v>370</v>
      </c>
      <c r="B371" s="96">
        <v>36800</v>
      </c>
      <c r="C371" s="97">
        <v>1241718100</v>
      </c>
      <c r="D371" s="109">
        <v>1429.4</v>
      </c>
      <c r="E371" s="99">
        <f t="shared" si="18"/>
        <v>-4.9494956526581089E-3</v>
      </c>
      <c r="F371" s="99">
        <f t="shared" si="19"/>
        <v>4.8769929490142576E-2</v>
      </c>
      <c r="G371" s="101"/>
      <c r="H371" s="98">
        <v>4294.759</v>
      </c>
      <c r="I371" s="110">
        <v>-4.2275948010668252E-3</v>
      </c>
      <c r="J371" s="110">
        <v>6.0914931929829885E-2</v>
      </c>
    </row>
    <row r="372" spans="1:10" x14ac:dyDescent="0.3">
      <c r="A372">
        <v>371</v>
      </c>
      <c r="B372" s="96">
        <v>36831</v>
      </c>
      <c r="C372" s="97">
        <v>1034230000</v>
      </c>
      <c r="D372" s="109">
        <v>1314.95</v>
      </c>
      <c r="E372" s="99">
        <f t="shared" si="18"/>
        <v>-8.0068560235063688E-2</v>
      </c>
      <c r="F372" s="99">
        <f t="shared" si="19"/>
        <v>-5.3250390594062995E-2</v>
      </c>
      <c r="G372" s="101"/>
      <c r="H372" s="98">
        <v>3956.163</v>
      </c>
      <c r="I372" s="110">
        <v>-7.8839541439010952E-2</v>
      </c>
      <c r="J372" s="110">
        <v>-4.2197624897195918E-2</v>
      </c>
    </row>
    <row r="373" spans="1:10" x14ac:dyDescent="0.3">
      <c r="A373">
        <v>372</v>
      </c>
      <c r="B373" s="102">
        <v>36861</v>
      </c>
      <c r="C373" s="103">
        <v>1232315000</v>
      </c>
      <c r="D373" s="108">
        <v>1320.28</v>
      </c>
      <c r="E373" s="105">
        <f t="shared" si="18"/>
        <v>4.0533860603064204E-3</v>
      </c>
      <c r="F373" s="105">
        <f t="shared" si="19"/>
        <v>-0.10139186659860475</v>
      </c>
      <c r="G373" s="107"/>
      <c r="H373" s="104">
        <v>3975.5250000000001</v>
      </c>
      <c r="I373" s="111">
        <v>4.8944003990338825E-3</v>
      </c>
      <c r="J373" s="111">
        <v>-9.1043785968246804E-2</v>
      </c>
    </row>
    <row r="374" spans="1:10" x14ac:dyDescent="0.3">
      <c r="A374">
        <v>373</v>
      </c>
      <c r="B374" s="96">
        <v>36892</v>
      </c>
      <c r="C374" s="97">
        <v>1386909500</v>
      </c>
      <c r="D374" s="109">
        <v>1366.01</v>
      </c>
      <c r="E374" s="99">
        <f t="shared" si="18"/>
        <v>3.4636592238010133E-2</v>
      </c>
      <c r="F374" s="99">
        <f t="shared" si="19"/>
        <v>-2.040216284439858E-2</v>
      </c>
      <c r="G374" s="101"/>
      <c r="H374" s="98">
        <v>4116.5730000000003</v>
      </c>
      <c r="I374" s="110">
        <v>3.5479069210527125E-2</v>
      </c>
      <c r="J374" s="110">
        <v>-9.0049123859735625E-3</v>
      </c>
    </row>
    <row r="375" spans="1:10" x14ac:dyDescent="0.3">
      <c r="A375">
        <v>374</v>
      </c>
      <c r="B375" s="96">
        <v>36923</v>
      </c>
      <c r="C375" s="97">
        <v>1203668400</v>
      </c>
      <c r="D375" s="109">
        <v>1239.94</v>
      </c>
      <c r="E375" s="99">
        <f t="shared" si="18"/>
        <v>-9.2290686012547446E-2</v>
      </c>
      <c r="F375" s="99">
        <f t="shared" si="19"/>
        <v>-9.2563047964754619E-2</v>
      </c>
      <c r="G375" s="101"/>
      <c r="H375" s="98">
        <v>3741.2170000000001</v>
      </c>
      <c r="I375" s="110">
        <v>-9.1181691127658504E-2</v>
      </c>
      <c r="J375" s="110">
        <v>-8.1987832220776324E-2</v>
      </c>
    </row>
    <row r="376" spans="1:10" x14ac:dyDescent="0.3">
      <c r="A376">
        <v>375</v>
      </c>
      <c r="B376" s="96">
        <v>36951</v>
      </c>
      <c r="C376" s="97">
        <v>1322155000</v>
      </c>
      <c r="D376" s="109">
        <v>1160.33</v>
      </c>
      <c r="E376" s="99">
        <f t="shared" si="18"/>
        <v>-6.4204719583205741E-2</v>
      </c>
      <c r="F376" s="99">
        <f t="shared" si="19"/>
        <v>-0.22571367561291356</v>
      </c>
      <c r="G376" s="101"/>
      <c r="H376" s="98">
        <v>3504.21</v>
      </c>
      <c r="I376" s="110">
        <v>-6.3350635455373561E-2</v>
      </c>
      <c r="J376" s="110">
        <v>-0.2167670410333119</v>
      </c>
    </row>
    <row r="377" spans="1:10" x14ac:dyDescent="0.3">
      <c r="A377">
        <v>376</v>
      </c>
      <c r="B377" s="96">
        <v>36982</v>
      </c>
      <c r="C377" s="97">
        <v>1333839500</v>
      </c>
      <c r="D377" s="109">
        <v>1249.46</v>
      </c>
      <c r="E377" s="99">
        <f t="shared" si="18"/>
        <v>7.6814354537071444E-2</v>
      </c>
      <c r="F377" s="99">
        <f t="shared" si="19"/>
        <v>-0.1397451168042522</v>
      </c>
      <c r="G377" s="101"/>
      <c r="H377" s="98">
        <v>3776.5239999999999</v>
      </c>
      <c r="I377" s="110">
        <v>7.7710481452415214E-2</v>
      </c>
      <c r="J377" s="110">
        <v>-0.12971859575607469</v>
      </c>
    </row>
    <row r="378" spans="1:10" x14ac:dyDescent="0.3">
      <c r="A378">
        <v>377</v>
      </c>
      <c r="B378" s="96">
        <v>37012</v>
      </c>
      <c r="C378" s="97">
        <v>1170568100</v>
      </c>
      <c r="D378" s="109">
        <v>1255.82</v>
      </c>
      <c r="E378" s="99">
        <f t="shared" si="18"/>
        <v>5.0901989659532113E-3</v>
      </c>
      <c r="F378" s="99">
        <f t="shared" si="19"/>
        <v>-0.11599324229198929</v>
      </c>
      <c r="G378" s="101"/>
      <c r="H378" s="98">
        <v>3801.8249999999998</v>
      </c>
      <c r="I378" s="110">
        <v>6.6999275807382297E-3</v>
      </c>
      <c r="J378" s="110">
        <v>-0.1055359878151152</v>
      </c>
    </row>
    <row r="379" spans="1:10" x14ac:dyDescent="0.3">
      <c r="A379">
        <v>378</v>
      </c>
      <c r="B379" s="96">
        <v>37043</v>
      </c>
      <c r="C379" s="97">
        <v>1265732800</v>
      </c>
      <c r="D379" s="109">
        <v>1224.42</v>
      </c>
      <c r="E379" s="99">
        <f t="shared" si="18"/>
        <v>-2.5003583316080224E-2</v>
      </c>
      <c r="F379" s="99">
        <f t="shared" si="19"/>
        <v>-0.15824281589440387</v>
      </c>
      <c r="G379" s="101"/>
      <c r="H379" s="98">
        <v>3709.2939999999999</v>
      </c>
      <c r="I379" s="110">
        <v>-2.4338592419494653E-2</v>
      </c>
      <c r="J379" s="110">
        <v>-0.14830313538649564</v>
      </c>
    </row>
    <row r="380" spans="1:10" x14ac:dyDescent="0.3">
      <c r="A380">
        <v>379</v>
      </c>
      <c r="B380" s="96">
        <v>37073</v>
      </c>
      <c r="C380" s="97">
        <v>1186805200</v>
      </c>
      <c r="D380" s="109">
        <v>1211.23</v>
      </c>
      <c r="E380" s="99">
        <f t="shared" si="18"/>
        <v>-1.0772447362833058E-2</v>
      </c>
      <c r="F380" s="99">
        <f t="shared" si="19"/>
        <v>-0.15347735230600415</v>
      </c>
      <c r="G380" s="101"/>
      <c r="H380" s="98">
        <v>3672.779</v>
      </c>
      <c r="I380" s="110">
        <v>-9.8441307083095841E-3</v>
      </c>
      <c r="J380" s="110">
        <v>-0.1432934230561721</v>
      </c>
    </row>
    <row r="381" spans="1:10" x14ac:dyDescent="0.3">
      <c r="A381">
        <v>380</v>
      </c>
      <c r="B381" s="96">
        <v>37104</v>
      </c>
      <c r="C381" s="97">
        <v>1055621700</v>
      </c>
      <c r="D381" s="109">
        <v>1133.58</v>
      </c>
      <c r="E381" s="99">
        <f t="shared" si="18"/>
        <v>-6.410838569057907E-2</v>
      </c>
      <c r="F381" s="99">
        <f t="shared" si="19"/>
        <v>-0.25308365399820787</v>
      </c>
      <c r="G381" s="101"/>
      <c r="H381" s="98">
        <v>3442.857</v>
      </c>
      <c r="I381" s="110">
        <v>-6.2601733782243318E-2</v>
      </c>
      <c r="J381" s="110">
        <v>-0.2438900377869182</v>
      </c>
    </row>
    <row r="382" spans="1:10" x14ac:dyDescent="0.3">
      <c r="A382">
        <v>381</v>
      </c>
      <c r="B382" s="96">
        <v>37135</v>
      </c>
      <c r="C382" s="97">
        <v>1777119300</v>
      </c>
      <c r="D382" s="109">
        <v>1040.94</v>
      </c>
      <c r="E382" s="99">
        <f t="shared" si="18"/>
        <v>-8.1723389615201286E-2</v>
      </c>
      <c r="F382" s="99">
        <f t="shared" si="19"/>
        <v>-0.27536877571336082</v>
      </c>
      <c r="G382" s="101"/>
      <c r="H382" s="98">
        <v>3164.8380000000002</v>
      </c>
      <c r="I382" s="110">
        <v>-8.0752547477284109E-2</v>
      </c>
      <c r="J382" s="110">
        <v>-0.26620853926992594</v>
      </c>
    </row>
    <row r="383" spans="1:10" x14ac:dyDescent="0.3">
      <c r="A383">
        <v>382</v>
      </c>
      <c r="B383" s="96">
        <v>37165</v>
      </c>
      <c r="C383" s="97">
        <v>1361033900</v>
      </c>
      <c r="D383" s="109">
        <v>1059.78</v>
      </c>
      <c r="E383" s="99">
        <f t="shared" si="18"/>
        <v>1.8099025880454124E-2</v>
      </c>
      <c r="F383" s="99">
        <f t="shared" si="19"/>
        <v>-0.25858402126766483</v>
      </c>
      <c r="G383" s="101"/>
      <c r="H383" s="98">
        <v>3225.1880000000001</v>
      </c>
      <c r="I383" s="110">
        <v>1.9068975654444875E-2</v>
      </c>
      <c r="J383" s="110">
        <v>-0.24904113798897165</v>
      </c>
    </row>
    <row r="384" spans="1:10" x14ac:dyDescent="0.3">
      <c r="A384">
        <v>383</v>
      </c>
      <c r="B384" s="96">
        <v>37196</v>
      </c>
      <c r="C384" s="97">
        <v>1317790400</v>
      </c>
      <c r="D384" s="109">
        <v>1139.45</v>
      </c>
      <c r="E384" s="99">
        <f t="shared" si="18"/>
        <v>7.5175979920360902E-2</v>
      </c>
      <c r="F384" s="99">
        <f t="shared" si="19"/>
        <v>-0.13346515076618881</v>
      </c>
      <c r="G384" s="101"/>
      <c r="H384" s="98">
        <v>3472.58</v>
      </c>
      <c r="I384" s="110">
        <v>7.6706279828952617E-2</v>
      </c>
      <c r="J384" s="110">
        <v>-0.12223531187650938</v>
      </c>
    </row>
    <row r="385" spans="1:10" x14ac:dyDescent="0.3">
      <c r="A385">
        <v>384</v>
      </c>
      <c r="B385" s="102">
        <v>37226</v>
      </c>
      <c r="C385" s="103">
        <v>1303608500</v>
      </c>
      <c r="D385" s="108">
        <v>1148.0830635939999</v>
      </c>
      <c r="E385" s="105">
        <f t="shared" si="18"/>
        <v>7.5765181394531131E-3</v>
      </c>
      <c r="F385" s="105">
        <f t="shared" si="19"/>
        <v>-0.13042455873451092</v>
      </c>
      <c r="G385" s="107"/>
      <c r="H385" s="104">
        <v>3503.002</v>
      </c>
      <c r="I385" s="111">
        <v>8.7605667326513537E-3</v>
      </c>
      <c r="J385" s="111">
        <v>-0.1188582562528403</v>
      </c>
    </row>
    <row r="386" spans="1:10" x14ac:dyDescent="0.3">
      <c r="A386">
        <v>385</v>
      </c>
      <c r="B386" s="96">
        <v>37257</v>
      </c>
      <c r="C386" s="97">
        <v>1490628500</v>
      </c>
      <c r="D386" s="109">
        <v>1130.2046137899599</v>
      </c>
      <c r="E386" s="99">
        <f t="shared" si="18"/>
        <v>-1.557243580274814E-2</v>
      </c>
      <c r="F386" s="99">
        <f t="shared" si="19"/>
        <v>-0.17262346996730629</v>
      </c>
      <c r="G386" s="101"/>
      <c r="H386" s="98">
        <v>3451.8809999999999</v>
      </c>
      <c r="I386" s="110">
        <v>-1.4593147903709691E-2</v>
      </c>
      <c r="J386" s="110">
        <v>-0.16146724953260172</v>
      </c>
    </row>
    <row r="387" spans="1:10" x14ac:dyDescent="0.3">
      <c r="A387">
        <v>386</v>
      </c>
      <c r="B387" s="96">
        <v>37288</v>
      </c>
      <c r="C387" s="97">
        <v>1444200000</v>
      </c>
      <c r="D387" s="109">
        <v>1106.73342774005</v>
      </c>
      <c r="E387" s="99">
        <f t="shared" si="18"/>
        <v>-2.0767200702891325E-2</v>
      </c>
      <c r="F387" s="99">
        <f t="shared" si="19"/>
        <v>-0.10742985326705325</v>
      </c>
      <c r="G387" s="101"/>
      <c r="H387" s="98">
        <v>3385.3110000000001</v>
      </c>
      <c r="I387" s="110">
        <v>-1.9285386995856135E-2</v>
      </c>
      <c r="J387" s="110">
        <v>-9.5131211775082103E-2</v>
      </c>
    </row>
    <row r="388" spans="1:10" x14ac:dyDescent="0.3">
      <c r="A388">
        <v>387</v>
      </c>
      <c r="B388" s="96">
        <v>37316</v>
      </c>
      <c r="C388" s="97">
        <v>1385540000</v>
      </c>
      <c r="D388" s="109">
        <v>1147.38650759384</v>
      </c>
      <c r="E388" s="99">
        <f t="shared" ref="E388:E451" si="20">(D388-D387)/D387</f>
        <v>3.6732494776816768E-2</v>
      </c>
      <c r="F388" s="99">
        <f t="shared" si="19"/>
        <v>-1.1155009700826468E-2</v>
      </c>
      <c r="G388" s="101"/>
      <c r="H388" s="98">
        <v>3512.63</v>
      </c>
      <c r="I388" s="110">
        <v>3.760931006668855E-2</v>
      </c>
      <c r="J388" s="110">
        <v>2.403155963710546E-3</v>
      </c>
    </row>
    <row r="389" spans="1:10" x14ac:dyDescent="0.3">
      <c r="A389">
        <v>388</v>
      </c>
      <c r="B389" s="96">
        <v>37347</v>
      </c>
      <c r="C389" s="97">
        <v>1372613600</v>
      </c>
      <c r="D389" s="109">
        <v>1076.9239610424199</v>
      </c>
      <c r="E389" s="99">
        <f t="shared" si="20"/>
        <v>-6.1411343156880537E-2</v>
      </c>
      <c r="F389" s="99">
        <f t="shared" si="19"/>
        <v>-0.13808848539175331</v>
      </c>
      <c r="G389" s="101"/>
      <c r="H389" s="98">
        <v>3299.6660000000002</v>
      </c>
      <c r="I389" s="110">
        <v>-6.0627843903244383E-2</v>
      </c>
      <c r="J389" s="110">
        <v>-0.12626848295397264</v>
      </c>
    </row>
    <row r="390" spans="1:10" x14ac:dyDescent="0.3">
      <c r="A390">
        <v>389</v>
      </c>
      <c r="B390" s="96">
        <v>37377</v>
      </c>
      <c r="C390" s="97">
        <v>1281036300</v>
      </c>
      <c r="D390" s="109">
        <v>1067.1380964945299</v>
      </c>
      <c r="E390" s="99">
        <f t="shared" si="20"/>
        <v>-9.0868667630142463E-3</v>
      </c>
      <c r="F390" s="99">
        <f t="shared" si="19"/>
        <v>-0.15024597753298247</v>
      </c>
      <c r="G390" s="101"/>
      <c r="H390" s="98">
        <v>3275.357</v>
      </c>
      <c r="I390" s="110">
        <v>-7.3671937909670637E-3</v>
      </c>
      <c r="J390" s="110">
        <v>-0.13847757024983409</v>
      </c>
    </row>
    <row r="391" spans="1:10" x14ac:dyDescent="0.3">
      <c r="A391">
        <v>390</v>
      </c>
      <c r="B391" s="96">
        <v>37408</v>
      </c>
      <c r="C391" s="97">
        <v>1604925500</v>
      </c>
      <c r="D391" s="109">
        <v>989.81435805282104</v>
      </c>
      <c r="E391" s="99">
        <f t="shared" si="20"/>
        <v>-7.2458980422226205E-2</v>
      </c>
      <c r="F391" s="99">
        <f t="shared" si="19"/>
        <v>-0.19160552910535522</v>
      </c>
      <c r="G391" s="101"/>
      <c r="H391" s="98">
        <v>3042.0239999999999</v>
      </c>
      <c r="I391" s="110">
        <v>-7.1239403105757826E-2</v>
      </c>
      <c r="J391" s="110">
        <v>-0.17989163056393742</v>
      </c>
    </row>
    <row r="392" spans="1:10" x14ac:dyDescent="0.3">
      <c r="A392">
        <v>391</v>
      </c>
      <c r="B392" s="96">
        <v>37438</v>
      </c>
      <c r="C392" s="97">
        <v>2012640000</v>
      </c>
      <c r="D392" s="109">
        <v>911.61899835527504</v>
      </c>
      <c r="E392" s="99">
        <f t="shared" si="20"/>
        <v>-7.9000025672867777E-2</v>
      </c>
      <c r="F392" s="99">
        <f t="shared" si="19"/>
        <v>-0.24736094849427853</v>
      </c>
      <c r="G392" s="101"/>
      <c r="H392" s="98">
        <v>2804.913</v>
      </c>
      <c r="I392" s="110">
        <v>-7.7944903334378979E-2</v>
      </c>
      <c r="J392" s="110">
        <v>-0.23629690505436107</v>
      </c>
    </row>
    <row r="393" spans="1:10" x14ac:dyDescent="0.3">
      <c r="A393">
        <v>392</v>
      </c>
      <c r="B393" s="96">
        <v>37469</v>
      </c>
      <c r="C393" s="97">
        <v>1374013600</v>
      </c>
      <c r="D393" s="109">
        <v>916.07303697416603</v>
      </c>
      <c r="E393" s="99">
        <f t="shared" si="20"/>
        <v>4.8858554142979455E-3</v>
      </c>
      <c r="F393" s="99">
        <f t="shared" si="19"/>
        <v>-0.19187614727309402</v>
      </c>
      <c r="G393" s="101"/>
      <c r="H393" s="98">
        <v>2823.3290000000002</v>
      </c>
      <c r="I393" s="110">
        <v>6.565386965188269E-3</v>
      </c>
      <c r="J393" s="110">
        <v>-0.17994610295993796</v>
      </c>
    </row>
    <row r="394" spans="1:10" x14ac:dyDescent="0.3">
      <c r="A394">
        <v>393</v>
      </c>
      <c r="B394" s="96">
        <v>37500</v>
      </c>
      <c r="C394" s="97">
        <v>1472279000</v>
      </c>
      <c r="D394" s="109">
        <v>815.28464280922003</v>
      </c>
      <c r="E394" s="99">
        <f t="shared" si="20"/>
        <v>-0.11002222540885494</v>
      </c>
      <c r="F394" s="99">
        <f t="shared" si="19"/>
        <v>-0.21678036888848543</v>
      </c>
      <c r="G394" s="101"/>
      <c r="H394" s="98">
        <v>2516.491</v>
      </c>
      <c r="I394" s="110">
        <v>-0.1086795084511305</v>
      </c>
      <c r="J394" s="110">
        <v>-0.20485953961536618</v>
      </c>
    </row>
    <row r="395" spans="1:10" x14ac:dyDescent="0.3">
      <c r="A395">
        <v>394</v>
      </c>
      <c r="B395" s="96">
        <v>37530</v>
      </c>
      <c r="C395" s="97">
        <v>1717287300</v>
      </c>
      <c r="D395" s="109">
        <v>885.76244244374902</v>
      </c>
      <c r="E395" s="99">
        <f t="shared" si="20"/>
        <v>8.6445636203429738E-2</v>
      </c>
      <c r="F395" s="99">
        <f t="shared" si="19"/>
        <v>-0.16420158670313739</v>
      </c>
      <c r="G395" s="101"/>
      <c r="H395" s="98">
        <v>2737.982</v>
      </c>
      <c r="I395" s="110">
        <v>8.8016446497295009E-2</v>
      </c>
      <c r="J395" s="110">
        <v>-0.15106247090062808</v>
      </c>
    </row>
    <row r="396" spans="1:10" x14ac:dyDescent="0.3">
      <c r="A396">
        <v>395</v>
      </c>
      <c r="B396" s="96">
        <v>37561</v>
      </c>
      <c r="C396" s="97">
        <v>1492221000</v>
      </c>
      <c r="D396" s="109">
        <v>936.31364473095402</v>
      </c>
      <c r="E396" s="99">
        <f t="shared" si="20"/>
        <v>5.7070835096302126E-2</v>
      </c>
      <c r="F396" s="99">
        <f t="shared" si="19"/>
        <v>-0.17827579557597614</v>
      </c>
      <c r="G396" s="101"/>
      <c r="H396" s="98">
        <v>2899.1370000000002</v>
      </c>
      <c r="I396" s="110">
        <v>5.8859137466009015E-2</v>
      </c>
      <c r="J396" s="110">
        <v>-0.16513419057285761</v>
      </c>
    </row>
    <row r="397" spans="1:10" x14ac:dyDescent="0.3">
      <c r="A397">
        <v>396</v>
      </c>
      <c r="B397" s="102">
        <v>37591</v>
      </c>
      <c r="C397" s="103">
        <v>1289625700</v>
      </c>
      <c r="D397" s="108">
        <v>879.81911357168599</v>
      </c>
      <c r="E397" s="105">
        <f t="shared" si="20"/>
        <v>-6.0337186665160171E-2</v>
      </c>
      <c r="F397" s="105">
        <f t="shared" si="19"/>
        <v>-0.23366249231351863</v>
      </c>
      <c r="G397" s="107"/>
      <c r="H397" s="104">
        <v>2728.82</v>
      </c>
      <c r="I397" s="111">
        <v>-5.8748018497013277E-2</v>
      </c>
      <c r="J397" s="111">
        <v>-0.22100533731444327</v>
      </c>
    </row>
    <row r="398" spans="1:10" x14ac:dyDescent="0.3">
      <c r="A398">
        <v>397</v>
      </c>
      <c r="B398" s="96">
        <v>37622</v>
      </c>
      <c r="C398" s="97">
        <v>1539433800</v>
      </c>
      <c r="D398" s="109">
        <v>855.699907463312</v>
      </c>
      <c r="E398" s="99">
        <f t="shared" si="20"/>
        <v>-2.7413823746634029E-2</v>
      </c>
      <c r="F398" s="99">
        <f t="shared" si="19"/>
        <v>-0.24288053948580196</v>
      </c>
      <c r="G398" s="101"/>
      <c r="H398" s="98">
        <v>2657.33</v>
      </c>
      <c r="I398" s="110">
        <v>-2.6196185147830287E-2</v>
      </c>
      <c r="J398" s="110">
        <v>-0.23017789793230725</v>
      </c>
    </row>
    <row r="399" spans="1:10" x14ac:dyDescent="0.3">
      <c r="A399">
        <v>398</v>
      </c>
      <c r="B399" s="96">
        <v>37653</v>
      </c>
      <c r="C399" s="97">
        <v>1400452600</v>
      </c>
      <c r="D399" s="109">
        <v>841.15019747370502</v>
      </c>
      <c r="E399" s="99">
        <f t="shared" si="20"/>
        <v>-1.7003285687781609E-2</v>
      </c>
      <c r="F399" s="99">
        <f t="shared" ref="F399:F462" si="21">(D399-D387)/D387</f>
        <v>-0.23997037010860514</v>
      </c>
      <c r="G399" s="101"/>
      <c r="H399" s="98">
        <v>2617.4639999999999</v>
      </c>
      <c r="I399" s="110">
        <v>-1.5004014206872474E-2</v>
      </c>
      <c r="J399" s="110">
        <v>-0.22681718997869083</v>
      </c>
    </row>
    <row r="400" spans="1:10" x14ac:dyDescent="0.3">
      <c r="A400">
        <v>399</v>
      </c>
      <c r="B400" s="96">
        <v>37681</v>
      </c>
      <c r="C400" s="97">
        <v>1503596600</v>
      </c>
      <c r="D400" s="109">
        <v>848.17929106886504</v>
      </c>
      <c r="E400" s="99">
        <f t="shared" si="20"/>
        <v>8.356526118963141E-3</v>
      </c>
      <c r="F400" s="99">
        <f t="shared" si="21"/>
        <v>-0.2607728211415315</v>
      </c>
      <c r="G400" s="101"/>
      <c r="H400" s="98">
        <v>2642.8780000000002</v>
      </c>
      <c r="I400" s="110">
        <v>9.7089304800896947E-3</v>
      </c>
      <c r="J400" s="110">
        <v>-0.24760737919551778</v>
      </c>
    </row>
    <row r="401" spans="1:12" x14ac:dyDescent="0.3">
      <c r="A401">
        <v>400</v>
      </c>
      <c r="B401" s="96">
        <v>37712</v>
      </c>
      <c r="C401" s="97">
        <v>1498005700</v>
      </c>
      <c r="D401" s="109">
        <v>916.91600785595199</v>
      </c>
      <c r="E401" s="99">
        <f t="shared" si="20"/>
        <v>8.1040314837757699E-2</v>
      </c>
      <c r="F401" s="99">
        <f t="shared" si="21"/>
        <v>-0.14857869169480317</v>
      </c>
      <c r="G401" s="101"/>
      <c r="H401" s="98">
        <v>2860.5720000000001</v>
      </c>
      <c r="I401" s="110">
        <v>8.2370547936233551E-2</v>
      </c>
      <c r="J401" s="110">
        <v>-0.133072437842786</v>
      </c>
    </row>
    <row r="402" spans="1:12" x14ac:dyDescent="0.3">
      <c r="A402">
        <v>401</v>
      </c>
      <c r="B402" s="96">
        <v>37742</v>
      </c>
      <c r="C402" s="97">
        <v>1554328500</v>
      </c>
      <c r="D402" s="109">
        <v>963.58678609107994</v>
      </c>
      <c r="E402" s="99">
        <f t="shared" si="20"/>
        <v>5.0899731093428525E-2</v>
      </c>
      <c r="F402" s="99">
        <f t="shared" si="21"/>
        <v>-9.7036466736225055E-2</v>
      </c>
      <c r="G402" s="101"/>
      <c r="H402" s="98">
        <v>3011.288</v>
      </c>
      <c r="I402" s="110">
        <v>5.2687153762136285E-2</v>
      </c>
      <c r="J402" s="110">
        <v>-8.0623265504842556E-2</v>
      </c>
    </row>
    <row r="403" spans="1:12" x14ac:dyDescent="0.3">
      <c r="A403">
        <v>402</v>
      </c>
      <c r="B403" s="96">
        <v>37773</v>
      </c>
      <c r="C403" s="97">
        <v>1562219000</v>
      </c>
      <c r="D403" s="109">
        <v>974.50089579379505</v>
      </c>
      <c r="E403" s="99">
        <f t="shared" si="20"/>
        <v>1.1326545631649507E-2</v>
      </c>
      <c r="F403" s="99">
        <f t="shared" si="21"/>
        <v>-1.5471044781721368E-2</v>
      </c>
      <c r="G403" s="101"/>
      <c r="H403" s="98">
        <v>3049.7020000000002</v>
      </c>
      <c r="I403" s="110">
        <v>1.2756839718220059E-2</v>
      </c>
      <c r="J403" s="110">
        <v>2.524309549059689E-3</v>
      </c>
      <c r="L403" s="48"/>
    </row>
    <row r="404" spans="1:12" x14ac:dyDescent="0.3">
      <c r="A404">
        <v>403</v>
      </c>
      <c r="B404" s="96">
        <v>37803</v>
      </c>
      <c r="C404" s="97">
        <v>1507327200</v>
      </c>
      <c r="D404" s="109">
        <v>990.30888432766699</v>
      </c>
      <c r="E404" s="99">
        <f t="shared" si="20"/>
        <v>1.6221625451657784E-2</v>
      </c>
      <c r="F404" s="99">
        <f t="shared" si="21"/>
        <v>8.6318830689534429E-2</v>
      </c>
      <c r="G404" s="101"/>
      <c r="H404" s="98">
        <v>3103.47</v>
      </c>
      <c r="I404" s="110">
        <v>1.7631350045903327E-2</v>
      </c>
      <c r="J404" s="110">
        <v>0.10644165437569031</v>
      </c>
    </row>
    <row r="405" spans="1:12" x14ac:dyDescent="0.3">
      <c r="A405">
        <v>404</v>
      </c>
      <c r="B405" s="96">
        <v>37834</v>
      </c>
      <c r="C405" s="97">
        <v>1229836600</v>
      </c>
      <c r="D405" s="109">
        <v>1008.01205478947</v>
      </c>
      <c r="E405" s="99">
        <f t="shared" si="20"/>
        <v>1.7876412846504843E-2</v>
      </c>
      <c r="F405" s="99">
        <f t="shared" si="21"/>
        <v>0.10036210444418603</v>
      </c>
      <c r="G405" s="101"/>
      <c r="H405" s="98">
        <v>3163.9969999999998</v>
      </c>
      <c r="I405" s="110">
        <v>1.9502499077965973E-2</v>
      </c>
      <c r="J405" s="110">
        <v>0.12066244908438084</v>
      </c>
    </row>
    <row r="406" spans="1:12" x14ac:dyDescent="0.3">
      <c r="A406">
        <v>405</v>
      </c>
      <c r="B406" s="96">
        <v>37865</v>
      </c>
      <c r="C406" s="97">
        <v>1501457600</v>
      </c>
      <c r="D406" s="109">
        <v>995.96531989035896</v>
      </c>
      <c r="E406" s="99">
        <f t="shared" si="20"/>
        <v>-1.1950982968777151E-2</v>
      </c>
      <c r="F406" s="99">
        <f t="shared" si="21"/>
        <v>0.22161668157831221</v>
      </c>
      <c r="G406" s="101"/>
      <c r="H406" s="98">
        <v>3130.3969999999999</v>
      </c>
      <c r="I406" s="110">
        <v>-1.0619557382811506E-2</v>
      </c>
      <c r="J406" s="110">
        <v>0.24395379710483844</v>
      </c>
    </row>
    <row r="407" spans="1:12" x14ac:dyDescent="0.3">
      <c r="A407">
        <v>406</v>
      </c>
      <c r="B407" s="96">
        <v>37895</v>
      </c>
      <c r="C407" s="97">
        <v>1469452100</v>
      </c>
      <c r="D407" s="109">
        <v>1050.71435813324</v>
      </c>
      <c r="E407" s="99">
        <f t="shared" si="20"/>
        <v>5.4970827949017455E-2</v>
      </c>
      <c r="F407" s="99">
        <f t="shared" si="21"/>
        <v>0.18622590864702007</v>
      </c>
      <c r="G407" s="101"/>
      <c r="H407" s="98">
        <v>3307.4839999999999</v>
      </c>
      <c r="I407" s="110">
        <v>5.6570035520430606E-2</v>
      </c>
      <c r="J407" s="110">
        <v>0.20800040461162417</v>
      </c>
    </row>
    <row r="408" spans="1:12" x14ac:dyDescent="0.3">
      <c r="A408">
        <v>407</v>
      </c>
      <c r="B408" s="96">
        <v>37926</v>
      </c>
      <c r="C408" s="97">
        <v>1313181000</v>
      </c>
      <c r="D408" s="109">
        <v>1058.2045096546001</v>
      </c>
      <c r="E408" s="99">
        <f t="shared" si="20"/>
        <v>7.1286277410994104E-3</v>
      </c>
      <c r="F408" s="99">
        <f t="shared" si="21"/>
        <v>0.13018166039721754</v>
      </c>
      <c r="G408" s="101"/>
      <c r="H408" s="98">
        <v>3336.5839999999998</v>
      </c>
      <c r="I408" s="110">
        <v>8.7981489149997483E-3</v>
      </c>
      <c r="J408" s="110">
        <v>0.15088828054798453</v>
      </c>
    </row>
    <row r="409" spans="1:12" x14ac:dyDescent="0.3">
      <c r="A409">
        <v>408</v>
      </c>
      <c r="B409" s="102">
        <v>37956</v>
      </c>
      <c r="C409" s="103">
        <v>1312119500</v>
      </c>
      <c r="D409" s="108">
        <v>1111.9157221692201</v>
      </c>
      <c r="E409" s="105">
        <f t="shared" si="20"/>
        <v>5.0756930276314394E-2</v>
      </c>
      <c r="F409" s="105">
        <f t="shared" si="21"/>
        <v>0.2638003710277696</v>
      </c>
      <c r="G409" s="107"/>
      <c r="H409" s="104">
        <v>3511.569</v>
      </c>
      <c r="I409" s="111">
        <v>5.2444577599142894E-2</v>
      </c>
      <c r="J409" s="111">
        <v>0.28684576934543649</v>
      </c>
    </row>
    <row r="410" spans="1:12" x14ac:dyDescent="0.3">
      <c r="A410">
        <v>409</v>
      </c>
      <c r="B410" s="96">
        <v>37987</v>
      </c>
      <c r="C410" s="97">
        <v>1722750000</v>
      </c>
      <c r="D410" s="109">
        <v>1131.1271598615799</v>
      </c>
      <c r="E410" s="99">
        <f t="shared" si="20"/>
        <v>1.7277782217954892E-2</v>
      </c>
      <c r="F410" s="99">
        <f t="shared" si="21"/>
        <v>0.32187364985788175</v>
      </c>
      <c r="G410" s="101"/>
      <c r="H410" s="112">
        <f>(1+I410)*H409</f>
        <v>3576.0237508815799</v>
      </c>
      <c r="I410" s="110">
        <v>1.8354972059948071E-2</v>
      </c>
      <c r="J410" s="110">
        <v>0.34571847789092125</v>
      </c>
    </row>
    <row r="411" spans="1:12" x14ac:dyDescent="0.3">
      <c r="A411">
        <v>410</v>
      </c>
      <c r="B411" s="96">
        <v>38018</v>
      </c>
      <c r="C411" s="97">
        <v>1554000000</v>
      </c>
      <c r="D411" s="109">
        <v>1144.9421136881899</v>
      </c>
      <c r="E411" s="99">
        <f t="shared" si="20"/>
        <v>1.2213440112516256E-2</v>
      </c>
      <c r="F411" s="99">
        <f t="shared" si="21"/>
        <v>0.36116250953383583</v>
      </c>
      <c r="G411" s="101"/>
      <c r="H411" s="112">
        <f t="shared" ref="H411:H474" si="22">(1+I411)*H410</f>
        <v>3625.7284921367964</v>
      </c>
      <c r="I411" s="110">
        <v>1.3899443828627511E-2</v>
      </c>
      <c r="J411" s="110">
        <v>0.38520687999034475</v>
      </c>
    </row>
    <row r="412" spans="1:12" x14ac:dyDescent="0.3">
      <c r="A412">
        <v>411</v>
      </c>
      <c r="B412" s="96">
        <v>38047</v>
      </c>
      <c r="C412" s="97">
        <v>1528634700</v>
      </c>
      <c r="D412" s="109">
        <v>1126.2116084653101</v>
      </c>
      <c r="E412" s="99">
        <f t="shared" si="20"/>
        <v>-1.6359346904048694E-2</v>
      </c>
      <c r="F412" s="99">
        <f t="shared" si="21"/>
        <v>0.32779899288282804</v>
      </c>
      <c r="G412" s="101"/>
      <c r="H412" s="112">
        <f t="shared" si="22"/>
        <v>3571.0299086903451</v>
      </c>
      <c r="I412" s="110">
        <v>-1.5086232619203943E-2</v>
      </c>
      <c r="J412" s="110">
        <v>0.35119071010335223</v>
      </c>
    </row>
    <row r="413" spans="1:12" x14ac:dyDescent="0.3">
      <c r="A413">
        <v>412</v>
      </c>
      <c r="B413" s="96">
        <v>38078</v>
      </c>
      <c r="C413" s="97">
        <v>1583171400</v>
      </c>
      <c r="D413" s="109">
        <v>1107.3047897761501</v>
      </c>
      <c r="E413" s="99">
        <f t="shared" si="20"/>
        <v>-1.6787980648613927E-2</v>
      </c>
      <c r="F413" s="99">
        <f t="shared" si="21"/>
        <v>0.20764037304287991</v>
      </c>
      <c r="G413" s="101"/>
      <c r="H413" s="112">
        <f t="shared" si="22"/>
        <v>3514.9703517870971</v>
      </c>
      <c r="I413" s="110">
        <v>-1.5698428278862364E-2</v>
      </c>
      <c r="J413" s="110">
        <v>0.22876508621341718</v>
      </c>
    </row>
    <row r="414" spans="1:12" x14ac:dyDescent="0.3">
      <c r="A414">
        <v>413</v>
      </c>
      <c r="B414" s="96">
        <v>38108</v>
      </c>
      <c r="C414" s="97">
        <v>1524950000</v>
      </c>
      <c r="D414" s="109">
        <v>1120.6831597364401</v>
      </c>
      <c r="E414" s="99">
        <f t="shared" si="20"/>
        <v>1.2081921873556186E-2</v>
      </c>
      <c r="F414" s="99">
        <f t="shared" si="21"/>
        <v>0.16303292647115139</v>
      </c>
      <c r="G414" s="101"/>
      <c r="H414" s="112">
        <f t="shared" si="22"/>
        <v>3563.2059340961059</v>
      </c>
      <c r="I414" s="110">
        <v>1.3722898767690728E-2</v>
      </c>
      <c r="J414" s="110">
        <v>0.18328346712422872</v>
      </c>
    </row>
    <row r="415" spans="1:12" x14ac:dyDescent="0.3">
      <c r="A415">
        <v>414</v>
      </c>
      <c r="B415" s="96">
        <v>38139</v>
      </c>
      <c r="C415" s="97">
        <v>1381109500</v>
      </c>
      <c r="D415" s="109">
        <v>1140.83559774982</v>
      </c>
      <c r="E415" s="99">
        <f t="shared" si="20"/>
        <v>1.7982279682081853E-2</v>
      </c>
      <c r="F415" s="99">
        <f t="shared" si="21"/>
        <v>0.17068706932335281</v>
      </c>
      <c r="G415" s="101"/>
      <c r="H415" s="112">
        <f t="shared" si="22"/>
        <v>3632.4922489348032</v>
      </c>
      <c r="I415" s="110">
        <v>1.9444936980964389E-2</v>
      </c>
      <c r="J415" s="110">
        <v>0.19109769716164426</v>
      </c>
      <c r="L415" s="48">
        <f>1+I415</f>
        <v>1.0194449369809644</v>
      </c>
    </row>
    <row r="416" spans="1:12" x14ac:dyDescent="0.3">
      <c r="A416">
        <v>415</v>
      </c>
      <c r="B416" s="96">
        <v>38169</v>
      </c>
      <c r="C416" s="97">
        <v>1456371400</v>
      </c>
      <c r="D416" s="109">
        <v>1101.71943065037</v>
      </c>
      <c r="E416" s="99">
        <f t="shared" si="20"/>
        <v>-3.4287295361928184E-2</v>
      </c>
      <c r="F416" s="99">
        <f t="shared" si="21"/>
        <v>0.11250080463363812</v>
      </c>
      <c r="G416" s="101"/>
      <c r="H416" s="112">
        <f t="shared" si="22"/>
        <v>3512.2678782615985</v>
      </c>
      <c r="I416" s="110">
        <v>-3.3096937979278374E-2</v>
      </c>
      <c r="J416" s="110">
        <v>0.13172221993698785</v>
      </c>
      <c r="L416" s="37">
        <f>L415*(1+I416)</f>
        <v>0.9857044311284161</v>
      </c>
    </row>
    <row r="417" spans="1:14" x14ac:dyDescent="0.3">
      <c r="A417">
        <v>416</v>
      </c>
      <c r="B417" s="96">
        <v>38200</v>
      </c>
      <c r="C417" s="97">
        <v>1260227200</v>
      </c>
      <c r="D417" s="109">
        <v>1104.23641764222</v>
      </c>
      <c r="E417" s="99">
        <f t="shared" si="20"/>
        <v>2.2845988931720624E-3</v>
      </c>
      <c r="F417" s="99">
        <f t="shared" si="21"/>
        <v>9.5459535821570213E-2</v>
      </c>
      <c r="G417" s="101"/>
      <c r="H417" s="112">
        <f t="shared" si="22"/>
        <v>3526.4747967311159</v>
      </c>
      <c r="I417" s="110">
        <v>4.0449416052368292E-3</v>
      </c>
      <c r="J417" s="110">
        <v>0.11456320240278695</v>
      </c>
      <c r="L417" s="37">
        <f t="shared" ref="L417:L429" si="23">L416*(1+I417)</f>
        <v>0.9896915479923537</v>
      </c>
    </row>
    <row r="418" spans="1:14" x14ac:dyDescent="0.3">
      <c r="A418">
        <v>417</v>
      </c>
      <c r="B418" s="96">
        <v>38231</v>
      </c>
      <c r="C418" s="97">
        <v>1360850900</v>
      </c>
      <c r="D418" s="109">
        <v>1114.5831439835899</v>
      </c>
      <c r="E418" s="99">
        <f t="shared" si="20"/>
        <v>9.3700281715598764E-3</v>
      </c>
      <c r="F418" s="99">
        <f t="shared" si="21"/>
        <v>0.11909834782830495</v>
      </c>
      <c r="G418" s="101"/>
      <c r="H418" s="112">
        <f t="shared" si="22"/>
        <v>3564.6686019129497</v>
      </c>
      <c r="I418" s="110">
        <v>1.0830590712639587E-2</v>
      </c>
      <c r="J418" s="110">
        <v>0.13872736082301795</v>
      </c>
      <c r="L418" s="37">
        <f t="shared" si="23"/>
        <v>1.0004104920804175</v>
      </c>
    </row>
    <row r="419" spans="1:14" x14ac:dyDescent="0.3">
      <c r="A419">
        <v>418</v>
      </c>
      <c r="B419" s="96">
        <v>38261</v>
      </c>
      <c r="C419" s="97">
        <v>1571990400</v>
      </c>
      <c r="D419" s="109">
        <v>1130.19908524843</v>
      </c>
      <c r="E419" s="99">
        <f t="shared" si="20"/>
        <v>1.4010566505633443E-2</v>
      </c>
      <c r="F419" s="99">
        <f t="shared" si="21"/>
        <v>7.5648273481678879E-2</v>
      </c>
      <c r="G419" s="101"/>
      <c r="H419" s="112">
        <f t="shared" si="22"/>
        <v>3619.1270135729073</v>
      </c>
      <c r="I419" s="110">
        <v>1.5277271954742933E-2</v>
      </c>
      <c r="J419" s="110">
        <v>9.4223732955998729E-2</v>
      </c>
      <c r="L419" s="37">
        <f t="shared" si="23"/>
        <v>1.0156940352343082</v>
      </c>
    </row>
    <row r="420" spans="1:14" x14ac:dyDescent="0.3">
      <c r="A420">
        <v>419</v>
      </c>
      <c r="B420" s="96">
        <v>38292</v>
      </c>
      <c r="C420" s="97">
        <v>1524465700</v>
      </c>
      <c r="D420" s="109">
        <v>1173.8243068460099</v>
      </c>
      <c r="E420" s="99">
        <f t="shared" si="20"/>
        <v>3.8599590255366883E-2</v>
      </c>
      <c r="F420" s="99">
        <f t="shared" si="21"/>
        <v>0.10926035197974003</v>
      </c>
      <c r="G420" s="101"/>
      <c r="H420" s="112">
        <f t="shared" si="22"/>
        <v>3765.5625646207291</v>
      </c>
      <c r="I420" s="110">
        <v>4.0461567250511088E-2</v>
      </c>
      <c r="J420" s="110">
        <v>0.12856842703230598</v>
      </c>
      <c r="L420" s="37">
        <f t="shared" si="23"/>
        <v>1.0567906077468843</v>
      </c>
    </row>
    <row r="421" spans="1:14" x14ac:dyDescent="0.3">
      <c r="A421">
        <v>420</v>
      </c>
      <c r="B421" s="102">
        <v>38322</v>
      </c>
      <c r="C421" s="103">
        <v>1449518100</v>
      </c>
      <c r="D421" s="108">
        <v>1211.91630230549</v>
      </c>
      <c r="E421" s="105">
        <f t="shared" si="20"/>
        <v>3.2451189873406915E-2</v>
      </c>
      <c r="F421" s="105">
        <f t="shared" si="21"/>
        <v>8.9935395410346633E-2</v>
      </c>
      <c r="G421" s="107"/>
      <c r="H421" s="113">
        <f t="shared" si="22"/>
        <v>3893.69962198949</v>
      </c>
      <c r="I421" s="111">
        <v>3.4028662429531842E-2</v>
      </c>
      <c r="J421" s="111">
        <v>0.10882047938955197</v>
      </c>
      <c r="L421" s="37">
        <f t="shared" si="23"/>
        <v>1.0927517785966028</v>
      </c>
    </row>
    <row r="422" spans="1:14" x14ac:dyDescent="0.3">
      <c r="A422">
        <v>421</v>
      </c>
      <c r="B422" s="96">
        <v>38353</v>
      </c>
      <c r="C422" s="97">
        <v>1658930000</v>
      </c>
      <c r="D422" s="109">
        <v>1181.2681154663901</v>
      </c>
      <c r="E422" s="99">
        <f t="shared" si="20"/>
        <v>-2.5289029267777263E-2</v>
      </c>
      <c r="F422" s="99">
        <f t="shared" si="21"/>
        <v>4.4328310188348867E-2</v>
      </c>
      <c r="G422" s="101"/>
      <c r="H422" s="112">
        <f t="shared" si="22"/>
        <v>3798.7906558385748</v>
      </c>
      <c r="I422" s="110">
        <v>-2.4375009724664221E-2</v>
      </c>
      <c r="J422" s="110">
        <v>6.2294582048588731E-2</v>
      </c>
      <c r="L422" s="37">
        <f t="shared" si="23"/>
        <v>1.0661159433666665</v>
      </c>
    </row>
    <row r="423" spans="1:14" x14ac:dyDescent="0.3">
      <c r="A423">
        <v>422</v>
      </c>
      <c r="B423" s="96">
        <v>38384</v>
      </c>
      <c r="C423" s="97">
        <v>1636467800</v>
      </c>
      <c r="D423" s="109">
        <v>1203.6001149132401</v>
      </c>
      <c r="E423" s="99">
        <f t="shared" si="20"/>
        <v>1.8905106431347993E-2</v>
      </c>
      <c r="F423" s="99">
        <f t="shared" si="21"/>
        <v>5.1232285478691804E-2</v>
      </c>
      <c r="G423" s="101"/>
      <c r="H423" s="112">
        <f t="shared" si="22"/>
        <v>3878.7332413843046</v>
      </c>
      <c r="I423" s="110">
        <v>2.1044219802652586E-2</v>
      </c>
      <c r="J423" s="110">
        <v>6.9780390284657212E-2</v>
      </c>
      <c r="L423" s="37">
        <f t="shared" si="23"/>
        <v>1.0885515216139869</v>
      </c>
    </row>
    <row r="424" spans="1:14" x14ac:dyDescent="0.3">
      <c r="A424">
        <v>423</v>
      </c>
      <c r="B424" s="96">
        <v>38412</v>
      </c>
      <c r="C424" s="97">
        <v>1874017200</v>
      </c>
      <c r="D424" s="109">
        <v>1180.59090217893</v>
      </c>
      <c r="E424" s="99">
        <f t="shared" si="20"/>
        <v>-1.9116991141172022E-2</v>
      </c>
      <c r="F424" s="99">
        <f t="shared" si="21"/>
        <v>4.8285147573396713E-2</v>
      </c>
      <c r="G424" s="101"/>
      <c r="H424" s="112">
        <f t="shared" si="22"/>
        <v>3810.0484378667352</v>
      </c>
      <c r="I424" s="110">
        <v>-1.7708050346111448E-2</v>
      </c>
      <c r="J424" s="110">
        <v>6.6932659565443808E-2</v>
      </c>
      <c r="L424" s="37">
        <f t="shared" si="23"/>
        <v>1.0692753964649102</v>
      </c>
    </row>
    <row r="425" spans="1:14" x14ac:dyDescent="0.3">
      <c r="A425">
        <v>424</v>
      </c>
      <c r="B425" s="96">
        <v>38443</v>
      </c>
      <c r="C425" s="97">
        <v>2180315700</v>
      </c>
      <c r="D425" s="109">
        <v>1156.8475208730699</v>
      </c>
      <c r="E425" s="99">
        <f t="shared" si="20"/>
        <v>-2.0111438485625032E-2</v>
      </c>
      <c r="F425" s="99">
        <f t="shared" si="21"/>
        <v>4.4741729245960621E-2</v>
      </c>
      <c r="G425" s="101"/>
      <c r="H425" s="112">
        <f t="shared" si="22"/>
        <v>3737.7891857790105</v>
      </c>
      <c r="I425" s="110">
        <v>-1.8965441848341147E-2</v>
      </c>
      <c r="J425" s="110">
        <v>6.3391383622517727E-2</v>
      </c>
      <c r="L425" s="37">
        <f t="shared" si="23"/>
        <v>1.0489961161133929</v>
      </c>
    </row>
    <row r="426" spans="1:14" x14ac:dyDescent="0.3">
      <c r="A426">
        <v>425</v>
      </c>
      <c r="B426" s="96">
        <v>38473</v>
      </c>
      <c r="C426" s="97">
        <v>1960127100</v>
      </c>
      <c r="D426" s="109">
        <v>1191.4997431844199</v>
      </c>
      <c r="E426" s="99">
        <f t="shared" si="20"/>
        <v>2.9954010088726335E-2</v>
      </c>
      <c r="F426" s="99">
        <f t="shared" si="21"/>
        <v>6.3190548401418231E-2</v>
      </c>
      <c r="G426" s="101"/>
      <c r="H426" s="112">
        <f t="shared" si="22"/>
        <v>3856.7196579988536</v>
      </c>
      <c r="I426" s="110">
        <v>3.18184002116364E-2</v>
      </c>
      <c r="J426" s="110">
        <v>8.2373494356341226E-2</v>
      </c>
      <c r="L426" s="37">
        <f t="shared" si="23"/>
        <v>1.082373494356341</v>
      </c>
      <c r="N426" s="48">
        <f>1+I426</f>
        <v>1.0318184002116364</v>
      </c>
    </row>
    <row r="427" spans="1:14" x14ac:dyDescent="0.3">
      <c r="A427">
        <v>426</v>
      </c>
      <c r="B427" s="96">
        <v>38504</v>
      </c>
      <c r="C427" s="97">
        <v>1929251300</v>
      </c>
      <c r="D427" s="109">
        <v>1191.3276115208901</v>
      </c>
      <c r="E427" s="99">
        <f t="shared" si="20"/>
        <v>-1.4446638743690528E-4</v>
      </c>
      <c r="F427" s="99">
        <f t="shared" si="21"/>
        <v>4.4258799313994387E-2</v>
      </c>
      <c r="G427" s="101"/>
      <c r="H427" s="112">
        <f t="shared" si="22"/>
        <v>3862.1938437630747</v>
      </c>
      <c r="I427" s="110">
        <v>1.4193890792315589E-3</v>
      </c>
      <c r="J427" s="110">
        <v>6.3235260831080886E-2</v>
      </c>
      <c r="L427" s="37">
        <f t="shared" si="23"/>
        <v>1.0839098034738801</v>
      </c>
      <c r="N427">
        <f>N426*(1+I427)</f>
        <v>1.033282951980647</v>
      </c>
    </row>
    <row r="428" spans="1:14" x14ac:dyDescent="0.3">
      <c r="A428">
        <v>427</v>
      </c>
      <c r="B428" s="96">
        <v>38534</v>
      </c>
      <c r="C428" s="97">
        <v>1962713500</v>
      </c>
      <c r="D428" s="109">
        <v>1234.17945812474</v>
      </c>
      <c r="E428" s="99">
        <f t="shared" si="20"/>
        <v>3.5969825755271287E-2</v>
      </c>
      <c r="F428" s="99">
        <f t="shared" si="21"/>
        <v>0.12023027259869225</v>
      </c>
      <c r="G428" s="101"/>
      <c r="H428" s="112">
        <f t="shared" si="22"/>
        <v>4005.8230632155619</v>
      </c>
      <c r="I428" s="110">
        <v>3.7188506134778532E-2</v>
      </c>
      <c r="J428" s="110">
        <v>0.14052321806338108</v>
      </c>
      <c r="L428" s="37">
        <f t="shared" si="23"/>
        <v>1.1242187898499152</v>
      </c>
      <c r="N428">
        <f t="shared" ref="N428:N440" si="24">N427*(1+I428)</f>
        <v>1.0717092013793414</v>
      </c>
    </row>
    <row r="429" spans="1:14" x14ac:dyDescent="0.3">
      <c r="A429">
        <v>428</v>
      </c>
      <c r="B429" s="96">
        <v>38565</v>
      </c>
      <c r="C429" s="97">
        <v>1930243400</v>
      </c>
      <c r="D429" s="109">
        <v>1220.33099019732</v>
      </c>
      <c r="E429" s="99">
        <f t="shared" si="20"/>
        <v>-1.1220789518294088E-2</v>
      </c>
      <c r="F429" s="99">
        <f t="shared" si="21"/>
        <v>0.10513561289980519</v>
      </c>
      <c r="G429" s="101"/>
      <c r="H429" s="112">
        <f t="shared" si="22"/>
        <v>3969.2736774727832</v>
      </c>
      <c r="I429" s="110">
        <v>-9.1240639354249753E-3</v>
      </c>
      <c r="J429" s="110">
        <v>0.12556416996149289</v>
      </c>
      <c r="L429" s="37">
        <f t="shared" si="23"/>
        <v>1.1139613457339184</v>
      </c>
      <c r="M429" s="48">
        <f>L429-1</f>
        <v>0.11396134573391836</v>
      </c>
      <c r="N429">
        <f t="shared" si="24"/>
        <v>1.0619308581057731</v>
      </c>
    </row>
    <row r="430" spans="1:14" x14ac:dyDescent="0.3">
      <c r="A430">
        <v>429</v>
      </c>
      <c r="B430" s="96">
        <v>38596</v>
      </c>
      <c r="C430" s="97">
        <v>2232144200</v>
      </c>
      <c r="D430" s="109">
        <v>1228.81137882894</v>
      </c>
      <c r="E430" s="99">
        <f t="shared" si="20"/>
        <v>6.9492528664282221E-3</v>
      </c>
      <c r="F430" s="99">
        <f t="shared" si="21"/>
        <v>0.10248516269238664</v>
      </c>
      <c r="G430" s="101"/>
      <c r="H430" s="112">
        <f t="shared" si="22"/>
        <v>4001.4220775063027</v>
      </c>
      <c r="I430" s="110">
        <v>8.0993155538693351E-3</v>
      </c>
      <c r="J430" s="110">
        <v>0.12252288343409323</v>
      </c>
      <c r="L430" s="37"/>
      <c r="N430">
        <f t="shared" si="24"/>
        <v>1.0705317712219631</v>
      </c>
    </row>
    <row r="431" spans="1:14" x14ac:dyDescent="0.3">
      <c r="A431">
        <v>430</v>
      </c>
      <c r="B431" s="96">
        <v>38626</v>
      </c>
      <c r="C431" s="97">
        <v>2493393300</v>
      </c>
      <c r="D431" s="109">
        <v>1207.005823276</v>
      </c>
      <c r="E431" s="99">
        <f t="shared" si="20"/>
        <v>-1.7745242214245033E-2</v>
      </c>
      <c r="F431" s="99">
        <f t="shared" si="21"/>
        <v>6.7958591570340024E-2</v>
      </c>
      <c r="G431" s="101"/>
      <c r="H431" s="112">
        <f t="shared" si="22"/>
        <v>3934.7149047351754</v>
      </c>
      <c r="I431" s="110">
        <v>-1.6670866376760629E-2</v>
      </c>
      <c r="J431" s="110">
        <v>8.7200004304549328E-2</v>
      </c>
      <c r="L431" s="37"/>
      <c r="N431">
        <f t="shared" si="24"/>
        <v>1.0526850791118449</v>
      </c>
    </row>
    <row r="432" spans="1:14" x14ac:dyDescent="0.3">
      <c r="A432">
        <v>431</v>
      </c>
      <c r="B432" s="96">
        <v>38657</v>
      </c>
      <c r="C432" s="97">
        <v>2260836100</v>
      </c>
      <c r="D432" s="109">
        <v>1249.47912732298</v>
      </c>
      <c r="E432" s="99">
        <f t="shared" si="20"/>
        <v>3.5188980225216271E-2</v>
      </c>
      <c r="F432" s="99">
        <f t="shared" si="21"/>
        <v>6.4451570849005296E-2</v>
      </c>
      <c r="G432" s="101"/>
      <c r="H432" s="112">
        <f t="shared" si="22"/>
        <v>4083.5348639696267</v>
      </c>
      <c r="I432" s="110">
        <v>3.7822297888814305E-2</v>
      </c>
      <c r="J432" s="110">
        <v>8.4442176671395641E-2</v>
      </c>
      <c r="L432" s="37"/>
      <c r="M432" s="43"/>
      <c r="N432">
        <f t="shared" si="24"/>
        <v>1.0925000477571232</v>
      </c>
    </row>
    <row r="433" spans="1:15" x14ac:dyDescent="0.3">
      <c r="A433">
        <v>432</v>
      </c>
      <c r="B433" s="102">
        <v>38687</v>
      </c>
      <c r="C433" s="103">
        <v>2057125200</v>
      </c>
      <c r="D433" s="108">
        <v>1248.2929683669099</v>
      </c>
      <c r="E433" s="105">
        <f t="shared" si="20"/>
        <v>-9.4932274588010632E-4</v>
      </c>
      <c r="F433" s="105">
        <f t="shared" si="21"/>
        <v>3.0015823693615391E-2</v>
      </c>
      <c r="G433" s="107"/>
      <c r="H433" s="113">
        <f t="shared" si="22"/>
        <v>4084.9564213004933</v>
      </c>
      <c r="I433" s="111">
        <v>3.4811930795775048E-4</v>
      </c>
      <c r="J433" s="111">
        <v>4.9119556688679511E-2</v>
      </c>
      <c r="N433">
        <f t="shared" si="24"/>
        <v>1.0928803681176922</v>
      </c>
    </row>
    <row r="434" spans="1:15" x14ac:dyDescent="0.3">
      <c r="A434">
        <v>433</v>
      </c>
      <c r="B434" s="96">
        <v>38718</v>
      </c>
      <c r="C434" s="97">
        <v>2595998000</v>
      </c>
      <c r="D434" s="109">
        <v>1280.0848958531201</v>
      </c>
      <c r="E434" s="99">
        <f t="shared" si="20"/>
        <v>2.5468322174242667E-2</v>
      </c>
      <c r="F434" s="99">
        <f t="shared" si="21"/>
        <v>8.365313436714153E-2</v>
      </c>
      <c r="G434" s="101"/>
      <c r="H434" s="112">
        <f t="shared" si="22"/>
        <v>4193.1159461945281</v>
      </c>
      <c r="I434" s="110">
        <v>2.6477522337827297E-2</v>
      </c>
      <c r="J434" s="110">
        <v>0.10380284834856401</v>
      </c>
      <c r="N434">
        <f t="shared" si="24"/>
        <v>1.1218171324771014</v>
      </c>
    </row>
    <row r="435" spans="1:15" x14ac:dyDescent="0.3">
      <c r="A435">
        <v>434</v>
      </c>
      <c r="B435" s="96">
        <v>38749</v>
      </c>
      <c r="C435" s="97">
        <v>2380568400</v>
      </c>
      <c r="D435" s="109">
        <v>1280.6643137861499</v>
      </c>
      <c r="E435" s="99">
        <f t="shared" si="20"/>
        <v>4.526402388676638E-4</v>
      </c>
      <c r="F435" s="99">
        <f t="shared" si="21"/>
        <v>6.4028075369920459E-2</v>
      </c>
      <c r="G435" s="101"/>
      <c r="H435" s="112">
        <f t="shared" si="22"/>
        <v>4204.494895970829</v>
      </c>
      <c r="I435" s="110">
        <v>2.7137217101349531E-3</v>
      </c>
      <c r="J435" s="110">
        <v>8.3986609625740005E-2</v>
      </c>
      <c r="N435">
        <f t="shared" si="24"/>
        <v>1.1248614319843058</v>
      </c>
    </row>
    <row r="436" spans="1:15" x14ac:dyDescent="0.3">
      <c r="A436">
        <v>435</v>
      </c>
      <c r="B436" s="96">
        <v>38777</v>
      </c>
      <c r="C436" s="97">
        <v>2310510800</v>
      </c>
      <c r="D436" s="109">
        <v>1294.8278417890499</v>
      </c>
      <c r="E436" s="99">
        <f t="shared" si="20"/>
        <v>1.1059516416934411E-2</v>
      </c>
      <c r="F436" s="99">
        <f t="shared" si="21"/>
        <v>9.6762510535428586E-2</v>
      </c>
      <c r="G436" s="101"/>
      <c r="H436" s="112">
        <f t="shared" si="22"/>
        <v>4256.8307083285326</v>
      </c>
      <c r="I436" s="110">
        <v>1.2447586131655752E-2</v>
      </c>
      <c r="J436" s="110">
        <v>0.11726419696437085</v>
      </c>
      <c r="N436">
        <f t="shared" si="24"/>
        <v>1.1388632415451081</v>
      </c>
    </row>
    <row r="437" spans="1:15" x14ac:dyDescent="0.3">
      <c r="A437">
        <v>436</v>
      </c>
      <c r="B437" s="96">
        <v>38808</v>
      </c>
      <c r="C437" s="97">
        <v>2406755200</v>
      </c>
      <c r="D437" s="109">
        <v>1310.61196417927</v>
      </c>
      <c r="E437" s="99">
        <f t="shared" si="20"/>
        <v>1.2190132062970887E-2</v>
      </c>
      <c r="F437" s="99">
        <f t="shared" si="21"/>
        <v>0.13291677643926178</v>
      </c>
      <c r="G437" s="101"/>
      <c r="H437" s="112">
        <f t="shared" si="22"/>
        <v>4313.9894298042009</v>
      </c>
      <c r="I437" s="110">
        <v>1.3427529867193533E-2</v>
      </c>
      <c r="J437" s="110">
        <v>0.15415536173560374</v>
      </c>
      <c r="N437">
        <f t="shared" si="24"/>
        <v>1.154155361735604</v>
      </c>
    </row>
    <row r="438" spans="1:15" x14ac:dyDescent="0.3">
      <c r="A438">
        <v>437</v>
      </c>
      <c r="B438" s="96">
        <v>38838</v>
      </c>
      <c r="C438" s="97">
        <v>2591135900</v>
      </c>
      <c r="D438" s="109">
        <v>1270.0898621369399</v>
      </c>
      <c r="E438" s="99">
        <f t="shared" si="20"/>
        <v>-3.091845881912559E-2</v>
      </c>
      <c r="F438" s="99">
        <f t="shared" si="21"/>
        <v>6.5958989418225894E-2</v>
      </c>
      <c r="G438" s="101"/>
      <c r="H438" s="112">
        <f t="shared" si="22"/>
        <v>4189.8271073164187</v>
      </c>
      <c r="I438" s="110">
        <v>-2.8781322835419565E-2</v>
      </c>
      <c r="J438" s="110">
        <v>8.6370667006272717E-2</v>
      </c>
      <c r="N438">
        <f t="shared" si="24"/>
        <v>1.1209372436672611</v>
      </c>
    </row>
    <row r="439" spans="1:15" x14ac:dyDescent="0.3">
      <c r="A439">
        <v>438</v>
      </c>
      <c r="B439" s="96">
        <v>38869</v>
      </c>
      <c r="C439" s="97">
        <v>2632855400</v>
      </c>
      <c r="D439" s="109">
        <v>1270.2043808654801</v>
      </c>
      <c r="E439" s="99">
        <f t="shared" si="20"/>
        <v>9.0165847279069253E-5</v>
      </c>
      <c r="F439" s="99">
        <f t="shared" si="21"/>
        <v>6.6209133895497638E-2</v>
      </c>
      <c r="G439" s="101"/>
      <c r="H439" s="112">
        <f t="shared" si="22"/>
        <v>4195.506845510522</v>
      </c>
      <c r="I439" s="110">
        <v>1.3556020448159956E-3</v>
      </c>
      <c r="J439" s="110">
        <v>8.6301468862238329E-2</v>
      </c>
      <c r="N439">
        <f t="shared" si="24"/>
        <v>1.1224567884868868</v>
      </c>
    </row>
    <row r="440" spans="1:15" x14ac:dyDescent="0.3">
      <c r="A440">
        <v>439</v>
      </c>
      <c r="B440" s="96">
        <v>38899</v>
      </c>
      <c r="C440" s="97">
        <v>2440476000</v>
      </c>
      <c r="D440" s="109">
        <v>1276.6603521130801</v>
      </c>
      <c r="E440" s="99">
        <f t="shared" si="20"/>
        <v>5.0826239815053298E-3</v>
      </c>
      <c r="F440" s="99">
        <f t="shared" si="21"/>
        <v>3.4420354113563999E-2</v>
      </c>
      <c r="G440" s="101"/>
      <c r="H440" s="112">
        <f t="shared" si="22"/>
        <v>4221.386978287539</v>
      </c>
      <c r="I440" s="110">
        <v>6.1685354666292103E-3</v>
      </c>
      <c r="J440" s="110">
        <v>5.3812640166622794E-2</v>
      </c>
      <c r="N440">
        <f t="shared" si="24"/>
        <v>1.1293807029964269</v>
      </c>
      <c r="O440">
        <f>N440-1</f>
        <v>0.1293807029964269</v>
      </c>
    </row>
    <row r="441" spans="1:15" x14ac:dyDescent="0.3">
      <c r="A441">
        <v>440</v>
      </c>
      <c r="B441" s="96">
        <v>38930</v>
      </c>
      <c r="C441" s="97">
        <v>2280876500</v>
      </c>
      <c r="D441" s="109">
        <v>1303.8184595953301</v>
      </c>
      <c r="E441" s="99">
        <f t="shared" si="20"/>
        <v>2.1272774263960584E-2</v>
      </c>
      <c r="F441" s="99">
        <f t="shared" si="21"/>
        <v>6.8413791068692456E-2</v>
      </c>
      <c r="G441" s="101"/>
      <c r="H441" s="112">
        <f t="shared" si="22"/>
        <v>4321.8263866571697</v>
      </c>
      <c r="I441" s="110">
        <v>2.3792987680645084E-2</v>
      </c>
      <c r="J441" s="110">
        <v>8.8820458812216563E-2</v>
      </c>
    </row>
    <row r="442" spans="1:15" x14ac:dyDescent="0.3">
      <c r="A442">
        <v>441</v>
      </c>
      <c r="B442" s="96">
        <v>38961</v>
      </c>
      <c r="C442" s="97">
        <v>2563743500</v>
      </c>
      <c r="D442" s="109">
        <v>1335.8469928263701</v>
      </c>
      <c r="E442" s="99">
        <f t="shared" si="20"/>
        <v>2.4565178530284646E-2</v>
      </c>
      <c r="F442" s="99">
        <f t="shared" si="21"/>
        <v>8.7104999059689131E-2</v>
      </c>
      <c r="G442" s="101"/>
      <c r="H442" s="112">
        <f t="shared" si="22"/>
        <v>4433.2011842965148</v>
      </c>
      <c r="I442" s="110">
        <v>2.577030812324943E-2</v>
      </c>
      <c r="J442" s="110">
        <v>0.10790641387656308</v>
      </c>
    </row>
    <row r="443" spans="1:15" x14ac:dyDescent="0.3">
      <c r="A443">
        <v>442</v>
      </c>
      <c r="B443" s="96">
        <v>38991</v>
      </c>
      <c r="C443" s="97">
        <v>2708938600</v>
      </c>
      <c r="D443" s="109">
        <v>1377.9425715134701</v>
      </c>
      <c r="E443" s="99">
        <f t="shared" si="20"/>
        <v>3.1512275667166516E-2</v>
      </c>
      <c r="F443" s="99">
        <f t="shared" si="21"/>
        <v>0.14162048346504358</v>
      </c>
      <c r="G443" s="101"/>
      <c r="H443" s="112">
        <f t="shared" si="22"/>
        <v>4577.6612683076819</v>
      </c>
      <c r="I443" s="110">
        <v>3.2585952679720531E-2</v>
      </c>
      <c r="J443" s="110">
        <v>0.16340354489184516</v>
      </c>
    </row>
    <row r="444" spans="1:15" x14ac:dyDescent="0.3">
      <c r="A444">
        <v>443</v>
      </c>
      <c r="B444" s="96">
        <v>39022</v>
      </c>
      <c r="C444" s="97">
        <v>2826198000</v>
      </c>
      <c r="D444" s="109">
        <v>1400.6343639275401</v>
      </c>
      <c r="E444" s="99">
        <f t="shared" si="20"/>
        <v>1.6467879636773548E-2</v>
      </c>
      <c r="F444" s="99">
        <f t="shared" si="21"/>
        <v>0.12097459917430671</v>
      </c>
      <c r="G444" s="101"/>
      <c r="H444" s="112">
        <f t="shared" si="22"/>
        <v>4664.7094767979588</v>
      </c>
      <c r="I444" s="110">
        <v>1.9015869324568335E-2</v>
      </c>
      <c r="J444" s="110">
        <v>0.14232145241521676</v>
      </c>
    </row>
    <row r="445" spans="1:15" x14ac:dyDescent="0.3">
      <c r="A445">
        <v>444</v>
      </c>
      <c r="B445" s="102">
        <v>39052</v>
      </c>
      <c r="C445" s="103">
        <v>2462849000</v>
      </c>
      <c r="D445" s="108">
        <v>1418.30048570335</v>
      </c>
      <c r="E445" s="105">
        <f t="shared" si="20"/>
        <v>1.261294327112754E-2</v>
      </c>
      <c r="F445" s="105">
        <f t="shared" si="21"/>
        <v>0.13619200111241023</v>
      </c>
      <c r="G445" s="107"/>
      <c r="H445" s="113">
        <f t="shared" si="22"/>
        <v>4730.1443882136055</v>
      </c>
      <c r="I445" s="111">
        <v>1.4027649897837557E-2</v>
      </c>
      <c r="J445" s="111">
        <v>0.15794243570111566</v>
      </c>
    </row>
    <row r="446" spans="1:15" x14ac:dyDescent="0.3">
      <c r="A446">
        <v>445</v>
      </c>
      <c r="B446" s="96">
        <v>39083</v>
      </c>
      <c r="C446" s="97">
        <v>2983144500</v>
      </c>
      <c r="D446" s="109">
        <v>1438.24288727312</v>
      </c>
      <c r="E446" s="99">
        <f t="shared" si="20"/>
        <v>1.4060773278153665E-2</v>
      </c>
      <c r="F446" s="99">
        <f t="shared" si="21"/>
        <v>0.12355273617582574</v>
      </c>
      <c r="G446" s="101"/>
      <c r="H446" s="112">
        <f t="shared" si="22"/>
        <v>4801.6809612320612</v>
      </c>
      <c r="I446" s="110">
        <v>1.5123549546755433E-2</v>
      </c>
      <c r="J446" s="110">
        <v>0.1451343160662748</v>
      </c>
    </row>
    <row r="447" spans="1:15" x14ac:dyDescent="0.3">
      <c r="A447">
        <v>446</v>
      </c>
      <c r="B447" s="96">
        <v>39114</v>
      </c>
      <c r="C447" s="97">
        <v>2935275700</v>
      </c>
      <c r="D447" s="109">
        <v>1406.8190087714399</v>
      </c>
      <c r="E447" s="99">
        <f t="shared" si="20"/>
        <v>-2.1848798127038969E-2</v>
      </c>
      <c r="F447" s="99">
        <f t="shared" si="21"/>
        <v>9.8507230682743752E-2</v>
      </c>
      <c r="G447" s="101"/>
      <c r="H447" s="112">
        <f t="shared" si="22"/>
        <v>4707.7651378739438</v>
      </c>
      <c r="I447" s="110">
        <v>-1.9558946984686632E-2</v>
      </c>
      <c r="J447" s="110">
        <v>0.119698145521689</v>
      </c>
    </row>
    <row r="448" spans="1:15" x14ac:dyDescent="0.3">
      <c r="A448">
        <v>447</v>
      </c>
      <c r="B448" s="96">
        <v>39142</v>
      </c>
      <c r="C448" s="97">
        <v>3205736800</v>
      </c>
      <c r="D448" s="109">
        <v>1420.8637684604601</v>
      </c>
      <c r="E448" s="99">
        <f t="shared" si="20"/>
        <v>9.9833451221882832E-3</v>
      </c>
      <c r="F448" s="99">
        <f t="shared" si="21"/>
        <v>9.7337980080245759E-2</v>
      </c>
      <c r="G448" s="101"/>
      <c r="H448" s="112">
        <f t="shared" si="22"/>
        <v>4760.4211792803053</v>
      </c>
      <c r="I448" s="110">
        <v>1.1184933798575436E-2</v>
      </c>
      <c r="J448" s="110">
        <v>0.11830173794943111</v>
      </c>
    </row>
    <row r="449" spans="1:10" x14ac:dyDescent="0.3">
      <c r="A449">
        <v>448</v>
      </c>
      <c r="B449" s="96">
        <v>39173</v>
      </c>
      <c r="C449" s="97">
        <v>3006294500</v>
      </c>
      <c r="D449" s="109">
        <v>1482.3673207519601</v>
      </c>
      <c r="E449" s="99">
        <f t="shared" si="20"/>
        <v>4.3286030411022851E-2</v>
      </c>
      <c r="F449" s="99">
        <f t="shared" si="21"/>
        <v>0.1310497395621186</v>
      </c>
      <c r="G449" s="101"/>
      <c r="H449" s="112">
        <f t="shared" si="22"/>
        <v>4971.2855166922463</v>
      </c>
      <c r="I449" s="110">
        <v>4.4295311164845419E-2</v>
      </c>
      <c r="J449" s="110">
        <v>0.15236386124336887</v>
      </c>
    </row>
    <row r="450" spans="1:10" x14ac:dyDescent="0.3">
      <c r="A450">
        <v>449</v>
      </c>
      <c r="B450" s="96">
        <v>39203</v>
      </c>
      <c r="C450" s="97">
        <v>3104253600</v>
      </c>
      <c r="D450" s="109">
        <v>1530.62116056332</v>
      </c>
      <c r="E450" s="99">
        <f t="shared" si="20"/>
        <v>3.2551877753809529E-2</v>
      </c>
      <c r="F450" s="99">
        <f t="shared" si="21"/>
        <v>0.20512824028689858</v>
      </c>
      <c r="G450" s="101"/>
      <c r="H450" s="112">
        <f t="shared" si="22"/>
        <v>5144.7587852537872</v>
      </c>
      <c r="I450" s="110">
        <v>3.4895052392196035E-2</v>
      </c>
      <c r="J450" s="110">
        <v>0.22791672627012138</v>
      </c>
    </row>
    <row r="451" spans="1:10" x14ac:dyDescent="0.3">
      <c r="A451">
        <v>450</v>
      </c>
      <c r="B451" s="96">
        <v>39234</v>
      </c>
      <c r="C451" s="97">
        <v>3261343300</v>
      </c>
      <c r="D451" s="109">
        <v>1503.34859621028</v>
      </c>
      <c r="E451" s="99">
        <f t="shared" si="20"/>
        <v>-1.7817971589392377E-2</v>
      </c>
      <c r="F451" s="99">
        <f t="shared" si="21"/>
        <v>0.18354858387903078</v>
      </c>
      <c r="G451" s="101"/>
      <c r="H451" s="112">
        <f t="shared" si="22"/>
        <v>5059.2879211991312</v>
      </c>
      <c r="I451" s="110">
        <v>-1.661319172040443E-2</v>
      </c>
      <c r="J451" s="110">
        <v>0.20588241361420145</v>
      </c>
    </row>
    <row r="452" spans="1:10" x14ac:dyDescent="0.3">
      <c r="A452">
        <v>451</v>
      </c>
      <c r="B452" s="96">
        <v>39264</v>
      </c>
      <c r="C452" s="97">
        <v>3564664200</v>
      </c>
      <c r="D452" s="109">
        <v>1455.27477802626</v>
      </c>
      <c r="E452" s="99">
        <f t="shared" ref="E452:E511" si="25">(D452-D451)/D451</f>
        <v>-3.1977824907148587E-2</v>
      </c>
      <c r="F452" s="99">
        <f t="shared" si="21"/>
        <v>0.13990755302891963</v>
      </c>
      <c r="G452" s="101"/>
      <c r="H452" s="112">
        <f t="shared" si="22"/>
        <v>4902.4254526818304</v>
      </c>
      <c r="I452" s="110">
        <v>-3.1004851070053685E-2</v>
      </c>
      <c r="J452" s="110">
        <v>0.16133050059072418</v>
      </c>
    </row>
    <row r="453" spans="1:10" x14ac:dyDescent="0.3">
      <c r="A453">
        <v>452</v>
      </c>
      <c r="B453" s="96">
        <v>39295</v>
      </c>
      <c r="C453" s="97">
        <v>4091885600</v>
      </c>
      <c r="D453" s="109">
        <v>1473.9879120601499</v>
      </c>
      <c r="E453" s="99">
        <f t="shared" si="25"/>
        <v>1.2858832102669911E-2</v>
      </c>
      <c r="F453" s="99">
        <f t="shared" si="21"/>
        <v>0.13051621658864676</v>
      </c>
      <c r="G453" s="101"/>
      <c r="H453" s="112">
        <f t="shared" si="22"/>
        <v>4975.9136919292696</v>
      </c>
      <c r="I453" s="110">
        <v>1.4990179852146124E-2</v>
      </c>
      <c r="J453" s="110">
        <v>0.15134511355927538</v>
      </c>
    </row>
    <row r="454" spans="1:10" x14ac:dyDescent="0.3">
      <c r="A454">
        <v>453</v>
      </c>
      <c r="B454" s="96">
        <v>39326</v>
      </c>
      <c r="C454" s="97">
        <v>3196581500</v>
      </c>
      <c r="D454" s="109">
        <v>1526.7467302933801</v>
      </c>
      <c r="E454" s="99">
        <f t="shared" si="25"/>
        <v>3.5793250271293403E-2</v>
      </c>
      <c r="F454" s="99">
        <f t="shared" si="21"/>
        <v>0.14290539147983297</v>
      </c>
      <c r="G454" s="101"/>
      <c r="H454" s="112">
        <f t="shared" si="22"/>
        <v>5162.005715975768</v>
      </c>
      <c r="I454" s="110">
        <v>3.7398563473544977E-2</v>
      </c>
      <c r="J454" s="110">
        <v>0.16439689997847595</v>
      </c>
    </row>
    <row r="455" spans="1:10" x14ac:dyDescent="0.3">
      <c r="A455">
        <v>454</v>
      </c>
      <c r="B455" s="96">
        <v>39356</v>
      </c>
      <c r="C455" s="97">
        <v>3477202100</v>
      </c>
      <c r="D455" s="109">
        <v>1549.3773178578999</v>
      </c>
      <c r="E455" s="99">
        <f t="shared" si="25"/>
        <v>1.4822751616550786E-2</v>
      </c>
      <c r="F455" s="99">
        <f t="shared" si="21"/>
        <v>0.12441356402548305</v>
      </c>
      <c r="G455" s="101"/>
      <c r="H455" s="112">
        <f t="shared" si="22"/>
        <v>5244.1163387293036</v>
      </c>
      <c r="I455" s="110">
        <v>1.5906728367117706E-2</v>
      </c>
      <c r="J455" s="110">
        <v>0.14558855086890388</v>
      </c>
    </row>
    <row r="456" spans="1:10" x14ac:dyDescent="0.3">
      <c r="A456">
        <v>455</v>
      </c>
      <c r="B456" s="96">
        <v>39387</v>
      </c>
      <c r="C456" s="97">
        <v>4317578500</v>
      </c>
      <c r="D456" s="109">
        <v>1481.14315797736</v>
      </c>
      <c r="E456" s="99">
        <f t="shared" si="25"/>
        <v>-4.4039730731877114E-2</v>
      </c>
      <c r="F456" s="99">
        <f t="shared" si="21"/>
        <v>5.7480236186740412E-2</v>
      </c>
      <c r="G456" s="101"/>
      <c r="H456" s="112">
        <f t="shared" si="22"/>
        <v>5024.8784444369121</v>
      </c>
      <c r="I456" s="110">
        <v>-4.1806451293472713E-2</v>
      </c>
      <c r="J456" s="110">
        <v>7.7211446807227579E-2</v>
      </c>
    </row>
    <row r="457" spans="1:10" x14ac:dyDescent="0.3">
      <c r="A457">
        <v>456</v>
      </c>
      <c r="B457" s="102">
        <v>39417</v>
      </c>
      <c r="C457" s="103">
        <v>3363127500</v>
      </c>
      <c r="D457" s="108">
        <v>1468.35517406699</v>
      </c>
      <c r="E457" s="105">
        <f t="shared" si="25"/>
        <v>-8.6338608401859158E-3</v>
      </c>
      <c r="F457" s="105">
        <f t="shared" si="21"/>
        <v>3.5292019475560842E-2</v>
      </c>
      <c r="G457" s="107"/>
      <c r="H457" s="113">
        <f t="shared" si="22"/>
        <v>4990.016752328952</v>
      </c>
      <c r="I457" s="111">
        <v>-6.9378179976782306E-3</v>
      </c>
      <c r="J457" s="111">
        <v>5.493962610589409E-2</v>
      </c>
    </row>
    <row r="458" spans="1:10" x14ac:dyDescent="0.3">
      <c r="A458">
        <v>457</v>
      </c>
      <c r="B458" s="96">
        <v>39448</v>
      </c>
      <c r="C458" s="97">
        <v>4925982300</v>
      </c>
      <c r="D458" s="109">
        <v>1378.5472934583499</v>
      </c>
      <c r="E458" s="99">
        <f t="shared" si="25"/>
        <v>-6.1162232540710078E-2</v>
      </c>
      <c r="F458" s="99">
        <f t="shared" si="21"/>
        <v>-4.1505919718436243E-2</v>
      </c>
      <c r="G458" s="101"/>
      <c r="H458" s="112">
        <f t="shared" si="22"/>
        <v>4690.7086136133257</v>
      </c>
      <c r="I458" s="110">
        <v>-5.9981389556644782E-2</v>
      </c>
      <c r="J458" s="110">
        <v>-2.3111145558129542E-2</v>
      </c>
    </row>
    <row r="459" spans="1:10" x14ac:dyDescent="0.3">
      <c r="A459">
        <v>458</v>
      </c>
      <c r="B459" s="96">
        <v>39479</v>
      </c>
      <c r="C459" s="97">
        <v>4148143000</v>
      </c>
      <c r="D459" s="109">
        <v>1330.6329513220001</v>
      </c>
      <c r="E459" s="99">
        <f t="shared" si="25"/>
        <v>-3.4757126116542275E-2</v>
      </c>
      <c r="F459" s="99">
        <f t="shared" si="21"/>
        <v>-5.4154839374805121E-2</v>
      </c>
      <c r="G459" s="101"/>
      <c r="H459" s="112">
        <f t="shared" si="22"/>
        <v>4538.3271880674492</v>
      </c>
      <c r="I459" s="110">
        <v>-3.2485800781493213E-2</v>
      </c>
      <c r="J459" s="110">
        <v>-3.5991164564129652E-2</v>
      </c>
    </row>
    <row r="460" spans="1:10" x14ac:dyDescent="0.3">
      <c r="A460">
        <v>459</v>
      </c>
      <c r="B460" s="96">
        <v>39508</v>
      </c>
      <c r="C460" s="97">
        <v>4661172000</v>
      </c>
      <c r="D460" s="109">
        <v>1322.7034376367999</v>
      </c>
      <c r="E460" s="99">
        <f t="shared" si="25"/>
        <v>-5.959204360092011E-3</v>
      </c>
      <c r="F460" s="99">
        <f t="shared" si="21"/>
        <v>-6.9084970003858451E-2</v>
      </c>
      <c r="G460" s="101"/>
      <c r="H460" s="112">
        <f t="shared" si="22"/>
        <v>4518.7304685154522</v>
      </c>
      <c r="I460" s="110">
        <v>-4.3180490828256257E-3</v>
      </c>
      <c r="J460" s="110">
        <v>-5.0770867043615664E-2</v>
      </c>
    </row>
    <row r="461" spans="1:10" x14ac:dyDescent="0.3">
      <c r="A461">
        <v>460</v>
      </c>
      <c r="B461" s="96">
        <v>39539</v>
      </c>
      <c r="C461" s="97">
        <v>4113069000</v>
      </c>
      <c r="D461" s="109">
        <v>1385.58651455924</v>
      </c>
      <c r="E461" s="99">
        <f t="shared" si="25"/>
        <v>4.7541327203919376E-2</v>
      </c>
      <c r="F461" s="99">
        <f t="shared" si="21"/>
        <v>-6.5288005771488619E-2</v>
      </c>
      <c r="G461" s="101"/>
      <c r="H461" s="112">
        <f t="shared" si="22"/>
        <v>4738.8078822056768</v>
      </c>
      <c r="I461" s="110">
        <v>4.8703372600695793E-2</v>
      </c>
      <c r="J461" s="110">
        <v>-4.6764088223453015E-2</v>
      </c>
    </row>
    <row r="462" spans="1:10" x14ac:dyDescent="0.3">
      <c r="A462">
        <v>461</v>
      </c>
      <c r="B462" s="96">
        <v>39569</v>
      </c>
      <c r="C462" s="114">
        <v>4039814700</v>
      </c>
      <c r="D462" s="109">
        <v>1400.37667926584</v>
      </c>
      <c r="E462" s="99">
        <f t="shared" si="25"/>
        <v>1.067429897100643E-2</v>
      </c>
      <c r="F462" s="99">
        <f t="shared" si="21"/>
        <v>-8.5092565458552552E-2</v>
      </c>
      <c r="G462" s="115"/>
      <c r="H462" s="112">
        <f t="shared" si="22"/>
        <v>4800.1880014781818</v>
      </c>
      <c r="I462" s="110">
        <v>1.2952649864323096E-2</v>
      </c>
      <c r="J462" s="110">
        <v>-6.697510965202802E-2</v>
      </c>
    </row>
    <row r="463" spans="1:10" x14ac:dyDescent="0.3">
      <c r="A463">
        <v>462</v>
      </c>
      <c r="B463" s="96">
        <v>39600</v>
      </c>
      <c r="C463" s="114">
        <v>4840303300</v>
      </c>
      <c r="D463" s="109">
        <v>1280.0012286060501</v>
      </c>
      <c r="E463" s="99">
        <f t="shared" si="25"/>
        <v>-8.5959336828500946E-2</v>
      </c>
      <c r="F463" s="99">
        <f t="shared" ref="F463:F511" si="26">(D463-D451)/D451</f>
        <v>-0.14856658539959108</v>
      </c>
      <c r="G463" s="115"/>
      <c r="H463" s="112">
        <f t="shared" si="22"/>
        <v>4395.5136872051262</v>
      </c>
      <c r="I463" s="110">
        <v>-8.4303846880255384E-2</v>
      </c>
      <c r="J463" s="110">
        <v>-0.13119914192127691</v>
      </c>
    </row>
    <row r="464" spans="1:10" x14ac:dyDescent="0.3">
      <c r="A464">
        <v>463</v>
      </c>
      <c r="B464" s="96">
        <v>39630</v>
      </c>
      <c r="C464" s="114">
        <v>5923937200</v>
      </c>
      <c r="D464" s="109">
        <v>1267.3809097025801</v>
      </c>
      <c r="E464" s="99">
        <f t="shared" si="25"/>
        <v>-9.8596146795997906E-3</v>
      </c>
      <c r="F464" s="99">
        <f t="shared" si="26"/>
        <v>-0.12911229628985535</v>
      </c>
      <c r="G464" s="115"/>
      <c r="H464" s="112">
        <f t="shared" si="22"/>
        <v>4358.5640151515245</v>
      </c>
      <c r="I464" s="110">
        <v>-8.4062238643820564E-3</v>
      </c>
      <c r="J464" s="110">
        <v>-0.11093721725697892</v>
      </c>
    </row>
    <row r="465" spans="1:18" x14ac:dyDescent="0.3">
      <c r="A465">
        <v>464</v>
      </c>
      <c r="B465" s="96">
        <v>39661</v>
      </c>
      <c r="C465" s="114">
        <v>4264482300</v>
      </c>
      <c r="D465" s="109">
        <v>1282.8279671284099</v>
      </c>
      <c r="E465" s="99">
        <f t="shared" si="25"/>
        <v>1.2188172717115356E-2</v>
      </c>
      <c r="F465" s="99">
        <f t="shared" si="26"/>
        <v>-0.12968895020622073</v>
      </c>
      <c r="G465" s="115"/>
      <c r="H465" s="112">
        <f t="shared" si="22"/>
        <v>4421.610190960967</v>
      </c>
      <c r="I465" s="110">
        <v>1.4464896142462713E-2</v>
      </c>
      <c r="J465" s="110">
        <v>-0.11139733027672138</v>
      </c>
      <c r="P465" s="48">
        <f>1+I465</f>
        <v>1.0144648961424627</v>
      </c>
    </row>
    <row r="466" spans="1:18" x14ac:dyDescent="0.3">
      <c r="A466">
        <v>465</v>
      </c>
      <c r="B466" s="96">
        <v>39692</v>
      </c>
      <c r="C466" s="114">
        <v>6900428500</v>
      </c>
      <c r="D466" s="109">
        <v>1166.3614179789499</v>
      </c>
      <c r="E466" s="99">
        <f t="shared" si="25"/>
        <v>-9.0788907112906575E-2</v>
      </c>
      <c r="F466" s="99">
        <f t="shared" si="26"/>
        <v>-0.23604786908250225</v>
      </c>
      <c r="G466" s="115"/>
      <c r="H466" s="112">
        <f t="shared" si="22"/>
        <v>4027.6116207830369</v>
      </c>
      <c r="I466" s="110">
        <v>-8.9107486449930717E-2</v>
      </c>
      <c r="J466" s="110">
        <v>-0.2197583957882735</v>
      </c>
      <c r="P466">
        <f>P465*(1+I466)</f>
        <v>0.92406847915551782</v>
      </c>
    </row>
    <row r="467" spans="1:18" x14ac:dyDescent="0.3">
      <c r="A467">
        <v>466</v>
      </c>
      <c r="B467" s="96">
        <v>39722</v>
      </c>
      <c r="C467" s="114">
        <v>7226593900</v>
      </c>
      <c r="D467" s="109">
        <v>968.75377014091805</v>
      </c>
      <c r="E467" s="99">
        <f t="shared" si="25"/>
        <v>-0.16942231180832684</v>
      </c>
      <c r="F467" s="99">
        <f t="shared" si="26"/>
        <v>-0.37474638425695178</v>
      </c>
      <c r="G467" s="115"/>
      <c r="H467" s="112">
        <f t="shared" si="22"/>
        <v>3351.1840119474614</v>
      </c>
      <c r="I467" s="110">
        <v>-0.16794757601381294</v>
      </c>
      <c r="J467" s="110">
        <v>-0.36096306880188667</v>
      </c>
      <c r="P467">
        <f t="shared" ref="P467:P469" si="27">P466*(1+I467)</f>
        <v>0.76887341801057796</v>
      </c>
    </row>
    <row r="468" spans="1:18" x14ac:dyDescent="0.3">
      <c r="A468">
        <v>467</v>
      </c>
      <c r="B468" s="96">
        <v>39753</v>
      </c>
      <c r="C468" s="114">
        <v>6199530000</v>
      </c>
      <c r="D468" s="109">
        <v>896.23713616059899</v>
      </c>
      <c r="E468" s="99">
        <f t="shared" si="25"/>
        <v>-7.4855588917884214E-2</v>
      </c>
      <c r="F468" s="99">
        <f t="shared" si="26"/>
        <v>-0.39490174779290416</v>
      </c>
      <c r="G468" s="115"/>
      <c r="H468" s="112">
        <f t="shared" si="22"/>
        <v>3110.7201246325344</v>
      </c>
      <c r="I468" s="110">
        <v>-7.1754904074988968E-2</v>
      </c>
      <c r="J468" s="110">
        <v>-0.3809362437261663</v>
      </c>
      <c r="P468">
        <f t="shared" si="27"/>
        <v>0.71370297965542007</v>
      </c>
    </row>
    <row r="469" spans="1:18" x14ac:dyDescent="0.3">
      <c r="A469">
        <v>468</v>
      </c>
      <c r="B469" s="102">
        <v>39783</v>
      </c>
      <c r="C469" s="116">
        <v>5320791300</v>
      </c>
      <c r="D469" s="108">
        <v>903.25492143355405</v>
      </c>
      <c r="E469" s="105">
        <f t="shared" si="25"/>
        <v>7.8302772668164891E-3</v>
      </c>
      <c r="F469" s="105">
        <f t="shared" si="26"/>
        <v>-0.38485256334013823</v>
      </c>
      <c r="G469" s="117"/>
      <c r="H469" s="113">
        <f t="shared" si="22"/>
        <v>3143.8183932630868</v>
      </c>
      <c r="I469" s="111">
        <v>1.0640066384777214E-2</v>
      </c>
      <c r="J469" s="111">
        <v>-0.36997838899122026</v>
      </c>
      <c r="P469">
        <f t="shared" si="27"/>
        <v>0.72129682673796702</v>
      </c>
      <c r="Q469" s="37">
        <f>P469-1</f>
        <v>-0.27870317326203298</v>
      </c>
    </row>
    <row r="470" spans="1:18" x14ac:dyDescent="0.3">
      <c r="A470">
        <v>469</v>
      </c>
      <c r="B470" s="118">
        <v>39814</v>
      </c>
      <c r="C470" s="119">
        <v>5844561500</v>
      </c>
      <c r="D470" s="120">
        <v>825.88165263162</v>
      </c>
      <c r="E470" s="99">
        <f t="shared" si="25"/>
        <v>-8.5660500669218709E-2</v>
      </c>
      <c r="F470" s="99">
        <f t="shared" si="26"/>
        <v>-0.40090437480767332</v>
      </c>
      <c r="G470" s="115"/>
      <c r="H470" s="112">
        <f t="shared" si="22"/>
        <v>2878.8375103377271</v>
      </c>
      <c r="I470" s="121">
        <v>-8.4286319939214538E-2</v>
      </c>
      <c r="J470" s="121">
        <v>-0.38626809988094468</v>
      </c>
    </row>
    <row r="471" spans="1:18" x14ac:dyDescent="0.3">
      <c r="A471">
        <v>470</v>
      </c>
      <c r="B471" s="96">
        <v>39845</v>
      </c>
      <c r="C471" s="122">
        <v>7022036200</v>
      </c>
      <c r="D471" s="123">
        <v>735.09218156952898</v>
      </c>
      <c r="E471" s="99">
        <f t="shared" si="25"/>
        <v>-0.10993036444482823</v>
      </c>
      <c r="F471" s="99">
        <f t="shared" si="26"/>
        <v>-0.44756201863240652</v>
      </c>
      <c r="G471" s="115"/>
      <c r="H471" s="112">
        <f t="shared" si="22"/>
        <v>2572.3069083489891</v>
      </c>
      <c r="I471" s="110">
        <v>-0.10647721550382938</v>
      </c>
      <c r="J471" s="110">
        <v>-0.43320373305998883</v>
      </c>
    </row>
    <row r="472" spans="1:18" x14ac:dyDescent="0.3">
      <c r="A472">
        <v>471</v>
      </c>
      <c r="B472" s="96">
        <v>39873</v>
      </c>
      <c r="C472" s="122">
        <v>7633306300</v>
      </c>
      <c r="D472" s="123">
        <v>797.866805412806</v>
      </c>
      <c r="E472" s="99">
        <f t="shared" si="25"/>
        <v>8.539694125061166E-2</v>
      </c>
      <c r="F472" s="99">
        <f t="shared" si="26"/>
        <v>-0.39679085824536003</v>
      </c>
      <c r="G472" s="115"/>
      <c r="H472" s="112">
        <f t="shared" si="22"/>
        <v>2797.6269908560953</v>
      </c>
      <c r="I472" s="110">
        <v>8.7594556378859822E-2</v>
      </c>
      <c r="J472" s="110">
        <v>-0.38088208395062673</v>
      </c>
    </row>
    <row r="473" spans="1:18" x14ac:dyDescent="0.3">
      <c r="A473">
        <v>472</v>
      </c>
      <c r="B473" s="96">
        <v>39904</v>
      </c>
      <c r="C473" s="122">
        <v>6938945600</v>
      </c>
      <c r="D473" s="123">
        <v>872.80722850034499</v>
      </c>
      <c r="E473" s="99">
        <f t="shared" si="25"/>
        <v>9.3925981854534948E-2</v>
      </c>
      <c r="F473" s="99">
        <f t="shared" si="26"/>
        <v>-0.37008103115236501</v>
      </c>
      <c r="G473" s="115"/>
      <c r="H473" s="112">
        <f t="shared" si="22"/>
        <v>3065.386077149542</v>
      </c>
      <c r="I473" s="110">
        <v>9.570935909919509E-2</v>
      </c>
      <c r="J473" s="110">
        <v>-0.35313138803112687</v>
      </c>
    </row>
    <row r="474" spans="1:18" x14ac:dyDescent="0.3">
      <c r="A474">
        <v>473</v>
      </c>
      <c r="B474" s="96">
        <v>39934</v>
      </c>
      <c r="C474" s="122">
        <v>6883268000</v>
      </c>
      <c r="D474" s="123">
        <v>919.13986299999999</v>
      </c>
      <c r="E474" s="99">
        <f t="shared" si="25"/>
        <v>5.3084613631424214E-2</v>
      </c>
      <c r="F474" s="99">
        <f t="shared" si="26"/>
        <v>-0.3436481222453181</v>
      </c>
      <c r="G474" s="115"/>
      <c r="H474" s="112">
        <f t="shared" si="22"/>
        <v>3236.8421391312349</v>
      </c>
      <c r="I474" s="110">
        <v>5.5932942104678585E-2</v>
      </c>
      <c r="J474" s="110">
        <v>-0.32568403166233273</v>
      </c>
    </row>
    <row r="475" spans="1:18" x14ac:dyDescent="0.3">
      <c r="A475">
        <v>474</v>
      </c>
      <c r="B475" s="96">
        <v>39965</v>
      </c>
      <c r="C475" s="122">
        <v>5330941800</v>
      </c>
      <c r="D475" s="123">
        <v>919.32</v>
      </c>
      <c r="E475" s="99">
        <f t="shared" si="25"/>
        <v>1.9598431887406763E-4</v>
      </c>
      <c r="F475" s="99">
        <f t="shared" si="26"/>
        <v>-0.28178193938051133</v>
      </c>
      <c r="G475" s="115"/>
      <c r="H475" s="112">
        <f t="shared" ref="H475:H511" si="28">(1+I475)*H474</f>
        <v>3243.2628372726685</v>
      </c>
      <c r="I475" s="124">
        <v>1.9836302993623267E-3</v>
      </c>
      <c r="J475" s="124">
        <v>-0.26214241708367125</v>
      </c>
    </row>
    <row r="476" spans="1:18" x14ac:dyDescent="0.3">
      <c r="A476">
        <v>475</v>
      </c>
      <c r="B476" s="96">
        <v>39995</v>
      </c>
      <c r="C476" s="122">
        <v>5080675400</v>
      </c>
      <c r="D476" s="123">
        <v>987.48</v>
      </c>
      <c r="E476" s="99">
        <f t="shared" si="25"/>
        <v>7.4141756950789672E-2</v>
      </c>
      <c r="F476" s="99">
        <f t="shared" si="26"/>
        <v>-0.22084987043734564</v>
      </c>
      <c r="G476" s="115"/>
      <c r="H476" s="112">
        <f t="shared" si="28"/>
        <v>3488.5745417088938</v>
      </c>
      <c r="I476" s="124">
        <v>7.5637318572217005E-2</v>
      </c>
      <c r="J476" s="124">
        <v>-0.19960459493580507</v>
      </c>
      <c r="R476" s="48">
        <f>1+I476</f>
        <v>1.075637318572217</v>
      </c>
    </row>
    <row r="477" spans="1:18" x14ac:dyDescent="0.3">
      <c r="A477">
        <v>476</v>
      </c>
      <c r="B477" s="96">
        <v>40026</v>
      </c>
      <c r="C477" s="122">
        <v>5764944200</v>
      </c>
      <c r="D477" s="123">
        <v>1020.624637</v>
      </c>
      <c r="E477" s="99">
        <f t="shared" si="25"/>
        <v>3.3564869161907061E-2</v>
      </c>
      <c r="F477" s="99">
        <f t="shared" si="26"/>
        <v>-0.2043947722120121</v>
      </c>
      <c r="G477" s="115"/>
      <c r="H477" s="112">
        <f t="shared" si="28"/>
        <v>3614.5120826645848</v>
      </c>
      <c r="I477" s="124">
        <v>3.61E-2</v>
      </c>
      <c r="J477" s="124">
        <v>-0.18253</v>
      </c>
      <c r="R477">
        <f>R476*(1+I477)</f>
        <v>1.1144678257726741</v>
      </c>
    </row>
    <row r="478" spans="1:18" x14ac:dyDescent="0.3">
      <c r="A478">
        <v>477</v>
      </c>
      <c r="B478" s="96">
        <v>40057</v>
      </c>
      <c r="C478" s="122">
        <v>5633064200</v>
      </c>
      <c r="D478" s="123">
        <v>1057.0785579753399</v>
      </c>
      <c r="E478" s="99">
        <f t="shared" si="25"/>
        <v>3.5717265343007669E-2</v>
      </c>
      <c r="F478" s="99">
        <f t="shared" si="26"/>
        <v>-9.369553752298615E-2</v>
      </c>
      <c r="G478" s="115"/>
      <c r="H478" s="112">
        <f t="shared" si="28"/>
        <v>3749.3333833479742</v>
      </c>
      <c r="I478" s="124">
        <v>3.73E-2</v>
      </c>
      <c r="J478" s="124">
        <v>-6.9099999999999995E-2</v>
      </c>
      <c r="R478">
        <f t="shared" ref="R478:R493" si="29">R477*(1+I478)</f>
        <v>1.1560374756739951</v>
      </c>
    </row>
    <row r="479" spans="1:18" x14ac:dyDescent="0.3">
      <c r="A479">
        <v>478</v>
      </c>
      <c r="B479" s="96">
        <v>40087</v>
      </c>
      <c r="C479" s="122">
        <v>5451064000</v>
      </c>
      <c r="D479" s="123">
        <v>1036.1945371475999</v>
      </c>
      <c r="E479" s="99">
        <f t="shared" si="25"/>
        <v>-1.975635648852803E-2</v>
      </c>
      <c r="F479" s="99">
        <f t="shared" si="26"/>
        <v>6.9616004691131911E-2</v>
      </c>
      <c r="G479" s="115"/>
      <c r="H479" s="112">
        <f t="shared" si="28"/>
        <v>3679.6819982101028</v>
      </c>
      <c r="I479" s="124">
        <v>-1.8577005034339233E-2</v>
      </c>
      <c r="J479" s="124">
        <v>9.8045412977008306E-2</v>
      </c>
      <c r="R479">
        <f t="shared" si="29"/>
        <v>1.1345617616685144</v>
      </c>
    </row>
    <row r="480" spans="1:18" x14ac:dyDescent="0.3">
      <c r="A480">
        <v>479</v>
      </c>
      <c r="B480" s="96">
        <v>40118</v>
      </c>
      <c r="C480" s="122">
        <v>4443852500</v>
      </c>
      <c r="D480" s="109">
        <v>1095.6300000000001</v>
      </c>
      <c r="E480" s="99">
        <f t="shared" si="25"/>
        <v>5.7359367108817269E-2</v>
      </c>
      <c r="F480" s="99">
        <f t="shared" si="26"/>
        <v>0.22247779721958699</v>
      </c>
      <c r="G480" s="115"/>
      <c r="H480" s="112">
        <f t="shared" si="28"/>
        <v>3900.4629181027094</v>
      </c>
      <c r="I480" s="121">
        <v>0.06</v>
      </c>
      <c r="J480" s="121">
        <f>(H480-H468)/H468</f>
        <v>0.2538778037974298</v>
      </c>
      <c r="R480">
        <f t="shared" si="29"/>
        <v>1.2026354673686253</v>
      </c>
    </row>
    <row r="481" spans="1:19" x14ac:dyDescent="0.3">
      <c r="A481">
        <v>480</v>
      </c>
      <c r="B481" s="102">
        <v>40148</v>
      </c>
      <c r="C481" s="125">
        <v>4163287200</v>
      </c>
      <c r="D481" s="108">
        <v>1115.0999999999999</v>
      </c>
      <c r="E481" s="105">
        <f t="shared" si="25"/>
        <v>1.7770597738287375E-2</v>
      </c>
      <c r="F481" s="105">
        <f t="shared" si="26"/>
        <v>0.23453520544369355</v>
      </c>
      <c r="G481" s="117"/>
      <c r="H481" s="113">
        <f t="shared" si="28"/>
        <v>3975.7418524220921</v>
      </c>
      <c r="I481" s="111">
        <v>1.9300000000000001E-2</v>
      </c>
      <c r="J481" s="111">
        <f t="shared" ref="J481:J511" si="30">(H481-H469)/H469</f>
        <v>0.26462198355405658</v>
      </c>
      <c r="R481">
        <f t="shared" si="29"/>
        <v>1.2258463318888397</v>
      </c>
    </row>
    <row r="482" spans="1:19" x14ac:dyDescent="0.3">
      <c r="A482">
        <v>481</v>
      </c>
      <c r="B482" s="96">
        <v>40179</v>
      </c>
      <c r="C482" s="122">
        <v>5071601500</v>
      </c>
      <c r="D482" s="109">
        <v>1073.8699999999999</v>
      </c>
      <c r="E482" s="99">
        <f t="shared" si="25"/>
        <v>-3.6974262397991231E-2</v>
      </c>
      <c r="F482" s="99">
        <f t="shared" si="26"/>
        <v>0.3002710455888935</v>
      </c>
      <c r="G482" s="115"/>
      <c r="H482" s="112">
        <f t="shared" si="28"/>
        <v>3832.6151457348965</v>
      </c>
      <c r="I482" s="121">
        <v>-3.5999999999999997E-2</v>
      </c>
      <c r="J482" s="121">
        <f t="shared" si="30"/>
        <v>0.33130651937534267</v>
      </c>
      <c r="R482">
        <f t="shared" si="29"/>
        <v>1.1817158639408414</v>
      </c>
    </row>
    <row r="483" spans="1:19" x14ac:dyDescent="0.3">
      <c r="A483">
        <v>482</v>
      </c>
      <c r="B483" s="96">
        <v>40210</v>
      </c>
      <c r="C483" s="122">
        <v>4658238400</v>
      </c>
      <c r="D483" s="109">
        <v>1104.49</v>
      </c>
      <c r="E483" s="99">
        <f t="shared" si="25"/>
        <v>2.8513693463827205E-2</v>
      </c>
      <c r="F483" s="99">
        <f t="shared" si="26"/>
        <v>0.50251904141022541</v>
      </c>
      <c r="G483" s="115"/>
      <c r="H483" s="112">
        <f t="shared" si="28"/>
        <v>3951.426215252678</v>
      </c>
      <c r="I483" s="121">
        <v>3.1E-2</v>
      </c>
      <c r="J483" s="121">
        <f t="shared" si="30"/>
        <v>0.53614104227899606</v>
      </c>
      <c r="R483">
        <f t="shared" si="29"/>
        <v>1.2183490557230074</v>
      </c>
    </row>
    <row r="484" spans="1:19" x14ac:dyDescent="0.3">
      <c r="A484">
        <v>483</v>
      </c>
      <c r="B484" s="96">
        <v>40238</v>
      </c>
      <c r="C484" s="122">
        <v>4702951700</v>
      </c>
      <c r="D484" s="109">
        <v>1169.43</v>
      </c>
      <c r="E484" s="99">
        <f t="shared" si="25"/>
        <v>5.8796367554255859E-2</v>
      </c>
      <c r="F484" s="99">
        <f t="shared" si="26"/>
        <v>0.46569576784805838</v>
      </c>
      <c r="G484" s="115"/>
      <c r="H484" s="112">
        <f t="shared" si="28"/>
        <v>4189.6972160324149</v>
      </c>
      <c r="I484" s="121">
        <v>6.0299999999999999E-2</v>
      </c>
      <c r="J484" s="121">
        <f t="shared" si="30"/>
        <v>0.49758964641327519</v>
      </c>
      <c r="R484">
        <f t="shared" si="29"/>
        <v>1.2918155037831047</v>
      </c>
    </row>
    <row r="485" spans="1:19" x14ac:dyDescent="0.3">
      <c r="A485">
        <v>484</v>
      </c>
      <c r="B485" s="96">
        <v>40269</v>
      </c>
      <c r="C485" s="122">
        <v>5847150900</v>
      </c>
      <c r="D485" s="109">
        <v>1186.69</v>
      </c>
      <c r="E485" s="99">
        <f t="shared" si="25"/>
        <v>1.475932719359003E-2</v>
      </c>
      <c r="F485" s="99">
        <f t="shared" si="26"/>
        <v>0.3596243949983865</v>
      </c>
      <c r="G485" s="115"/>
      <c r="H485" s="112">
        <f t="shared" si="28"/>
        <v>4255.8944320457276</v>
      </c>
      <c r="I485" s="121">
        <v>1.5800000000000002E-2</v>
      </c>
      <c r="J485" s="121">
        <f t="shared" si="30"/>
        <v>0.38837142367503086</v>
      </c>
      <c r="R485">
        <f t="shared" si="29"/>
        <v>1.3122261887428779</v>
      </c>
    </row>
    <row r="486" spans="1:19" x14ac:dyDescent="0.3">
      <c r="A486">
        <v>485</v>
      </c>
      <c r="B486" s="118">
        <v>40299</v>
      </c>
      <c r="C486" s="119">
        <v>6626699400</v>
      </c>
      <c r="D486" s="126">
        <v>1089.4100000000001</v>
      </c>
      <c r="E486" s="99">
        <f t="shared" si="25"/>
        <v>-8.1975916203894841E-2</v>
      </c>
      <c r="F486" s="99">
        <f t="shared" si="26"/>
        <v>0.18524943140236763</v>
      </c>
      <c r="G486" s="115"/>
      <c r="H486" s="112">
        <f t="shared" si="28"/>
        <v>3915.8484669252739</v>
      </c>
      <c r="I486" s="121">
        <v>-7.9899999999999999E-2</v>
      </c>
      <c r="J486" s="121">
        <f t="shared" si="30"/>
        <v>0.20977431045688361</v>
      </c>
      <c r="R486">
        <f t="shared" si="29"/>
        <v>1.2073793162623221</v>
      </c>
    </row>
    <row r="487" spans="1:19" x14ac:dyDescent="0.3">
      <c r="A487">
        <v>486</v>
      </c>
      <c r="B487" s="96">
        <v>40330</v>
      </c>
      <c r="C487" s="122">
        <v>5235174000</v>
      </c>
      <c r="D487" s="109">
        <v>1030.71</v>
      </c>
      <c r="E487" s="99">
        <f t="shared" si="25"/>
        <v>-5.3882376699314345E-2</v>
      </c>
      <c r="F487" s="99">
        <f t="shared" si="26"/>
        <v>0.12116564417177912</v>
      </c>
      <c r="G487" s="115"/>
      <c r="H487" s="112">
        <f t="shared" si="28"/>
        <v>3711.049592105082</v>
      </c>
      <c r="I487" s="121">
        <v>-5.2299999999999999E-2</v>
      </c>
      <c r="J487" s="121">
        <f t="shared" si="30"/>
        <v>0.14423337802180278</v>
      </c>
      <c r="R487">
        <f t="shared" si="29"/>
        <v>1.1442333780218026</v>
      </c>
    </row>
    <row r="488" spans="1:19" x14ac:dyDescent="0.3">
      <c r="A488">
        <v>487</v>
      </c>
      <c r="B488" s="96">
        <v>40360</v>
      </c>
      <c r="C488" s="122">
        <v>4704026600</v>
      </c>
      <c r="D488" s="109">
        <v>1101.5999999999999</v>
      </c>
      <c r="E488" s="99">
        <f t="shared" si="25"/>
        <v>6.8777832756061225E-2</v>
      </c>
      <c r="F488" s="99">
        <f t="shared" si="26"/>
        <v>0.11556689755741877</v>
      </c>
      <c r="G488" s="115"/>
      <c r="H488" s="112">
        <f t="shared" si="28"/>
        <v>3971.1941685116485</v>
      </c>
      <c r="I488" s="121">
        <v>7.0099999999999996E-2</v>
      </c>
      <c r="J488" s="121">
        <f t="shared" si="30"/>
        <v>0.13834293091135766</v>
      </c>
      <c r="R488">
        <f t="shared" si="29"/>
        <v>1.224444137821131</v>
      </c>
    </row>
    <row r="489" spans="1:19" x14ac:dyDescent="0.3">
      <c r="A489">
        <v>488</v>
      </c>
      <c r="B489" s="96">
        <v>40391</v>
      </c>
      <c r="C489" s="122">
        <v>4044967700</v>
      </c>
      <c r="D489" s="109">
        <v>1049.33</v>
      </c>
      <c r="E489" s="99">
        <f t="shared" si="25"/>
        <v>-4.7449164851125623E-2</v>
      </c>
      <c r="F489" s="99">
        <f t="shared" si="26"/>
        <v>2.8125289121351985E-2</v>
      </c>
      <c r="G489" s="115"/>
      <c r="H489" s="112">
        <f t="shared" si="28"/>
        <v>3792.0933115117732</v>
      </c>
      <c r="I489" s="121">
        <v>-4.5100000000000001E-2</v>
      </c>
      <c r="J489" s="121">
        <f t="shared" si="30"/>
        <v>4.913006922812032E-2</v>
      </c>
      <c r="R489">
        <f t="shared" si="29"/>
        <v>1.1692217072053981</v>
      </c>
    </row>
    <row r="490" spans="1:19" x14ac:dyDescent="0.3">
      <c r="A490">
        <v>489</v>
      </c>
      <c r="B490" s="96">
        <v>40422</v>
      </c>
      <c r="C490" s="122">
        <v>3993981400</v>
      </c>
      <c r="D490" s="109">
        <v>1141.2</v>
      </c>
      <c r="E490" s="99">
        <f t="shared" si="25"/>
        <v>8.7551104037814728E-2</v>
      </c>
      <c r="F490" s="99">
        <f t="shared" si="26"/>
        <v>7.9579177337378723E-2</v>
      </c>
      <c r="G490" s="115"/>
      <c r="H490" s="112">
        <f t="shared" si="28"/>
        <v>4130.3480348986232</v>
      </c>
      <c r="I490" s="121">
        <v>8.9200000000000002E-2</v>
      </c>
      <c r="J490" s="121">
        <f t="shared" si="30"/>
        <v>0.10162197185314613</v>
      </c>
      <c r="R490">
        <f t="shared" si="29"/>
        <v>1.2735162834881195</v>
      </c>
    </row>
    <row r="491" spans="1:19" x14ac:dyDescent="0.3">
      <c r="A491">
        <v>490</v>
      </c>
      <c r="B491" s="96">
        <v>40452</v>
      </c>
      <c r="C491" s="122">
        <v>4432102300</v>
      </c>
      <c r="D491" s="109">
        <v>1183.26</v>
      </c>
      <c r="E491" s="99">
        <f t="shared" si="25"/>
        <v>3.6855941114616146E-2</v>
      </c>
      <c r="F491" s="99">
        <f t="shared" si="26"/>
        <v>0.14192842905467995</v>
      </c>
      <c r="G491" s="115"/>
      <c r="H491" s="112">
        <f t="shared" si="28"/>
        <v>4287.3012602247709</v>
      </c>
      <c r="I491" s="121">
        <v>3.7999999999999999E-2</v>
      </c>
      <c r="J491" s="121">
        <f t="shared" si="30"/>
        <v>0.16512819920586358</v>
      </c>
      <c r="R491">
        <f t="shared" si="29"/>
        <v>1.3219099022606682</v>
      </c>
    </row>
    <row r="492" spans="1:19" x14ac:dyDescent="0.3">
      <c r="A492">
        <v>491</v>
      </c>
      <c r="B492" s="96">
        <v>40483</v>
      </c>
      <c r="C492" s="122">
        <v>4354084200</v>
      </c>
      <c r="D492" s="109">
        <v>1180.55</v>
      </c>
      <c r="E492" s="99">
        <f t="shared" si="25"/>
        <v>-2.290282778087687E-3</v>
      </c>
      <c r="F492" s="99">
        <f t="shared" si="26"/>
        <v>7.7507917818971581E-2</v>
      </c>
      <c r="G492" s="115"/>
      <c r="H492" s="112">
        <f t="shared" si="28"/>
        <v>4287.7299903507937</v>
      </c>
      <c r="I492" s="121">
        <v>1E-4</v>
      </c>
      <c r="J492" s="121">
        <f t="shared" si="30"/>
        <v>9.928746417526807E-2</v>
      </c>
      <c r="R492">
        <f t="shared" si="29"/>
        <v>1.3220420932508943</v>
      </c>
    </row>
    <row r="493" spans="1:19" x14ac:dyDescent="0.3">
      <c r="A493">
        <v>492</v>
      </c>
      <c r="B493" s="102">
        <v>40513</v>
      </c>
      <c r="C493" s="125">
        <v>3762922700</v>
      </c>
      <c r="D493" s="108">
        <v>1257.6400000000001</v>
      </c>
      <c r="E493" s="105">
        <f t="shared" si="25"/>
        <v>6.5300072000338952E-2</v>
      </c>
      <c r="F493" s="105">
        <f t="shared" si="26"/>
        <v>0.12782710070845682</v>
      </c>
      <c r="G493" s="117"/>
      <c r="H493" s="113">
        <f t="shared" si="28"/>
        <v>4574.1503537062263</v>
      </c>
      <c r="I493" s="111">
        <v>6.6799999999999998E-2</v>
      </c>
      <c r="J493" s="111">
        <f t="shared" si="30"/>
        <v>0.15051492865905597</v>
      </c>
      <c r="R493">
        <f t="shared" si="29"/>
        <v>1.4103545050800539</v>
      </c>
      <c r="S493">
        <f>R493-1</f>
        <v>0.41035450508005389</v>
      </c>
    </row>
    <row r="494" spans="1:19" x14ac:dyDescent="0.3">
      <c r="A494">
        <v>493</v>
      </c>
      <c r="B494" s="96">
        <v>40544</v>
      </c>
      <c r="C494" s="122">
        <v>4816605000</v>
      </c>
      <c r="D494" s="109">
        <v>1286.1199999999999</v>
      </c>
      <c r="E494" s="99">
        <f t="shared" si="25"/>
        <v>2.2645590152984788E-2</v>
      </c>
      <c r="F494" s="99">
        <f t="shared" si="26"/>
        <v>0.19764962239377207</v>
      </c>
      <c r="G494" s="115"/>
      <c r="H494" s="112">
        <f t="shared" si="28"/>
        <v>4682.5577170890638</v>
      </c>
      <c r="I494" s="121">
        <v>2.3699999999999999E-2</v>
      </c>
      <c r="J494" s="121">
        <f t="shared" si="30"/>
        <v>0.22176569758119882</v>
      </c>
    </row>
    <row r="495" spans="1:19" x14ac:dyDescent="0.3">
      <c r="A495">
        <v>494</v>
      </c>
      <c r="B495" s="96">
        <v>40575</v>
      </c>
      <c r="C495" s="122">
        <v>3225297300</v>
      </c>
      <c r="D495" s="109">
        <v>1327.22</v>
      </c>
      <c r="E495" s="99">
        <f t="shared" si="25"/>
        <v>3.195658258949409E-2</v>
      </c>
      <c r="F495" s="99">
        <f t="shared" si="26"/>
        <v>0.20165868409854323</v>
      </c>
      <c r="G495" s="115"/>
      <c r="H495" s="112">
        <f t="shared" si="28"/>
        <v>4843.1694467852185</v>
      </c>
      <c r="I495" s="121">
        <v>3.4299999999999997E-2</v>
      </c>
      <c r="J495" s="121">
        <f t="shared" si="30"/>
        <v>0.22567629583727833</v>
      </c>
    </row>
    <row r="496" spans="1:19" x14ac:dyDescent="0.3">
      <c r="A496">
        <v>495</v>
      </c>
      <c r="B496" s="96">
        <v>40603</v>
      </c>
      <c r="C496" s="114">
        <v>4046691700</v>
      </c>
      <c r="D496" s="109">
        <v>1325.83</v>
      </c>
      <c r="E496" s="99">
        <f t="shared" si="25"/>
        <v>-1.047301879115821E-3</v>
      </c>
      <c r="F496" s="99">
        <f t="shared" si="26"/>
        <v>0.13374036923971494</v>
      </c>
      <c r="G496" s="115"/>
      <c r="H496" s="112">
        <f t="shared" si="28"/>
        <v>4845.1067145639327</v>
      </c>
      <c r="I496" s="121">
        <v>4.0000000000000002E-4</v>
      </c>
      <c r="J496" s="121">
        <f t="shared" si="30"/>
        <v>0.15643361912252493</v>
      </c>
    </row>
    <row r="497" spans="1:10" x14ac:dyDescent="0.3">
      <c r="A497">
        <v>496</v>
      </c>
      <c r="B497" s="96">
        <v>40634</v>
      </c>
      <c r="C497" s="114">
        <v>4042194000</v>
      </c>
      <c r="D497" s="109">
        <v>1363.61</v>
      </c>
      <c r="E497" s="99">
        <f t="shared" si="25"/>
        <v>2.8495357625034863E-2</v>
      </c>
      <c r="F497" s="99">
        <f t="shared" si="26"/>
        <v>0.14908695615535636</v>
      </c>
      <c r="G497" s="115"/>
      <c r="H497" s="112">
        <f t="shared" si="28"/>
        <v>4988.521873315025</v>
      </c>
      <c r="I497" s="121">
        <v>2.9600000000000001E-2</v>
      </c>
      <c r="J497" s="121">
        <f t="shared" si="30"/>
        <v>0.1721441762635868</v>
      </c>
    </row>
    <row r="498" spans="1:10" x14ac:dyDescent="0.3">
      <c r="A498">
        <v>497</v>
      </c>
      <c r="B498" s="96">
        <v>40664</v>
      </c>
      <c r="C498" s="114">
        <v>4114534200</v>
      </c>
      <c r="D498" s="109">
        <v>1345.2</v>
      </c>
      <c r="E498" s="99">
        <f t="shared" si="25"/>
        <v>-1.3500927684601796E-2</v>
      </c>
      <c r="F498" s="99">
        <f t="shared" si="26"/>
        <v>0.23479681662551283</v>
      </c>
      <c r="G498" s="115"/>
      <c r="H498" s="112">
        <f t="shared" si="28"/>
        <v>4932.1515761465653</v>
      </c>
      <c r="I498" s="121">
        <v>-1.1299999999999999E-2</v>
      </c>
      <c r="J498" s="121">
        <f t="shared" si="30"/>
        <v>0.25953586248430421</v>
      </c>
    </row>
    <row r="499" spans="1:10" x14ac:dyDescent="0.3">
      <c r="A499">
        <v>498</v>
      </c>
      <c r="B499" s="96">
        <v>40695</v>
      </c>
      <c r="C499" s="114">
        <v>4105601300</v>
      </c>
      <c r="D499" s="109">
        <v>1320.64</v>
      </c>
      <c r="E499" s="99">
        <f t="shared" si="25"/>
        <v>-1.8257508177222676E-2</v>
      </c>
      <c r="F499" s="99">
        <f t="shared" si="26"/>
        <v>0.28129153690174741</v>
      </c>
      <c r="G499" s="115"/>
      <c r="H499" s="112">
        <f t="shared" si="28"/>
        <v>4849.7846448249175</v>
      </c>
      <c r="I499" s="121">
        <v>-1.67E-2</v>
      </c>
      <c r="J499" s="121">
        <f t="shared" si="30"/>
        <v>0.30684986132828568</v>
      </c>
    </row>
    <row r="500" spans="1:10" x14ac:dyDescent="0.3">
      <c r="A500">
        <v>499</v>
      </c>
      <c r="B500" s="96">
        <v>40725</v>
      </c>
      <c r="C500" s="114">
        <v>4308168000</v>
      </c>
      <c r="D500" s="109">
        <v>1292.28</v>
      </c>
      <c r="E500" s="99">
        <f t="shared" si="25"/>
        <v>-2.1474436636782262E-2</v>
      </c>
      <c r="F500" s="99">
        <f t="shared" si="26"/>
        <v>0.17309368191721139</v>
      </c>
      <c r="G500" s="115"/>
      <c r="H500" s="112">
        <f t="shared" si="28"/>
        <v>4751.3340165349719</v>
      </c>
      <c r="I500" s="121">
        <v>-2.0299999999999999E-2</v>
      </c>
      <c r="J500" s="121">
        <f t="shared" si="30"/>
        <v>0.19644968614458597</v>
      </c>
    </row>
    <row r="501" spans="1:10" x14ac:dyDescent="0.3">
      <c r="A501">
        <v>500</v>
      </c>
      <c r="B501" s="118">
        <v>40756</v>
      </c>
      <c r="C501" s="114">
        <v>4942913400</v>
      </c>
      <c r="D501" s="126">
        <v>1218.8936235941401</v>
      </c>
      <c r="E501" s="99">
        <f t="shared" si="25"/>
        <v>-5.6788293872736477E-2</v>
      </c>
      <c r="F501" s="99">
        <f t="shared" si="26"/>
        <v>0.16159227658995756</v>
      </c>
      <c r="G501" s="127"/>
      <c r="H501" s="112">
        <f t="shared" si="28"/>
        <v>4493.232353320428</v>
      </c>
      <c r="I501" s="121">
        <v>-5.432193617967751E-2</v>
      </c>
      <c r="J501" s="121">
        <f t="shared" si="30"/>
        <v>0.18489498654481568</v>
      </c>
    </row>
    <row r="502" spans="1:10" x14ac:dyDescent="0.3">
      <c r="A502">
        <v>501</v>
      </c>
      <c r="B502" s="96">
        <v>40787</v>
      </c>
      <c r="C502" s="114">
        <v>5104933800</v>
      </c>
      <c r="D502" s="126">
        <v>1131.42036008329</v>
      </c>
      <c r="E502" s="99">
        <f t="shared" si="25"/>
        <v>-7.1764477077924563E-2</v>
      </c>
      <c r="F502" s="99">
        <f t="shared" si="26"/>
        <v>-8.5696108628724489E-3</v>
      </c>
      <c r="G502" s="127"/>
      <c r="H502" s="112">
        <f t="shared" si="28"/>
        <v>4177.3634012635821</v>
      </c>
      <c r="I502" s="121">
        <v>-7.0298824369370516E-2</v>
      </c>
      <c r="J502" s="121">
        <f t="shared" si="30"/>
        <v>1.138290671093844E-2</v>
      </c>
    </row>
    <row r="503" spans="1:10" x14ac:dyDescent="0.3">
      <c r="A503">
        <v>502</v>
      </c>
      <c r="B503" s="96">
        <v>40817</v>
      </c>
      <c r="C503" s="114">
        <v>4874946600</v>
      </c>
      <c r="D503" s="126">
        <v>1253.29626445743</v>
      </c>
      <c r="E503" s="99">
        <f t="shared" si="25"/>
        <v>0.10771938412454238</v>
      </c>
      <c r="F503" s="99">
        <f t="shared" si="26"/>
        <v>5.9189243663632658E-2</v>
      </c>
      <c r="G503" s="127"/>
      <c r="H503" s="112">
        <f t="shared" si="28"/>
        <v>4633.9204677519792</v>
      </c>
      <c r="I503" s="121">
        <v>0.1092931168857123</v>
      </c>
      <c r="J503" s="121">
        <f t="shared" si="30"/>
        <v>8.0847877601453205E-2</v>
      </c>
    </row>
    <row r="504" spans="1:10" x14ac:dyDescent="0.3">
      <c r="A504">
        <v>503</v>
      </c>
      <c r="B504" s="96">
        <v>40848</v>
      </c>
      <c r="C504" s="114">
        <v>4287457600</v>
      </c>
      <c r="D504" s="126">
        <v>1246.9600670741099</v>
      </c>
      <c r="E504" s="99">
        <f t="shared" si="25"/>
        <v>-5.0556261619937662E-3</v>
      </c>
      <c r="F504" s="99">
        <f t="shared" si="26"/>
        <v>5.6253498008648491E-2</v>
      </c>
      <c r="G504" s="127"/>
      <c r="H504" s="112">
        <f t="shared" si="28"/>
        <v>4623.6796654103464</v>
      </c>
      <c r="I504" s="121">
        <v>-2.2099650636863144E-3</v>
      </c>
      <c r="J504" s="121">
        <f t="shared" si="30"/>
        <v>7.8351406412153171E-2</v>
      </c>
    </row>
    <row r="505" spans="1:10" x14ac:dyDescent="0.3">
      <c r="A505">
        <v>504</v>
      </c>
      <c r="B505" s="102">
        <v>40878</v>
      </c>
      <c r="C505" s="116">
        <v>3667346600</v>
      </c>
      <c r="D505" s="108">
        <v>1257.60480453436</v>
      </c>
      <c r="E505" s="105">
        <f t="shared" si="25"/>
        <v>8.5365504007093879E-3</v>
      </c>
      <c r="F505" s="105">
        <f t="shared" si="26"/>
        <v>-2.7985326198333499E-5</v>
      </c>
      <c r="G505" s="128"/>
      <c r="H505" s="113">
        <f t="shared" si="28"/>
        <v>4670.9757156110045</v>
      </c>
      <c r="I505" s="111">
        <v>1.0229093194859207E-2</v>
      </c>
      <c r="J505" s="111">
        <f t="shared" si="30"/>
        <v>2.1167944736736742E-2</v>
      </c>
    </row>
    <row r="506" spans="1:10" x14ac:dyDescent="0.3">
      <c r="A506">
        <v>505</v>
      </c>
      <c r="B506" s="96">
        <v>40909</v>
      </c>
      <c r="C506" s="114">
        <v>4182808000</v>
      </c>
      <c r="D506" s="126">
        <v>1312.4095974323</v>
      </c>
      <c r="E506" s="99">
        <f t="shared" si="25"/>
        <v>4.3578708271738771E-2</v>
      </c>
      <c r="F506" s="99">
        <f t="shared" si="26"/>
        <v>2.0441014393913534E-2</v>
      </c>
      <c r="G506" s="127"/>
      <c r="H506" s="112">
        <f t="shared" si="28"/>
        <v>4880.3074390883176</v>
      </c>
      <c r="I506" s="121">
        <v>4.48154167827719E-2</v>
      </c>
      <c r="J506" s="121">
        <f t="shared" si="30"/>
        <v>4.223113391161485E-2</v>
      </c>
    </row>
    <row r="507" spans="1:10" x14ac:dyDescent="0.3">
      <c r="A507">
        <v>506</v>
      </c>
      <c r="B507" s="96">
        <v>40940</v>
      </c>
      <c r="C507" s="114">
        <v>4143404000</v>
      </c>
      <c r="D507" s="126">
        <v>1365.6827155607</v>
      </c>
      <c r="E507" s="99">
        <f t="shared" si="25"/>
        <v>4.0591838274139182E-2</v>
      </c>
      <c r="F507" s="99">
        <f t="shared" si="26"/>
        <v>2.8979909555838491E-2</v>
      </c>
      <c r="G507" s="127"/>
      <c r="H507" s="112">
        <f t="shared" si="28"/>
        <v>5091.3416040108168</v>
      </c>
      <c r="I507" s="121">
        <v>4.3241981689973619E-2</v>
      </c>
      <c r="J507" s="121">
        <f t="shared" si="30"/>
        <v>5.1241683767709004E-2</v>
      </c>
    </row>
    <row r="508" spans="1:10" x14ac:dyDescent="0.3">
      <c r="A508">
        <v>507</v>
      </c>
      <c r="B508" s="96">
        <v>40969</v>
      </c>
      <c r="C508" s="114">
        <v>3980752200</v>
      </c>
      <c r="D508" s="126">
        <v>1408.46786041941</v>
      </c>
      <c r="E508" s="99">
        <f t="shared" si="25"/>
        <v>3.1328759140913646E-2</v>
      </c>
      <c r="F508" s="99">
        <f t="shared" si="26"/>
        <v>6.2329152620931888E-2</v>
      </c>
      <c r="G508" s="127"/>
      <c r="H508" s="112">
        <f t="shared" si="28"/>
        <v>5258.8937284435851</v>
      </c>
      <c r="I508" s="121">
        <v>3.2909228542193247E-2</v>
      </c>
      <c r="J508" s="121">
        <f t="shared" si="30"/>
        <v>8.5403075361755773E-2</v>
      </c>
    </row>
    <row r="509" spans="1:10" x14ac:dyDescent="0.3">
      <c r="A509">
        <v>508</v>
      </c>
      <c r="B509" s="118">
        <v>41000</v>
      </c>
      <c r="C509" s="114">
        <v>3916786000</v>
      </c>
      <c r="D509" s="126">
        <v>1397.91199585765</v>
      </c>
      <c r="E509" s="99">
        <f t="shared" si="25"/>
        <v>-7.4945725482274891E-3</v>
      </c>
      <c r="F509" s="99">
        <f t="shared" si="26"/>
        <v>2.515528329775385E-2</v>
      </c>
      <c r="G509" s="127"/>
      <c r="H509" s="112">
        <f t="shared" si="28"/>
        <v>5225.8843644032604</v>
      </c>
      <c r="I509" s="121">
        <v>-6.2768646306329279E-3</v>
      </c>
      <c r="J509" s="121">
        <f t="shared" si="30"/>
        <v>4.7581728038109367E-2</v>
      </c>
    </row>
    <row r="510" spans="1:10" x14ac:dyDescent="0.3">
      <c r="A510">
        <v>509</v>
      </c>
      <c r="B510" s="96">
        <v>41030</v>
      </c>
      <c r="C510" s="114">
        <v>4158095900</v>
      </c>
      <c r="D510" s="126">
        <v>1310.32900722607</v>
      </c>
      <c r="E510" s="99">
        <f t="shared" si="25"/>
        <v>-6.2652719835804796E-2</v>
      </c>
      <c r="F510" s="99">
        <f t="shared" si="26"/>
        <v>-2.5922534027601904E-2</v>
      </c>
      <c r="G510" s="127"/>
      <c r="H510" s="112">
        <f t="shared" si="28"/>
        <v>4911.804856253967</v>
      </c>
      <c r="I510" s="121">
        <v>-6.0100738219292293E-2</v>
      </c>
      <c r="J510" s="121">
        <f t="shared" si="30"/>
        <v>-4.1253233154879831E-3</v>
      </c>
    </row>
    <row r="511" spans="1:10" x14ac:dyDescent="0.3">
      <c r="A511">
        <v>510</v>
      </c>
      <c r="B511" s="96">
        <v>41061</v>
      </c>
      <c r="C511" s="114">
        <v>4103472300</v>
      </c>
      <c r="D511" s="126">
        <v>1362.1587454406599</v>
      </c>
      <c r="E511" s="99">
        <f t="shared" si="25"/>
        <v>3.9554751462239295E-2</v>
      </c>
      <c r="F511" s="99">
        <f t="shared" si="26"/>
        <v>3.1438352193375797E-2</v>
      </c>
      <c r="G511" s="127"/>
      <c r="H511" s="112">
        <f t="shared" si="28"/>
        <v>5114.182121568163</v>
      </c>
      <c r="I511" s="121">
        <v>4.1202220209648255E-2</v>
      </c>
      <c r="J511" s="121">
        <f t="shared" si="30"/>
        <v>5.4517364399958954E-2</v>
      </c>
    </row>
    <row r="512" spans="1:10" x14ac:dyDescent="0.3">
      <c r="A512">
        <v>511</v>
      </c>
      <c r="B512" s="96">
        <v>41091</v>
      </c>
      <c r="I512" s="48">
        <v>1.3899999999999999E-2</v>
      </c>
    </row>
    <row r="513" spans="1:11" x14ac:dyDescent="0.3">
      <c r="A513">
        <v>512</v>
      </c>
      <c r="B513" s="96">
        <v>41122</v>
      </c>
      <c r="I513" s="48">
        <v>2.2499999999999999E-2</v>
      </c>
    </row>
    <row r="514" spans="1:11" x14ac:dyDescent="0.3">
      <c r="A514">
        <v>513</v>
      </c>
      <c r="B514" s="96">
        <v>41153</v>
      </c>
      <c r="I514" s="48">
        <v>2.58E-2</v>
      </c>
    </row>
    <row r="515" spans="1:11" x14ac:dyDescent="0.3">
      <c r="A515">
        <v>514</v>
      </c>
      <c r="B515" s="96">
        <v>41183</v>
      </c>
      <c r="I515" s="48">
        <v>-1.8499999999999999E-2</v>
      </c>
    </row>
    <row r="516" spans="1:11" x14ac:dyDescent="0.3">
      <c r="A516">
        <v>515</v>
      </c>
      <c r="B516" s="96">
        <v>41214</v>
      </c>
      <c r="I516" s="48">
        <v>5.7999999999999996E-3</v>
      </c>
    </row>
    <row r="517" spans="1:11" x14ac:dyDescent="0.3">
      <c r="A517">
        <v>516</v>
      </c>
      <c r="B517" s="96">
        <v>41244</v>
      </c>
      <c r="I517" s="48">
        <v>9.1000000000000004E-3</v>
      </c>
      <c r="K517" s="37">
        <f>(1+I506)*(1+I507)*(1+I508)*(1+I509)*(1+I510)*(1+I512)*(1+I513)*(1+I514)*(1+I515)*(1+I516)*(1+I517)-1</f>
        <v>0.11401431266983009</v>
      </c>
    </row>
    <row r="518" spans="1:11" x14ac:dyDescent="0.3">
      <c r="A518">
        <v>517</v>
      </c>
      <c r="B518" s="96">
        <v>41275</v>
      </c>
      <c r="I518" s="48">
        <v>5.1799999999999999E-2</v>
      </c>
    </row>
    <row r="519" spans="1:11" x14ac:dyDescent="0.3">
      <c r="A519">
        <v>518</v>
      </c>
      <c r="B519" s="96">
        <v>41306</v>
      </c>
      <c r="I519" s="48">
        <v>1.3599999999999999E-2</v>
      </c>
    </row>
    <row r="520" spans="1:11" x14ac:dyDescent="0.3">
      <c r="A520">
        <v>519</v>
      </c>
      <c r="B520" s="96">
        <v>41334</v>
      </c>
      <c r="I520" s="48">
        <v>3.7499999999999999E-2</v>
      </c>
    </row>
    <row r="521" spans="1:11" x14ac:dyDescent="0.3">
      <c r="A521">
        <v>520</v>
      </c>
      <c r="B521" s="96">
        <v>41365</v>
      </c>
      <c r="I521" s="48">
        <v>1.9300000000000001E-2</v>
      </c>
    </row>
    <row r="522" spans="1:11" x14ac:dyDescent="0.3">
      <c r="A522">
        <v>521</v>
      </c>
      <c r="B522" s="96">
        <v>41395</v>
      </c>
      <c r="I522" s="48">
        <v>2.3400000000000001E-2</v>
      </c>
    </row>
    <row r="523" spans="1:11" x14ac:dyDescent="0.3">
      <c r="A523">
        <v>522</v>
      </c>
      <c r="B523" s="96">
        <v>41426</v>
      </c>
      <c r="I523" s="48">
        <v>-1.34E-2</v>
      </c>
      <c r="K523" s="37">
        <f>(1+I518)*(1+I519)*(1+I520)*(1+I521)*(1+I522)*(1+I523)-1</f>
        <v>0.13835159845318912</v>
      </c>
    </row>
    <row r="524" spans="1:11" x14ac:dyDescent="0.3">
      <c r="B524" s="96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RowHeight="14.4" x14ac:dyDescent="0.3"/>
  <cols>
    <col min="1" max="1" width="19.5546875" bestFit="1" customWidth="1"/>
  </cols>
  <sheetData>
    <row r="1" spans="1:9" x14ac:dyDescent="0.3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</row>
    <row r="2" spans="1:9" x14ac:dyDescent="0.3">
      <c r="A2" t="s">
        <v>15</v>
      </c>
      <c r="B2" s="46">
        <v>0.10882047938955197</v>
      </c>
      <c r="C2" s="46">
        <v>4.9119556688679511E-2</v>
      </c>
      <c r="D2" s="46">
        <v>0.15794243570111566</v>
      </c>
      <c r="E2" s="46">
        <v>5.493962610589409E-2</v>
      </c>
      <c r="F2" s="46">
        <v>-0.36997838899122026</v>
      </c>
      <c r="G2" s="46">
        <v>0.26462198355405658</v>
      </c>
      <c r="H2" s="46">
        <v>0.15051492865905597</v>
      </c>
      <c r="I2" s="46">
        <v>2.1167944736736742E-2</v>
      </c>
    </row>
    <row r="3" spans="1:9" x14ac:dyDescent="0.3">
      <c r="B3" s="46">
        <v>9.2751778596602774E-2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F23" sqref="F23"/>
    </sheetView>
  </sheetViews>
  <sheetFormatPr defaultRowHeight="14.4" x14ac:dyDescent="0.3"/>
  <cols>
    <col min="5" max="5" width="9.109375" style="22"/>
    <col min="7" max="8" width="11.5546875" bestFit="1" customWidth="1"/>
  </cols>
  <sheetData>
    <row r="1" spans="1:9" ht="15" thickBot="1" x14ac:dyDescent="0.35">
      <c r="G1" s="4">
        <v>38139</v>
      </c>
      <c r="H1" s="4">
        <v>38565</v>
      </c>
      <c r="I1" t="s">
        <v>13</v>
      </c>
    </row>
    <row r="2" spans="1:9" ht="15" thickBot="1" x14ac:dyDescent="0.35">
      <c r="A2" s="23" t="s">
        <v>388</v>
      </c>
      <c r="B2" s="24"/>
      <c r="C2" s="24" t="s">
        <v>388</v>
      </c>
      <c r="D2" s="24" t="s">
        <v>388</v>
      </c>
      <c r="E2" s="25">
        <v>34</v>
      </c>
      <c r="F2" s="26">
        <v>0.25</v>
      </c>
      <c r="G2" s="27">
        <f>-E2</f>
        <v>-34</v>
      </c>
      <c r="H2" s="27">
        <v>38</v>
      </c>
      <c r="I2" s="28">
        <f>XIRR(G2:H2,G1:H1)</f>
        <v>9.9987655878067017E-2</v>
      </c>
    </row>
    <row r="3" spans="1:9" ht="15" thickBot="1" x14ac:dyDescent="0.35">
      <c r="A3" s="29" t="s">
        <v>388</v>
      </c>
      <c r="B3" s="30"/>
      <c r="C3" s="30" t="s">
        <v>388</v>
      </c>
      <c r="D3" s="30" t="s">
        <v>388</v>
      </c>
      <c r="E3" s="31">
        <v>12.5</v>
      </c>
      <c r="F3" s="32">
        <v>7.4999999999999997E-2</v>
      </c>
    </row>
    <row r="4" spans="1:9" ht="15" thickBot="1" x14ac:dyDescent="0.35">
      <c r="A4" s="29" t="s">
        <v>388</v>
      </c>
      <c r="B4" s="30"/>
      <c r="C4" s="30" t="s">
        <v>388</v>
      </c>
      <c r="D4" s="30" t="s">
        <v>388</v>
      </c>
      <c r="E4" s="31"/>
      <c r="F4" s="33" t="s">
        <v>388</v>
      </c>
    </row>
    <row r="5" spans="1:9" ht="15" thickBot="1" x14ac:dyDescent="0.35">
      <c r="A5" s="29" t="s">
        <v>388</v>
      </c>
      <c r="B5" s="30"/>
      <c r="C5" s="30"/>
      <c r="D5" s="30"/>
      <c r="E5" s="31"/>
      <c r="F5" s="33"/>
    </row>
    <row r="6" spans="1:9" ht="15" thickBot="1" x14ac:dyDescent="0.35">
      <c r="A6" s="29"/>
      <c r="B6" s="30"/>
      <c r="C6" s="30"/>
      <c r="D6" s="30"/>
      <c r="E6" s="31"/>
      <c r="F6" s="33"/>
      <c r="G6" s="34">
        <v>39780</v>
      </c>
      <c r="H6" s="34">
        <v>39810</v>
      </c>
    </row>
    <row r="7" spans="1:9" ht="15" thickBot="1" x14ac:dyDescent="0.35">
      <c r="A7" s="29" t="s">
        <v>388</v>
      </c>
      <c r="B7" s="35">
        <v>39630</v>
      </c>
      <c r="C7" s="30" t="s">
        <v>388</v>
      </c>
      <c r="D7" s="30" t="s">
        <v>12</v>
      </c>
      <c r="E7" s="31">
        <f>0.3-0.02</f>
        <v>0.27999999999999997</v>
      </c>
      <c r="F7" s="36">
        <v>0.9</v>
      </c>
      <c r="G7" s="27">
        <f>-E7</f>
        <v>-0.27999999999999997</v>
      </c>
      <c r="H7" s="27">
        <f>(-G7+0.02)*1.1</f>
        <v>0.33</v>
      </c>
      <c r="I7" s="37">
        <f>XIRR(G7:H7,G6:H6)</f>
        <v>6.3818217754364008</v>
      </c>
    </row>
    <row r="8" spans="1:9" ht="15" thickBot="1" x14ac:dyDescent="0.35">
      <c r="A8" s="29"/>
      <c r="B8" s="35"/>
      <c r="C8" s="30"/>
      <c r="D8" s="30"/>
      <c r="E8" s="31"/>
      <c r="F8" s="36"/>
      <c r="G8" s="34">
        <v>39657</v>
      </c>
      <c r="H8" s="34">
        <v>39701</v>
      </c>
    </row>
    <row r="9" spans="1:9" ht="15" thickBot="1" x14ac:dyDescent="0.35">
      <c r="A9" s="29" t="s">
        <v>388</v>
      </c>
      <c r="B9" s="35">
        <v>39753</v>
      </c>
      <c r="C9" s="30" t="s">
        <v>388</v>
      </c>
      <c r="D9" s="30" t="s">
        <v>12</v>
      </c>
      <c r="E9" s="31">
        <f>0.2-0.01</f>
        <v>0.19</v>
      </c>
      <c r="F9" s="33"/>
      <c r="G9" s="27">
        <f>-E9</f>
        <v>-0.19</v>
      </c>
      <c r="H9" s="27">
        <f>(-G9+0.01)*1.1</f>
        <v>0.22000000000000003</v>
      </c>
      <c r="I9" s="37">
        <f>XIRR(G9:H9,G8:H8)</f>
        <v>2.3741466760635386</v>
      </c>
    </row>
    <row r="10" spans="1:9" ht="15" thickBot="1" x14ac:dyDescent="0.35">
      <c r="A10" s="29" t="s">
        <v>388</v>
      </c>
      <c r="B10" s="35">
        <v>39934</v>
      </c>
      <c r="C10" s="30" t="s">
        <v>388</v>
      </c>
      <c r="D10" s="30" t="s">
        <v>388</v>
      </c>
      <c r="E10" s="31">
        <v>15</v>
      </c>
      <c r="F10" s="33" t="s">
        <v>388</v>
      </c>
    </row>
    <row r="11" spans="1:9" ht="15" thickBot="1" x14ac:dyDescent="0.35">
      <c r="A11" s="29" t="s">
        <v>388</v>
      </c>
      <c r="B11" s="35">
        <v>39995</v>
      </c>
      <c r="C11" s="30" t="s">
        <v>388</v>
      </c>
      <c r="D11" s="30" t="s">
        <v>12</v>
      </c>
      <c r="E11" s="31">
        <v>0.25</v>
      </c>
      <c r="F11" s="36">
        <v>0.3</v>
      </c>
    </row>
    <row r="12" spans="1:9" ht="15" thickBot="1" x14ac:dyDescent="0.35">
      <c r="A12" s="29" t="s">
        <v>388</v>
      </c>
      <c r="B12" s="35">
        <v>41030</v>
      </c>
      <c r="C12" s="30" t="s">
        <v>388</v>
      </c>
      <c r="D12" s="30" t="s">
        <v>12</v>
      </c>
      <c r="E12" s="31">
        <v>0.3</v>
      </c>
      <c r="F12" s="33" t="s">
        <v>12</v>
      </c>
    </row>
    <row r="13" spans="1:9" ht="15" thickBot="1" x14ac:dyDescent="0.35">
      <c r="A13" s="29" t="s">
        <v>388</v>
      </c>
      <c r="B13" s="35">
        <v>40664</v>
      </c>
      <c r="C13" s="30" t="s">
        <v>388</v>
      </c>
      <c r="D13" s="30" t="s">
        <v>12</v>
      </c>
      <c r="E13" s="31">
        <v>5</v>
      </c>
      <c r="F13" s="33" t="s">
        <v>388</v>
      </c>
    </row>
    <row r="14" spans="1:9" ht="15" thickBot="1" x14ac:dyDescent="0.35">
      <c r="A14" s="29"/>
      <c r="B14" s="35"/>
      <c r="C14" s="30"/>
      <c r="D14" s="30"/>
      <c r="E14" s="31"/>
      <c r="F14" s="33"/>
      <c r="G14" s="34">
        <v>40694</v>
      </c>
      <c r="H14" s="34">
        <v>41060</v>
      </c>
    </row>
    <row r="15" spans="1:9" ht="15" thickBot="1" x14ac:dyDescent="0.35">
      <c r="A15" s="29" t="s">
        <v>388</v>
      </c>
      <c r="B15" s="35">
        <v>40664</v>
      </c>
      <c r="C15" s="30" t="s">
        <v>388</v>
      </c>
      <c r="D15" s="30" t="s">
        <v>12</v>
      </c>
      <c r="E15" s="31">
        <v>1.5</v>
      </c>
      <c r="F15" s="36">
        <v>3</v>
      </c>
      <c r="G15">
        <v>-1.5</v>
      </c>
      <c r="H15">
        <v>5</v>
      </c>
      <c r="I15" s="37">
        <f>XIRR(G15:H15,G14:H14)</f>
        <v>2.3223861932754519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7"/>
  <sheetViews>
    <sheetView workbookViewId="0">
      <selection activeCell="K11" sqref="K11"/>
    </sheetView>
  </sheetViews>
  <sheetFormatPr defaultRowHeight="14.4" x14ac:dyDescent="0.3"/>
  <cols>
    <col min="7" max="7" width="9.33203125" bestFit="1" customWidth="1"/>
    <col min="8" max="8" width="9.6640625" bestFit="1" customWidth="1"/>
    <col min="13" max="13" width="12.6640625" bestFit="1" customWidth="1"/>
    <col min="14" max="14" width="9.5546875" bestFit="1" customWidth="1"/>
    <col min="15" max="15" width="9.88671875" bestFit="1" customWidth="1"/>
  </cols>
  <sheetData>
    <row r="1" spans="1:17" ht="28.8" x14ac:dyDescent="0.3">
      <c r="A1" s="50" t="s">
        <v>29</v>
      </c>
      <c r="B1" s="50" t="s">
        <v>30</v>
      </c>
      <c r="C1" s="50" t="s">
        <v>31</v>
      </c>
      <c r="D1" s="50" t="s">
        <v>32</v>
      </c>
      <c r="G1" s="34"/>
      <c r="H1" s="34"/>
    </row>
    <row r="2" spans="1:17" ht="43.2" x14ac:dyDescent="0.3">
      <c r="A2" s="51" t="s">
        <v>33</v>
      </c>
      <c r="B2" s="51">
        <v>93.2</v>
      </c>
      <c r="C2" s="51">
        <v>101</v>
      </c>
      <c r="D2" s="51">
        <v>43.2</v>
      </c>
      <c r="G2" s="34"/>
      <c r="N2" s="44" t="s">
        <v>341</v>
      </c>
      <c r="O2" s="44" t="s">
        <v>342</v>
      </c>
      <c r="P2" s="44" t="s">
        <v>347</v>
      </c>
      <c r="Q2" s="44" t="s">
        <v>32</v>
      </c>
    </row>
    <row r="3" spans="1:17" ht="43.2" x14ac:dyDescent="0.3">
      <c r="A3" s="51" t="s">
        <v>34</v>
      </c>
      <c r="B3" s="51">
        <v>95.8</v>
      </c>
      <c r="C3" s="51">
        <v>105</v>
      </c>
      <c r="D3" s="51">
        <v>43.2</v>
      </c>
      <c r="M3" s="44" t="s">
        <v>17</v>
      </c>
      <c r="N3" s="19">
        <v>38142</v>
      </c>
      <c r="O3" s="19">
        <v>38595</v>
      </c>
      <c r="P3" s="37">
        <f>(B8-B2)/B2</f>
        <v>0.33798283261802575</v>
      </c>
      <c r="Q3" s="37">
        <f>(D8-D2)/D2</f>
        <v>5.0925925925925826E-2</v>
      </c>
    </row>
    <row r="4" spans="1:17" ht="43.2" x14ac:dyDescent="0.3">
      <c r="A4" s="51" t="s">
        <v>35</v>
      </c>
      <c r="B4" s="51">
        <v>99.2</v>
      </c>
      <c r="C4" s="51">
        <v>110</v>
      </c>
      <c r="D4" s="51">
        <v>43.2</v>
      </c>
      <c r="M4" s="44" t="s">
        <v>18</v>
      </c>
      <c r="N4" s="19">
        <v>38472</v>
      </c>
      <c r="O4" s="19">
        <v>38929</v>
      </c>
      <c r="P4" s="43">
        <f>(B12-B6)/B6</f>
        <v>0.36420863309352502</v>
      </c>
      <c r="Q4" s="43">
        <f>(D12-D6)/D6</f>
        <v>0.13888888888888887</v>
      </c>
    </row>
    <row r="5" spans="1:17" ht="43.2" x14ac:dyDescent="0.3">
      <c r="A5" s="51" t="s">
        <v>36</v>
      </c>
      <c r="B5" s="51">
        <v>108.7</v>
      </c>
      <c r="C5" s="51">
        <v>122.8</v>
      </c>
      <c r="D5" s="51">
        <v>44.2</v>
      </c>
      <c r="M5" s="44" t="s">
        <v>19</v>
      </c>
      <c r="N5" s="19">
        <v>39657</v>
      </c>
      <c r="O5" s="19">
        <v>39810</v>
      </c>
      <c r="P5" s="43">
        <f>(B22-B20)/B20</f>
        <v>-0.19439868204283364</v>
      </c>
      <c r="Q5" s="43">
        <f>(D21-D20)/D20</f>
        <v>-0.10645724258289693</v>
      </c>
    </row>
    <row r="6" spans="1:17" ht="43.2" x14ac:dyDescent="0.3">
      <c r="A6" s="51" t="s">
        <v>37</v>
      </c>
      <c r="B6" s="51">
        <v>111.2</v>
      </c>
      <c r="C6" s="51">
        <v>125.5</v>
      </c>
      <c r="D6" s="51">
        <v>43.2</v>
      </c>
      <c r="M6" s="44" t="s">
        <v>20</v>
      </c>
      <c r="N6" s="19">
        <v>39994</v>
      </c>
      <c r="O6" s="19">
        <v>40543</v>
      </c>
      <c r="P6" s="43">
        <f>(B29-B22)/B22</f>
        <v>0.28084526244035463</v>
      </c>
      <c r="Q6" s="43">
        <f>(D29-D22)/D22</f>
        <v>0.15169660678642716</v>
      </c>
    </row>
    <row r="7" spans="1:17" ht="43.2" x14ac:dyDescent="0.3">
      <c r="A7" s="51" t="s">
        <v>38</v>
      </c>
      <c r="B7" s="51">
        <v>118</v>
      </c>
      <c r="C7" s="51">
        <v>134.9</v>
      </c>
      <c r="D7" s="51">
        <v>43.6</v>
      </c>
    </row>
    <row r="8" spans="1:17" ht="43.2" x14ac:dyDescent="0.3">
      <c r="A8" s="51" t="s">
        <v>39</v>
      </c>
      <c r="B8" s="51">
        <v>124.7</v>
      </c>
      <c r="C8" s="51">
        <v>142.5</v>
      </c>
      <c r="D8" s="51">
        <v>45.4</v>
      </c>
      <c r="I8" s="37"/>
      <c r="J8" s="37"/>
      <c r="N8" s="44" t="s">
        <v>347</v>
      </c>
      <c r="O8" s="44" t="s">
        <v>349</v>
      </c>
    </row>
    <row r="9" spans="1:17" ht="43.2" x14ac:dyDescent="0.3">
      <c r="A9" s="51" t="s">
        <v>40</v>
      </c>
      <c r="B9" s="51">
        <v>133.69999999999999</v>
      </c>
      <c r="C9" s="51">
        <v>155.5</v>
      </c>
      <c r="D9" s="51">
        <v>46.1</v>
      </c>
      <c r="M9" s="44">
        <v>2004</v>
      </c>
      <c r="N9" s="37">
        <f>(B5-B2)/B2</f>
        <v>0.16630901287553648</v>
      </c>
      <c r="O9" s="37">
        <f>(D5-D2)/D2</f>
        <v>2.3148148148148147E-2</v>
      </c>
    </row>
    <row r="10" spans="1:17" ht="43.2" x14ac:dyDescent="0.3">
      <c r="A10" s="51" t="s">
        <v>41</v>
      </c>
      <c r="B10" s="51">
        <v>140.5</v>
      </c>
      <c r="C10" s="51">
        <v>161.69999999999999</v>
      </c>
      <c r="D10" s="51">
        <v>48.4</v>
      </c>
      <c r="M10" s="44">
        <v>2005</v>
      </c>
      <c r="N10" s="37">
        <f>(B9-B6)/B6</f>
        <v>0.20233812949640276</v>
      </c>
      <c r="O10" s="37">
        <f>(D9-D6)/D6</f>
        <v>6.7129629629629595E-2</v>
      </c>
    </row>
    <row r="11" spans="1:17" ht="43.2" x14ac:dyDescent="0.3">
      <c r="A11" s="51" t="s">
        <v>42</v>
      </c>
      <c r="B11" s="51">
        <v>145.80000000000001</v>
      </c>
      <c r="C11" s="51">
        <v>169.2</v>
      </c>
      <c r="D11" s="51">
        <v>48.4</v>
      </c>
      <c r="M11" s="44">
        <v>2006</v>
      </c>
      <c r="N11" s="37">
        <f>(B13-B10)/B10</f>
        <v>0.19074733096085417</v>
      </c>
      <c r="O11" s="37">
        <f>(D13-D10)/D10</f>
        <v>8.6776859504132289E-2</v>
      </c>
    </row>
    <row r="12" spans="1:17" ht="43.2" x14ac:dyDescent="0.3">
      <c r="A12" s="51" t="s">
        <v>43</v>
      </c>
      <c r="B12" s="51">
        <v>151.69999999999999</v>
      </c>
      <c r="C12" s="51">
        <v>176.6</v>
      </c>
      <c r="D12" s="51">
        <v>49.2</v>
      </c>
      <c r="M12" s="44">
        <v>2007</v>
      </c>
      <c r="N12" s="37">
        <f>(B17-B14)/B14</f>
        <v>0.13693181818181815</v>
      </c>
      <c r="O12" s="37">
        <f>(D17-D14)/D14</f>
        <v>0.16822429906542055</v>
      </c>
    </row>
    <row r="13" spans="1:17" ht="43.2" x14ac:dyDescent="0.3">
      <c r="A13" s="51" t="s">
        <v>44</v>
      </c>
      <c r="B13" s="51">
        <v>167.3</v>
      </c>
      <c r="C13" s="51">
        <v>195.7</v>
      </c>
      <c r="D13" s="51">
        <v>52.6</v>
      </c>
      <c r="M13" s="44">
        <v>2008</v>
      </c>
      <c r="N13" s="37">
        <f>(B21-B18)/B18</f>
        <v>-0.21928934010152279</v>
      </c>
      <c r="O13" s="37">
        <f>(D21-D18)/D18</f>
        <v>-0.13659359190556483</v>
      </c>
    </row>
    <row r="14" spans="1:17" ht="43.2" x14ac:dyDescent="0.3">
      <c r="A14" s="51" t="s">
        <v>45</v>
      </c>
      <c r="B14" s="51">
        <v>176</v>
      </c>
      <c r="C14" s="51">
        <v>208.8</v>
      </c>
      <c r="D14" s="51">
        <v>53.5</v>
      </c>
      <c r="M14" s="44">
        <v>2009</v>
      </c>
      <c r="N14" s="37">
        <f>(B25-B22)/B22</f>
        <v>0.10293115201090677</v>
      </c>
      <c r="O14" s="37">
        <f>(D25-D22)/D22</f>
        <v>4.7904191616766435E-2</v>
      </c>
    </row>
    <row r="15" spans="1:17" ht="43.2" x14ac:dyDescent="0.3">
      <c r="A15" s="51" t="s">
        <v>46</v>
      </c>
      <c r="B15" s="51">
        <v>190.5</v>
      </c>
      <c r="C15" s="51">
        <v>229.5</v>
      </c>
      <c r="D15" s="51">
        <v>56.5</v>
      </c>
      <c r="M15" s="44">
        <v>2010</v>
      </c>
      <c r="N15" s="37">
        <f>(B29-B26)/B26</f>
        <v>0.12514970059880243</v>
      </c>
      <c r="O15" s="37">
        <f>(D29-D26)/D26</f>
        <v>8.6629001883239201E-2</v>
      </c>
    </row>
    <row r="16" spans="1:17" ht="43.2" x14ac:dyDescent="0.3">
      <c r="A16" s="51" t="s">
        <v>47</v>
      </c>
      <c r="B16" s="51">
        <v>195.7</v>
      </c>
      <c r="C16" s="51">
        <v>237.1</v>
      </c>
      <c r="D16" s="51">
        <v>57.8</v>
      </c>
      <c r="M16" s="44">
        <v>2011</v>
      </c>
      <c r="N16" s="37">
        <f>(B33-B30)/B30</f>
        <v>-3.9026862645717267E-2</v>
      </c>
      <c r="O16" s="37">
        <f>(E33-D30)/D30</f>
        <v>3.3003300330033E-2</v>
      </c>
    </row>
    <row r="17" spans="1:15" ht="43.2" x14ac:dyDescent="0.3">
      <c r="A17" s="51" t="s">
        <v>48</v>
      </c>
      <c r="B17" s="51">
        <v>200.1</v>
      </c>
      <c r="C17" s="51">
        <v>241.8</v>
      </c>
      <c r="D17" s="51">
        <v>62.5</v>
      </c>
      <c r="M17" s="44">
        <v>2012</v>
      </c>
      <c r="O17" s="37">
        <f>(E35-E33)/E33</f>
        <v>6.0702875399361089E-2</v>
      </c>
    </row>
    <row r="18" spans="1:15" ht="43.2" x14ac:dyDescent="0.3">
      <c r="A18" s="51" t="s">
        <v>49</v>
      </c>
      <c r="B18" s="51">
        <v>197</v>
      </c>
      <c r="C18" s="51">
        <v>241.1</v>
      </c>
      <c r="D18" s="51">
        <v>59.3</v>
      </c>
      <c r="M18" s="44">
        <v>2013</v>
      </c>
      <c r="O18" s="37">
        <f>E37/E36-1</f>
        <v>9.0909090909090384E-3</v>
      </c>
    </row>
    <row r="19" spans="1:15" ht="43.2" x14ac:dyDescent="0.3">
      <c r="A19" s="51" t="s">
        <v>50</v>
      </c>
      <c r="B19" s="51">
        <v>196</v>
      </c>
      <c r="C19" s="51">
        <v>237.7</v>
      </c>
      <c r="D19" s="51">
        <v>59.3</v>
      </c>
    </row>
    <row r="20" spans="1:15" ht="43.2" x14ac:dyDescent="0.3">
      <c r="A20" s="51" t="s">
        <v>51</v>
      </c>
      <c r="B20" s="51">
        <v>182.1</v>
      </c>
      <c r="C20" s="51">
        <v>216.4</v>
      </c>
      <c r="D20" s="51">
        <v>57.3</v>
      </c>
    </row>
    <row r="21" spans="1:15" ht="43.2" x14ac:dyDescent="0.3">
      <c r="A21" s="51" t="s">
        <v>52</v>
      </c>
      <c r="B21" s="51">
        <v>153.80000000000001</v>
      </c>
      <c r="C21" s="51">
        <v>180.4</v>
      </c>
      <c r="D21" s="51">
        <v>51.2</v>
      </c>
    </row>
    <row r="22" spans="1:15" ht="43.2" x14ac:dyDescent="0.3">
      <c r="A22" s="51" t="s">
        <v>53</v>
      </c>
      <c r="B22" s="51">
        <v>146.69999999999999</v>
      </c>
      <c r="C22" s="51">
        <v>172.2</v>
      </c>
      <c r="D22" s="51">
        <v>50.1</v>
      </c>
    </row>
    <row r="23" spans="1:15" ht="43.2" x14ac:dyDescent="0.3">
      <c r="A23" s="51" t="s">
        <v>54</v>
      </c>
      <c r="B23" s="51">
        <v>147.9</v>
      </c>
      <c r="C23" s="51">
        <v>176.5</v>
      </c>
      <c r="D23" s="51">
        <v>50.2</v>
      </c>
    </row>
    <row r="24" spans="1:15" ht="43.2" x14ac:dyDescent="0.3">
      <c r="A24" s="51" t="s">
        <v>55</v>
      </c>
      <c r="B24" s="51">
        <v>154.69999999999999</v>
      </c>
      <c r="C24" s="51">
        <v>187.5</v>
      </c>
      <c r="D24" s="51">
        <v>51.1</v>
      </c>
    </row>
    <row r="25" spans="1:15" ht="43.2" x14ac:dyDescent="0.3">
      <c r="A25" s="51" t="s">
        <v>56</v>
      </c>
      <c r="B25" s="51">
        <v>161.80000000000001</v>
      </c>
      <c r="C25" s="51">
        <v>198.7</v>
      </c>
      <c r="D25" s="51">
        <v>52.5</v>
      </c>
    </row>
    <row r="26" spans="1:15" ht="43.2" x14ac:dyDescent="0.3">
      <c r="A26" s="51" t="s">
        <v>57</v>
      </c>
      <c r="B26" s="51">
        <v>167</v>
      </c>
      <c r="C26" s="51">
        <v>205.9</v>
      </c>
      <c r="D26" s="51">
        <v>53.1</v>
      </c>
    </row>
    <row r="27" spans="1:15" ht="43.2" x14ac:dyDescent="0.3">
      <c r="A27" s="51" t="s">
        <v>58</v>
      </c>
      <c r="B27" s="51">
        <v>168.5</v>
      </c>
      <c r="C27" s="51">
        <v>209.1</v>
      </c>
      <c r="D27" s="51">
        <v>53.3</v>
      </c>
    </row>
    <row r="28" spans="1:15" ht="43.2" x14ac:dyDescent="0.3">
      <c r="A28" s="51" t="s">
        <v>59</v>
      </c>
      <c r="B28" s="51">
        <v>176.8</v>
      </c>
      <c r="C28" s="51">
        <v>221.5</v>
      </c>
      <c r="D28" s="51">
        <v>54.9</v>
      </c>
    </row>
    <row r="29" spans="1:15" ht="43.2" x14ac:dyDescent="0.3">
      <c r="A29" s="51" t="s">
        <v>60</v>
      </c>
      <c r="B29" s="51">
        <v>187.9</v>
      </c>
      <c r="C29" s="51">
        <v>237.8</v>
      </c>
      <c r="D29" s="51">
        <v>57.7</v>
      </c>
    </row>
    <row r="30" spans="1:15" ht="43.2" x14ac:dyDescent="0.3">
      <c r="A30" s="51" t="s">
        <v>61</v>
      </c>
      <c r="B30" s="51">
        <v>197.3</v>
      </c>
      <c r="C30" s="51">
        <v>251</v>
      </c>
      <c r="D30" s="51">
        <v>60.6</v>
      </c>
    </row>
    <row r="31" spans="1:15" ht="43.2" x14ac:dyDescent="0.3">
      <c r="A31" s="51" t="s">
        <v>62</v>
      </c>
      <c r="B31" s="51">
        <v>201.4</v>
      </c>
      <c r="C31" s="51">
        <v>258.10000000000002</v>
      </c>
      <c r="D31" s="51">
        <v>61.9</v>
      </c>
      <c r="E31" s="143">
        <v>62.7</v>
      </c>
    </row>
    <row r="32" spans="1:15" ht="43.2" x14ac:dyDescent="0.3">
      <c r="A32" s="51" t="s">
        <v>63</v>
      </c>
      <c r="B32" s="51">
        <v>190.9</v>
      </c>
      <c r="C32" s="51">
        <v>242.9</v>
      </c>
      <c r="D32" s="51">
        <v>59.9</v>
      </c>
      <c r="E32" s="143">
        <v>62.3</v>
      </c>
    </row>
    <row r="33" spans="1:5" ht="43.2" x14ac:dyDescent="0.3">
      <c r="A33" s="51" t="s">
        <v>64</v>
      </c>
      <c r="B33" s="51">
        <v>189.6</v>
      </c>
      <c r="C33" s="51">
        <v>241.8</v>
      </c>
      <c r="D33" s="51">
        <v>58.8</v>
      </c>
      <c r="E33" s="143">
        <v>62.6</v>
      </c>
    </row>
    <row r="34" spans="1:5" ht="43.2" x14ac:dyDescent="0.3">
      <c r="A34" s="51" t="s">
        <v>374</v>
      </c>
      <c r="B34" s="51">
        <v>213</v>
      </c>
      <c r="C34" s="51">
        <v>271.8</v>
      </c>
      <c r="D34" s="51">
        <v>65.099999999999994</v>
      </c>
      <c r="E34" s="144">
        <v>65.599999999999994</v>
      </c>
    </row>
    <row r="35" spans="1:5" ht="43.2" x14ac:dyDescent="0.3">
      <c r="A35" s="51" t="s">
        <v>375</v>
      </c>
      <c r="B35" s="51">
        <v>215.2</v>
      </c>
      <c r="C35" s="51">
        <v>275.89999999999998</v>
      </c>
      <c r="D35" s="51">
        <v>65.2</v>
      </c>
      <c r="E35" s="144">
        <v>66.400000000000006</v>
      </c>
    </row>
    <row r="36" spans="1:5" ht="28.8" x14ac:dyDescent="0.3">
      <c r="A36" s="142" t="s">
        <v>387</v>
      </c>
      <c r="E36" s="144">
        <v>66</v>
      </c>
    </row>
    <row r="37" spans="1:5" ht="28.8" x14ac:dyDescent="0.3">
      <c r="A37" s="142" t="s">
        <v>386</v>
      </c>
      <c r="E37" s="144">
        <v>66.599999999999994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4"/>
  <sheetViews>
    <sheetView workbookViewId="0">
      <selection activeCell="J22" sqref="J22"/>
    </sheetView>
  </sheetViews>
  <sheetFormatPr defaultRowHeight="14.4" x14ac:dyDescent="0.3"/>
  <cols>
    <col min="8" max="8" width="9.88671875" bestFit="1" customWidth="1"/>
    <col min="9" max="9" width="11.109375" bestFit="1" customWidth="1"/>
    <col min="10" max="11" width="12.88671875" bestFit="1" customWidth="1"/>
    <col min="12" max="13" width="24.5546875" bestFit="1" customWidth="1"/>
    <col min="14" max="14" width="60" bestFit="1" customWidth="1"/>
    <col min="15" max="15" width="20.109375" bestFit="1" customWidth="1"/>
    <col min="16" max="16" width="40.6640625" bestFit="1" customWidth="1"/>
    <col min="17" max="17" width="12.44140625" bestFit="1" customWidth="1"/>
    <col min="18" max="18" width="5" bestFit="1" customWidth="1"/>
  </cols>
  <sheetData>
    <row r="1" spans="1:13" ht="20.399999999999999" x14ac:dyDescent="0.3">
      <c r="A1" s="145" t="s">
        <v>0</v>
      </c>
      <c r="B1" s="147" t="s">
        <v>1</v>
      </c>
      <c r="C1" s="147" t="s">
        <v>2</v>
      </c>
      <c r="D1" s="1" t="s">
        <v>3</v>
      </c>
      <c r="E1" s="147" t="s">
        <v>5</v>
      </c>
      <c r="F1" s="147" t="s">
        <v>6</v>
      </c>
    </row>
    <row r="2" spans="1:13" ht="15" thickBot="1" x14ac:dyDescent="0.35">
      <c r="A2" s="146"/>
      <c r="B2" s="148"/>
      <c r="C2" s="148"/>
      <c r="D2" s="2" t="s">
        <v>4</v>
      </c>
      <c r="E2" s="148"/>
      <c r="F2" s="148"/>
      <c r="H2" s="19"/>
      <c r="J2" s="34">
        <v>41152</v>
      </c>
      <c r="K2" s="37">
        <v>7.3928657517679545E-3</v>
      </c>
      <c r="M2" t="s">
        <v>388</v>
      </c>
    </row>
    <row r="3" spans="1:13" ht="15.6" thickTop="1" thickBot="1" x14ac:dyDescent="0.35">
      <c r="A3" s="3" t="s">
        <v>388</v>
      </c>
      <c r="B3" s="5">
        <v>38169</v>
      </c>
      <c r="C3" s="6" t="s">
        <v>388</v>
      </c>
      <c r="D3" s="6" t="s">
        <v>388</v>
      </c>
      <c r="E3" s="7">
        <v>34</v>
      </c>
      <c r="F3" s="8">
        <v>0.28000000000000003</v>
      </c>
      <c r="H3" s="19"/>
      <c r="J3" s="34">
        <v>41121</v>
      </c>
      <c r="K3" s="37">
        <v>7.7465760051712686E-3</v>
      </c>
    </row>
    <row r="4" spans="1:13" ht="15" thickBot="1" x14ac:dyDescent="0.35">
      <c r="A4" s="9" t="s">
        <v>388</v>
      </c>
      <c r="B4" s="10">
        <v>38384</v>
      </c>
      <c r="C4" s="11" t="s">
        <v>388</v>
      </c>
      <c r="D4" s="11" t="s">
        <v>388</v>
      </c>
      <c r="E4" s="12">
        <v>5</v>
      </c>
      <c r="F4" s="13">
        <v>7.4999999999999997E-2</v>
      </c>
      <c r="H4" s="19"/>
      <c r="J4" s="34">
        <v>41090</v>
      </c>
      <c r="K4" s="37">
        <v>-3.5957794205728113E-3</v>
      </c>
    </row>
    <row r="5" spans="1:13" ht="15" thickBot="1" x14ac:dyDescent="0.35">
      <c r="A5" s="9" t="s">
        <v>388</v>
      </c>
      <c r="B5" s="14">
        <v>38869</v>
      </c>
      <c r="C5" s="15" t="s">
        <v>388</v>
      </c>
      <c r="D5" s="15" t="s">
        <v>388</v>
      </c>
      <c r="E5" s="16">
        <v>7</v>
      </c>
      <c r="F5" s="16" t="s">
        <v>8</v>
      </c>
      <c r="H5" s="19"/>
      <c r="J5" s="34">
        <v>41060</v>
      </c>
      <c r="K5" s="37">
        <v>-1.7156358739259709E-2</v>
      </c>
    </row>
    <row r="6" spans="1:13" ht="15" thickBot="1" x14ac:dyDescent="0.35">
      <c r="A6" s="9" t="s">
        <v>388</v>
      </c>
      <c r="B6" s="10">
        <v>39630</v>
      </c>
      <c r="C6" s="11" t="s">
        <v>388</v>
      </c>
      <c r="D6" s="11" t="s">
        <v>388</v>
      </c>
      <c r="E6" s="12">
        <v>0.3</v>
      </c>
      <c r="F6" s="17">
        <v>6.38</v>
      </c>
      <c r="H6" s="19"/>
      <c r="J6" s="34">
        <v>41029</v>
      </c>
      <c r="K6" s="37">
        <v>-2.6199960187320154E-3</v>
      </c>
    </row>
    <row r="7" spans="1:13" ht="15" thickBot="1" x14ac:dyDescent="0.35">
      <c r="A7" s="9" t="s">
        <v>388</v>
      </c>
      <c r="B7" s="14">
        <v>39753</v>
      </c>
      <c r="C7" s="15" t="s">
        <v>388</v>
      </c>
      <c r="D7" s="15" t="s">
        <v>388</v>
      </c>
      <c r="E7" s="16">
        <v>0.2</v>
      </c>
      <c r="F7" s="18">
        <v>2.37</v>
      </c>
      <c r="H7" s="19"/>
      <c r="J7" s="34">
        <v>40999</v>
      </c>
      <c r="K7" s="37">
        <v>4.7878557447230167E-4</v>
      </c>
    </row>
    <row r="8" spans="1:13" ht="15" thickBot="1" x14ac:dyDescent="0.35">
      <c r="A8" s="9" t="s">
        <v>388</v>
      </c>
      <c r="B8" s="10">
        <v>39934</v>
      </c>
      <c r="C8" s="11" t="s">
        <v>388</v>
      </c>
      <c r="D8" s="11" t="s">
        <v>388</v>
      </c>
      <c r="E8" s="12">
        <v>15</v>
      </c>
      <c r="F8" s="12" t="s">
        <v>9</v>
      </c>
      <c r="H8" s="19"/>
      <c r="J8" s="34">
        <v>40968</v>
      </c>
      <c r="K8" s="37">
        <v>1.506389443634438E-2</v>
      </c>
    </row>
    <row r="9" spans="1:13" ht="15" thickBot="1" x14ac:dyDescent="0.35">
      <c r="A9" s="9" t="s">
        <v>388</v>
      </c>
      <c r="B9" s="14">
        <v>39995</v>
      </c>
      <c r="C9" s="15" t="s">
        <v>388</v>
      </c>
      <c r="D9" s="15" t="s">
        <v>388</v>
      </c>
      <c r="E9" s="16">
        <v>0.25</v>
      </c>
      <c r="F9" s="16" t="s">
        <v>10</v>
      </c>
      <c r="H9" s="19"/>
      <c r="J9" s="34">
        <v>40939</v>
      </c>
      <c r="K9" s="37">
        <v>1.7870950041154417E-2</v>
      </c>
    </row>
    <row r="10" spans="1:13" ht="15" thickBot="1" x14ac:dyDescent="0.35">
      <c r="A10" s="9" t="s">
        <v>388</v>
      </c>
      <c r="B10" s="10">
        <v>40664</v>
      </c>
      <c r="C10" s="11" t="s">
        <v>388</v>
      </c>
      <c r="D10" s="11" t="s">
        <v>388</v>
      </c>
      <c r="E10" s="12">
        <v>5</v>
      </c>
      <c r="F10" s="12" t="s">
        <v>8</v>
      </c>
      <c r="H10" s="19"/>
      <c r="I10" s="37">
        <f>1+K10</f>
        <v>0.9944789752515053</v>
      </c>
      <c r="J10" s="34">
        <v>40908</v>
      </c>
      <c r="K10" s="37">
        <v>-5.5210247484946962E-3</v>
      </c>
    </row>
    <row r="11" spans="1:13" ht="15" thickBot="1" x14ac:dyDescent="0.35">
      <c r="A11" s="9" t="s">
        <v>388</v>
      </c>
      <c r="B11" s="14">
        <v>40664</v>
      </c>
      <c r="C11" s="15" t="s">
        <v>388</v>
      </c>
      <c r="D11" s="15" t="s">
        <v>388</v>
      </c>
      <c r="E11" s="16">
        <v>1.5</v>
      </c>
      <c r="F11" s="16" t="s">
        <v>11</v>
      </c>
      <c r="H11" s="19"/>
      <c r="I11" s="37">
        <f>I10*(1+K11)</f>
        <v>0.98475129255822147</v>
      </c>
      <c r="J11" s="34">
        <v>40877</v>
      </c>
      <c r="K11" s="37">
        <v>-9.7816876327865565E-3</v>
      </c>
    </row>
    <row r="12" spans="1:13" ht="15" thickBot="1" x14ac:dyDescent="0.35">
      <c r="A12" s="9" t="s">
        <v>388</v>
      </c>
      <c r="B12" s="10">
        <v>41030</v>
      </c>
      <c r="C12" s="11" t="s">
        <v>388</v>
      </c>
      <c r="D12" s="11" t="s">
        <v>388</v>
      </c>
      <c r="E12" s="12">
        <v>0.3</v>
      </c>
      <c r="F12" s="12" t="s">
        <v>12</v>
      </c>
      <c r="H12" s="19"/>
      <c r="I12" s="37">
        <f t="shared" ref="I12:I21" si="0">I11*(1+K12)</f>
        <v>0.99527513446421179</v>
      </c>
      <c r="J12" s="34">
        <v>40847</v>
      </c>
      <c r="K12" s="37">
        <v>1.0686801820438531E-2</v>
      </c>
    </row>
    <row r="13" spans="1:13" x14ac:dyDescent="0.3">
      <c r="H13" s="19"/>
      <c r="I13" s="37">
        <f t="shared" si="0"/>
        <v>0.96752241255183347</v>
      </c>
      <c r="J13" s="34">
        <v>40816</v>
      </c>
      <c r="K13" s="37">
        <v>-2.7884472294506333E-2</v>
      </c>
    </row>
    <row r="14" spans="1:13" x14ac:dyDescent="0.3">
      <c r="H14" s="19"/>
      <c r="I14" s="37">
        <f t="shared" si="0"/>
        <v>0.94200895182227928</v>
      </c>
      <c r="J14" s="34">
        <v>40786</v>
      </c>
      <c r="K14" s="37">
        <v>-2.6369891176228778E-2</v>
      </c>
    </row>
    <row r="15" spans="1:13" x14ac:dyDescent="0.3">
      <c r="H15" s="19"/>
      <c r="I15" s="37">
        <f t="shared" si="0"/>
        <v>0.94566768483247432</v>
      </c>
      <c r="J15" s="34">
        <v>40755</v>
      </c>
      <c r="K15" s="37">
        <v>3.8839684093420089E-3</v>
      </c>
    </row>
    <row r="16" spans="1:13" x14ac:dyDescent="0.3">
      <c r="A16">
        <v>2011</v>
      </c>
      <c r="B16" s="43">
        <f>H21</f>
        <v>-5.7189888300999359E-2</v>
      </c>
      <c r="H16" s="19"/>
      <c r="I16" s="37">
        <f t="shared" si="0"/>
        <v>0.93336670139272848</v>
      </c>
      <c r="J16" s="34">
        <v>40724</v>
      </c>
      <c r="K16" s="37">
        <v>-1.3007723153747248E-2</v>
      </c>
    </row>
    <row r="17" spans="1:12" x14ac:dyDescent="0.3">
      <c r="A17">
        <v>2010</v>
      </c>
      <c r="B17" s="43">
        <f>H33</f>
        <v>5.7031652950595202E-2</v>
      </c>
      <c r="H17" s="19"/>
      <c r="I17" s="37">
        <f t="shared" si="0"/>
        <v>0.92326469047386039</v>
      </c>
      <c r="J17" s="34">
        <v>40694</v>
      </c>
      <c r="K17" s="37">
        <v>-1.0823196181944767E-2</v>
      </c>
    </row>
    <row r="18" spans="1:12" x14ac:dyDescent="0.3">
      <c r="A18">
        <v>2009</v>
      </c>
      <c r="B18" s="43">
        <f>H45</f>
        <v>0.11468819845946432</v>
      </c>
      <c r="H18" s="19"/>
      <c r="I18" s="37">
        <f t="shared" si="0"/>
        <v>0.9345415343375777</v>
      </c>
      <c r="J18" s="34">
        <v>40663</v>
      </c>
      <c r="K18" s="37">
        <v>1.2214096325864654E-2</v>
      </c>
    </row>
    <row r="19" spans="1:12" x14ac:dyDescent="0.3">
      <c r="A19">
        <v>2008</v>
      </c>
      <c r="B19" s="43">
        <f>H57</f>
        <v>-0.21369501397061397</v>
      </c>
      <c r="H19" s="19"/>
      <c r="I19" s="37">
        <f t="shared" si="0"/>
        <v>0.9336528851845024</v>
      </c>
      <c r="J19" s="34">
        <v>40633</v>
      </c>
      <c r="K19" s="37">
        <v>-9.5089316036144522E-4</v>
      </c>
    </row>
    <row r="20" spans="1:12" x14ac:dyDescent="0.3">
      <c r="A20">
        <v>2007</v>
      </c>
      <c r="B20" s="43">
        <f>H69</f>
        <v>0.10254618972316187</v>
      </c>
      <c r="H20" s="19"/>
      <c r="I20" s="37">
        <f t="shared" si="0"/>
        <v>0.94143937007257705</v>
      </c>
      <c r="J20" s="34">
        <v>40602</v>
      </c>
      <c r="K20" s="37">
        <v>8.3398070221096642E-3</v>
      </c>
    </row>
    <row r="21" spans="1:12" x14ac:dyDescent="0.3">
      <c r="A21">
        <v>2006</v>
      </c>
      <c r="B21" s="43">
        <f>D81</f>
        <v>0.10394403047740242</v>
      </c>
      <c r="H21" s="43">
        <f>I21-1</f>
        <v>-5.7189888300999359E-2</v>
      </c>
      <c r="I21" s="37">
        <f t="shared" si="0"/>
        <v>0.94281011169900064</v>
      </c>
      <c r="J21" s="34">
        <v>40574</v>
      </c>
      <c r="K21" s="37">
        <v>1.4560062708211426E-3</v>
      </c>
    </row>
    <row r="22" spans="1:12" x14ac:dyDescent="0.3">
      <c r="A22">
        <v>2005</v>
      </c>
      <c r="B22" s="43">
        <f>D93</f>
        <v>7.4910628392261369E-2</v>
      </c>
      <c r="H22" s="19"/>
      <c r="I22" s="43">
        <f>1+K22</f>
        <v>1.0220492658589881</v>
      </c>
      <c r="J22" s="34">
        <v>40543</v>
      </c>
      <c r="K22" s="37">
        <v>2.2049265858988074E-2</v>
      </c>
      <c r="L22" s="43">
        <f>(1+K22)</f>
        <v>1.0220492658589881</v>
      </c>
    </row>
    <row r="23" spans="1:12" x14ac:dyDescent="0.3">
      <c r="A23">
        <v>2004</v>
      </c>
      <c r="B23" s="43">
        <f>D105</f>
        <v>6.8615580650975172E-2</v>
      </c>
      <c r="H23" s="19"/>
      <c r="I23" s="43">
        <f>I22*(1+K23)</f>
        <v>1.021049261675137</v>
      </c>
      <c r="J23" s="34">
        <v>40512</v>
      </c>
      <c r="K23" s="37">
        <v>-9.784305094242122E-4</v>
      </c>
      <c r="L23" s="37">
        <f>L22*(1+K23)</f>
        <v>1.021049261675137</v>
      </c>
    </row>
    <row r="24" spans="1:12" x14ac:dyDescent="0.3">
      <c r="H24" s="19"/>
      <c r="I24" s="43">
        <f t="shared" ref="I24:I33" si="1">I23*(1+K24)</f>
        <v>1.0361694826462424</v>
      </c>
      <c r="J24" s="34">
        <v>40482</v>
      </c>
      <c r="K24" s="37">
        <v>1.4808512712010731E-2</v>
      </c>
      <c r="L24" s="37">
        <f t="shared" ref="L24:L39" si="2">L23*(1+K24)</f>
        <v>1.0361694826462424</v>
      </c>
    </row>
    <row r="25" spans="1:12" x14ac:dyDescent="0.3">
      <c r="H25" s="19"/>
      <c r="I25" s="43">
        <f t="shared" si="1"/>
        <v>1.0604848346304514</v>
      </c>
      <c r="J25" s="34">
        <v>40451</v>
      </c>
      <c r="K25" s="37">
        <v>2.3466577998524522E-2</v>
      </c>
      <c r="L25" s="37">
        <f t="shared" si="2"/>
        <v>1.0604848346304514</v>
      </c>
    </row>
    <row r="26" spans="1:12" x14ac:dyDescent="0.3">
      <c r="H26" s="19"/>
      <c r="I26" s="43">
        <f t="shared" si="1"/>
        <v>1.0618286841481026</v>
      </c>
      <c r="J26" s="34">
        <v>40421</v>
      </c>
      <c r="K26" s="37">
        <v>1.26720295639077E-3</v>
      </c>
      <c r="L26" s="37">
        <f t="shared" si="2"/>
        <v>1.0618286841481026</v>
      </c>
    </row>
    <row r="27" spans="1:12" x14ac:dyDescent="0.3">
      <c r="H27" s="19"/>
      <c r="I27" s="43">
        <f t="shared" si="1"/>
        <v>1.0700087227832389</v>
      </c>
      <c r="J27" s="34">
        <v>40390</v>
      </c>
      <c r="K27" s="37">
        <v>7.7037273123762417E-3</v>
      </c>
      <c r="L27" s="37">
        <f t="shared" si="2"/>
        <v>1.0700087227832389</v>
      </c>
    </row>
    <row r="28" spans="1:12" x14ac:dyDescent="0.3">
      <c r="H28" s="19"/>
      <c r="I28" s="43">
        <f t="shared" si="1"/>
        <v>1.0605311176414354</v>
      </c>
      <c r="J28" s="34">
        <v>40359</v>
      </c>
      <c r="K28" s="37">
        <v>-8.8575026913340904E-3</v>
      </c>
      <c r="L28" s="37">
        <f t="shared" si="2"/>
        <v>1.0605311176414354</v>
      </c>
    </row>
    <row r="29" spans="1:12" x14ac:dyDescent="0.3">
      <c r="H29" s="19"/>
      <c r="I29" s="43">
        <f t="shared" si="1"/>
        <v>1.0330064069474387</v>
      </c>
      <c r="J29" s="34">
        <v>40329</v>
      </c>
      <c r="K29" s="37">
        <v>-2.5953703984858155E-2</v>
      </c>
      <c r="L29" s="37">
        <f t="shared" si="2"/>
        <v>1.0330064069474387</v>
      </c>
    </row>
    <row r="30" spans="1:12" x14ac:dyDescent="0.3">
      <c r="H30" s="19"/>
      <c r="I30" s="43">
        <f t="shared" si="1"/>
        <v>1.042304958454864</v>
      </c>
      <c r="J30" s="34">
        <v>40298</v>
      </c>
      <c r="K30" s="37">
        <v>9.0014461138752805E-3</v>
      </c>
      <c r="L30" s="37">
        <f t="shared" si="2"/>
        <v>1.042304958454864</v>
      </c>
    </row>
    <row r="31" spans="1:12" x14ac:dyDescent="0.3">
      <c r="H31" s="19"/>
      <c r="I31" s="43">
        <f t="shared" si="1"/>
        <v>1.0595600220092813</v>
      </c>
      <c r="J31" s="34">
        <v>40268</v>
      </c>
      <c r="K31" s="37">
        <v>1.6554716941955813E-2</v>
      </c>
      <c r="L31" s="37">
        <f t="shared" si="2"/>
        <v>1.0595600220092813</v>
      </c>
    </row>
    <row r="32" spans="1:12" x14ac:dyDescent="0.3">
      <c r="H32" s="19"/>
      <c r="I32" s="43">
        <f t="shared" si="1"/>
        <v>1.0609434350616544</v>
      </c>
      <c r="J32" s="34">
        <v>40237</v>
      </c>
      <c r="K32" s="37">
        <v>1.3056485934130747E-3</v>
      </c>
      <c r="L32" s="37">
        <f t="shared" si="2"/>
        <v>1.0609434350616544</v>
      </c>
    </row>
    <row r="33" spans="8:13" x14ac:dyDescent="0.3">
      <c r="H33" s="43">
        <f>I33-1</f>
        <v>5.7031652950595202E-2</v>
      </c>
      <c r="I33" s="43">
        <f t="shared" si="1"/>
        <v>1.0570316529505952</v>
      </c>
      <c r="J33" s="34">
        <v>40209</v>
      </c>
      <c r="K33" s="37">
        <v>-3.6870788599883964E-3</v>
      </c>
      <c r="L33" s="37">
        <f t="shared" si="2"/>
        <v>1.0570316529505952</v>
      </c>
    </row>
    <row r="34" spans="8:13" x14ac:dyDescent="0.3">
      <c r="H34" s="19"/>
      <c r="I34" s="43">
        <f>1+K34</f>
        <v>1.0075782241367797</v>
      </c>
      <c r="J34" s="34">
        <v>40178</v>
      </c>
      <c r="K34" s="37">
        <v>7.5782241367796203E-3</v>
      </c>
      <c r="L34" s="37">
        <f t="shared" si="2"/>
        <v>1.0650420757363255</v>
      </c>
    </row>
    <row r="35" spans="8:13" x14ac:dyDescent="0.3">
      <c r="H35" s="19"/>
      <c r="I35" s="43">
        <f>I34*(1+K35)</f>
        <v>1.0156160591066681</v>
      </c>
      <c r="J35" s="34">
        <v>40147</v>
      </c>
      <c r="K35" s="37">
        <v>7.9773805917398924E-3</v>
      </c>
      <c r="L35" s="37">
        <f t="shared" si="2"/>
        <v>1.0735383217206906</v>
      </c>
    </row>
    <row r="36" spans="8:13" x14ac:dyDescent="0.3">
      <c r="H36" s="19"/>
      <c r="I36" s="43">
        <f t="shared" ref="I36:I45" si="3">I35*(1+K36)</f>
        <v>1.0147066860037413</v>
      </c>
      <c r="J36" s="34">
        <v>40117</v>
      </c>
      <c r="K36" s="37">
        <v>-8.9539062992627079E-4</v>
      </c>
      <c r="L36" s="37">
        <f t="shared" si="2"/>
        <v>1.0725770855665551</v>
      </c>
    </row>
    <row r="37" spans="8:13" x14ac:dyDescent="0.3">
      <c r="H37" s="19"/>
      <c r="I37" s="43">
        <f t="shared" si="3"/>
        <v>1.0323342870461845</v>
      </c>
      <c r="J37" s="34">
        <v>40086</v>
      </c>
      <c r="K37" s="37">
        <v>1.7372114804788192E-2</v>
      </c>
      <c r="L37" s="37">
        <f t="shared" si="2"/>
        <v>1.0912100178340025</v>
      </c>
    </row>
    <row r="38" spans="8:13" x14ac:dyDescent="0.3">
      <c r="H38" s="19"/>
      <c r="I38" s="43">
        <f t="shared" si="3"/>
        <v>1.0436309945869291</v>
      </c>
      <c r="J38" s="34">
        <v>40056</v>
      </c>
      <c r="K38" s="37">
        <v>1.0942877401725932E-2</v>
      </c>
      <c r="L38" s="37">
        <f t="shared" si="2"/>
        <v>1.1031509952786951</v>
      </c>
    </row>
    <row r="39" spans="8:13" x14ac:dyDescent="0.3">
      <c r="H39" s="19"/>
      <c r="I39" s="43">
        <f t="shared" si="3"/>
        <v>1.0596662744960315</v>
      </c>
      <c r="J39" s="34">
        <v>40025</v>
      </c>
      <c r="K39" s="37">
        <v>1.5364894289527288E-2</v>
      </c>
      <c r="L39" s="37">
        <f t="shared" si="2"/>
        <v>1.120100793706539</v>
      </c>
      <c r="M39" s="43">
        <f>L39-1</f>
        <v>0.12010079370653903</v>
      </c>
    </row>
    <row r="40" spans="8:13" x14ac:dyDescent="0.3">
      <c r="H40" s="19"/>
      <c r="I40" s="43">
        <f t="shared" si="3"/>
        <v>1.0636891030513749</v>
      </c>
      <c r="J40" s="34">
        <v>39994</v>
      </c>
      <c r="K40" s="37">
        <v>3.7963164933758294E-3</v>
      </c>
    </row>
    <row r="41" spans="8:13" x14ac:dyDescent="0.3">
      <c r="H41" s="19"/>
      <c r="I41" s="43">
        <f t="shared" si="3"/>
        <v>1.099048625070858</v>
      </c>
      <c r="J41" s="34">
        <v>39964</v>
      </c>
      <c r="K41" s="37">
        <v>3.3242346770356333E-2</v>
      </c>
    </row>
    <row r="42" spans="8:13" x14ac:dyDescent="0.3">
      <c r="H42" s="19"/>
      <c r="I42" s="43">
        <f t="shared" si="3"/>
        <v>1.1106287628341835</v>
      </c>
      <c r="J42" s="34">
        <v>39933</v>
      </c>
      <c r="K42" s="37">
        <v>1.0536510850535724E-2</v>
      </c>
    </row>
    <row r="43" spans="8:13" x14ac:dyDescent="0.3">
      <c r="H43" s="19"/>
      <c r="I43" s="43">
        <f t="shared" si="3"/>
        <v>1.1109303411949074</v>
      </c>
      <c r="J43" s="34">
        <v>39903</v>
      </c>
      <c r="K43" s="37">
        <v>2.7153840312413931E-4</v>
      </c>
    </row>
    <row r="44" spans="8:13" x14ac:dyDescent="0.3">
      <c r="H44" s="19"/>
      <c r="I44" s="43">
        <f t="shared" si="3"/>
        <v>1.1068042853769424</v>
      </c>
      <c r="J44" s="34">
        <v>39872</v>
      </c>
      <c r="K44" s="37">
        <v>-3.7140544865550598E-3</v>
      </c>
    </row>
    <row r="45" spans="8:13" x14ac:dyDescent="0.3">
      <c r="H45" s="43">
        <f>I45-1</f>
        <v>0.11468819845946432</v>
      </c>
      <c r="I45" s="43">
        <f t="shared" si="3"/>
        <v>1.1146881984594643</v>
      </c>
      <c r="J45" s="34">
        <v>39844</v>
      </c>
      <c r="K45" s="37">
        <v>7.123132053863431E-3</v>
      </c>
    </row>
    <row r="46" spans="8:13" x14ac:dyDescent="0.3">
      <c r="H46" s="19"/>
      <c r="I46" s="43">
        <f>1+K46</f>
        <v>0.98511285344178545</v>
      </c>
      <c r="J46" s="34">
        <v>39813</v>
      </c>
      <c r="K46" s="37">
        <v>-1.4887146558214503E-2</v>
      </c>
      <c r="L46" s="43">
        <f>1+K46</f>
        <v>0.98511285344178545</v>
      </c>
    </row>
    <row r="47" spans="8:13" x14ac:dyDescent="0.3">
      <c r="H47" s="19"/>
      <c r="I47" s="43">
        <f>I46*(1+K47)</f>
        <v>0.95909364702547562</v>
      </c>
      <c r="J47" s="34">
        <v>39782</v>
      </c>
      <c r="K47" s="37">
        <v>-2.6412411862665297E-2</v>
      </c>
      <c r="L47" s="43">
        <f t="shared" ref="L47:L50" si="4">1+K47</f>
        <v>0.9735875881373347</v>
      </c>
    </row>
    <row r="48" spans="8:13" x14ac:dyDescent="0.3">
      <c r="H48" s="19"/>
      <c r="I48" s="43">
        <f t="shared" ref="I48:I57" si="5">I47*(1+K48)</f>
        <v>0.89945753756946922</v>
      </c>
      <c r="J48" s="34">
        <v>39752</v>
      </c>
      <c r="K48" s="37">
        <v>-6.2179652259152424E-2</v>
      </c>
      <c r="L48" s="43">
        <f t="shared" si="4"/>
        <v>0.93782034774084755</v>
      </c>
    </row>
    <row r="49" spans="8:13" x14ac:dyDescent="0.3">
      <c r="H49" s="19"/>
      <c r="I49" s="43">
        <f t="shared" si="5"/>
        <v>0.84066601705804933</v>
      </c>
      <c r="J49" s="34">
        <v>39721</v>
      </c>
      <c r="K49" s="37">
        <v>-6.5363308500685155E-2</v>
      </c>
      <c r="L49" s="43">
        <f t="shared" si="4"/>
        <v>0.93463669149931483</v>
      </c>
    </row>
    <row r="50" spans="8:13" x14ac:dyDescent="0.3">
      <c r="H50" s="19"/>
      <c r="I50" s="43">
        <f t="shared" si="5"/>
        <v>0.82782084805113365</v>
      </c>
      <c r="J50" s="34">
        <v>39691</v>
      </c>
      <c r="K50" s="37">
        <v>-1.527975289386373E-2</v>
      </c>
      <c r="L50" s="43">
        <f t="shared" si="4"/>
        <v>0.98472024710613626</v>
      </c>
      <c r="M50" s="43">
        <f>L50-1</f>
        <v>-1.5279752893863741E-2</v>
      </c>
    </row>
    <row r="51" spans="8:13" x14ac:dyDescent="0.3">
      <c r="H51" s="19"/>
      <c r="I51" s="43">
        <f t="shared" si="5"/>
        <v>0.80582296663181108</v>
      </c>
      <c r="J51" s="34">
        <v>39660</v>
      </c>
      <c r="K51" s="37">
        <v>-2.6573239211249943E-2</v>
      </c>
      <c r="L51" s="37"/>
    </row>
    <row r="52" spans="8:13" x14ac:dyDescent="0.3">
      <c r="H52" s="19"/>
      <c r="I52" s="43">
        <f t="shared" si="5"/>
        <v>0.79894039344165502</v>
      </c>
      <c r="J52" s="34">
        <v>39629</v>
      </c>
      <c r="K52" s="37">
        <v>-8.5410486858222608E-3</v>
      </c>
      <c r="L52" s="37"/>
    </row>
    <row r="53" spans="8:13" x14ac:dyDescent="0.3">
      <c r="H53" s="19"/>
      <c r="I53" s="43">
        <f t="shared" si="5"/>
        <v>0.81287854757851519</v>
      </c>
      <c r="J53" s="34">
        <v>39599</v>
      </c>
      <c r="K53" s="37">
        <v>1.744579977589792E-2</v>
      </c>
      <c r="L53" s="37"/>
    </row>
    <row r="54" spans="8:13" x14ac:dyDescent="0.3">
      <c r="H54" s="19"/>
      <c r="I54" s="43">
        <f t="shared" si="5"/>
        <v>0.82112535596330938</v>
      </c>
      <c r="J54" s="34">
        <v>39568</v>
      </c>
      <c r="K54" s="37">
        <v>1.0145191319614331E-2</v>
      </c>
      <c r="L54" s="37"/>
    </row>
    <row r="55" spans="8:13" x14ac:dyDescent="0.3">
      <c r="H55" s="19"/>
      <c r="I55" s="43">
        <f t="shared" si="5"/>
        <v>0.79888586580585619</v>
      </c>
      <c r="J55" s="34">
        <v>39538</v>
      </c>
      <c r="K55" s="37">
        <v>-2.7084159557297659E-2</v>
      </c>
      <c r="L55" s="37"/>
    </row>
    <row r="56" spans="8:13" x14ac:dyDescent="0.3">
      <c r="H56" s="19"/>
      <c r="I56" s="43">
        <f t="shared" si="5"/>
        <v>0.8097734632672442</v>
      </c>
      <c r="J56" s="34">
        <v>39507</v>
      </c>
      <c r="K56" s="37">
        <v>1.3628476766709858E-2</v>
      </c>
      <c r="L56" s="37"/>
    </row>
    <row r="57" spans="8:13" x14ac:dyDescent="0.3">
      <c r="H57" s="43">
        <f>I57-1</f>
        <v>-0.21369501397061397</v>
      </c>
      <c r="I57" s="43">
        <f t="shared" si="5"/>
        <v>0.78630498602938603</v>
      </c>
      <c r="J57" s="34">
        <v>39478</v>
      </c>
      <c r="K57" s="37">
        <v>-2.8981534098645807E-2</v>
      </c>
      <c r="L57" s="37"/>
    </row>
    <row r="58" spans="8:13" x14ac:dyDescent="0.3">
      <c r="H58" s="19"/>
      <c r="I58" s="43">
        <f>1+K58</f>
        <v>1.004489939580951</v>
      </c>
      <c r="J58" s="34">
        <v>39447</v>
      </c>
      <c r="K58" s="37">
        <v>4.4899395809511102E-3</v>
      </c>
      <c r="L58" s="37"/>
    </row>
    <row r="59" spans="8:13" x14ac:dyDescent="0.3">
      <c r="H59" s="19"/>
      <c r="I59" s="43">
        <f>I58*(1+K59)</f>
        <v>0.98939292694142655</v>
      </c>
      <c r="J59" s="34">
        <v>39416</v>
      </c>
      <c r="K59" s="37">
        <v>-1.5029530953612705E-2</v>
      </c>
      <c r="L59" s="37"/>
    </row>
    <row r="60" spans="8:13" x14ac:dyDescent="0.3">
      <c r="H60" s="19"/>
      <c r="I60" s="43">
        <f t="shared" ref="I60:I69" si="6">I59*(1+K60)</f>
        <v>1.0197299969267339</v>
      </c>
      <c r="J60" s="34">
        <v>39386</v>
      </c>
      <c r="K60" s="37">
        <v>3.0662307319186417E-2</v>
      </c>
      <c r="L60" s="37"/>
    </row>
    <row r="61" spans="8:13" x14ac:dyDescent="0.3">
      <c r="H61" s="19"/>
      <c r="I61" s="43">
        <f t="shared" si="6"/>
        <v>1.0417199379657298</v>
      </c>
      <c r="J61" s="34">
        <v>39355</v>
      </c>
      <c r="K61" s="37">
        <v>2.1564474032605901E-2</v>
      </c>
      <c r="L61" s="37"/>
    </row>
    <row r="62" spans="8:13" x14ac:dyDescent="0.3">
      <c r="H62" s="19"/>
      <c r="I62" s="43">
        <f t="shared" si="6"/>
        <v>1.0190451522187582</v>
      </c>
      <c r="J62" s="34">
        <v>39325</v>
      </c>
      <c r="K62" s="37">
        <v>-2.1766681159286323E-2</v>
      </c>
      <c r="L62" s="37"/>
    </row>
    <row r="63" spans="8:13" x14ac:dyDescent="0.3">
      <c r="H63" s="19"/>
      <c r="I63" s="43">
        <f t="shared" si="6"/>
        <v>1.0224539310157916</v>
      </c>
      <c r="J63" s="34">
        <v>39294</v>
      </c>
      <c r="K63" s="37">
        <v>3.3450714029809444E-3</v>
      </c>
      <c r="L63" s="37"/>
    </row>
    <row r="64" spans="8:13" x14ac:dyDescent="0.3">
      <c r="H64" s="19"/>
      <c r="I64" s="43">
        <f t="shared" si="6"/>
        <v>1.029400001495137</v>
      </c>
      <c r="J64" s="34">
        <v>39263</v>
      </c>
      <c r="K64" s="37">
        <v>6.7935290467752612E-3</v>
      </c>
      <c r="L64" s="37"/>
    </row>
    <row r="65" spans="5:12" x14ac:dyDescent="0.3">
      <c r="H65" s="19"/>
      <c r="I65" s="43">
        <f t="shared" si="6"/>
        <v>1.0510047341094397</v>
      </c>
      <c r="J65" s="34">
        <v>39233</v>
      </c>
      <c r="K65" s="37">
        <v>2.0987694368489778E-2</v>
      </c>
      <c r="L65" s="37"/>
    </row>
    <row r="66" spans="5:12" x14ac:dyDescent="0.3">
      <c r="H66" s="19"/>
      <c r="I66" s="43">
        <f t="shared" si="6"/>
        <v>1.0687717446352722</v>
      </c>
      <c r="J66" s="34">
        <v>39202</v>
      </c>
      <c r="K66" s="37">
        <v>1.690478639079316E-2</v>
      </c>
      <c r="L66" s="37"/>
    </row>
    <row r="67" spans="5:12" x14ac:dyDescent="0.3">
      <c r="H67" s="19"/>
      <c r="I67" s="43">
        <f t="shared" si="6"/>
        <v>1.0795937207830009</v>
      </c>
      <c r="J67" s="34">
        <v>39172</v>
      </c>
      <c r="K67" s="37">
        <v>1.0125619620887051E-2</v>
      </c>
      <c r="L67" s="37"/>
    </row>
    <row r="68" spans="5:12" x14ac:dyDescent="0.3">
      <c r="H68" s="19"/>
      <c r="I68" s="43">
        <f t="shared" si="6"/>
        <v>1.0884172668978667</v>
      </c>
      <c r="J68" s="34">
        <v>39141</v>
      </c>
      <c r="K68" s="37">
        <v>8.1730246712313232E-3</v>
      </c>
      <c r="L68" s="37"/>
    </row>
    <row r="69" spans="5:12" x14ac:dyDescent="0.3">
      <c r="H69" s="43">
        <f>I69-1</f>
        <v>0.10254618972316187</v>
      </c>
      <c r="I69" s="43">
        <f t="shared" si="6"/>
        <v>1.1025461897231619</v>
      </c>
      <c r="J69" s="34">
        <v>39113</v>
      </c>
      <c r="K69" s="37">
        <v>1.298116380086882E-2</v>
      </c>
      <c r="L69" s="37"/>
    </row>
    <row r="70" spans="5:12" x14ac:dyDescent="0.3">
      <c r="E70" s="43">
        <f>1+K70</f>
        <v>1.0176199788152855</v>
      </c>
      <c r="H70" s="19"/>
      <c r="J70" s="34">
        <v>39082</v>
      </c>
      <c r="K70" s="37">
        <v>1.7619978815285587E-2</v>
      </c>
      <c r="L70" s="37"/>
    </row>
    <row r="71" spans="5:12" x14ac:dyDescent="0.3">
      <c r="E71" s="37">
        <f>E70*(1+K71)</f>
        <v>1.0365275486809207</v>
      </c>
      <c r="H71" s="19"/>
      <c r="J71" s="34">
        <v>39051</v>
      </c>
      <c r="K71" s="37">
        <v>1.8580187358003215E-2</v>
      </c>
      <c r="L71" s="37"/>
    </row>
    <row r="72" spans="5:12" x14ac:dyDescent="0.3">
      <c r="E72" s="37">
        <f t="shared" ref="E72:E81" si="7">E71*(1+K72)</f>
        <v>1.0540429913325284</v>
      </c>
      <c r="H72" s="19"/>
      <c r="J72" s="34">
        <v>39021</v>
      </c>
      <c r="K72" s="37">
        <v>1.6898193081214128E-2</v>
      </c>
      <c r="L72" s="37"/>
    </row>
    <row r="73" spans="5:12" x14ac:dyDescent="0.3">
      <c r="E73" s="37">
        <f t="shared" si="7"/>
        <v>1.0536850608605046</v>
      </c>
      <c r="H73" s="19"/>
      <c r="J73" s="34">
        <v>38990</v>
      </c>
      <c r="K73" s="37">
        <v>-3.3957862721641969E-4</v>
      </c>
      <c r="L73" s="37"/>
    </row>
    <row r="74" spans="5:12" x14ac:dyDescent="0.3">
      <c r="E74" s="37">
        <f t="shared" si="7"/>
        <v>1.0618620686723372</v>
      </c>
      <c r="H74" s="19"/>
      <c r="J74" s="34">
        <v>38960</v>
      </c>
      <c r="K74" s="37">
        <v>7.7603907615003461E-3</v>
      </c>
      <c r="L74" s="37"/>
    </row>
    <row r="75" spans="5:12" x14ac:dyDescent="0.3">
      <c r="E75" s="37">
        <f t="shared" si="7"/>
        <v>1.059652516613744</v>
      </c>
      <c r="H75" s="43">
        <f>1+K75</f>
        <v>0.99791917225053917</v>
      </c>
      <c r="J75" s="34">
        <v>38929</v>
      </c>
      <c r="K75" s="37">
        <v>-2.0808277494607876E-3</v>
      </c>
      <c r="L75" s="37"/>
    </row>
    <row r="76" spans="5:12" x14ac:dyDescent="0.3">
      <c r="E76" s="37">
        <f t="shared" si="7"/>
        <v>1.0532740743239535</v>
      </c>
      <c r="H76" s="37">
        <f>H75*(1+K76)</f>
        <v>0.99191232590206224</v>
      </c>
      <c r="J76" s="34">
        <v>38898</v>
      </c>
      <c r="K76" s="37">
        <v>-6.0193716239864432E-3</v>
      </c>
      <c r="L76" s="37"/>
    </row>
    <row r="77" spans="5:12" x14ac:dyDescent="0.3">
      <c r="E77" s="37">
        <f t="shared" si="7"/>
        <v>1.0331876663571327</v>
      </c>
      <c r="H77" s="37">
        <f t="shared" ref="H77:H89" si="8">H76*(1+K77)</f>
        <v>0.97299611393873708</v>
      </c>
      <c r="J77" s="34">
        <v>38868</v>
      </c>
      <c r="K77" s="37">
        <v>-1.9070447527832005E-2</v>
      </c>
      <c r="L77" s="37"/>
    </row>
    <row r="78" spans="5:12" x14ac:dyDescent="0.3">
      <c r="E78" s="37">
        <f t="shared" si="7"/>
        <v>1.0514142117813445</v>
      </c>
      <c r="H78" s="37">
        <f t="shared" si="8"/>
        <v>0.99016081542110645</v>
      </c>
      <c r="J78" s="34">
        <v>38837</v>
      </c>
      <c r="K78" s="37">
        <v>1.7641079174392383E-2</v>
      </c>
      <c r="L78" s="37"/>
    </row>
    <row r="79" spans="5:12" x14ac:dyDescent="0.3">
      <c r="E79" s="37">
        <f t="shared" si="7"/>
        <v>1.0693194344852677</v>
      </c>
      <c r="H79" s="37">
        <f t="shared" si="8"/>
        <v>1.0070229138349902</v>
      </c>
      <c r="J79" s="34">
        <v>38807</v>
      </c>
      <c r="K79" s="37">
        <v>1.7029656345987024E-2</v>
      </c>
      <c r="L79" s="37"/>
    </row>
    <row r="80" spans="5:12" x14ac:dyDescent="0.3">
      <c r="E80" s="37">
        <f t="shared" si="7"/>
        <v>1.0730725527385825</v>
      </c>
      <c r="H80" s="37">
        <f t="shared" si="8"/>
        <v>1.0105573825424066</v>
      </c>
      <c r="J80" s="34">
        <v>38776</v>
      </c>
      <c r="K80" s="37">
        <v>3.509819547160278E-3</v>
      </c>
      <c r="L80" s="37"/>
    </row>
    <row r="81" spans="4:12" x14ac:dyDescent="0.3">
      <c r="D81" s="43">
        <f>E81-1</f>
        <v>0.10394403047740242</v>
      </c>
      <c r="E81" s="37">
        <f t="shared" si="7"/>
        <v>1.1039440304774024</v>
      </c>
      <c r="H81" s="37">
        <f t="shared" si="8"/>
        <v>1.0396303465832251</v>
      </c>
      <c r="J81" s="34">
        <v>38748</v>
      </c>
      <c r="K81" s="37">
        <v>2.8769236208710216E-2</v>
      </c>
      <c r="L81" s="37"/>
    </row>
    <row r="82" spans="4:12" x14ac:dyDescent="0.3">
      <c r="E82" s="43">
        <f>1+K82</f>
        <v>1.0198019132609946</v>
      </c>
      <c r="H82" s="37">
        <f t="shared" si="8"/>
        <v>1.0602170165297637</v>
      </c>
      <c r="J82" s="34">
        <v>38717</v>
      </c>
      <c r="K82" s="37">
        <v>1.9801913260994466E-2</v>
      </c>
      <c r="L82" s="37"/>
    </row>
    <row r="83" spans="4:12" x14ac:dyDescent="0.3">
      <c r="E83" s="37">
        <f>E82*(1+K83)</f>
        <v>1.0369637099823328</v>
      </c>
      <c r="H83" s="37">
        <f t="shared" si="8"/>
        <v>1.0780589412031594</v>
      </c>
      <c r="J83" s="34">
        <v>38686</v>
      </c>
      <c r="K83" s="37">
        <v>1.6828559054630855E-2</v>
      </c>
      <c r="L83" s="37"/>
    </row>
    <row r="84" spans="4:12" x14ac:dyDescent="0.3">
      <c r="E84" s="37">
        <f t="shared" ref="E84:E93" si="9">E83*(1+K84)</f>
        <v>1.0219806277791956</v>
      </c>
      <c r="H84" s="37">
        <f t="shared" si="8"/>
        <v>1.062482074259427</v>
      </c>
      <c r="J84" s="34">
        <v>38656</v>
      </c>
      <c r="K84" s="37">
        <v>-1.4448993787248744E-2</v>
      </c>
      <c r="L84" s="37"/>
    </row>
    <row r="85" spans="4:12" x14ac:dyDescent="0.3">
      <c r="E85" s="37">
        <f t="shared" si="9"/>
        <v>1.0377698584146293</v>
      </c>
      <c r="H85" s="37">
        <f t="shared" si="8"/>
        <v>1.0788970375772253</v>
      </c>
      <c r="J85" s="34">
        <v>38625</v>
      </c>
      <c r="K85" s="37">
        <v>1.5449637895528593E-2</v>
      </c>
      <c r="L85" s="37"/>
    </row>
    <row r="86" spans="4:12" x14ac:dyDescent="0.3">
      <c r="E86" s="37">
        <f t="shared" si="9"/>
        <v>1.0464861364845179</v>
      </c>
      <c r="H86" s="37">
        <f t="shared" si="8"/>
        <v>1.0879587447679393</v>
      </c>
      <c r="J86" s="34">
        <v>38595</v>
      </c>
      <c r="K86" s="37">
        <v>8.3990472446406842E-3</v>
      </c>
      <c r="L86" s="37">
        <f>1+K86</f>
        <v>1.0083990472446407</v>
      </c>
    </row>
    <row r="87" spans="4:12" x14ac:dyDescent="0.3">
      <c r="E87" s="37">
        <f t="shared" si="9"/>
        <v>1.0646634372198842</v>
      </c>
      <c r="H87" s="37">
        <f t="shared" si="8"/>
        <v>1.1068564182313956</v>
      </c>
      <c r="J87" s="34">
        <v>38564</v>
      </c>
      <c r="K87" s="37">
        <v>1.7369843805508548E-2</v>
      </c>
      <c r="L87" s="37">
        <f t="shared" ref="L87:L100" si="10">L86*(1+K87)</f>
        <v>1.0259147811889038</v>
      </c>
    </row>
    <row r="88" spans="4:12" x14ac:dyDescent="0.3">
      <c r="E88" s="37">
        <f t="shared" si="9"/>
        <v>1.0791555281049463</v>
      </c>
      <c r="H88" s="37">
        <f t="shared" si="8"/>
        <v>1.1219228357009483</v>
      </c>
      <c r="J88" s="34">
        <v>38533</v>
      </c>
      <c r="K88" s="37">
        <v>1.36118987263288E-2</v>
      </c>
      <c r="L88" s="37">
        <f t="shared" si="10"/>
        <v>1.0398794292922908</v>
      </c>
    </row>
    <row r="89" spans="4:12" x14ac:dyDescent="0.3">
      <c r="E89" s="37">
        <f t="shared" si="9"/>
        <v>1.0817118762370088</v>
      </c>
      <c r="G89" s="43">
        <f>H89-1</f>
        <v>0.1245804927954719</v>
      </c>
      <c r="H89" s="37">
        <f t="shared" si="8"/>
        <v>1.1245804927954719</v>
      </c>
      <c r="J89" s="34">
        <v>38503</v>
      </c>
      <c r="K89" s="37">
        <v>2.3688412517809971E-3</v>
      </c>
      <c r="L89" s="37">
        <f t="shared" si="10"/>
        <v>1.0423427385812769</v>
      </c>
    </row>
    <row r="90" spans="4:12" x14ac:dyDescent="0.3">
      <c r="E90" s="37">
        <f t="shared" si="9"/>
        <v>1.0664171858945963</v>
      </c>
      <c r="H90" s="19"/>
      <c r="J90" s="34">
        <v>38472</v>
      </c>
      <c r="K90" s="37">
        <v>-1.4139338467484237E-2</v>
      </c>
      <c r="L90" s="37">
        <f t="shared" si="10"/>
        <v>1.0276047018013517</v>
      </c>
    </row>
    <row r="91" spans="4:12" x14ac:dyDescent="0.3">
      <c r="E91" s="37">
        <f t="shared" si="9"/>
        <v>1.0605415058390109</v>
      </c>
      <c r="H91" s="19"/>
      <c r="J91" s="34">
        <v>38442</v>
      </c>
      <c r="K91" s="37">
        <v>-5.509738715113047E-3</v>
      </c>
      <c r="L91" s="37">
        <f t="shared" si="10"/>
        <v>1.0219428683920044</v>
      </c>
    </row>
    <row r="92" spans="4:12" x14ac:dyDescent="0.3">
      <c r="E92" s="37">
        <f t="shared" si="9"/>
        <v>1.0749540356028109</v>
      </c>
      <c r="H92" s="19"/>
      <c r="J92" s="34">
        <v>38411</v>
      </c>
      <c r="K92" s="37">
        <v>1.3589783789176642E-2</v>
      </c>
      <c r="L92" s="37">
        <f t="shared" si="10"/>
        <v>1.0358308510183429</v>
      </c>
    </row>
    <row r="93" spans="4:12" x14ac:dyDescent="0.3">
      <c r="D93" s="43">
        <f>E93-1</f>
        <v>7.4910628392261369E-2</v>
      </c>
      <c r="E93" s="37">
        <f t="shared" si="9"/>
        <v>1.0749106283922614</v>
      </c>
      <c r="H93" s="19"/>
      <c r="J93" s="34">
        <v>38383</v>
      </c>
      <c r="K93" s="37">
        <v>-4.0380527084661998E-5</v>
      </c>
      <c r="L93" s="37">
        <f t="shared" si="10"/>
        <v>1.0357890236226082</v>
      </c>
    </row>
    <row r="94" spans="4:12" x14ac:dyDescent="0.3">
      <c r="E94" s="43">
        <f>1+K94</f>
        <v>1.0146389312664339</v>
      </c>
      <c r="H94" s="19"/>
      <c r="J94" s="34">
        <v>38352</v>
      </c>
      <c r="K94" s="37">
        <v>1.4638931266433798E-2</v>
      </c>
      <c r="L94" s="37">
        <f t="shared" si="10"/>
        <v>1.0509518679459462</v>
      </c>
    </row>
    <row r="95" spans="4:12" x14ac:dyDescent="0.3">
      <c r="E95" s="37">
        <f>E94*(1+K95)</f>
        <v>1.0404829282157113</v>
      </c>
      <c r="H95" s="19"/>
      <c r="J95" s="34">
        <v>38321</v>
      </c>
      <c r="K95" s="37">
        <v>2.5471126873694731E-2</v>
      </c>
      <c r="L95" s="37">
        <f t="shared" si="10"/>
        <v>1.0777207963125439</v>
      </c>
    </row>
    <row r="96" spans="4:12" x14ac:dyDescent="0.3">
      <c r="E96" s="37">
        <f t="shared" ref="E96:E105" si="11">E95*(1+K96)</f>
        <v>1.0486180992139007</v>
      </c>
      <c r="H96" s="19"/>
      <c r="J96" s="34">
        <v>38291</v>
      </c>
      <c r="K96" s="37">
        <v>7.8186491845091289E-3</v>
      </c>
      <c r="L96" s="37">
        <f t="shared" si="10"/>
        <v>1.0861471171377615</v>
      </c>
    </row>
    <row r="97" spans="4:13" x14ac:dyDescent="0.3">
      <c r="E97" s="37">
        <f t="shared" si="11"/>
        <v>1.0579199187829504</v>
      </c>
      <c r="H97" s="19"/>
      <c r="J97" s="34">
        <v>38260</v>
      </c>
      <c r="K97" s="37">
        <v>8.8705502756655889E-3</v>
      </c>
      <c r="L97" s="37">
        <f t="shared" si="10"/>
        <v>1.0957818397471013</v>
      </c>
    </row>
    <row r="98" spans="4:13" x14ac:dyDescent="0.3">
      <c r="E98" s="37">
        <f t="shared" si="11"/>
        <v>1.057771066477053</v>
      </c>
      <c r="H98" s="19"/>
      <c r="J98" s="34">
        <v>38230</v>
      </c>
      <c r="K98" s="37">
        <v>-1.4070281053862681E-4</v>
      </c>
      <c r="L98" s="37">
        <f t="shared" si="10"/>
        <v>1.0956276601625117</v>
      </c>
    </row>
    <row r="99" spans="4:13" x14ac:dyDescent="0.3">
      <c r="E99" s="37">
        <f t="shared" si="11"/>
        <v>1.0516908441855295</v>
      </c>
      <c r="H99" s="19"/>
      <c r="J99" s="34">
        <v>38199</v>
      </c>
      <c r="K99" s="37">
        <v>-5.7481457795720281E-3</v>
      </c>
      <c r="L99" s="37">
        <f t="shared" si="10"/>
        <v>1.0893298326517662</v>
      </c>
    </row>
    <row r="100" spans="4:13" x14ac:dyDescent="0.3">
      <c r="E100" s="37">
        <f t="shared" si="11"/>
        <v>1.0542348943373645</v>
      </c>
      <c r="H100" s="19"/>
      <c r="J100" s="34">
        <v>38168</v>
      </c>
      <c r="K100" s="37">
        <v>2.4190095082600185E-3</v>
      </c>
      <c r="L100" s="37">
        <f t="shared" si="10"/>
        <v>1.0919649318745823</v>
      </c>
      <c r="M100" s="43">
        <f>L100-1</f>
        <v>9.1964931874582323E-2</v>
      </c>
    </row>
    <row r="101" spans="4:13" x14ac:dyDescent="0.3">
      <c r="E101" s="37">
        <f t="shared" si="11"/>
        <v>1.0450312023710826</v>
      </c>
      <c r="H101" s="19"/>
      <c r="J101" s="34">
        <v>38138</v>
      </c>
      <c r="K101" s="37">
        <v>-8.7302099519925517E-3</v>
      </c>
    </row>
    <row r="102" spans="4:13" x14ac:dyDescent="0.3">
      <c r="E102" s="37">
        <f t="shared" si="11"/>
        <v>1.0358568187745745</v>
      </c>
      <c r="H102" s="19"/>
      <c r="J102" s="34">
        <v>38107</v>
      </c>
      <c r="K102" s="37">
        <v>-8.7790523150813281E-3</v>
      </c>
    </row>
    <row r="103" spans="4:13" x14ac:dyDescent="0.3">
      <c r="E103" s="37">
        <f t="shared" si="11"/>
        <v>1.0405292179625656</v>
      </c>
      <c r="H103" s="19"/>
      <c r="J103" s="34">
        <v>38077</v>
      </c>
      <c r="K103" s="37">
        <v>4.5106612258617833E-3</v>
      </c>
    </row>
    <row r="104" spans="4:13" x14ac:dyDescent="0.3">
      <c r="E104" s="37">
        <f t="shared" si="11"/>
        <v>1.0519326055505724</v>
      </c>
      <c r="H104" s="19"/>
      <c r="J104" s="34">
        <v>38046</v>
      </c>
      <c r="K104" s="37">
        <v>1.0959219011971104E-2</v>
      </c>
    </row>
    <row r="105" spans="4:13" x14ac:dyDescent="0.3">
      <c r="D105" s="43">
        <f>E105-1</f>
        <v>6.8615580650975172E-2</v>
      </c>
      <c r="E105" s="37">
        <f t="shared" si="11"/>
        <v>1.0686155806509752</v>
      </c>
      <c r="H105" s="19"/>
      <c r="J105" s="34">
        <v>38017</v>
      </c>
      <c r="K105" s="37">
        <v>1.5859357350817213E-2</v>
      </c>
    </row>
    <row r="106" spans="4:13" x14ac:dyDescent="0.3">
      <c r="H106" s="19"/>
      <c r="J106" s="34">
        <v>37986</v>
      </c>
      <c r="K106" s="37">
        <v>1.5460157488433239E-2</v>
      </c>
    </row>
    <row r="107" spans="4:13" x14ac:dyDescent="0.3">
      <c r="H107" s="19"/>
      <c r="J107" s="34">
        <v>37955</v>
      </c>
      <c r="K107" s="37">
        <v>6.2089731852240067E-3</v>
      </c>
    </row>
    <row r="108" spans="4:13" x14ac:dyDescent="0.3">
      <c r="H108" s="19"/>
      <c r="J108" s="34">
        <v>37925</v>
      </c>
      <c r="K108" s="37">
        <v>1.5341874152391795E-2</v>
      </c>
    </row>
    <row r="109" spans="4:13" x14ac:dyDescent="0.3">
      <c r="H109" s="19"/>
      <c r="J109" s="34">
        <v>37894</v>
      </c>
      <c r="K109" s="37">
        <v>1.1768373262852655E-2</v>
      </c>
    </row>
    <row r="110" spans="4:13" x14ac:dyDescent="0.3">
      <c r="H110" s="19"/>
      <c r="J110" s="34">
        <v>37864</v>
      </c>
      <c r="K110" s="37">
        <v>8.3417736142044376E-3</v>
      </c>
    </row>
    <row r="111" spans="4:13" x14ac:dyDescent="0.3">
      <c r="J111" s="34">
        <v>37833</v>
      </c>
      <c r="K111" s="37">
        <v>2.2591172479158694E-3</v>
      </c>
    </row>
    <row r="112" spans="4:13" x14ac:dyDescent="0.3">
      <c r="J112" s="34">
        <v>37802</v>
      </c>
      <c r="K112" s="37">
        <v>6.6707686969910054E-3</v>
      </c>
    </row>
    <row r="113" spans="10:11" x14ac:dyDescent="0.3">
      <c r="J113" s="34">
        <v>37772</v>
      </c>
      <c r="K113" s="37">
        <v>2.0810620859873504E-2</v>
      </c>
    </row>
    <row r="114" spans="10:11" x14ac:dyDescent="0.3">
      <c r="J114" s="34">
        <v>37741</v>
      </c>
      <c r="K114" s="37">
        <v>1.2149082517419878E-2</v>
      </c>
    </row>
    <row r="115" spans="10:11" x14ac:dyDescent="0.3">
      <c r="J115" s="34">
        <v>37711</v>
      </c>
      <c r="K115" s="37">
        <v>-3.1077203051728912E-4</v>
      </c>
    </row>
    <row r="116" spans="10:11" x14ac:dyDescent="0.3">
      <c r="J116" s="34">
        <v>37680</v>
      </c>
      <c r="K116" s="37">
        <v>3.410485980205661E-3</v>
      </c>
    </row>
    <row r="117" spans="10:11" x14ac:dyDescent="0.3">
      <c r="J117" s="34">
        <v>37652</v>
      </c>
      <c r="K117" s="37">
        <v>8.4195258209180043E-3</v>
      </c>
    </row>
    <row r="118" spans="10:11" x14ac:dyDescent="0.3">
      <c r="J118" s="34">
        <v>37621</v>
      </c>
      <c r="K118" s="37">
        <v>6.7910601013097096E-3</v>
      </c>
    </row>
    <row r="119" spans="10:11" x14ac:dyDescent="0.3">
      <c r="J119" s="34">
        <v>37590</v>
      </c>
      <c r="K119" s="37">
        <v>8.3809326591772863E-3</v>
      </c>
    </row>
    <row r="120" spans="10:11" x14ac:dyDescent="0.3">
      <c r="J120" s="34">
        <v>37560</v>
      </c>
      <c r="K120" s="37">
        <v>-2.0120839851317509E-3</v>
      </c>
    </row>
    <row r="121" spans="10:11" x14ac:dyDescent="0.3">
      <c r="J121" s="34">
        <v>37529</v>
      </c>
      <c r="K121" s="37">
        <v>-4.4577159920562255E-3</v>
      </c>
    </row>
    <row r="122" spans="10:11" x14ac:dyDescent="0.3">
      <c r="J122" s="34">
        <v>37499</v>
      </c>
      <c r="K122" s="37">
        <v>3.3113532110092265E-3</v>
      </c>
    </row>
    <row r="123" spans="10:11" x14ac:dyDescent="0.3">
      <c r="J123" s="34">
        <v>37468</v>
      </c>
      <c r="K123" s="37">
        <v>-1.3393299107584796E-2</v>
      </c>
    </row>
    <row r="124" spans="10:11" x14ac:dyDescent="0.3">
      <c r="J124" s="34">
        <v>37437</v>
      </c>
      <c r="K124" s="37">
        <v>-8.7590667836785936E-3</v>
      </c>
    </row>
    <row r="125" spans="10:11" x14ac:dyDescent="0.3">
      <c r="J125" s="34">
        <v>37407</v>
      </c>
      <c r="K125" s="37">
        <v>4.4044551458061448E-3</v>
      </c>
    </row>
    <row r="126" spans="10:11" x14ac:dyDescent="0.3">
      <c r="J126" s="34">
        <v>37376</v>
      </c>
      <c r="K126" s="37">
        <v>6.3967033029321413E-3</v>
      </c>
    </row>
    <row r="127" spans="10:11" x14ac:dyDescent="0.3">
      <c r="J127" s="34">
        <v>37346</v>
      </c>
      <c r="K127" s="37">
        <v>7.8235013524746797E-3</v>
      </c>
    </row>
    <row r="128" spans="10:11" x14ac:dyDescent="0.3">
      <c r="J128" s="34">
        <v>37315</v>
      </c>
      <c r="K128" s="37">
        <v>-2.5669515669516293E-3</v>
      </c>
    </row>
    <row r="129" spans="7:11" x14ac:dyDescent="0.3">
      <c r="J129" s="34">
        <v>37287</v>
      </c>
      <c r="K129" s="37">
        <v>4.5390282015031246E-3</v>
      </c>
    </row>
    <row r="130" spans="7:11" x14ac:dyDescent="0.3">
      <c r="J130" s="34">
        <v>37256</v>
      </c>
      <c r="K130" s="37">
        <v>1.0699564670320866E-2</v>
      </c>
    </row>
    <row r="131" spans="7:11" x14ac:dyDescent="0.3">
      <c r="J131" s="34">
        <v>37225</v>
      </c>
      <c r="K131" s="37">
        <v>3.5996806734886685E-3</v>
      </c>
    </row>
    <row r="132" spans="7:11" x14ac:dyDescent="0.3">
      <c r="G132" s="4">
        <v>38139</v>
      </c>
      <c r="H132" s="19">
        <v>38595</v>
      </c>
      <c r="J132" s="34">
        <v>37195</v>
      </c>
      <c r="K132" s="37">
        <v>9.2997090544709154E-3</v>
      </c>
    </row>
    <row r="133" spans="7:11" x14ac:dyDescent="0.3">
      <c r="J133" s="34">
        <v>37164</v>
      </c>
      <c r="K133" s="37">
        <v>-1.5799642424591948E-2</v>
      </c>
    </row>
    <row r="134" spans="7:11" x14ac:dyDescent="0.3">
      <c r="J134" s="34">
        <v>37134</v>
      </c>
      <c r="K134" s="37">
        <v>1.7997613799518768E-3</v>
      </c>
    </row>
    <row r="135" spans="7:11" x14ac:dyDescent="0.3">
      <c r="J135" s="34">
        <v>37103</v>
      </c>
      <c r="K135" s="37">
        <v>-4.3002772887829836E-3</v>
      </c>
    </row>
    <row r="136" spans="7:11" x14ac:dyDescent="0.3">
      <c r="J136" s="34">
        <v>37072</v>
      </c>
      <c r="K136" s="37">
        <v>-5.9794170068416244E-4</v>
      </c>
    </row>
    <row r="137" spans="7:11" x14ac:dyDescent="0.3">
      <c r="J137" s="34">
        <v>37042</v>
      </c>
      <c r="K137" s="37">
        <v>9.0005424110314643E-3</v>
      </c>
    </row>
    <row r="138" spans="7:11" x14ac:dyDescent="0.3">
      <c r="J138" s="34">
        <v>37011</v>
      </c>
      <c r="K138" s="37">
        <v>6.8984652229151554E-3</v>
      </c>
    </row>
    <row r="139" spans="7:11" x14ac:dyDescent="0.3">
      <c r="J139" s="34">
        <v>36981</v>
      </c>
      <c r="K139" s="37">
        <v>-4.3994324063412627E-3</v>
      </c>
    </row>
    <row r="140" spans="7:11" x14ac:dyDescent="0.3">
      <c r="J140" s="34">
        <v>36950</v>
      </c>
      <c r="K140" s="37">
        <v>-7.4003094045117278E-3</v>
      </c>
    </row>
    <row r="141" spans="7:11" x14ac:dyDescent="0.3">
      <c r="J141" s="34">
        <v>36922</v>
      </c>
      <c r="K141" s="37">
        <v>1.9299112711525311E-2</v>
      </c>
    </row>
    <row r="142" spans="7:11" x14ac:dyDescent="0.3">
      <c r="J142" s="34">
        <v>36891</v>
      </c>
      <c r="K142" s="37">
        <v>1.3800199829995372E-2</v>
      </c>
    </row>
    <row r="143" spans="7:11" x14ac:dyDescent="0.3">
      <c r="J143" s="34">
        <v>36860</v>
      </c>
      <c r="K143" s="37">
        <v>-1.5399569493347132E-2</v>
      </c>
    </row>
    <row r="144" spans="7:11" x14ac:dyDescent="0.3">
      <c r="J144" s="34">
        <v>36830</v>
      </c>
      <c r="K144" s="37">
        <v>-1.0098749138815718E-2</v>
      </c>
    </row>
    <row r="145" spans="10:11" x14ac:dyDescent="0.3">
      <c r="J145" s="34">
        <v>36799</v>
      </c>
      <c r="K145" s="37">
        <v>-1.1602081363977133E-2</v>
      </c>
    </row>
    <row r="146" spans="10:11" x14ac:dyDescent="0.3">
      <c r="J146" s="34">
        <v>36769</v>
      </c>
      <c r="K146" s="37">
        <v>2.0001992872549938E-2</v>
      </c>
    </row>
    <row r="147" spans="10:11" x14ac:dyDescent="0.3">
      <c r="J147" s="34">
        <v>36738</v>
      </c>
      <c r="K147" s="37">
        <v>-2.2019539782846399E-3</v>
      </c>
    </row>
    <row r="148" spans="10:11" x14ac:dyDescent="0.3">
      <c r="J148" s="34">
        <v>36707</v>
      </c>
      <c r="K148" s="37">
        <v>2.819988574521181E-2</v>
      </c>
    </row>
    <row r="149" spans="10:11" x14ac:dyDescent="0.3">
      <c r="J149" s="34">
        <v>36677</v>
      </c>
      <c r="K149" s="37">
        <v>-1.5799176750145704E-2</v>
      </c>
    </row>
    <row r="150" spans="10:11" x14ac:dyDescent="0.3">
      <c r="J150" s="34">
        <v>36646</v>
      </c>
      <c r="K150" s="37">
        <v>-3.369896544033122E-2</v>
      </c>
    </row>
    <row r="151" spans="10:11" x14ac:dyDescent="0.3">
      <c r="J151" s="34">
        <v>36616</v>
      </c>
      <c r="K151" s="37">
        <v>2.2985738524326999E-3</v>
      </c>
    </row>
    <row r="152" spans="10:11" x14ac:dyDescent="0.3">
      <c r="J152" s="34">
        <v>36585</v>
      </c>
      <c r="K152" s="37">
        <v>5.2099603780070725E-2</v>
      </c>
    </row>
    <row r="153" spans="10:11" x14ac:dyDescent="0.3">
      <c r="J153" s="34">
        <v>36556</v>
      </c>
      <c r="K153" s="37">
        <v>1.5400913644658419E-2</v>
      </c>
    </row>
    <row r="154" spans="10:11" x14ac:dyDescent="0.3">
      <c r="J154" s="34">
        <v>36525</v>
      </c>
      <c r="K154" s="37">
        <v>6.8499604143084314E-2</v>
      </c>
    </row>
    <row r="155" spans="10:11" x14ac:dyDescent="0.3">
      <c r="J155" s="34">
        <v>36494</v>
      </c>
      <c r="K155" s="37">
        <v>4.9100768808347045E-2</v>
      </c>
    </row>
    <row r="156" spans="10:11" x14ac:dyDescent="0.3">
      <c r="J156" s="34">
        <v>36464</v>
      </c>
      <c r="K156" s="37">
        <v>1.2700465058080111E-2</v>
      </c>
    </row>
    <row r="157" spans="10:11" x14ac:dyDescent="0.3">
      <c r="J157" s="34">
        <v>36433</v>
      </c>
      <c r="K157" s="37">
        <v>-1.2011720106092083E-3</v>
      </c>
    </row>
    <row r="158" spans="10:11" x14ac:dyDescent="0.3">
      <c r="J158" s="34">
        <v>36403</v>
      </c>
      <c r="K158" s="37">
        <v>1.1017081689749502E-3</v>
      </c>
    </row>
    <row r="159" spans="10:11" x14ac:dyDescent="0.3">
      <c r="J159" s="34">
        <v>36372</v>
      </c>
      <c r="K159" s="37">
        <v>7.2991423070190471E-3</v>
      </c>
    </row>
    <row r="160" spans="10:11" x14ac:dyDescent="0.3">
      <c r="J160" s="34">
        <v>36341</v>
      </c>
      <c r="K160" s="37">
        <v>2.8398413029860136E-2</v>
      </c>
    </row>
    <row r="161" spans="10:11" x14ac:dyDescent="0.3">
      <c r="J161" s="34">
        <v>36311</v>
      </c>
      <c r="K161" s="37">
        <v>8.4008596903952376E-3</v>
      </c>
    </row>
    <row r="162" spans="10:11" x14ac:dyDescent="0.3">
      <c r="J162" s="34">
        <v>36280</v>
      </c>
      <c r="K162" s="37">
        <v>3.2599568138195791E-2</v>
      </c>
    </row>
    <row r="163" spans="10:11" x14ac:dyDescent="0.3">
      <c r="J163" s="34">
        <v>36250</v>
      </c>
      <c r="K163" s="37">
        <v>2.0802400159194281E-2</v>
      </c>
    </row>
    <row r="164" spans="10:11" x14ac:dyDescent="0.3">
      <c r="J164" s="34">
        <v>36219</v>
      </c>
      <c r="K164" s="37">
        <v>-2.203189852344271E-3</v>
      </c>
    </row>
    <row r="165" spans="10:11" x14ac:dyDescent="0.3">
      <c r="J165" s="34">
        <v>36191</v>
      </c>
      <c r="K165" s="37">
        <v>1.4102559138202608E-2</v>
      </c>
    </row>
    <row r="166" spans="10:11" x14ac:dyDescent="0.3">
      <c r="J166" s="34">
        <v>36160</v>
      </c>
      <c r="K166" s="37">
        <v>1.6000220312844267E-2</v>
      </c>
    </row>
    <row r="167" spans="10:11" x14ac:dyDescent="0.3">
      <c r="J167" s="34">
        <v>36129</v>
      </c>
      <c r="K167" s="37">
        <v>1.4398825106953549E-2</v>
      </c>
    </row>
    <row r="168" spans="10:11" x14ac:dyDescent="0.3">
      <c r="J168" s="34">
        <v>36099</v>
      </c>
      <c r="K168" s="37">
        <v>-1.9598176731811214E-2</v>
      </c>
    </row>
    <row r="169" spans="10:11" x14ac:dyDescent="0.3">
      <c r="J169" s="34">
        <v>36068</v>
      </c>
      <c r="K169" s="37">
        <v>-2.5500146793608229E-2</v>
      </c>
    </row>
    <row r="170" spans="10:11" x14ac:dyDescent="0.3">
      <c r="J170" s="34">
        <v>36038</v>
      </c>
      <c r="K170" s="37">
        <v>-7.4701796102975088E-2</v>
      </c>
    </row>
    <row r="171" spans="10:11" x14ac:dyDescent="0.3">
      <c r="J171" s="34">
        <v>36007</v>
      </c>
      <c r="K171" s="37">
        <v>-2.0982738529025666E-3</v>
      </c>
    </row>
    <row r="172" spans="10:11" x14ac:dyDescent="0.3">
      <c r="J172" s="34">
        <v>35976</v>
      </c>
      <c r="K172" s="37">
        <v>-5.5004306511585695E-3</v>
      </c>
    </row>
    <row r="173" spans="10:11" x14ac:dyDescent="0.3">
      <c r="J173" s="34">
        <v>35946</v>
      </c>
      <c r="K173" s="37">
        <v>-9.2995022459633186E-3</v>
      </c>
    </row>
    <row r="174" spans="10:11" x14ac:dyDescent="0.3">
      <c r="J174" s="34">
        <v>35915</v>
      </c>
      <c r="K174" s="37">
        <v>9.0970822132615727E-3</v>
      </c>
    </row>
    <row r="175" spans="10:11" x14ac:dyDescent="0.3">
      <c r="J175" s="34">
        <v>35885</v>
      </c>
      <c r="K175" s="37">
        <v>4.0101062687262712E-2</v>
      </c>
    </row>
    <row r="176" spans="10:11" x14ac:dyDescent="0.3">
      <c r="J176" s="34">
        <v>35854</v>
      </c>
      <c r="K176" s="37">
        <v>1.9001406000170574E-2</v>
      </c>
    </row>
    <row r="177" spans="10:11" x14ac:dyDescent="0.3">
      <c r="J177" s="34">
        <v>35826</v>
      </c>
      <c r="K177" s="37">
        <v>-9.6005467131077618E-3</v>
      </c>
    </row>
    <row r="178" spans="10:11" x14ac:dyDescent="0.3">
      <c r="J178" s="34">
        <v>35795</v>
      </c>
      <c r="K178" s="37">
        <v>1.0499584174884068E-2</v>
      </c>
    </row>
    <row r="179" spans="10:11" x14ac:dyDescent="0.3">
      <c r="J179" s="34">
        <v>35764</v>
      </c>
      <c r="K179" s="37">
        <v>-5.1011173700249131E-3</v>
      </c>
    </row>
    <row r="180" spans="10:11" x14ac:dyDescent="0.3">
      <c r="J180" s="34">
        <v>35734</v>
      </c>
      <c r="K180" s="37">
        <v>-1.4398572884811483E-2</v>
      </c>
    </row>
    <row r="181" spans="10:11" x14ac:dyDescent="0.3">
      <c r="J181" s="34">
        <v>35703</v>
      </c>
      <c r="K181" s="37">
        <v>2.7797837987509854E-2</v>
      </c>
    </row>
    <row r="182" spans="10:11" x14ac:dyDescent="0.3">
      <c r="J182" s="34">
        <v>35673</v>
      </c>
      <c r="K182" s="37">
        <v>-3.2001909671066347E-3</v>
      </c>
    </row>
    <row r="183" spans="10:11" x14ac:dyDescent="0.3">
      <c r="J183" s="34">
        <v>35642</v>
      </c>
      <c r="K183" s="37">
        <v>4.6401529935212057E-2</v>
      </c>
    </row>
    <row r="184" spans="10:11" x14ac:dyDescent="0.3">
      <c r="J184" s="34">
        <v>35611</v>
      </c>
      <c r="K184" s="37">
        <v>2.499889987238511E-2</v>
      </c>
    </row>
    <row r="185" spans="10:11" x14ac:dyDescent="0.3">
      <c r="J185" s="34">
        <v>35581</v>
      </c>
      <c r="K185" s="37">
        <v>1.8199370272460959E-2</v>
      </c>
    </row>
    <row r="186" spans="10:11" x14ac:dyDescent="0.3">
      <c r="J186" s="34">
        <v>35550</v>
      </c>
      <c r="K186" s="37">
        <v>3.6999484869051184E-3</v>
      </c>
    </row>
    <row r="187" spans="10:11" x14ac:dyDescent="0.3">
      <c r="J187" s="34">
        <v>35520</v>
      </c>
      <c r="K187" s="37">
        <v>-8.1988484307841218E-3</v>
      </c>
    </row>
    <row r="188" spans="10:11" x14ac:dyDescent="0.3">
      <c r="J188" s="34">
        <v>35489</v>
      </c>
      <c r="K188" s="37">
        <v>1.6801005998886807E-2</v>
      </c>
    </row>
    <row r="189" spans="10:11" x14ac:dyDescent="0.3">
      <c r="J189" s="34">
        <v>35461</v>
      </c>
      <c r="K189" s="37">
        <v>3.549929556418889E-2</v>
      </c>
    </row>
    <row r="190" spans="10:11" x14ac:dyDescent="0.3">
      <c r="J190" s="34">
        <v>35430</v>
      </c>
      <c r="K190" s="37">
        <v>6.799972490629691E-3</v>
      </c>
    </row>
    <row r="191" spans="10:11" x14ac:dyDescent="0.3">
      <c r="J191" s="34">
        <v>35399</v>
      </c>
      <c r="K191" s="37">
        <v>2.3402308558558477E-2</v>
      </c>
    </row>
    <row r="192" spans="10:11" x14ac:dyDescent="0.3">
      <c r="J192" s="34">
        <v>35369</v>
      </c>
      <c r="K192" s="37">
        <v>1.5900254725834735E-2</v>
      </c>
    </row>
    <row r="193" spans="10:11" x14ac:dyDescent="0.3">
      <c r="J193" s="34">
        <v>35338</v>
      </c>
      <c r="K193" s="37">
        <v>1.2497285166147783E-2</v>
      </c>
    </row>
    <row r="194" spans="10:11" x14ac:dyDescent="0.3">
      <c r="J194" s="34">
        <v>35308</v>
      </c>
      <c r="K194" s="37">
        <v>1.5302489468340681E-2</v>
      </c>
    </row>
    <row r="195" spans="10:11" x14ac:dyDescent="0.3">
      <c r="J195" s="34">
        <v>35277</v>
      </c>
      <c r="K195" s="37">
        <v>-1.8703848962700598E-2</v>
      </c>
    </row>
    <row r="196" spans="10:11" x14ac:dyDescent="0.3">
      <c r="J196" s="34">
        <v>35246</v>
      </c>
      <c r="K196" s="37">
        <v>3.8011457739404717E-3</v>
      </c>
    </row>
    <row r="197" spans="10:11" x14ac:dyDescent="0.3">
      <c r="J197" s="34">
        <v>35216</v>
      </c>
      <c r="K197" s="37">
        <v>1.5402005201393155E-2</v>
      </c>
    </row>
    <row r="198" spans="10:11" x14ac:dyDescent="0.3">
      <c r="J198" s="34">
        <v>35185</v>
      </c>
      <c r="K198" s="37">
        <v>3.0898437314967015E-2</v>
      </c>
    </row>
    <row r="199" spans="10:11" x14ac:dyDescent="0.3">
      <c r="J199" s="34">
        <v>35155</v>
      </c>
      <c r="K199" s="37">
        <v>9.9023636511499057E-3</v>
      </c>
    </row>
    <row r="200" spans="10:11" x14ac:dyDescent="0.3">
      <c r="J200" s="34">
        <v>35124</v>
      </c>
      <c r="K200" s="37">
        <v>-6.2040637806281941E-3</v>
      </c>
    </row>
    <row r="201" spans="10:11" x14ac:dyDescent="0.3">
      <c r="J201" s="34">
        <v>35095</v>
      </c>
      <c r="K201" s="37">
        <v>2.7300787278516914E-2</v>
      </c>
    </row>
    <row r="202" spans="10:11" x14ac:dyDescent="0.3">
      <c r="J202" s="34">
        <v>35064</v>
      </c>
      <c r="K202" s="37">
        <v>2.2200699918625739E-2</v>
      </c>
    </row>
    <row r="203" spans="10:11" x14ac:dyDescent="0.3">
      <c r="J203" s="34">
        <v>35033</v>
      </c>
      <c r="K203" s="37">
        <v>1.1503249491241256E-2</v>
      </c>
    </row>
    <row r="204" spans="10:11" x14ac:dyDescent="0.3">
      <c r="J204" s="34">
        <v>35003</v>
      </c>
      <c r="K204" s="37">
        <v>-5.3042137357034594E-3</v>
      </c>
    </row>
    <row r="205" spans="10:11" x14ac:dyDescent="0.3">
      <c r="J205" s="34">
        <v>34972</v>
      </c>
      <c r="K205" s="37">
        <v>7.4998102274739693E-3</v>
      </c>
    </row>
    <row r="206" spans="10:11" x14ac:dyDescent="0.3">
      <c r="J206" s="34">
        <v>34942</v>
      </c>
      <c r="K206" s="37">
        <v>2.2800207039337449E-2</v>
      </c>
    </row>
    <row r="207" spans="10:11" x14ac:dyDescent="0.3">
      <c r="J207" s="34">
        <v>34911</v>
      </c>
      <c r="K207" s="37">
        <v>1.7404355038310622E-2</v>
      </c>
    </row>
    <row r="208" spans="10:11" x14ac:dyDescent="0.3">
      <c r="J208" s="34">
        <v>34880</v>
      </c>
      <c r="K208" s="37">
        <v>5.6985790624884099E-3</v>
      </c>
    </row>
    <row r="209" spans="10:11" x14ac:dyDescent="0.3">
      <c r="J209" s="34">
        <v>34850</v>
      </c>
      <c r="K209" s="37">
        <v>8.9988510968018517E-3</v>
      </c>
    </row>
    <row r="210" spans="10:11" x14ac:dyDescent="0.3">
      <c r="J210" s="34">
        <v>34819</v>
      </c>
      <c r="K210" s="37">
        <v>1.4798867715800985E-2</v>
      </c>
    </row>
    <row r="211" spans="10:11" x14ac:dyDescent="0.3">
      <c r="J211" s="34">
        <v>34789</v>
      </c>
      <c r="K211" s="37">
        <v>1.4300958164197002E-2</v>
      </c>
    </row>
    <row r="212" spans="10:11" x14ac:dyDescent="0.3">
      <c r="J212" s="34">
        <v>34758</v>
      </c>
      <c r="K212" s="37">
        <v>-9.0124745837231416E-4</v>
      </c>
    </row>
    <row r="213" spans="10:11" x14ac:dyDescent="0.3">
      <c r="J213" s="34">
        <v>34730</v>
      </c>
      <c r="K213" s="37">
        <v>-1.2599570247216389E-2</v>
      </c>
    </row>
    <row r="214" spans="10:11" x14ac:dyDescent="0.3">
      <c r="J214" s="34">
        <v>34699</v>
      </c>
      <c r="K214" s="37">
        <v>-4.897434651374973E-3</v>
      </c>
    </row>
    <row r="215" spans="10:11" x14ac:dyDescent="0.3">
      <c r="J215" s="34">
        <v>34668</v>
      </c>
      <c r="K215" s="37">
        <v>-1.0102143899427594E-2</v>
      </c>
    </row>
    <row r="216" spans="10:11" x14ac:dyDescent="0.3">
      <c r="J216" s="34">
        <v>34638</v>
      </c>
      <c r="K216" s="37">
        <v>-9.4979431711693634E-3</v>
      </c>
    </row>
    <row r="217" spans="10:11" x14ac:dyDescent="0.3">
      <c r="J217" s="34">
        <v>34607</v>
      </c>
      <c r="K217" s="37">
        <v>7.8006199945576489E-3</v>
      </c>
    </row>
    <row r="218" spans="10:11" x14ac:dyDescent="0.3">
      <c r="J218" s="34">
        <v>34577</v>
      </c>
      <c r="K218" s="37">
        <v>1.2900331830906817E-2</v>
      </c>
    </row>
    <row r="219" spans="10:11" x14ac:dyDescent="0.3">
      <c r="J219" s="34">
        <v>34546</v>
      </c>
      <c r="K219" s="37">
        <v>1.6998700736248768E-3</v>
      </c>
    </row>
    <row r="220" spans="10:11" x14ac:dyDescent="0.3">
      <c r="J220" s="34">
        <v>34515</v>
      </c>
      <c r="K220" s="37">
        <v>7.6973852893202884E-3</v>
      </c>
    </row>
    <row r="221" spans="10:11" x14ac:dyDescent="0.3">
      <c r="J221" s="34">
        <v>34485</v>
      </c>
      <c r="K221" s="37">
        <v>4.2017727427111819E-3</v>
      </c>
    </row>
    <row r="222" spans="10:11" x14ac:dyDescent="0.3">
      <c r="J222" s="34">
        <v>34454</v>
      </c>
      <c r="K222" s="37">
        <v>-1.1100216153550287E-2</v>
      </c>
    </row>
    <row r="223" spans="10:11" x14ac:dyDescent="0.3">
      <c r="J223" s="34">
        <v>34424</v>
      </c>
      <c r="K223" s="37">
        <v>-2.3100616016427034E-2</v>
      </c>
    </row>
    <row r="224" spans="10:11" x14ac:dyDescent="0.3">
      <c r="J224" s="34">
        <v>34393</v>
      </c>
      <c r="K224" s="37">
        <v>-2.2700354288965371E-2</v>
      </c>
    </row>
    <row r="225" spans="10:11" x14ac:dyDescent="0.3">
      <c r="J225" s="34">
        <v>34365</v>
      </c>
      <c r="K225" s="37">
        <v>1.2600883004519739E-2</v>
      </c>
    </row>
    <row r="226" spans="10:11" x14ac:dyDescent="0.3">
      <c r="J226" s="34">
        <v>34334</v>
      </c>
      <c r="K226" s="37">
        <v>4.7601542825477461E-2</v>
      </c>
    </row>
    <row r="227" spans="10:11" x14ac:dyDescent="0.3">
      <c r="J227" s="34">
        <v>34303</v>
      </c>
      <c r="K227" s="37">
        <v>3.9991847391992923E-3</v>
      </c>
    </row>
    <row r="228" spans="10:11" x14ac:dyDescent="0.3">
      <c r="J228" s="34">
        <v>34273</v>
      </c>
      <c r="K228" s="37">
        <v>2.2599633854386646E-2</v>
      </c>
    </row>
    <row r="229" spans="10:11" x14ac:dyDescent="0.3">
      <c r="J229" s="34">
        <v>34242</v>
      </c>
      <c r="K229" s="37">
        <v>3.300535206650758E-3</v>
      </c>
    </row>
    <row r="230" spans="10:11" x14ac:dyDescent="0.3">
      <c r="J230" s="34">
        <v>34212</v>
      </c>
      <c r="K230" s="37">
        <v>1.7896795719956352E-2</v>
      </c>
    </row>
    <row r="231" spans="10:11" x14ac:dyDescent="0.3">
      <c r="J231" s="34">
        <v>34181</v>
      </c>
      <c r="K231" s="37">
        <v>2.4300849704783575E-2</v>
      </c>
    </row>
    <row r="232" spans="10:11" x14ac:dyDescent="0.3">
      <c r="J232" s="34">
        <v>34150</v>
      </c>
      <c r="K232" s="37">
        <v>2.7499939454118237E-2</v>
      </c>
    </row>
    <row r="233" spans="10:11" x14ac:dyDescent="0.3">
      <c r="J233" s="34">
        <v>34120</v>
      </c>
      <c r="K233" s="37">
        <v>2.0702782206731184E-2</v>
      </c>
    </row>
    <row r="234" spans="10:11" x14ac:dyDescent="0.3">
      <c r="J234" s="34">
        <v>34089</v>
      </c>
      <c r="K234" s="37">
        <v>2.299969654056248E-2</v>
      </c>
    </row>
    <row r="235" spans="10:11" x14ac:dyDescent="0.3">
      <c r="J235" s="34">
        <v>34059</v>
      </c>
      <c r="K235" s="37">
        <v>1.5100466555001491E-2</v>
      </c>
    </row>
    <row r="236" spans="10:11" x14ac:dyDescent="0.3">
      <c r="J236" s="34">
        <v>34028</v>
      </c>
      <c r="K236" s="37">
        <v>2.19979143301261E-2</v>
      </c>
    </row>
    <row r="237" spans="10:11" x14ac:dyDescent="0.3">
      <c r="J237" s="34">
        <v>34000</v>
      </c>
      <c r="K237" s="37">
        <v>8.6997366923800175E-3</v>
      </c>
    </row>
    <row r="238" spans="10:11" x14ac:dyDescent="0.3">
      <c r="J238" s="34">
        <v>33969</v>
      </c>
      <c r="K238" s="37">
        <v>1.80982979382623E-2</v>
      </c>
    </row>
    <row r="239" spans="10:11" x14ac:dyDescent="0.3">
      <c r="J239" s="34">
        <v>33938</v>
      </c>
      <c r="K239" s="37">
        <v>2.999533856225083E-3</v>
      </c>
    </row>
    <row r="240" spans="10:11" x14ac:dyDescent="0.3">
      <c r="J240" s="34">
        <v>33908</v>
      </c>
      <c r="K240" s="37">
        <v>1.7004699480583724E-2</v>
      </c>
    </row>
    <row r="241" spans="10:11" x14ac:dyDescent="0.3">
      <c r="J241" s="34">
        <v>33877</v>
      </c>
      <c r="K241" s="37">
        <v>2.4899304284145093E-2</v>
      </c>
    </row>
    <row r="242" spans="10:11" x14ac:dyDescent="0.3">
      <c r="J242" s="34">
        <v>33847</v>
      </c>
      <c r="K242" s="37">
        <v>4.6976257180857692E-3</v>
      </c>
    </row>
    <row r="243" spans="10:11" x14ac:dyDescent="0.3">
      <c r="J243" s="34">
        <v>33816</v>
      </c>
      <c r="K243" s="37">
        <v>8.2026847743905049E-3</v>
      </c>
    </row>
    <row r="244" spans="10:11" x14ac:dyDescent="0.3">
      <c r="J244" s="34">
        <v>33785</v>
      </c>
      <c r="K244" s="37">
        <v>4.3987849610271235E-3</v>
      </c>
    </row>
    <row r="245" spans="10:11" x14ac:dyDescent="0.3">
      <c r="J245" s="34">
        <v>33755</v>
      </c>
      <c r="K245" s="37">
        <v>2.8018449071079668E-3</v>
      </c>
    </row>
    <row r="246" spans="10:11" x14ac:dyDescent="0.3">
      <c r="J246" s="34">
        <v>33724</v>
      </c>
      <c r="K246" s="37">
        <v>1.1940040855080141E-3</v>
      </c>
    </row>
    <row r="247" spans="10:11" x14ac:dyDescent="0.3">
      <c r="J247" s="34">
        <v>33694</v>
      </c>
      <c r="K247" s="37">
        <v>8.0044082248194402E-3</v>
      </c>
    </row>
    <row r="248" spans="10:11" x14ac:dyDescent="0.3">
      <c r="J248" s="34">
        <v>33663</v>
      </c>
      <c r="K248" s="37">
        <v>1.1595754824230026E-2</v>
      </c>
    </row>
    <row r="249" spans="10:11" x14ac:dyDescent="0.3">
      <c r="J249" s="34">
        <v>33634</v>
      </c>
      <c r="K249" s="37">
        <v>1.3205415929729635E-2</v>
      </c>
    </row>
    <row r="250" spans="10:11" x14ac:dyDescent="0.3">
      <c r="J250" s="34">
        <v>33603</v>
      </c>
      <c r="K250" s="37">
        <v>4.4994253409126252E-2</v>
      </c>
    </row>
    <row r="251" spans="10:11" x14ac:dyDescent="0.3">
      <c r="J251" s="34">
        <v>33572</v>
      </c>
      <c r="K251" s="37">
        <v>5.0502303682013489E-4</v>
      </c>
    </row>
    <row r="252" spans="10:11" x14ac:dyDescent="0.3">
      <c r="J252" s="34">
        <v>33542</v>
      </c>
      <c r="K252" s="37">
        <v>6.0972273249587303E-3</v>
      </c>
    </row>
    <row r="253" spans="10:11" x14ac:dyDescent="0.3">
      <c r="J253" s="34">
        <v>33511</v>
      </c>
      <c r="K253" s="37">
        <v>1.7603449098747857E-2</v>
      </c>
    </row>
    <row r="254" spans="10:11" x14ac:dyDescent="0.3">
      <c r="J254" s="34">
        <v>33481</v>
      </c>
      <c r="K254" s="37">
        <v>1.3095439563539072E-2</v>
      </c>
    </row>
    <row r="255" spans="10:11" x14ac:dyDescent="0.3">
      <c r="J255" s="34">
        <v>33450</v>
      </c>
      <c r="K255" s="37">
        <v>5.1029086579351705E-3</v>
      </c>
    </row>
    <row r="256" spans="10:11" x14ac:dyDescent="0.3">
      <c r="J256" s="34">
        <v>33419</v>
      </c>
      <c r="K256" s="37">
        <v>1.1801440759225909E-2</v>
      </c>
    </row>
    <row r="257" spans="10:11" x14ac:dyDescent="0.3">
      <c r="J257" s="34">
        <v>33389</v>
      </c>
      <c r="K257" s="37">
        <v>7.6969451716535752E-3</v>
      </c>
    </row>
    <row r="258" spans="10:11" x14ac:dyDescent="0.3">
      <c r="J258" s="34">
        <v>33358</v>
      </c>
      <c r="K258" s="37">
        <v>-8.2964782964783865E-3</v>
      </c>
    </row>
    <row r="259" spans="10:11" x14ac:dyDescent="0.3">
      <c r="J259" s="34">
        <v>33328</v>
      </c>
      <c r="K259" s="37">
        <v>3.5193176711968727E-2</v>
      </c>
    </row>
    <row r="260" spans="10:11" x14ac:dyDescent="0.3">
      <c r="J260" s="34">
        <v>33297</v>
      </c>
      <c r="K260" s="37">
        <v>-2.9665039327358717E-4</v>
      </c>
    </row>
    <row r="261" spans="10:11" x14ac:dyDescent="0.3">
      <c r="J261" s="34">
        <v>33269</v>
      </c>
      <c r="K261" s="37">
        <v>3.8970100233139283E-3</v>
      </c>
    </row>
    <row r="262" spans="10:11" x14ac:dyDescent="0.3">
      <c r="J262" s="34">
        <v>33238</v>
      </c>
      <c r="K262" s="37">
        <v>9.0274229262471927E-4</v>
      </c>
    </row>
    <row r="263" spans="10:11" x14ac:dyDescent="0.3">
      <c r="J263" s="34">
        <v>33207</v>
      </c>
      <c r="K263" s="37">
        <v>0</v>
      </c>
    </row>
    <row r="264" spans="10:11" x14ac:dyDescent="0.3">
      <c r="J264" s="34">
        <v>33177</v>
      </c>
      <c r="K264" s="37">
        <v>1.6403375892663965E-2</v>
      </c>
    </row>
    <row r="265" spans="10:11" x14ac:dyDescent="0.3">
      <c r="J265" s="34">
        <v>33146</v>
      </c>
      <c r="K265" s="37">
        <v>2.8397204789246535E-2</v>
      </c>
    </row>
    <row r="266" spans="10:11" x14ac:dyDescent="0.3">
      <c r="J266" s="34">
        <v>33116</v>
      </c>
      <c r="K266" s="37">
        <v>1.6302823591144711E-2</v>
      </c>
    </row>
    <row r="267" spans="10:11" x14ac:dyDescent="0.3">
      <c r="J267" s="34">
        <v>33085</v>
      </c>
      <c r="K267" s="37">
        <v>3.0697214684682016E-2</v>
      </c>
    </row>
    <row r="268" spans="10:11" x14ac:dyDescent="0.3">
      <c r="J268" s="34">
        <v>33054</v>
      </c>
      <c r="K268" s="37">
        <v>2.2102133013095493E-2</v>
      </c>
    </row>
    <row r="269" spans="10:11" x14ac:dyDescent="0.3">
      <c r="J269" s="34">
        <v>33024</v>
      </c>
      <c r="K269" s="37">
        <v>4.7016690446324196E-3</v>
      </c>
    </row>
    <row r="270" spans="10:11" x14ac:dyDescent="0.3">
      <c r="J270" s="34">
        <v>32993</v>
      </c>
      <c r="K270" s="37">
        <v>8.8976910443435784E-3</v>
      </c>
    </row>
    <row r="271" spans="10:11" x14ac:dyDescent="0.3">
      <c r="J271" s="34">
        <v>32963</v>
      </c>
      <c r="K271" s="37">
        <v>2.069795189870911E-2</v>
      </c>
    </row>
    <row r="272" spans="10:11" x14ac:dyDescent="0.3">
      <c r="J272" s="34">
        <v>32932</v>
      </c>
      <c r="K272" s="37">
        <v>1.3400619566303555E-2</v>
      </c>
    </row>
    <row r="273" spans="10:11" x14ac:dyDescent="0.3">
      <c r="J273" s="34">
        <v>32904</v>
      </c>
      <c r="K273" s="37">
        <v>7.0000000000004542E-4</v>
      </c>
    </row>
    <row r="274" spans="10:11" x14ac:dyDescent="0.3">
      <c r="J274" s="34">
        <v>32873</v>
      </c>
    </row>
  </sheetData>
  <mergeCells count="5">
    <mergeCell ref="A1:A2"/>
    <mergeCell ref="B1:B2"/>
    <mergeCell ref="C1:C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3</vt:i4>
      </vt:variant>
    </vt:vector>
  </HeadingPairs>
  <TitlesOfParts>
    <vt:vector size="13" baseType="lpstr">
      <vt:lpstr>IIRR</vt:lpstr>
      <vt:lpstr>IRRh</vt:lpstr>
      <vt:lpstr>IRR Calcs</vt:lpstr>
      <vt:lpstr>IRR by year</vt:lpstr>
      <vt:lpstr>S&amp;P</vt:lpstr>
      <vt:lpstr>Sheet3</vt:lpstr>
      <vt:lpstr>Sheet1 (2)</vt:lpstr>
      <vt:lpstr>PE</vt:lpstr>
      <vt:lpstr>Sheet1</vt:lpstr>
      <vt:lpstr>HFR</vt:lpstr>
      <vt:lpstr>Chart IRRs</vt:lpstr>
      <vt:lpstr>Chart Time Series</vt:lpstr>
      <vt:lpstr>Hypothetical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 Bush</dc:creator>
  <cp:lastModifiedBy>arzia_000</cp:lastModifiedBy>
  <dcterms:created xsi:type="dcterms:W3CDTF">2012-10-01T18:23:55Z</dcterms:created>
  <dcterms:modified xsi:type="dcterms:W3CDTF">2014-10-09T23:11:02Z</dcterms:modified>
</cp:coreProperties>
</file>