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a Mitchell\Documents\class notes\Module 1\Analysis Projects\Crowdfunding Analysis\"/>
    </mc:Choice>
  </mc:AlternateContent>
  <xr:revisionPtr revIDLastSave="0" documentId="8_{F88A44DE-AC7F-4924-B609-A2512726B03D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Kickstarter" sheetId="1" r:id="rId1"/>
    <sheet name="Descriptive Statistics" sheetId="8" r:id="rId2"/>
    <sheet name="Edinburgh Research" sheetId="5" r:id="rId3"/>
    <sheet name="Category Statistics" sheetId="2" r:id="rId4"/>
    <sheet name="Subcategory Statistics" sheetId="3" r:id="rId5"/>
    <sheet name="Outcomes Based On Launch Date" sheetId="4" r:id="rId6"/>
    <sheet name="Theater Outcomes by Launch Date" sheetId="10" r:id="rId7"/>
    <sheet name="Outcomes Based on Goals" sheetId="11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4" i="11" l="1"/>
  <c r="C14" i="11"/>
  <c r="D14" i="11"/>
  <c r="E14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8"/>
  <c r="C12" i="8"/>
  <c r="C11" i="8"/>
  <c r="C6" i="8"/>
  <c r="C5" i="8"/>
  <c r="C4" i="8"/>
  <c r="B13" i="8"/>
  <c r="B12" i="8"/>
  <c r="B11" i="8"/>
  <c r="B7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11" l="1"/>
  <c r="H3" i="11" s="1"/>
  <c r="E12" i="11"/>
  <c r="G12" i="11" s="1"/>
  <c r="E11" i="11"/>
  <c r="G11" i="11" s="1"/>
  <c r="E6" i="11"/>
  <c r="G6" i="11" s="1"/>
  <c r="E10" i="11"/>
  <c r="E9" i="11"/>
  <c r="E8" i="11"/>
  <c r="E7" i="11"/>
  <c r="F7" i="11" s="1"/>
  <c r="E5" i="11"/>
  <c r="E4" i="11"/>
  <c r="E2" i="11"/>
  <c r="E13" i="11"/>
  <c r="C14" i="8"/>
  <c r="C7" i="8"/>
  <c r="B14" i="8"/>
  <c r="H11" i="11" l="1"/>
  <c r="G3" i="11"/>
  <c r="F3" i="11"/>
  <c r="H12" i="11"/>
  <c r="F12" i="11"/>
  <c r="F11" i="11"/>
  <c r="F6" i="11"/>
  <c r="H6" i="11"/>
  <c r="H10" i="11"/>
  <c r="G10" i="11"/>
  <c r="F10" i="11"/>
  <c r="H9" i="11"/>
  <c r="G9" i="11"/>
  <c r="F9" i="11"/>
  <c r="H8" i="11"/>
  <c r="G8" i="11"/>
  <c r="F8" i="11"/>
  <c r="H7" i="11"/>
  <c r="G7" i="11"/>
  <c r="H5" i="11"/>
  <c r="G5" i="11"/>
  <c r="F5" i="11"/>
  <c r="H4" i="11"/>
  <c r="G4" i="11"/>
  <c r="F4" i="11"/>
  <c r="F2" i="11"/>
  <c r="H2" i="11"/>
  <c r="G2" i="11"/>
  <c r="G13" i="11"/>
  <c r="H13" i="11"/>
  <c r="F13" i="11"/>
</calcChain>
</file>

<file path=xl/sharedStrings.xml><?xml version="1.0" encoding="utf-8"?>
<sst xmlns="http://schemas.openxmlformats.org/spreadsheetml/2006/main" count="33062" uniqueCount="8421">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</sst>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1" fillId="0" borderId="0" xfId="0" applyFont="1"/>
    <xf numFmtId="0" fontId="1" fillId="0" borderId="0" xfId="0" applyFont="1" applyAlignment="1">
      <alignment wrapText="1"/>
    </xf>
    <xf numFmtId="5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E-46BC-9432-69DC0DC4C39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7E-46BC-9432-69DC0DC4C39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7E-46BC-9432-69DC0DC4C39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7E-46BC-9432-69DC0DC4C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0448511"/>
        <c:axId val="1290446431"/>
      </c:barChart>
      <c:catAx>
        <c:axId val="1290448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446431"/>
        <c:crosses val="autoZero"/>
        <c:auto val="1"/>
        <c:lblAlgn val="ctr"/>
        <c:lblOffset val="100"/>
        <c:noMultiLvlLbl val="0"/>
      </c:catAx>
      <c:valAx>
        <c:axId val="129044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44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96-4860-AC9D-97F380D803B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96-4860-AC9D-97F380D803B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96-4860-AC9D-97F380D80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1940095"/>
        <c:axId val="1481938847"/>
      </c:barChart>
      <c:catAx>
        <c:axId val="148194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938847"/>
        <c:crosses val="autoZero"/>
        <c:auto val="1"/>
        <c:lblAlgn val="ctr"/>
        <c:lblOffset val="100"/>
        <c:noMultiLvlLbl val="0"/>
      </c:catAx>
      <c:valAx>
        <c:axId val="148193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94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CF-4FDE-A540-11E3EF5B543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A0-4801-A271-D2A4671903F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A0-4801-A271-D2A4671903F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A0-4801-A271-D2A467190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978431"/>
        <c:axId val="1443978015"/>
      </c:lineChart>
      <c:catAx>
        <c:axId val="144397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978015"/>
        <c:crosses val="autoZero"/>
        <c:auto val="1"/>
        <c:lblAlgn val="ctr"/>
        <c:lblOffset val="100"/>
        <c:noMultiLvlLbl val="0"/>
      </c:catAx>
      <c:valAx>
        <c:axId val="144397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97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25-459D-B715-EFCD5EA301C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25-459D-B715-EFCD5EA301C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25-459D-B715-EFCD5EA30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0121695"/>
        <c:axId val="1180120447"/>
      </c:lineChart>
      <c:catAx>
        <c:axId val="118012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120447"/>
        <c:crosses val="autoZero"/>
        <c:auto val="1"/>
        <c:lblAlgn val="ctr"/>
        <c:lblOffset val="100"/>
        <c:noMultiLvlLbl val="0"/>
      </c:catAx>
      <c:valAx>
        <c:axId val="118012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12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06-470A-8B66-B8531209C97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06-470A-8B66-B8531209C97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06-470A-8B66-B8531209C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5650143"/>
        <c:axId val="1195646815"/>
      </c:lineChart>
      <c:catAx>
        <c:axId val="119565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646815"/>
        <c:crosses val="autoZero"/>
        <c:auto val="1"/>
        <c:lblAlgn val="ctr"/>
        <c:lblOffset val="100"/>
        <c:noMultiLvlLbl val="0"/>
      </c:catAx>
      <c:valAx>
        <c:axId val="119564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65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11</xdr:row>
      <xdr:rowOff>166687</xdr:rowOff>
    </xdr:from>
    <xdr:to>
      <xdr:col>19</xdr:col>
      <xdr:colOff>704850</xdr:colOff>
      <xdr:row>33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103886-BCEB-9784-103F-482CD77E6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333374</xdr:colOff>
      <xdr:row>3</xdr:row>
      <xdr:rowOff>52386</xdr:rowOff>
    </xdr:from>
    <xdr:to>
      <xdr:col>22</xdr:col>
      <xdr:colOff>228600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B67615-627A-41DC-3973-E1FA3A6E1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228599</xdr:colOff>
      <xdr:row>3</xdr:row>
      <xdr:rowOff>23812</xdr:rowOff>
    </xdr:from>
    <xdr:to>
      <xdr:col>21</xdr:col>
      <xdr:colOff>123824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021F12-BFB4-5B25-BF2A-F0EA61C79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</xdr:colOff>
      <xdr:row>3</xdr:row>
      <xdr:rowOff>33336</xdr:rowOff>
    </xdr:from>
    <xdr:to>
      <xdr:col>18</xdr:col>
      <xdr:colOff>38099</xdr:colOff>
      <xdr:row>26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00331F-133E-20A6-0EA6-7A86C4836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238125</xdr:colOff>
      <xdr:row>2</xdr:row>
      <xdr:rowOff>14286</xdr:rowOff>
    </xdr:from>
    <xdr:to>
      <xdr:col>21</xdr:col>
      <xdr:colOff>342900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C6EA04-9703-8B7B-35EF-1A0935B0A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Mitchell" refreshedDate="44749.43505" createdVersion="8" refreshedVersion="8" minRefreshableVersion="3" recordCount="4114" xr:uid="{368B3FA9-84C2-4653-8F96-88D75D51620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Mitchell" refreshedDate="44749.446420601853" createdVersion="8" refreshedVersion="8" minRefreshableVersion="3" recordCount="4114" xr:uid="{14169D0E-9660-4B5A-A675-96E5360EDAA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Mitchell" refreshedDate="44749.49284259259" createdVersion="8" refreshedVersion="8" minRefreshableVersion="3" recordCount="4114" xr:uid="{364B76AD-599E-4D0C-8BC0-37A9955F7AC4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3499BE-9474-4484-BCC9-46B95E3CFBB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C0BD17-EC5D-49B2-8266-C51EF8414D8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924B71-CFD4-4B48-B659-6C837B016391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224D59-61BF-4C5B-9107-D443E984785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4109" sqref="Q4109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5" bestFit="1" customWidth="1"/>
    <col min="20" max="20" width="31.85546875" style="1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4" t="s">
        <v>8383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59890-DE52-44C7-8CE0-85DD4E2B396D}">
  <dimension ref="A1:C14"/>
  <sheetViews>
    <sheetView workbookViewId="0">
      <selection activeCell="B18" sqref="B18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8392</v>
      </c>
      <c r="C1" t="s">
        <v>8393</v>
      </c>
    </row>
    <row r="2" spans="1:3" x14ac:dyDescent="0.25">
      <c r="A2" t="s">
        <v>8388</v>
      </c>
      <c r="B2" s="19" t="e">
        <f>AVERAGE(#REF!)</f>
        <v>#REF!</v>
      </c>
      <c r="C2" s="19" t="e">
        <f>AVERAGE(#REF!)</f>
        <v>#REF!</v>
      </c>
    </row>
    <row r="3" spans="1:3" x14ac:dyDescent="0.25">
      <c r="A3" t="s">
        <v>8389</v>
      </c>
      <c r="B3" s="19" t="e">
        <f>MEDIAN(#REF!)</f>
        <v>#REF!</v>
      </c>
      <c r="C3" s="19" t="e">
        <f>MEDIAN(#REF!)</f>
        <v>#REF!</v>
      </c>
    </row>
    <row r="4" spans="1:3" x14ac:dyDescent="0.25">
      <c r="A4" t="s">
        <v>8394</v>
      </c>
      <c r="B4" s="19" t="e">
        <f>_xlfn.STDEV.P(#REF!)</f>
        <v>#REF!</v>
      </c>
      <c r="C4" s="19" t="e">
        <f>_xlfn.STDEV.P(#REF!)</f>
        <v>#REF!</v>
      </c>
    </row>
    <row r="5" spans="1:3" x14ac:dyDescent="0.25">
      <c r="A5" t="s">
        <v>8395</v>
      </c>
      <c r="B5" s="19" t="e">
        <f>_xlfn.QUARTILE.EXC(#REF!, 3)</f>
        <v>#REF!</v>
      </c>
      <c r="C5" s="19" t="e">
        <f>_xlfn.QUARTILE.EXC(#REF!, 3)</f>
        <v>#REF!</v>
      </c>
    </row>
    <row r="6" spans="1:3" x14ac:dyDescent="0.25">
      <c r="A6" t="s">
        <v>8396</v>
      </c>
      <c r="B6" s="19" t="e">
        <f>_xlfn.QUARTILE.EXC(#REF!, 1)</f>
        <v>#REF!</v>
      </c>
      <c r="C6" s="19" t="e">
        <f>_xlfn.QUARTILE.EXC(#REF!, 1)</f>
        <v>#REF!</v>
      </c>
    </row>
    <row r="7" spans="1:3" x14ac:dyDescent="0.25">
      <c r="A7" t="s">
        <v>8397</v>
      </c>
      <c r="B7" s="19" t="e">
        <f>B5-B6</f>
        <v>#REF!</v>
      </c>
      <c r="C7" s="19" t="e">
        <f>C5-C6</f>
        <v>#REF!</v>
      </c>
    </row>
    <row r="8" spans="1:3" x14ac:dyDescent="0.25">
      <c r="B8" s="19"/>
      <c r="C8" s="19"/>
    </row>
    <row r="9" spans="1:3" x14ac:dyDescent="0.25">
      <c r="A9" t="s">
        <v>8390</v>
      </c>
      <c r="B9" s="19" t="e">
        <f>AVERAGE(#REF!)</f>
        <v>#REF!</v>
      </c>
      <c r="C9" s="19" t="e">
        <f>AVERAGE(#REF!)</f>
        <v>#REF!</v>
      </c>
    </row>
    <row r="10" spans="1:3" x14ac:dyDescent="0.25">
      <c r="A10" t="s">
        <v>8391</v>
      </c>
      <c r="B10" s="19" t="e">
        <f>MEDIAN(#REF!)</f>
        <v>#REF!</v>
      </c>
      <c r="C10" s="19" t="e">
        <f>MEDIAN(#REF!)</f>
        <v>#REF!</v>
      </c>
    </row>
    <row r="11" spans="1:3" x14ac:dyDescent="0.25">
      <c r="A11" t="s">
        <v>8398</v>
      </c>
      <c r="B11" s="19" t="e">
        <f>_xlfn.STDEV.P(#REF!)</f>
        <v>#REF!</v>
      </c>
      <c r="C11" s="19" t="e">
        <f>_xlfn.STDEV.P(#REF!)</f>
        <v>#REF!</v>
      </c>
    </row>
    <row r="12" spans="1:3" x14ac:dyDescent="0.25">
      <c r="A12" t="s">
        <v>8399</v>
      </c>
      <c r="B12" s="19" t="e">
        <f>_xlfn.QUARTILE.EXC(#REF!, 3)</f>
        <v>#REF!</v>
      </c>
      <c r="C12" s="19" t="e">
        <f>_xlfn.QUARTILE.EXC(#REF!, 3)</f>
        <v>#REF!</v>
      </c>
    </row>
    <row r="13" spans="1:3" x14ac:dyDescent="0.25">
      <c r="A13" t="s">
        <v>8400</v>
      </c>
      <c r="B13" s="19" t="e">
        <f>_xlfn.QUARTILE.EXC(#REF!, 1)</f>
        <v>#REF!</v>
      </c>
      <c r="C13" s="19" t="e">
        <f>_xlfn.QUARTILE.EXC(#REF!, 1)</f>
        <v>#REF!</v>
      </c>
    </row>
    <row r="14" spans="1:3" x14ac:dyDescent="0.25">
      <c r="A14" t="s">
        <v>8401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7AC9F-A914-43D2-97DD-477A5A9B53C0}">
  <dimension ref="A1:F6"/>
  <sheetViews>
    <sheetView tabSelected="1" workbookViewId="0">
      <selection activeCell="C13" sqref="C13"/>
    </sheetView>
  </sheetViews>
  <sheetFormatPr defaultRowHeight="15" x14ac:dyDescent="0.25"/>
  <cols>
    <col min="1" max="1" width="33.5703125" bestFit="1" customWidth="1"/>
    <col min="2" max="2" width="42.140625" style="3" customWidth="1"/>
    <col min="5" max="5" width="17" bestFit="1" customWidth="1"/>
    <col min="6" max="6" width="18" bestFit="1" customWidth="1"/>
  </cols>
  <sheetData>
    <row r="1" spans="1:6" s="17" customFormat="1" x14ac:dyDescent="0.25">
      <c r="A1" s="17" t="s">
        <v>8384</v>
      </c>
      <c r="B1" s="18" t="s">
        <v>4110</v>
      </c>
      <c r="C1" s="17" t="s">
        <v>8385</v>
      </c>
      <c r="D1" s="17" t="s">
        <v>8386</v>
      </c>
      <c r="E1" s="17" t="s">
        <v>8307</v>
      </c>
      <c r="F1" s="17" t="s">
        <v>8387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6B199-81E6-4CBB-ABD6-70D12E6BD8AD}">
  <dimension ref="A1:F14"/>
  <sheetViews>
    <sheetView workbookViewId="0">
      <selection activeCell="D23" sqref="D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8329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F3A78-262C-4CE0-BD21-2B3AEB02068C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C71BB-058A-4F9A-A1D7-FBBD4BD5187E}">
  <dimension ref="A1:F22"/>
  <sheetViews>
    <sheetView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8383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8376</v>
      </c>
      <c r="B6" s="13">
        <v>13</v>
      </c>
      <c r="C6" s="13">
        <v>105</v>
      </c>
      <c r="D6" s="13">
        <v>24</v>
      </c>
      <c r="E6" s="13">
        <v>183</v>
      </c>
      <c r="F6" s="13">
        <v>325</v>
      </c>
    </row>
    <row r="7" spans="1:6" x14ac:dyDescent="0.25">
      <c r="A7" s="16" t="s">
        <v>8377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5">
      <c r="A8" s="16" t="s">
        <v>8378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5">
      <c r="A9" s="16" t="s">
        <v>8379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25">
      <c r="A10" s="12" t="s">
        <v>8367</v>
      </c>
      <c r="B10" s="13">
        <v>9</v>
      </c>
      <c r="C10" s="13">
        <v>141</v>
      </c>
      <c r="D10" s="13"/>
      <c r="E10" s="13">
        <v>282</v>
      </c>
      <c r="F10" s="13">
        <v>432</v>
      </c>
    </row>
    <row r="11" spans="1:6" x14ac:dyDescent="0.25">
      <c r="A11" s="16" t="s">
        <v>8380</v>
      </c>
      <c r="B11" s="13">
        <v>2</v>
      </c>
      <c r="C11" s="13">
        <v>40</v>
      </c>
      <c r="D11" s="13"/>
      <c r="E11" s="13">
        <v>71</v>
      </c>
      <c r="F11" s="13">
        <v>113</v>
      </c>
    </row>
    <row r="12" spans="1:6" x14ac:dyDescent="0.25">
      <c r="A12" s="16" t="s">
        <v>8368</v>
      </c>
      <c r="B12" s="13">
        <v>3</v>
      </c>
      <c r="C12" s="13">
        <v>52</v>
      </c>
      <c r="D12" s="13"/>
      <c r="E12" s="13">
        <v>111</v>
      </c>
      <c r="F12" s="13">
        <v>166</v>
      </c>
    </row>
    <row r="13" spans="1:6" x14ac:dyDescent="0.25">
      <c r="A13" s="16" t="s">
        <v>8381</v>
      </c>
      <c r="B13" s="13">
        <v>4</v>
      </c>
      <c r="C13" s="13">
        <v>49</v>
      </c>
      <c r="D13" s="13"/>
      <c r="E13" s="13">
        <v>100</v>
      </c>
      <c r="F13" s="13">
        <v>153</v>
      </c>
    </row>
    <row r="14" spans="1:6" x14ac:dyDescent="0.25">
      <c r="A14" s="12" t="s">
        <v>8369</v>
      </c>
      <c r="B14" s="13">
        <v>9</v>
      </c>
      <c r="C14" s="13">
        <v>131</v>
      </c>
      <c r="D14" s="13"/>
      <c r="E14" s="13">
        <v>218</v>
      </c>
      <c r="F14" s="13">
        <v>358</v>
      </c>
    </row>
    <row r="15" spans="1:6" x14ac:dyDescent="0.25">
      <c r="A15" s="16" t="s">
        <v>8370</v>
      </c>
      <c r="B15" s="13">
        <v>1</v>
      </c>
      <c r="C15" s="13">
        <v>50</v>
      </c>
      <c r="D15" s="13"/>
      <c r="E15" s="13">
        <v>87</v>
      </c>
      <c r="F15" s="13">
        <v>138</v>
      </c>
    </row>
    <row r="16" spans="1:6" x14ac:dyDescent="0.25">
      <c r="A16" s="16" t="s">
        <v>8371</v>
      </c>
      <c r="B16" s="13">
        <v>4</v>
      </c>
      <c r="C16" s="13">
        <v>47</v>
      </c>
      <c r="D16" s="13"/>
      <c r="E16" s="13">
        <v>72</v>
      </c>
      <c r="F16" s="13">
        <v>123</v>
      </c>
    </row>
    <row r="17" spans="1:6" x14ac:dyDescent="0.25">
      <c r="A17" s="16" t="s">
        <v>8372</v>
      </c>
      <c r="B17" s="13">
        <v>4</v>
      </c>
      <c r="C17" s="13">
        <v>34</v>
      </c>
      <c r="D17" s="13"/>
      <c r="E17" s="13">
        <v>59</v>
      </c>
      <c r="F17" s="13">
        <v>97</v>
      </c>
    </row>
    <row r="18" spans="1:6" x14ac:dyDescent="0.25">
      <c r="A18" s="12" t="s">
        <v>8373</v>
      </c>
      <c r="B18" s="13">
        <v>6</v>
      </c>
      <c r="C18" s="13">
        <v>116</v>
      </c>
      <c r="D18" s="13"/>
      <c r="E18" s="13">
        <v>156</v>
      </c>
      <c r="F18" s="13">
        <v>278</v>
      </c>
    </row>
    <row r="19" spans="1:6" x14ac:dyDescent="0.25">
      <c r="A19" s="16" t="s">
        <v>8374</v>
      </c>
      <c r="B19" s="13"/>
      <c r="C19" s="13">
        <v>50</v>
      </c>
      <c r="D19" s="13"/>
      <c r="E19" s="13">
        <v>65</v>
      </c>
      <c r="F19" s="13">
        <v>115</v>
      </c>
    </row>
    <row r="20" spans="1:6" x14ac:dyDescent="0.25">
      <c r="A20" s="16" t="s">
        <v>8375</v>
      </c>
      <c r="B20" s="13">
        <v>3</v>
      </c>
      <c r="C20" s="13">
        <v>31</v>
      </c>
      <c r="D20" s="13"/>
      <c r="E20" s="13">
        <v>54</v>
      </c>
      <c r="F20" s="13">
        <v>88</v>
      </c>
    </row>
    <row r="21" spans="1:6" x14ac:dyDescent="0.25">
      <c r="A21" s="16" t="s">
        <v>8382</v>
      </c>
      <c r="B21" s="13">
        <v>3</v>
      </c>
      <c r="C21" s="13">
        <v>35</v>
      </c>
      <c r="D21" s="13"/>
      <c r="E21" s="13">
        <v>37</v>
      </c>
      <c r="F21" s="13">
        <v>75</v>
      </c>
    </row>
    <row r="22" spans="1:6" x14ac:dyDescent="0.25">
      <c r="A22" s="12" t="s">
        <v>8361</v>
      </c>
      <c r="B22" s="13">
        <v>37</v>
      </c>
      <c r="C22" s="13">
        <v>493</v>
      </c>
      <c r="D22" s="13">
        <v>24</v>
      </c>
      <c r="E22" s="13">
        <v>839</v>
      </c>
      <c r="F22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F3432-4ADE-4503-AA9E-953FDA6E29F0}">
  <dimension ref="A1:E18"/>
  <sheetViews>
    <sheetView workbookViewId="0">
      <selection activeCell="B33" sqref="B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8383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0" t="s">
        <v>8377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20" t="s">
        <v>8378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20" t="s">
        <v>8379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20" t="s">
        <v>8380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20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20" t="s">
        <v>8381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20" t="s">
        <v>8370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20" t="s">
        <v>8371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20" t="s">
        <v>8372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20" t="s">
        <v>8374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20" t="s">
        <v>8375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20" t="s">
        <v>8382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20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B1047-419F-49AC-8CC6-D6BC54E80EEA}">
  <dimension ref="A1:H14"/>
  <sheetViews>
    <sheetView workbookViewId="0">
      <selection activeCell="D27" sqref="D27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8385</v>
      </c>
      <c r="B1" t="s">
        <v>8402</v>
      </c>
      <c r="C1" t="s">
        <v>8403</v>
      </c>
      <c r="D1" t="s">
        <v>8404</v>
      </c>
      <c r="E1" t="s">
        <v>8405</v>
      </c>
      <c r="F1" t="s">
        <v>8406</v>
      </c>
      <c r="G1" t="s">
        <v>8407</v>
      </c>
      <c r="H1" t="s">
        <v>8408</v>
      </c>
    </row>
    <row r="2" spans="1:8" x14ac:dyDescent="0.25">
      <c r="A2" t="s">
        <v>8409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>
        <f>(B2/E2)*100</f>
        <v>75.806451612903231</v>
      </c>
      <c r="G2">
        <f>(C2/E2)*100</f>
        <v>24.193548387096776</v>
      </c>
      <c r="H2">
        <f>(D2/E2)*100</f>
        <v>0</v>
      </c>
    </row>
    <row r="3" spans="1:8" x14ac:dyDescent="0.25">
      <c r="A3" t="s">
        <v>8410</v>
      </c>
      <c r="B3">
        <f>COUNTIFS(Kickstarter!F:F,"successful",Kickstarter!D:D,"&gt;=1000",Kickstarter!D:D,"&lt;5000",Kickstarter!R:R,"plays")</f>
        <v>388</v>
      </c>
      <c r="C3">
        <f>COUNTIFS(Kickstarter!F:F,"failed",Kickstarter!D:D,"&gt;=1000",Kickstarter!D:D,"&lt;5000",Kickstarter!R:R,"plays")</f>
        <v>146</v>
      </c>
      <c r="D3">
        <f>COUNTIFS(Kickstarter!F:F,"canceled",Kickstarter!D:D,"&gt;=1000",Kickstarter!D:D,"&lt;5000",Kickstarter!R:R,"plays")</f>
        <v>0</v>
      </c>
      <c r="E3">
        <f t="shared" ref="E3:E13" si="0">SUM(B3:D3)</f>
        <v>534</v>
      </c>
      <c r="F3">
        <f t="shared" ref="F3:F13" si="1">(B3/E3)*100</f>
        <v>72.659176029962552</v>
      </c>
      <c r="G3">
        <f t="shared" ref="G3:G13" si="2">(C3/E3)*100</f>
        <v>27.340823970037455</v>
      </c>
      <c r="H3">
        <f t="shared" ref="H3:H13" si="3">(D3/E3)*100</f>
        <v>0</v>
      </c>
    </row>
    <row r="4" spans="1:8" x14ac:dyDescent="0.25">
      <c r="A4" t="s">
        <v>8411</v>
      </c>
      <c r="B4">
        <f>COUNTIFS(Kickstarter!F:F,"successful",Kickstarter!D:D,"&gt;=5000",Kickstarter!D:D,"&lt;10000",Kickstarter!R:R,"plays")</f>
        <v>93</v>
      </c>
      <c r="C4">
        <f>COUNTIFS(Kickstarter!F:F,"failed",Kickstarter!D:D,"&gt;=5000",Kickstarter!D:D,"&lt;10000",Kickstarter!R:R,"plays")</f>
        <v>76</v>
      </c>
      <c r="D4">
        <f>COUNTIFS(Kickstarter!F:F,"canceled",Kickstarter!D:D,"&gt;=5000",Kickstarter!D:D,"&lt;10000",Kickstarter!R:R,"plays")</f>
        <v>0</v>
      </c>
      <c r="E4">
        <f t="shared" si="0"/>
        <v>169</v>
      </c>
      <c r="F4">
        <f t="shared" si="1"/>
        <v>55.029585798816569</v>
      </c>
      <c r="G4">
        <f t="shared" si="2"/>
        <v>44.970414201183431</v>
      </c>
      <c r="H4">
        <f t="shared" si="3"/>
        <v>0</v>
      </c>
    </row>
    <row r="5" spans="1:8" x14ac:dyDescent="0.25">
      <c r="A5" t="s">
        <v>8412</v>
      </c>
      <c r="B5">
        <f>COUNTIFS(Kickstarter!F:F,"successful",Kickstarter!D:D,"&gt;=10000",Kickstarter!D:D,"&lt;15000",Kickstarter!R:R,"plays")</f>
        <v>39</v>
      </c>
      <c r="C5">
        <f>COUNTIFS(Kickstarter!F:F,"failed",Kickstarter!D:D,"&gt;=10000",Kickstarter!D:D,"&lt;15000",Kickstarter!R:R,"plays")</f>
        <v>33</v>
      </c>
      <c r="D5">
        <f>COUNTIFS(Kickstarter!F:F,"canceled",Kickstarter!D:D,"&gt;=10000",Kickstarter!D:D,"&lt;15000",Kickstarter!R:R,"plays")</f>
        <v>0</v>
      </c>
      <c r="E5">
        <f t="shared" si="0"/>
        <v>72</v>
      </c>
      <c r="F5">
        <f t="shared" si="1"/>
        <v>54.166666666666664</v>
      </c>
      <c r="G5">
        <f t="shared" si="2"/>
        <v>45.833333333333329</v>
      </c>
      <c r="H5">
        <f t="shared" si="3"/>
        <v>0</v>
      </c>
    </row>
    <row r="6" spans="1:8" x14ac:dyDescent="0.25">
      <c r="A6" t="s">
        <v>8413</v>
      </c>
      <c r="B6">
        <f>COUNTIFS(Kickstarter!F:F,"successful",Kickstarter!D:D,"&gt;=15000",Kickstarter!D:D,"&lt;20000",Kickstarter!R:R,"plays")</f>
        <v>12</v>
      </c>
      <c r="C6">
        <f>COUNTIFS(Kickstarter!F:F,"failed",Kickstarter!D:D,"&gt;=15000",Kickstarter!D:D,"&lt;20000",Kickstarter!R:R,"plays")</f>
        <v>12</v>
      </c>
      <c r="D6">
        <f>COUNTIFS(Kickstarter!F:F,"canceled",Kickstarter!D:D,"&gt;=15000",Kickstarter!D:D,"&lt;20000",Kickstarter!R:R,"plays")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8414</v>
      </c>
      <c r="B7">
        <f>COUNTIFS(Kickstarter!F:F,"successful",Kickstarter!D:D,"&gt;=20000",Kickstarter!D:D,"&lt;25000",Kickstarter!R:R,"plays")</f>
        <v>9</v>
      </c>
      <c r="C7">
        <f>COUNTIFS(Kickstarter!F:F,"failed",Kickstarter!D:D,"&gt;=20000",Kickstarter!D:D,"&lt;25000",Kickstarter!R:R,"plays")</f>
        <v>11</v>
      </c>
      <c r="D7">
        <f>COUNTIFS(Kickstarter!F:F,"canceled",Kickstarter!D:D,"&gt;=20000",Kickstarter!D:D,"&lt;25000",Kickstarter!R:R,"plays")</f>
        <v>0</v>
      </c>
      <c r="E7">
        <f t="shared" si="0"/>
        <v>20</v>
      </c>
      <c r="F7">
        <f t="shared" si="1"/>
        <v>45</v>
      </c>
      <c r="G7">
        <f t="shared" si="2"/>
        <v>55.000000000000007</v>
      </c>
      <c r="H7">
        <f t="shared" si="3"/>
        <v>0</v>
      </c>
    </row>
    <row r="8" spans="1:8" x14ac:dyDescent="0.25">
      <c r="A8" t="s">
        <v>8415</v>
      </c>
      <c r="B8">
        <f>COUNTIFS(Kickstarter!F:F,"successful",Kickstarter!D:D,"&gt;=25000",Kickstarter!D:D,"&lt;30000",Kickstarter!R:R,"plays")</f>
        <v>1</v>
      </c>
      <c r="C8">
        <f>COUNTIFS(Kickstarter!F:F,"failed",Kickstarter!D:D,"&gt;=25000",Kickstarter!D:D,"&lt;30000",Kickstarter!R:R,"plays")</f>
        <v>4</v>
      </c>
      <c r="D8">
        <f>COUNTIFS(Kickstarter!F:F,"canceled",Kickstarter!D:D,"&gt;=25000",Kickstarter!D:D,"&lt;30000",Kickstarter!R:R,"plays")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8416</v>
      </c>
      <c r="B9">
        <f>COUNTIFS(Kickstarter!F:F,"successful",Kickstarter!D:D,"&gt;=30000",Kickstarter!D:D,"&lt;35000",Kickstarter!R:R,"plays")</f>
        <v>3</v>
      </c>
      <c r="C9">
        <f>COUNTIFS(Kickstarter!F:F,"failed",Kickstarter!D:D,"&gt;=30000",Kickstarter!D:D,"&lt;35000",Kickstarter!R:R,"plays")</f>
        <v>8</v>
      </c>
      <c r="D9">
        <f>COUNTIFS(Kickstarter!F:F,"canceled",Kickstarter!D:D,"&gt;=30000",Kickstarter!D:D,"&lt;35000",Kickstarter!R:R,"plays")</f>
        <v>0</v>
      </c>
      <c r="E9">
        <f t="shared" si="0"/>
        <v>11</v>
      </c>
      <c r="F9">
        <f t="shared" si="1"/>
        <v>27.27272727272727</v>
      </c>
      <c r="G9">
        <f t="shared" si="2"/>
        <v>72.727272727272734</v>
      </c>
      <c r="H9">
        <f t="shared" si="3"/>
        <v>0</v>
      </c>
    </row>
    <row r="10" spans="1:8" x14ac:dyDescent="0.25">
      <c r="A10" t="s">
        <v>8417</v>
      </c>
      <c r="B10">
        <f>COUNTIFS(Kickstarter!F:F,"successful",Kickstarter!D:D,"&gt;=35000",Kickstarter!D:D,"&lt;40000",Kickstarter!R:R,"plays")</f>
        <v>4</v>
      </c>
      <c r="C10">
        <f>COUNTIFS(Kickstarter!F:F,"failed",Kickstarter!D:D,"&gt;=35000",Kickstarter!D:D,"&lt;40000",Kickstarter!R:R,"plays")</f>
        <v>2</v>
      </c>
      <c r="D10">
        <f>COUNTIFS(Kickstarter!F:F,"canceled",Kickstarter!D:D,"&gt;=35000",Kickstarter!D:D,"&lt;40000",Kickstarter!R:R,"plays")</f>
        <v>0</v>
      </c>
      <c r="E10">
        <f t="shared" si="0"/>
        <v>6</v>
      </c>
      <c r="F10">
        <f t="shared" si="1"/>
        <v>66.666666666666657</v>
      </c>
      <c r="G10">
        <f t="shared" si="2"/>
        <v>33.333333333333329</v>
      </c>
      <c r="H10">
        <f t="shared" si="3"/>
        <v>0</v>
      </c>
    </row>
    <row r="11" spans="1:8" x14ac:dyDescent="0.25">
      <c r="A11" t="s">
        <v>8418</v>
      </c>
      <c r="B11">
        <f>COUNTIFS(Kickstarter!F:F,"successful",Kickstarter!D:D,"&gt;=40000",Kickstarter!D:D,"&lt;45000",Kickstarter!R:R,"plays")</f>
        <v>2</v>
      </c>
      <c r="C11">
        <f>COUNTIFS(Kickstarter!F:F,"failed",Kickstarter!D:D,"&gt;=40000",Kickstarter!D:D,"&lt;45000",Kickstarter!R:R,"plays")</f>
        <v>1</v>
      </c>
      <c r="D11">
        <f>COUNTIFS(Kickstarter!F:F,"canceled",Kickstarter!D:D,"&gt;=40000",Kickstarter!D:D,"&lt;45000",Kickstarter!R:R,"plays")</f>
        <v>0</v>
      </c>
      <c r="E11">
        <f t="shared" si="0"/>
        <v>3</v>
      </c>
      <c r="F11">
        <f t="shared" si="1"/>
        <v>66.666666666666657</v>
      </c>
      <c r="G11">
        <f t="shared" si="2"/>
        <v>33.333333333333329</v>
      </c>
      <c r="H11">
        <f t="shared" si="3"/>
        <v>0</v>
      </c>
    </row>
    <row r="12" spans="1:8" x14ac:dyDescent="0.25">
      <c r="A12" t="s">
        <v>8419</v>
      </c>
      <c r="B12">
        <f>COUNTIFS(Kickstarter!F:F,"successful",Kickstarter!D:D,"&gt;=45000",Kickstarter!D:D,"&lt;50000",Kickstarter!R:R,"plays")</f>
        <v>0</v>
      </c>
      <c r="C12">
        <f>COUNTIFS(Kickstarter!F:F,"failed",Kickstarter!D:D,"&gt;=45000",Kickstarter!D:D,"&lt;50000",Kickstarter!R:R,"plays")</f>
        <v>1</v>
      </c>
      <c r="D12">
        <f>COUNTIFS(Kickstarter!F:F,"canceled",Kickstarter!D:D,"&gt;=45000",Kickstarter!D:D,"&lt;50000",Kickstarter!R:R,"plays")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8420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>
        <f t="shared" si="1"/>
        <v>12.5</v>
      </c>
      <c r="G13">
        <f t="shared" si="2"/>
        <v>87.5</v>
      </c>
      <c r="H13">
        <f t="shared" si="3"/>
        <v>0</v>
      </c>
    </row>
    <row r="14" spans="1:8" x14ac:dyDescent="0.25">
      <c r="B14">
        <f t="shared" ref="B14:D14" si="4">SUM(B2:B13)</f>
        <v>694</v>
      </c>
      <c r="C14">
        <f t="shared" si="4"/>
        <v>353</v>
      </c>
      <c r="D14">
        <f t="shared" si="4"/>
        <v>0</v>
      </c>
      <c r="E14">
        <f>SUM(E2:E13)</f>
        <v>1047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Descriptive Statistics</vt:lpstr>
      <vt:lpstr>Edinburgh Research</vt:lpstr>
      <vt:lpstr>Category Statistics</vt:lpstr>
      <vt:lpstr>Subcategory Statistics</vt:lpstr>
      <vt:lpstr>Outcomes Based On Launch Date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Andrea Mitchell</cp:lastModifiedBy>
  <dcterms:created xsi:type="dcterms:W3CDTF">2017-04-20T15:17:24Z</dcterms:created>
  <dcterms:modified xsi:type="dcterms:W3CDTF">2022-07-07T20:23:41Z</dcterms:modified>
</cp:coreProperties>
</file>