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lone" sheetId="1" r:id="rId4"/>
    <sheet state="visible" name="Consolidated" sheetId="2" r:id="rId5"/>
    <sheet state="visible" name="Comparison" sheetId="3" r:id="rId6"/>
  </sheets>
  <definedNames/>
  <calcPr/>
</workbook>
</file>

<file path=xl/sharedStrings.xml><?xml version="1.0" encoding="utf-8"?>
<sst xmlns="http://schemas.openxmlformats.org/spreadsheetml/2006/main" count="966" uniqueCount="64">
  <si>
    <t>Aashka Hospitals</t>
  </si>
  <si>
    <t>Year</t>
  </si>
  <si>
    <t>NOS (Public)</t>
  </si>
  <si>
    <t>NOS (Total)</t>
  </si>
  <si>
    <t>LTP</t>
  </si>
  <si>
    <t>Book Value</t>
  </si>
  <si>
    <t>Share Equity Capital</t>
  </si>
  <si>
    <t>Data Not Available</t>
  </si>
  <si>
    <t>Other Equity</t>
  </si>
  <si>
    <t>Non Current Liabilities</t>
  </si>
  <si>
    <t>Book Value per Share (Public)</t>
  </si>
  <si>
    <t>Price to Book Value (Public)</t>
  </si>
  <si>
    <t>Current Liabilities</t>
  </si>
  <si>
    <t>Non Current Assets</t>
  </si>
  <si>
    <t>Current Assets</t>
  </si>
  <si>
    <t>Book Value per Share (Total)</t>
  </si>
  <si>
    <t>Price to Book Value (Total)</t>
  </si>
  <si>
    <t>Net Operating Cash Flow</t>
  </si>
  <si>
    <t>Purchase of Fixed Assets</t>
  </si>
  <si>
    <t>Sale of Fixed Assets</t>
  </si>
  <si>
    <t>EPS</t>
  </si>
  <si>
    <t>Free Cash Flow</t>
  </si>
  <si>
    <t>P/E</t>
  </si>
  <si>
    <t>Profit Before Interest &amp; Tax</t>
  </si>
  <si>
    <t>ROCE</t>
  </si>
  <si>
    <t>Profit After Tax</t>
  </si>
  <si>
    <t>Public Holding</t>
  </si>
  <si>
    <t>Debt to Equity Ratio</t>
  </si>
  <si>
    <t>R&amp;S to SEC Ratio</t>
  </si>
  <si>
    <t>Current Ratio</t>
  </si>
  <si>
    <t>APOLLOHOSP</t>
  </si>
  <si>
    <t>ARTEMISMED</t>
  </si>
  <si>
    <t>ASTERDM</t>
  </si>
  <si>
    <t>Dr Agrawals Eye Hospital</t>
  </si>
  <si>
    <t>FORTIS</t>
  </si>
  <si>
    <t>Fortis Malar Hospitals</t>
  </si>
  <si>
    <t>Global Longlife Hospital &amp; Research Ltd.</t>
  </si>
  <si>
    <t>Healthcare Global Enterprises Ltd.</t>
  </si>
  <si>
    <t>INDRAMEDCO</t>
  </si>
  <si>
    <t>KIMS</t>
  </si>
  <si>
    <t>KMC Speciality Hospitals Ltd.</t>
  </si>
  <si>
    <t>KOVAI</t>
  </si>
  <si>
    <t>LOTUSEYE</t>
  </si>
  <si>
    <t>MAXHEALTH</t>
  </si>
  <si>
    <t>NH</t>
  </si>
  <si>
    <t>RAINBOW</t>
  </si>
  <si>
    <t>SHALBY</t>
  </si>
  <si>
    <t>Soni Medicare Ltd.</t>
  </si>
  <si>
    <t>BSE Code</t>
  </si>
  <si>
    <t>Stock</t>
  </si>
  <si>
    <t>R&amp;S to SEC</t>
  </si>
  <si>
    <t>Public Shareholding</t>
  </si>
  <si>
    <t>BV</t>
  </si>
  <si>
    <t>NoS</t>
  </si>
  <si>
    <t>P/BV</t>
  </si>
  <si>
    <t>Consolidated</t>
  </si>
  <si>
    <t>Standalone</t>
  </si>
  <si>
    <t>DRAGARWQ</t>
  </si>
  <si>
    <t>FORTISMLR</t>
  </si>
  <si>
    <t>GLHRL</t>
  </si>
  <si>
    <t>HCG</t>
  </si>
  <si>
    <t>KMCSHIL</t>
  </si>
  <si>
    <t>LEHIL</t>
  </si>
  <si>
    <t>SML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</si>
</sst>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d"/>
    <numFmt numFmtId="165" formatCode="[&gt;9999999]##\,##\,##\,##0;[&gt;99999]##\,##\,##0;##,##0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4" fillId="2" fontId="1" numFmtId="0" xfId="0" applyAlignment="1" applyBorder="1" applyFill="1" applyFont="1">
      <alignment horizontal="center" vertical="center"/>
    </xf>
    <xf borderId="5" fillId="0" fontId="3" numFmtId="4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4" fillId="0" fontId="3" numFmtId="4" xfId="0" applyAlignment="1" applyBorder="1" applyFont="1" applyNumberForma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" fillId="0" fontId="3" numFmtId="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2" numFmtId="0" xfId="0" applyBorder="1" applyFont="1"/>
    <xf borderId="5" fillId="0" fontId="3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1" fillId="0" fontId="2" numFmtId="0" xfId="0" applyBorder="1" applyFont="1"/>
    <xf borderId="13" fillId="0" fontId="2" numFmtId="0" xfId="0" applyBorder="1" applyFont="1"/>
    <xf borderId="4" fillId="2" fontId="3" numFmtId="0" xfId="0" applyAlignment="1" applyBorder="1" applyFont="1">
      <alignment horizontal="center" vertical="center"/>
    </xf>
    <xf borderId="4" fillId="0" fontId="3" numFmtId="4" xfId="0" applyAlignment="1" applyBorder="1" applyFont="1" applyNumberFormat="1">
      <alignment horizontal="center" readingOrder="0" vertical="center"/>
    </xf>
    <xf borderId="8" fillId="0" fontId="3" numFmtId="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/>
    </xf>
    <xf borderId="12" fillId="0" fontId="1" numFmtId="164" xfId="0" applyAlignment="1" applyBorder="1" applyFont="1" applyNumberFormat="1">
      <alignment horizontal="center"/>
    </xf>
    <xf borderId="12" fillId="0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/>
    </xf>
    <xf borderId="12" fillId="0" fontId="4" numFmtId="4" xfId="0" applyBorder="1" applyFont="1" applyNumberFormat="1"/>
    <xf borderId="12" fillId="2" fontId="3" numFmtId="0" xfId="0" applyAlignment="1" applyBorder="1" applyFont="1">
      <alignment horizontal="center" readingOrder="0"/>
    </xf>
    <xf borderId="12" fillId="2" fontId="3" numFmtId="0" xfId="0" applyAlignment="1" applyBorder="1" applyFont="1">
      <alignment horizontal="center"/>
    </xf>
    <xf borderId="12" fillId="0" fontId="3" numFmtId="4" xfId="0" applyAlignment="1" applyBorder="1" applyFont="1" applyNumberFormat="1">
      <alignment horizontal="center"/>
    </xf>
    <xf borderId="13" fillId="0" fontId="4" numFmtId="0" xfId="0" applyBorder="1" applyFont="1"/>
    <xf borderId="12" fillId="0" fontId="4" numFmtId="0" xfId="0" applyBorder="1" applyFont="1"/>
    <xf borderId="0" fillId="2" fontId="4" numFmtId="0" xfId="0" applyFont="1"/>
    <xf borderId="0" fillId="0" fontId="4" numFmtId="0" xfId="0" applyFont="1"/>
    <xf borderId="13" fillId="2" fontId="4" numFmtId="0" xfId="0" applyBorder="1" applyFont="1"/>
    <xf borderId="10" fillId="0" fontId="4" numFmtId="0" xfId="0" applyBorder="1" applyFont="1"/>
    <xf borderId="1" fillId="0" fontId="1" numFmtId="0" xfId="0" applyAlignment="1" applyBorder="1" applyFont="1">
      <alignment horizontal="center"/>
    </xf>
    <xf borderId="12" fillId="0" fontId="3" numFmtId="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5" numFmtId="0" xfId="0" applyFont="1"/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>
        <v>44642.0</v>
      </c>
      <c r="C2" s="5">
        <v>44641.0</v>
      </c>
      <c r="D2" s="5">
        <v>44640.0</v>
      </c>
      <c r="E2" s="5">
        <v>44639.0</v>
      </c>
      <c r="F2" s="5">
        <v>44638.0</v>
      </c>
      <c r="G2" s="5">
        <v>44637.0</v>
      </c>
      <c r="H2" s="4" t="s">
        <v>2</v>
      </c>
      <c r="I2" s="6" t="s">
        <v>3</v>
      </c>
      <c r="J2" s="4" t="s">
        <v>4</v>
      </c>
      <c r="K2" s="4" t="s">
        <v>5</v>
      </c>
    </row>
    <row r="3">
      <c r="A3" s="4" t="s">
        <v>6</v>
      </c>
      <c r="B3" s="7" t="s">
        <v>7</v>
      </c>
      <c r="C3" s="8"/>
      <c r="D3" s="8"/>
      <c r="E3" s="8"/>
      <c r="F3" s="9"/>
      <c r="G3" s="10"/>
      <c r="H3" s="11">
        <v>8922500.0</v>
      </c>
      <c r="I3" s="11">
        <v>2.32625E7</v>
      </c>
      <c r="J3" s="12">
        <f>IFERROR(__xludf.DUMMYFUNCTION("GOOGLEFINANCE(""BOM:"" &amp; ""543346"",""price"")"),77.5)</f>
        <v>77.5</v>
      </c>
      <c r="K3" s="13">
        <f>-B5-B6+B7+B8</f>
        <v>0</v>
      </c>
    </row>
    <row r="4">
      <c r="A4" s="4" t="s">
        <v>8</v>
      </c>
      <c r="B4" s="14"/>
      <c r="F4" s="15"/>
      <c r="G4" s="16"/>
      <c r="H4" s="17"/>
      <c r="I4" s="18"/>
      <c r="J4" s="18"/>
      <c r="K4" s="18"/>
    </row>
    <row r="5">
      <c r="A5" s="4" t="s">
        <v>9</v>
      </c>
      <c r="B5" s="14"/>
      <c r="F5" s="15"/>
      <c r="G5" s="19"/>
      <c r="H5" s="20" t="s">
        <v>10</v>
      </c>
      <c r="I5" s="21"/>
      <c r="J5" s="20" t="s">
        <v>11</v>
      </c>
      <c r="K5" s="21"/>
    </row>
    <row r="6">
      <c r="A6" s="4" t="s">
        <v>12</v>
      </c>
      <c r="B6" s="14"/>
      <c r="F6" s="15"/>
      <c r="G6" s="19"/>
      <c r="H6" s="22">
        <f>(K3*10000000)/H3</f>
        <v>0</v>
      </c>
      <c r="I6" s="9"/>
      <c r="J6" s="22" t="str">
        <f>J3/H6</f>
        <v>#DIV/0!</v>
      </c>
      <c r="K6" s="9"/>
    </row>
    <row r="7">
      <c r="A7" s="4" t="s">
        <v>13</v>
      </c>
      <c r="B7" s="14"/>
      <c r="F7" s="15"/>
      <c r="G7" s="17"/>
      <c r="H7" s="17"/>
      <c r="I7" s="18"/>
      <c r="J7" s="18"/>
      <c r="K7" s="18"/>
    </row>
    <row r="8">
      <c r="A8" s="4" t="s">
        <v>14</v>
      </c>
      <c r="B8" s="14"/>
      <c r="F8" s="15"/>
      <c r="G8" s="19"/>
      <c r="H8" s="20" t="s">
        <v>15</v>
      </c>
      <c r="I8" s="21"/>
      <c r="J8" s="20" t="s">
        <v>16</v>
      </c>
      <c r="K8" s="21"/>
    </row>
    <row r="9">
      <c r="A9" s="4" t="s">
        <v>17</v>
      </c>
      <c r="B9" s="14"/>
      <c r="F9" s="15"/>
      <c r="G9" s="19"/>
      <c r="H9" s="17">
        <f>(K3*10000000)/I3</f>
        <v>0</v>
      </c>
      <c r="I9" s="3"/>
      <c r="J9" s="17" t="str">
        <f>J3/H9</f>
        <v>#DIV/0!</v>
      </c>
      <c r="K9" s="3"/>
    </row>
    <row r="10">
      <c r="A10" s="4" t="s">
        <v>18</v>
      </c>
      <c r="B10" s="14"/>
      <c r="F10" s="15"/>
      <c r="G10" s="19"/>
      <c r="H10" s="23"/>
      <c r="I10" s="24"/>
      <c r="J10" s="24"/>
      <c r="K10" s="24"/>
    </row>
    <row r="11">
      <c r="A11" s="4" t="s">
        <v>19</v>
      </c>
      <c r="B11" s="25"/>
      <c r="C11" s="26"/>
      <c r="D11" s="26"/>
      <c r="E11" s="26"/>
      <c r="F11" s="21"/>
      <c r="G11" s="19"/>
      <c r="H11" s="23"/>
      <c r="I11" s="24"/>
      <c r="J11" s="4" t="s">
        <v>20</v>
      </c>
      <c r="K11" s="19">
        <f>(B14*10000000)/I3</f>
        <v>0</v>
      </c>
    </row>
    <row r="12">
      <c r="A12" s="4" t="s">
        <v>21</v>
      </c>
      <c r="B12" s="19"/>
      <c r="C12" s="19">
        <f t="shared" ref="C12:F12" si="1">SUM(C9:C11)</f>
        <v>0</v>
      </c>
      <c r="D12" s="19">
        <f t="shared" si="1"/>
        <v>0</v>
      </c>
      <c r="E12" s="19">
        <f t="shared" si="1"/>
        <v>0</v>
      </c>
      <c r="F12" s="19">
        <f t="shared" si="1"/>
        <v>0</v>
      </c>
      <c r="G12" s="17"/>
      <c r="H12" s="27" t="str">
        <f t="shared" ref="H12:H17" si="2">(((B12/F12)^(1/5)-1)*100)</f>
        <v>#DIV/0!</v>
      </c>
      <c r="I12" s="24"/>
      <c r="J12" s="4" t="s">
        <v>22</v>
      </c>
      <c r="K12" s="19" t="str">
        <f>J3/K11</f>
        <v>#DIV/0!</v>
      </c>
    </row>
    <row r="13">
      <c r="A13" s="4" t="s">
        <v>23</v>
      </c>
      <c r="B13" s="19"/>
      <c r="C13" s="19"/>
      <c r="D13" s="19"/>
      <c r="E13" s="19"/>
      <c r="F13" s="19"/>
      <c r="G13" s="17"/>
      <c r="H13" s="27" t="str">
        <f t="shared" si="2"/>
        <v>#DIV/0!</v>
      </c>
      <c r="I13" s="24"/>
      <c r="J13" s="4" t="s">
        <v>24</v>
      </c>
      <c r="K13" s="19" t="str">
        <f>(B13/(B3+B4))*100</f>
        <v>#VALUE!</v>
      </c>
    </row>
    <row r="14">
      <c r="A14" s="4" t="s">
        <v>25</v>
      </c>
      <c r="B14" s="19"/>
      <c r="C14" s="19"/>
      <c r="D14" s="19"/>
      <c r="E14" s="19"/>
      <c r="F14" s="19"/>
      <c r="G14" s="17"/>
      <c r="H14" s="27" t="str">
        <f t="shared" si="2"/>
        <v>#DIV/0!</v>
      </c>
      <c r="I14" s="24"/>
      <c r="J14" s="4" t="s">
        <v>26</v>
      </c>
      <c r="K14" s="19">
        <f>(H3/I3)*100</f>
        <v>38.35572273</v>
      </c>
    </row>
    <row r="15">
      <c r="A15" s="4" t="s">
        <v>27</v>
      </c>
      <c r="B15" s="19" t="str">
        <f t="shared" ref="B15:F15" si="3">B5/(B3+B4)</f>
        <v>#VALUE!</v>
      </c>
      <c r="C15" s="19" t="str">
        <f t="shared" si="3"/>
        <v>#DIV/0!</v>
      </c>
      <c r="D15" s="19" t="str">
        <f t="shared" si="3"/>
        <v>#DIV/0!</v>
      </c>
      <c r="E15" s="19" t="str">
        <f t="shared" si="3"/>
        <v>#DIV/0!</v>
      </c>
      <c r="F15" s="19" t="str">
        <f t="shared" si="3"/>
        <v>#DIV/0!</v>
      </c>
      <c r="G15" s="19"/>
      <c r="H15" s="27" t="str">
        <f t="shared" si="2"/>
        <v>#VALUE!</v>
      </c>
      <c r="I15" s="24"/>
      <c r="J15" s="24"/>
      <c r="K15" s="24"/>
    </row>
    <row r="16">
      <c r="A16" s="4" t="s">
        <v>28</v>
      </c>
      <c r="B16" s="19" t="str">
        <f t="shared" ref="B16:F16" si="4">B4/B3</f>
        <v>#VALUE!</v>
      </c>
      <c r="C16" s="19" t="str">
        <f t="shared" si="4"/>
        <v>#DIV/0!</v>
      </c>
      <c r="D16" s="19" t="str">
        <f t="shared" si="4"/>
        <v>#DIV/0!</v>
      </c>
      <c r="E16" s="19" t="str">
        <f t="shared" si="4"/>
        <v>#DIV/0!</v>
      </c>
      <c r="F16" s="19" t="str">
        <f t="shared" si="4"/>
        <v>#DIV/0!</v>
      </c>
      <c r="G16" s="19"/>
      <c r="H16" s="27" t="str">
        <f t="shared" si="2"/>
        <v>#VALUE!</v>
      </c>
      <c r="I16" s="24"/>
      <c r="J16" s="24"/>
      <c r="K16" s="24"/>
    </row>
    <row r="17">
      <c r="A17" s="4" t="s">
        <v>29</v>
      </c>
      <c r="B17" s="19" t="str">
        <f t="shared" ref="B17:F17" si="5">B8/B6</f>
        <v>#DIV/0!</v>
      </c>
      <c r="C17" s="19" t="str">
        <f t="shared" si="5"/>
        <v>#DIV/0!</v>
      </c>
      <c r="D17" s="19" t="str">
        <f t="shared" si="5"/>
        <v>#DIV/0!</v>
      </c>
      <c r="E17" s="19" t="str">
        <f t="shared" si="5"/>
        <v>#DIV/0!</v>
      </c>
      <c r="F17" s="19" t="str">
        <f t="shared" si="5"/>
        <v>#DIV/0!</v>
      </c>
      <c r="G17" s="19"/>
      <c r="H17" s="27" t="str">
        <f t="shared" si="2"/>
        <v>#DIV/0!</v>
      </c>
      <c r="I17" s="24"/>
      <c r="J17" s="24"/>
      <c r="K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3"/>
    </row>
    <row r="20">
      <c r="A20" s="4" t="s">
        <v>1</v>
      </c>
      <c r="B20" s="5">
        <v>44642.0</v>
      </c>
      <c r="C20" s="5">
        <v>44641.0</v>
      </c>
      <c r="D20" s="5">
        <v>44640.0</v>
      </c>
      <c r="E20" s="5">
        <v>44639.0</v>
      </c>
      <c r="F20" s="5">
        <v>44638.0</v>
      </c>
      <c r="G20" s="5">
        <v>44637.0</v>
      </c>
      <c r="H20" s="4" t="s">
        <v>2</v>
      </c>
      <c r="I20" s="6" t="s">
        <v>3</v>
      </c>
      <c r="J20" s="4" t="s">
        <v>4</v>
      </c>
      <c r="K20" s="4" t="s">
        <v>5</v>
      </c>
    </row>
    <row r="21">
      <c r="A21" s="4" t="s">
        <v>6</v>
      </c>
      <c r="B21" s="28">
        <v>71.89</v>
      </c>
      <c r="C21" s="28">
        <v>71.9</v>
      </c>
      <c r="D21" s="28">
        <v>69.6</v>
      </c>
      <c r="E21" s="28">
        <v>69.56</v>
      </c>
      <c r="F21" s="28">
        <v>69.56</v>
      </c>
      <c r="G21" s="10"/>
      <c r="H21" s="11">
        <v>9.9793273E7</v>
      </c>
      <c r="I21" s="11">
        <v>1.41970885E8</v>
      </c>
      <c r="J21" s="12">
        <f>IFERROR(__xludf.DUMMYFUNCTION("GOOGLEFINANCE(""NSE:"" &amp; A19,""price"")"),6348.0)</f>
        <v>6348</v>
      </c>
      <c r="K21" s="29">
        <f>-B23-B24+B25+B26</f>
        <v>6110.7</v>
      </c>
    </row>
    <row r="22">
      <c r="A22" s="4" t="s">
        <v>8</v>
      </c>
      <c r="B22" s="28">
        <v>6038.81</v>
      </c>
      <c r="C22" s="28">
        <v>5129.6</v>
      </c>
      <c r="D22" s="28">
        <v>3918.8</v>
      </c>
      <c r="E22" s="28">
        <v>3813.85</v>
      </c>
      <c r="F22" s="28">
        <v>3623.94</v>
      </c>
      <c r="G22" s="16"/>
      <c r="H22" s="17"/>
      <c r="I22" s="18"/>
      <c r="J22" s="18"/>
      <c r="K22" s="18"/>
    </row>
    <row r="23">
      <c r="A23" s="4" t="s">
        <v>9</v>
      </c>
      <c r="B23" s="28">
        <v>3108.19</v>
      </c>
      <c r="C23" s="28">
        <v>3006.4</v>
      </c>
      <c r="D23" s="28">
        <v>4212.8</v>
      </c>
      <c r="E23" s="28">
        <v>2911.85</v>
      </c>
      <c r="F23" s="28">
        <v>2803.5</v>
      </c>
      <c r="G23" s="19"/>
      <c r="H23" s="20" t="s">
        <v>10</v>
      </c>
      <c r="I23" s="21"/>
      <c r="J23" s="20" t="s">
        <v>11</v>
      </c>
      <c r="K23" s="21"/>
    </row>
    <row r="24">
      <c r="A24" s="4" t="s">
        <v>12</v>
      </c>
      <c r="B24" s="28">
        <v>1189.19</v>
      </c>
      <c r="C24" s="28">
        <v>1521.3</v>
      </c>
      <c r="D24" s="28">
        <v>1943.0</v>
      </c>
      <c r="E24" s="28">
        <v>1633.08</v>
      </c>
      <c r="F24" s="28">
        <v>1315.07</v>
      </c>
      <c r="G24" s="19"/>
      <c r="H24" s="22">
        <f>(K21*10000000)/H21</f>
        <v>612.3358636</v>
      </c>
      <c r="I24" s="9"/>
      <c r="J24" s="22">
        <f>J21/H24</f>
        <v>10.36685972</v>
      </c>
      <c r="K24" s="9"/>
    </row>
    <row r="25">
      <c r="A25" s="4" t="s">
        <v>13</v>
      </c>
      <c r="B25" s="28">
        <v>6952.85</v>
      </c>
      <c r="C25" s="28">
        <v>6691.5</v>
      </c>
      <c r="D25" s="28">
        <v>7829.2</v>
      </c>
      <c r="E25" s="28">
        <v>6425.33</v>
      </c>
      <c r="F25" s="28">
        <v>5832.24</v>
      </c>
      <c r="G25" s="17"/>
      <c r="H25" s="17"/>
      <c r="I25" s="18"/>
      <c r="J25" s="18"/>
      <c r="K25" s="18"/>
    </row>
    <row r="26">
      <c r="A26" s="4" t="s">
        <v>14</v>
      </c>
      <c r="B26" s="28">
        <v>3455.23</v>
      </c>
      <c r="C26" s="28">
        <v>3037.7</v>
      </c>
      <c r="D26" s="28">
        <v>2315.0</v>
      </c>
      <c r="E26" s="28">
        <v>2003.02</v>
      </c>
      <c r="F26" s="28">
        <v>1979.83</v>
      </c>
      <c r="G26" s="19"/>
      <c r="H26" s="20" t="s">
        <v>15</v>
      </c>
      <c r="I26" s="21"/>
      <c r="J26" s="20" t="s">
        <v>16</v>
      </c>
      <c r="K26" s="21"/>
    </row>
    <row r="27">
      <c r="A27" s="4" t="s">
        <v>17</v>
      </c>
      <c r="B27" s="28"/>
      <c r="C27" s="30"/>
      <c r="D27" s="30"/>
      <c r="E27" s="30"/>
      <c r="F27" s="30"/>
      <c r="G27" s="19"/>
      <c r="H27" s="17">
        <f>(K21*10000000)/I21</f>
        <v>430.419237</v>
      </c>
      <c r="I27" s="3"/>
      <c r="J27" s="17">
        <f>J21/H27</f>
        <v>14.74841144</v>
      </c>
      <c r="K27" s="3"/>
    </row>
    <row r="28">
      <c r="A28" s="4" t="s">
        <v>18</v>
      </c>
      <c r="B28" s="28"/>
      <c r="C28" s="30"/>
      <c r="D28" s="30"/>
      <c r="E28" s="30"/>
      <c r="F28" s="30"/>
      <c r="G28" s="19"/>
      <c r="H28" s="23"/>
      <c r="I28" s="24"/>
      <c r="J28" s="24"/>
      <c r="K28" s="24"/>
    </row>
    <row r="29">
      <c r="A29" s="4" t="s">
        <v>19</v>
      </c>
      <c r="B29" s="28"/>
      <c r="C29" s="30"/>
      <c r="D29" s="30"/>
      <c r="E29" s="30"/>
      <c r="F29" s="30"/>
      <c r="G29" s="19"/>
      <c r="H29" s="23"/>
      <c r="I29" s="24"/>
      <c r="J29" s="4" t="s">
        <v>20</v>
      </c>
      <c r="K29" s="19">
        <f>(B32*10000000)/I21</f>
        <v>46.842703</v>
      </c>
    </row>
    <row r="30">
      <c r="A30" s="4" t="s">
        <v>21</v>
      </c>
      <c r="B30" s="19"/>
      <c r="C30" s="19">
        <f t="shared" ref="C30:F30" si="6">SUM(C27:C29)</f>
        <v>0</v>
      </c>
      <c r="D30" s="19">
        <f t="shared" si="6"/>
        <v>0</v>
      </c>
      <c r="E30" s="19">
        <f t="shared" si="6"/>
        <v>0</v>
      </c>
      <c r="F30" s="19">
        <f t="shared" si="6"/>
        <v>0</v>
      </c>
      <c r="G30" s="17"/>
      <c r="H30" s="27" t="str">
        <f t="shared" ref="H30:H35" si="7">(((B30/F30)^(1/5)-1)*100)</f>
        <v>#DIV/0!</v>
      </c>
      <c r="I30" s="24"/>
      <c r="J30" s="4" t="s">
        <v>22</v>
      </c>
      <c r="K30" s="19">
        <f>J21/K29</f>
        <v>135.5173718</v>
      </c>
    </row>
    <row r="31">
      <c r="A31" s="4" t="s">
        <v>23</v>
      </c>
      <c r="B31" s="31">
        <v>852.13</v>
      </c>
      <c r="C31" s="31">
        <v>176.6</v>
      </c>
      <c r="D31" s="31">
        <v>682.4</v>
      </c>
      <c r="E31" s="31">
        <v>462.47</v>
      </c>
      <c r="F31" s="31">
        <v>330.14</v>
      </c>
      <c r="G31" s="17"/>
      <c r="H31" s="27">
        <f t="shared" si="7"/>
        <v>20.88197352</v>
      </c>
      <c r="I31" s="24"/>
      <c r="J31" s="4" t="s">
        <v>24</v>
      </c>
      <c r="K31" s="19">
        <f>(B31/(B21+B22))*100</f>
        <v>13.94488356</v>
      </c>
    </row>
    <row r="32">
      <c r="A32" s="4" t="s">
        <v>25</v>
      </c>
      <c r="B32" s="31">
        <v>665.03</v>
      </c>
      <c r="C32" s="31">
        <v>105.0</v>
      </c>
      <c r="D32" s="31">
        <v>470.3</v>
      </c>
      <c r="E32" s="31">
        <v>302.76</v>
      </c>
      <c r="F32" s="31">
        <v>233.2</v>
      </c>
      <c r="G32" s="17"/>
      <c r="H32" s="27">
        <f t="shared" si="7"/>
        <v>23.31688283</v>
      </c>
      <c r="I32" s="24"/>
      <c r="J32" s="4" t="s">
        <v>26</v>
      </c>
      <c r="K32" s="19">
        <f>(H21/I21)*100</f>
        <v>70.29136502</v>
      </c>
    </row>
    <row r="33">
      <c r="A33" s="4" t="s">
        <v>27</v>
      </c>
      <c r="B33" s="19">
        <f t="shared" ref="B33:F33" si="8">B23/(B21+B22)</f>
        <v>0.5086471272</v>
      </c>
      <c r="C33" s="19">
        <f t="shared" si="8"/>
        <v>0.5779871191</v>
      </c>
      <c r="D33" s="19">
        <f t="shared" si="8"/>
        <v>1.056263163</v>
      </c>
      <c r="E33" s="19">
        <f t="shared" si="8"/>
        <v>0.7498178148</v>
      </c>
      <c r="F33" s="19">
        <f t="shared" si="8"/>
        <v>0.7590361446</v>
      </c>
      <c r="G33" s="19"/>
      <c r="H33" s="27">
        <f t="shared" si="7"/>
        <v>-7.693809525</v>
      </c>
      <c r="I33" s="24"/>
      <c r="J33" s="24"/>
      <c r="K33" s="24"/>
    </row>
    <row r="34">
      <c r="A34" s="4" t="s">
        <v>28</v>
      </c>
      <c r="B34" s="19">
        <f t="shared" ref="B34:F34" si="9">B22/B21</f>
        <v>84.00069551</v>
      </c>
      <c r="C34" s="19">
        <f t="shared" si="9"/>
        <v>71.34353268</v>
      </c>
      <c r="D34" s="19">
        <f t="shared" si="9"/>
        <v>56.3045977</v>
      </c>
      <c r="E34" s="19">
        <f t="shared" si="9"/>
        <v>54.82820587</v>
      </c>
      <c r="F34" s="19">
        <f t="shared" si="9"/>
        <v>52.09804485</v>
      </c>
      <c r="G34" s="19"/>
      <c r="H34" s="27">
        <f t="shared" si="7"/>
        <v>10.02523158</v>
      </c>
      <c r="I34" s="24"/>
      <c r="J34" s="24"/>
      <c r="K34" s="24"/>
    </row>
    <row r="35">
      <c r="A35" s="4" t="s">
        <v>29</v>
      </c>
      <c r="B35" s="19">
        <f t="shared" ref="B35:F35" si="10">B26/B24</f>
        <v>2.905532337</v>
      </c>
      <c r="C35" s="19">
        <f t="shared" si="10"/>
        <v>1.996779071</v>
      </c>
      <c r="D35" s="19">
        <f t="shared" si="10"/>
        <v>1.191456511</v>
      </c>
      <c r="E35" s="19">
        <f t="shared" si="10"/>
        <v>1.226529013</v>
      </c>
      <c r="F35" s="19">
        <f t="shared" si="10"/>
        <v>1.505494004</v>
      </c>
      <c r="G35" s="19"/>
      <c r="H35" s="27">
        <f t="shared" si="7"/>
        <v>14.05368894</v>
      </c>
      <c r="I35" s="24"/>
      <c r="J35" s="24"/>
      <c r="K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>
      <c r="A37" s="32" t="s">
        <v>31</v>
      </c>
      <c r="B37" s="2"/>
      <c r="C37" s="2"/>
      <c r="D37" s="2"/>
      <c r="E37" s="2"/>
      <c r="F37" s="2"/>
      <c r="G37" s="2"/>
      <c r="H37" s="2"/>
      <c r="I37" s="2"/>
      <c r="J37" s="2"/>
      <c r="K37" s="3"/>
    </row>
    <row r="38">
      <c r="A38" s="4" t="s">
        <v>1</v>
      </c>
      <c r="B38" s="5">
        <v>44642.0</v>
      </c>
      <c r="C38" s="5">
        <v>44641.0</v>
      </c>
      <c r="D38" s="5">
        <v>44640.0</v>
      </c>
      <c r="E38" s="5">
        <v>44639.0</v>
      </c>
      <c r="F38" s="5">
        <v>44638.0</v>
      </c>
      <c r="G38" s="5">
        <v>44637.0</v>
      </c>
      <c r="H38" s="4" t="s">
        <v>2</v>
      </c>
      <c r="I38" s="6" t="s">
        <v>3</v>
      </c>
      <c r="J38" s="4" t="s">
        <v>4</v>
      </c>
      <c r="K38" s="4" t="s">
        <v>5</v>
      </c>
    </row>
    <row r="39">
      <c r="A39" s="4" t="s">
        <v>6</v>
      </c>
      <c r="B39" s="28">
        <v>13.24</v>
      </c>
      <c r="C39" s="28">
        <v>13.24</v>
      </c>
      <c r="D39" s="28">
        <v>13.24</v>
      </c>
      <c r="E39" s="28">
        <v>21.04</v>
      </c>
      <c r="F39" s="28">
        <v>21.04</v>
      </c>
      <c r="G39" s="10"/>
      <c r="H39" s="11">
        <v>3.912218E7</v>
      </c>
      <c r="I39" s="11">
        <v>1.3155297E8</v>
      </c>
      <c r="J39" s="12">
        <f>IFERROR(__xludf.DUMMYFUNCTION("GOOGLEFINANCE(""NSE:"" &amp; A37,""price"")"),170.0)</f>
        <v>170</v>
      </c>
      <c r="K39" s="29">
        <f>-B41-B42+B43+B44</f>
        <v>361.62</v>
      </c>
    </row>
    <row r="40">
      <c r="A40" s="4" t="s">
        <v>8</v>
      </c>
      <c r="B40" s="28">
        <v>348.37</v>
      </c>
      <c r="C40" s="28">
        <v>308.38</v>
      </c>
      <c r="D40" s="28">
        <v>300.83</v>
      </c>
      <c r="E40" s="28">
        <v>230.69</v>
      </c>
      <c r="F40" s="28">
        <v>210.02</v>
      </c>
      <c r="G40" s="16"/>
      <c r="H40" s="17"/>
      <c r="I40" s="18"/>
      <c r="J40" s="18"/>
      <c r="K40" s="18"/>
    </row>
    <row r="41">
      <c r="A41" s="4" t="s">
        <v>9</v>
      </c>
      <c r="B41" s="28">
        <v>202.71</v>
      </c>
      <c r="C41" s="28">
        <v>151.31</v>
      </c>
      <c r="D41" s="28">
        <v>110.24</v>
      </c>
      <c r="E41" s="28">
        <v>84.4</v>
      </c>
      <c r="F41" s="28">
        <v>73.32</v>
      </c>
      <c r="G41" s="19"/>
      <c r="H41" s="20" t="s">
        <v>10</v>
      </c>
      <c r="I41" s="21"/>
      <c r="J41" s="20" t="s">
        <v>11</v>
      </c>
      <c r="K41" s="21"/>
    </row>
    <row r="42">
      <c r="A42" s="4" t="s">
        <v>12</v>
      </c>
      <c r="B42" s="28">
        <v>133.08</v>
      </c>
      <c r="C42" s="28">
        <v>116.03</v>
      </c>
      <c r="D42" s="28">
        <v>156.85</v>
      </c>
      <c r="E42" s="28">
        <v>173.35</v>
      </c>
      <c r="F42" s="28">
        <v>147.48</v>
      </c>
      <c r="G42" s="19"/>
      <c r="H42" s="22">
        <f>(K39*10000000)/H39</f>
        <v>92.43349936</v>
      </c>
      <c r="I42" s="9"/>
      <c r="J42" s="22">
        <f>J39/H42</f>
        <v>1.839160058</v>
      </c>
      <c r="K42" s="9"/>
    </row>
    <row r="43">
      <c r="A43" s="4" t="s">
        <v>13</v>
      </c>
      <c r="B43" s="28">
        <v>574.78</v>
      </c>
      <c r="C43" s="28">
        <v>483.25</v>
      </c>
      <c r="D43" s="28">
        <v>464.41</v>
      </c>
      <c r="E43" s="28">
        <v>398.54</v>
      </c>
      <c r="F43" s="28">
        <v>364.53</v>
      </c>
      <c r="G43" s="17"/>
      <c r="H43" s="17"/>
      <c r="I43" s="18"/>
      <c r="J43" s="18"/>
      <c r="K43" s="18"/>
    </row>
    <row r="44">
      <c r="A44" s="4" t="s">
        <v>14</v>
      </c>
      <c r="B44" s="28">
        <v>122.63</v>
      </c>
      <c r="C44" s="28">
        <v>105.7</v>
      </c>
      <c r="D44" s="28">
        <v>116.75</v>
      </c>
      <c r="E44" s="28">
        <v>110.93</v>
      </c>
      <c r="F44" s="28">
        <v>87.32</v>
      </c>
      <c r="G44" s="19"/>
      <c r="H44" s="20" t="s">
        <v>15</v>
      </c>
      <c r="I44" s="21"/>
      <c r="J44" s="20" t="s">
        <v>16</v>
      </c>
      <c r="K44" s="21"/>
    </row>
    <row r="45">
      <c r="A45" s="4" t="s">
        <v>17</v>
      </c>
      <c r="B45" s="28"/>
      <c r="C45" s="30"/>
      <c r="D45" s="30"/>
      <c r="E45" s="30"/>
      <c r="F45" s="30"/>
      <c r="G45" s="19"/>
      <c r="H45" s="17">
        <f>(K39*10000000)/I39</f>
        <v>27.48854701</v>
      </c>
      <c r="I45" s="3"/>
      <c r="J45" s="17">
        <f>J39/H45</f>
        <v>6.184393811</v>
      </c>
      <c r="K45" s="3"/>
    </row>
    <row r="46">
      <c r="A46" s="4" t="s">
        <v>18</v>
      </c>
      <c r="B46" s="28"/>
      <c r="C46" s="30"/>
      <c r="D46" s="30"/>
      <c r="E46" s="30"/>
      <c r="F46" s="30"/>
      <c r="G46" s="19"/>
      <c r="H46" s="23"/>
      <c r="I46" s="24"/>
      <c r="J46" s="24"/>
      <c r="K46" s="24"/>
    </row>
    <row r="47">
      <c r="A47" s="4" t="s">
        <v>19</v>
      </c>
      <c r="B47" s="28"/>
      <c r="C47" s="30"/>
      <c r="D47" s="30"/>
      <c r="E47" s="30"/>
      <c r="F47" s="30"/>
      <c r="G47" s="19"/>
      <c r="H47" s="23"/>
      <c r="I47" s="24"/>
      <c r="J47" s="4" t="s">
        <v>20</v>
      </c>
      <c r="K47" s="19">
        <f>(B50*10000000)/I39</f>
        <v>2.476568944</v>
      </c>
    </row>
    <row r="48">
      <c r="A48" s="4" t="s">
        <v>21</v>
      </c>
      <c r="B48" s="19"/>
      <c r="C48" s="19">
        <f t="shared" ref="C48:F48" si="11">SUM(C45:C47)</f>
        <v>0</v>
      </c>
      <c r="D48" s="19">
        <f t="shared" si="11"/>
        <v>0</v>
      </c>
      <c r="E48" s="19">
        <f t="shared" si="11"/>
        <v>0</v>
      </c>
      <c r="F48" s="19">
        <f t="shared" si="11"/>
        <v>0</v>
      </c>
      <c r="G48" s="17"/>
      <c r="H48" s="27" t="str">
        <f t="shared" ref="H48:H53" si="12">(((B48/F48)^(1/5)-1)*100)</f>
        <v>#DIV/0!</v>
      </c>
      <c r="I48" s="24"/>
      <c r="J48" s="4" t="s">
        <v>22</v>
      </c>
      <c r="K48" s="19">
        <f>J39/K47</f>
        <v>68.64335451</v>
      </c>
    </row>
    <row r="49">
      <c r="A49" s="4" t="s">
        <v>23</v>
      </c>
      <c r="B49" s="31">
        <v>38.81</v>
      </c>
      <c r="C49" s="31">
        <v>8.91</v>
      </c>
      <c r="D49" s="31">
        <v>31.97</v>
      </c>
      <c r="E49" s="31">
        <v>37.4</v>
      </c>
      <c r="F49" s="31">
        <v>35.47</v>
      </c>
      <c r="G49" s="17"/>
      <c r="H49" s="27">
        <f t="shared" si="12"/>
        <v>1.816107784</v>
      </c>
      <c r="I49" s="24"/>
      <c r="J49" s="4" t="s">
        <v>24</v>
      </c>
      <c r="K49" s="19">
        <f>(B49/(B39+B40))*100</f>
        <v>10.73255717</v>
      </c>
    </row>
    <row r="50">
      <c r="A50" s="4" t="s">
        <v>25</v>
      </c>
      <c r="B50" s="31">
        <v>32.58</v>
      </c>
      <c r="C50" s="31">
        <v>7.09</v>
      </c>
      <c r="D50" s="31">
        <v>20.43</v>
      </c>
      <c r="E50" s="31">
        <v>20.77</v>
      </c>
      <c r="F50" s="31">
        <v>26.77</v>
      </c>
      <c r="G50" s="17"/>
      <c r="H50" s="27">
        <f t="shared" si="12"/>
        <v>4.006514345</v>
      </c>
      <c r="I50" s="24"/>
      <c r="J50" s="4" t="s">
        <v>26</v>
      </c>
      <c r="K50" s="19">
        <f>(H39/I39)*100</f>
        <v>29.73872806</v>
      </c>
    </row>
    <row r="51">
      <c r="A51" s="4" t="s">
        <v>27</v>
      </c>
      <c r="B51" s="19">
        <f t="shared" ref="B51:F51" si="13">B41/(B39+B40)</f>
        <v>0.5605763115</v>
      </c>
      <c r="C51" s="19">
        <f t="shared" si="13"/>
        <v>0.4704620359</v>
      </c>
      <c r="D51" s="19">
        <f t="shared" si="13"/>
        <v>0.3510045531</v>
      </c>
      <c r="E51" s="19">
        <f t="shared" si="13"/>
        <v>0.3352798633</v>
      </c>
      <c r="F51" s="19">
        <f t="shared" si="13"/>
        <v>0.3173201766</v>
      </c>
      <c r="G51" s="19"/>
      <c r="H51" s="27">
        <f t="shared" si="12"/>
        <v>12.05401204</v>
      </c>
      <c r="I51" s="24"/>
      <c r="J51" s="24"/>
      <c r="K51" s="24"/>
    </row>
    <row r="52">
      <c r="A52" s="4" t="s">
        <v>28</v>
      </c>
      <c r="B52" s="19">
        <f t="shared" ref="B52:F52" si="14">B40/B39</f>
        <v>26.31193353</v>
      </c>
      <c r="C52" s="19">
        <f t="shared" si="14"/>
        <v>23.29154079</v>
      </c>
      <c r="D52" s="19">
        <f t="shared" si="14"/>
        <v>22.72129909</v>
      </c>
      <c r="E52" s="19">
        <f t="shared" si="14"/>
        <v>10.96435361</v>
      </c>
      <c r="F52" s="19">
        <f t="shared" si="14"/>
        <v>9.981939163</v>
      </c>
      <c r="G52" s="19"/>
      <c r="H52" s="27">
        <f t="shared" si="12"/>
        <v>21.39130184</v>
      </c>
      <c r="I52" s="24"/>
      <c r="J52" s="24"/>
      <c r="K52" s="24"/>
    </row>
    <row r="53">
      <c r="A53" s="4" t="s">
        <v>29</v>
      </c>
      <c r="B53" s="19">
        <f t="shared" ref="B53:F53" si="15">B44/B42</f>
        <v>0.921475804</v>
      </c>
      <c r="C53" s="19">
        <f t="shared" si="15"/>
        <v>0.9109713005</v>
      </c>
      <c r="D53" s="19">
        <f t="shared" si="15"/>
        <v>0.7443417278</v>
      </c>
      <c r="E53" s="19">
        <f t="shared" si="15"/>
        <v>0.6399192385</v>
      </c>
      <c r="F53" s="19">
        <f t="shared" si="15"/>
        <v>0.5920802821</v>
      </c>
      <c r="G53" s="19"/>
      <c r="H53" s="27">
        <f t="shared" si="12"/>
        <v>9.249804276</v>
      </c>
      <c r="I53" s="24"/>
      <c r="J53" s="24"/>
      <c r="K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</row>
    <row r="55">
      <c r="A55" s="1" t="s">
        <v>32</v>
      </c>
      <c r="B55" s="2"/>
      <c r="C55" s="2"/>
      <c r="D55" s="2"/>
      <c r="E55" s="2"/>
      <c r="F55" s="2"/>
      <c r="G55" s="2"/>
      <c r="H55" s="2"/>
      <c r="I55" s="2"/>
      <c r="J55" s="2"/>
      <c r="K55" s="3"/>
    </row>
    <row r="56">
      <c r="A56" s="4" t="s">
        <v>1</v>
      </c>
      <c r="B56" s="5">
        <v>44642.0</v>
      </c>
      <c r="C56" s="5">
        <v>44641.0</v>
      </c>
      <c r="D56" s="5">
        <v>44640.0</v>
      </c>
      <c r="E56" s="5">
        <v>44639.0</v>
      </c>
      <c r="F56" s="5">
        <v>44638.0</v>
      </c>
      <c r="G56" s="5">
        <v>44637.0</v>
      </c>
      <c r="H56" s="4" t="s">
        <v>2</v>
      </c>
      <c r="I56" s="6" t="s">
        <v>3</v>
      </c>
      <c r="J56" s="4" t="s">
        <v>4</v>
      </c>
      <c r="K56" s="4" t="s">
        <v>5</v>
      </c>
    </row>
    <row r="57">
      <c r="A57" s="4" t="s">
        <v>6</v>
      </c>
      <c r="B57" s="28">
        <v>497.22</v>
      </c>
      <c r="C57" s="28">
        <v>497.04</v>
      </c>
      <c r="D57" s="28">
        <v>499.52</v>
      </c>
      <c r="E57" s="28">
        <v>505.23</v>
      </c>
      <c r="F57" s="28">
        <v>505.23</v>
      </c>
      <c r="G57" s="10"/>
      <c r="H57" s="11">
        <v>3.0471928E8</v>
      </c>
      <c r="I57" s="11">
        <v>4.96192482E8</v>
      </c>
      <c r="J57" s="12">
        <f>IFERROR(__xludf.DUMMYFUNCTION("GOOGLEFINANCE(""NSE:"" &amp; A55,""price"")"),407.05)</f>
        <v>407.05</v>
      </c>
      <c r="K57" s="29">
        <f>-B59-B60+B61+B62</f>
        <v>2955.21</v>
      </c>
    </row>
    <row r="58">
      <c r="A58" s="4" t="s">
        <v>8</v>
      </c>
      <c r="B58" s="28">
        <v>2457.99</v>
      </c>
      <c r="C58" s="28">
        <v>2367.07</v>
      </c>
      <c r="D58" s="28">
        <v>2045.94</v>
      </c>
      <c r="E58" s="28">
        <v>2086.89</v>
      </c>
      <c r="F58" s="28">
        <v>2420.74</v>
      </c>
      <c r="G58" s="16"/>
      <c r="H58" s="17"/>
      <c r="I58" s="18"/>
      <c r="J58" s="18"/>
      <c r="K58" s="18"/>
    </row>
    <row r="59">
      <c r="A59" s="4" t="s">
        <v>9</v>
      </c>
      <c r="B59" s="28">
        <v>463.95</v>
      </c>
      <c r="C59" s="28">
        <v>396.7</v>
      </c>
      <c r="D59" s="28">
        <v>359.81</v>
      </c>
      <c r="E59" s="28">
        <v>198.22</v>
      </c>
      <c r="F59" s="28">
        <v>191.98</v>
      </c>
      <c r="G59" s="19"/>
      <c r="H59" s="20" t="s">
        <v>10</v>
      </c>
      <c r="I59" s="21"/>
      <c r="J59" s="20" t="s">
        <v>11</v>
      </c>
      <c r="K59" s="21"/>
    </row>
    <row r="60">
      <c r="A60" s="4" t="s">
        <v>12</v>
      </c>
      <c r="B60" s="28">
        <v>342.84</v>
      </c>
      <c r="C60" s="28">
        <v>327.81</v>
      </c>
      <c r="D60" s="28">
        <v>262.59</v>
      </c>
      <c r="E60" s="28">
        <v>198.32</v>
      </c>
      <c r="F60" s="28">
        <v>175.82</v>
      </c>
      <c r="G60" s="19"/>
      <c r="H60" s="22">
        <f>(K57*10000000)/H57</f>
        <v>96.98139218</v>
      </c>
      <c r="I60" s="9"/>
      <c r="J60" s="22">
        <f>J57/H60</f>
        <v>4.197196914</v>
      </c>
      <c r="K60" s="9"/>
    </row>
    <row r="61">
      <c r="A61" s="4" t="s">
        <v>13</v>
      </c>
      <c r="B61" s="28">
        <v>3562.22</v>
      </c>
      <c r="C61" s="28">
        <v>3390.37</v>
      </c>
      <c r="D61" s="28">
        <v>3379.91</v>
      </c>
      <c r="E61" s="28">
        <v>3043.86</v>
      </c>
      <c r="F61" s="28">
        <v>2995.41</v>
      </c>
      <c r="G61" s="17"/>
      <c r="H61" s="17"/>
      <c r="I61" s="18"/>
      <c r="J61" s="18"/>
      <c r="K61" s="18"/>
    </row>
    <row r="62">
      <c r="A62" s="4" t="s">
        <v>14</v>
      </c>
      <c r="B62" s="28">
        <v>199.78</v>
      </c>
      <c r="C62" s="28">
        <v>198.25</v>
      </c>
      <c r="D62" s="28">
        <v>173.09</v>
      </c>
      <c r="E62" s="28">
        <v>332.96</v>
      </c>
      <c r="F62" s="28">
        <v>298.35</v>
      </c>
      <c r="G62" s="19"/>
      <c r="H62" s="20" t="s">
        <v>15</v>
      </c>
      <c r="I62" s="21"/>
      <c r="J62" s="20" t="s">
        <v>16</v>
      </c>
      <c r="K62" s="21"/>
    </row>
    <row r="63">
      <c r="A63" s="4" t="s">
        <v>17</v>
      </c>
      <c r="B63" s="28"/>
      <c r="C63" s="30"/>
      <c r="D63" s="30"/>
      <c r="E63" s="30"/>
      <c r="F63" s="30"/>
      <c r="G63" s="19"/>
      <c r="H63" s="17">
        <f>(K57*10000000)/I57</f>
        <v>59.55773429</v>
      </c>
      <c r="I63" s="3"/>
      <c r="J63" s="17">
        <f>J57/H63</f>
        <v>6.834544746</v>
      </c>
      <c r="K63" s="3"/>
    </row>
    <row r="64">
      <c r="A64" s="4" t="s">
        <v>18</v>
      </c>
      <c r="B64" s="28"/>
      <c r="C64" s="30"/>
      <c r="D64" s="30"/>
      <c r="E64" s="30"/>
      <c r="F64" s="30"/>
      <c r="G64" s="19"/>
      <c r="H64" s="23"/>
      <c r="I64" s="24"/>
      <c r="J64" s="24"/>
      <c r="K64" s="24"/>
    </row>
    <row r="65">
      <c r="A65" s="4" t="s">
        <v>19</v>
      </c>
      <c r="B65" s="28"/>
      <c r="C65" s="30"/>
      <c r="D65" s="30"/>
      <c r="E65" s="30"/>
      <c r="F65" s="30"/>
      <c r="G65" s="19"/>
      <c r="H65" s="23"/>
      <c r="I65" s="24"/>
      <c r="J65" s="4" t="s">
        <v>20</v>
      </c>
      <c r="K65" s="19">
        <f>(B68*10000000)/I57</f>
        <v>1.81743987</v>
      </c>
    </row>
    <row r="66">
      <c r="A66" s="4" t="s">
        <v>21</v>
      </c>
      <c r="B66" s="19"/>
      <c r="C66" s="19">
        <f t="shared" ref="C66:F66" si="16">SUM(C63:C65)</f>
        <v>0</v>
      </c>
      <c r="D66" s="19">
        <f t="shared" si="16"/>
        <v>0</v>
      </c>
      <c r="E66" s="19">
        <f t="shared" si="16"/>
        <v>0</v>
      </c>
      <c r="F66" s="19">
        <f t="shared" si="16"/>
        <v>0</v>
      </c>
      <c r="G66" s="17"/>
      <c r="H66" s="27" t="str">
        <f t="shared" ref="H66:H71" si="17">(((B66/F66)^(1/5)-1)*100)</f>
        <v>#DIV/0!</v>
      </c>
      <c r="I66" s="24"/>
      <c r="J66" s="4" t="s">
        <v>22</v>
      </c>
      <c r="K66" s="19">
        <f>J57/K65</f>
        <v>223.9688953</v>
      </c>
    </row>
    <row r="67">
      <c r="A67" s="4" t="s">
        <v>23</v>
      </c>
      <c r="B67" s="31">
        <v>89.96</v>
      </c>
      <c r="C67" s="31">
        <v>-68.04</v>
      </c>
      <c r="D67" s="31">
        <v>64.61</v>
      </c>
      <c r="E67" s="31">
        <v>48.52</v>
      </c>
      <c r="F67" s="31">
        <v>-87.19</v>
      </c>
      <c r="G67" s="17"/>
      <c r="H67" s="27">
        <f t="shared" si="17"/>
        <v>-200.62747</v>
      </c>
      <c r="I67" s="24"/>
      <c r="J67" s="4" t="s">
        <v>24</v>
      </c>
      <c r="K67" s="19">
        <f>(B67/(B57+B58))*100</f>
        <v>3.044115308</v>
      </c>
    </row>
    <row r="68">
      <c r="A68" s="4" t="s">
        <v>25</v>
      </c>
      <c r="B68" s="31">
        <v>90.18</v>
      </c>
      <c r="C68" s="31">
        <v>-68.78</v>
      </c>
      <c r="D68" s="31">
        <v>60.61</v>
      </c>
      <c r="E68" s="31">
        <v>48.07</v>
      </c>
      <c r="F68" s="31">
        <v>-87.19</v>
      </c>
      <c r="G68" s="17"/>
      <c r="H68" s="27">
        <f t="shared" si="17"/>
        <v>-200.6766395</v>
      </c>
      <c r="I68" s="24"/>
      <c r="J68" s="4" t="s">
        <v>26</v>
      </c>
      <c r="K68" s="19">
        <f>(H57/I57)*100</f>
        <v>61.41150684</v>
      </c>
    </row>
    <row r="69">
      <c r="A69" s="4" t="s">
        <v>27</v>
      </c>
      <c r="B69" s="19">
        <f t="shared" ref="B69:F69" si="18">B59/(B57+B58)</f>
        <v>0.1569939192</v>
      </c>
      <c r="C69" s="19">
        <f t="shared" si="18"/>
        <v>0.1385072501</v>
      </c>
      <c r="D69" s="19">
        <f t="shared" si="18"/>
        <v>0.1413536257</v>
      </c>
      <c r="E69" s="19">
        <f t="shared" si="18"/>
        <v>0.07647022514</v>
      </c>
      <c r="F69" s="19">
        <f t="shared" si="18"/>
        <v>0.06561242938</v>
      </c>
      <c r="G69" s="19"/>
      <c r="H69" s="27">
        <f t="shared" si="17"/>
        <v>19.06369126</v>
      </c>
      <c r="I69" s="24"/>
      <c r="J69" s="24"/>
      <c r="K69" s="24"/>
    </row>
    <row r="70">
      <c r="A70" s="4" t="s">
        <v>28</v>
      </c>
      <c r="B70" s="19">
        <f t="shared" ref="B70:F70" si="19">B58/B57</f>
        <v>4.943465669</v>
      </c>
      <c r="C70" s="19">
        <f t="shared" si="19"/>
        <v>4.762333011</v>
      </c>
      <c r="D70" s="19">
        <f t="shared" si="19"/>
        <v>4.09581198</v>
      </c>
      <c r="E70" s="19">
        <f t="shared" si="19"/>
        <v>4.130574194</v>
      </c>
      <c r="F70" s="19">
        <f t="shared" si="19"/>
        <v>4.79136235</v>
      </c>
      <c r="G70" s="19"/>
      <c r="H70" s="27">
        <f t="shared" si="17"/>
        <v>0.6269944582</v>
      </c>
      <c r="I70" s="24"/>
      <c r="J70" s="24"/>
      <c r="K70" s="24"/>
    </row>
    <row r="71">
      <c r="A71" s="4" t="s">
        <v>29</v>
      </c>
      <c r="B71" s="19">
        <f t="shared" ref="B71:F71" si="20">B62/B60</f>
        <v>0.5827208027</v>
      </c>
      <c r="C71" s="19">
        <f t="shared" si="20"/>
        <v>0.6047710564</v>
      </c>
      <c r="D71" s="19">
        <f t="shared" si="20"/>
        <v>0.6591644769</v>
      </c>
      <c r="E71" s="19">
        <f t="shared" si="20"/>
        <v>1.678902783</v>
      </c>
      <c r="F71" s="19">
        <f t="shared" si="20"/>
        <v>1.696905927</v>
      </c>
      <c r="G71" s="19"/>
      <c r="H71" s="27">
        <f t="shared" si="17"/>
        <v>-19.24664937</v>
      </c>
      <c r="I71" s="24"/>
      <c r="J71" s="24"/>
      <c r="K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</row>
    <row r="73">
      <c r="A73" s="1" t="s">
        <v>33</v>
      </c>
      <c r="B73" s="2"/>
      <c r="C73" s="2"/>
      <c r="D73" s="2"/>
      <c r="E73" s="2"/>
      <c r="F73" s="2"/>
      <c r="G73" s="2"/>
      <c r="H73" s="2"/>
      <c r="I73" s="2"/>
      <c r="J73" s="2"/>
      <c r="K73" s="3"/>
    </row>
    <row r="74">
      <c r="A74" s="4" t="s">
        <v>1</v>
      </c>
      <c r="B74" s="5">
        <v>44642.0</v>
      </c>
      <c r="C74" s="5">
        <v>44641.0</v>
      </c>
      <c r="D74" s="5">
        <v>44640.0</v>
      </c>
      <c r="E74" s="5">
        <v>44639.0</v>
      </c>
      <c r="F74" s="5">
        <v>44638.0</v>
      </c>
      <c r="G74" s="5">
        <v>44637.0</v>
      </c>
      <c r="H74" s="4" t="s">
        <v>2</v>
      </c>
      <c r="I74" s="6" t="s">
        <v>3</v>
      </c>
      <c r="J74" s="4" t="s">
        <v>4</v>
      </c>
      <c r="K74" s="4" t="s">
        <v>5</v>
      </c>
    </row>
    <row r="75">
      <c r="A75" s="4" t="s">
        <v>6</v>
      </c>
      <c r="B75" s="28">
        <v>4.7</v>
      </c>
      <c r="C75" s="28">
        <v>4.7</v>
      </c>
      <c r="D75" s="28">
        <v>4.7</v>
      </c>
      <c r="E75" s="28">
        <v>4.7</v>
      </c>
      <c r="F75" s="28">
        <v>4.7</v>
      </c>
      <c r="G75" s="10"/>
      <c r="H75" s="11">
        <v>1212093.0</v>
      </c>
      <c r="I75" s="11">
        <v>4589463.0</v>
      </c>
      <c r="J75" s="12">
        <f>IFERROR(__xludf.DUMMYFUNCTION("GOOGLEFINANCE(""BOM:"" &amp; ""526783"",""price"")"),3133.8)</f>
        <v>3133.8</v>
      </c>
      <c r="K75" s="29">
        <f>-B77-B78+B79+B80</f>
        <v>78.17</v>
      </c>
    </row>
    <row r="76">
      <c r="A76" s="4" t="s">
        <v>8</v>
      </c>
      <c r="B76" s="28">
        <v>73.47</v>
      </c>
      <c r="C76" s="28">
        <v>49.96</v>
      </c>
      <c r="D76" s="28">
        <v>51.4</v>
      </c>
      <c r="E76" s="28">
        <v>40.89</v>
      </c>
      <c r="F76" s="28">
        <v>30.36</v>
      </c>
      <c r="G76" s="16"/>
      <c r="H76" s="17"/>
      <c r="I76" s="18"/>
      <c r="J76" s="18"/>
      <c r="K76" s="18"/>
    </row>
    <row r="77">
      <c r="A77" s="4" t="s">
        <v>9</v>
      </c>
      <c r="B77" s="28">
        <v>182.49</v>
      </c>
      <c r="C77" s="28">
        <v>51.97</v>
      </c>
      <c r="D77" s="28">
        <v>45.1</v>
      </c>
      <c r="E77" s="28">
        <v>19.43</v>
      </c>
      <c r="F77" s="28">
        <v>8.76</v>
      </c>
      <c r="G77" s="19"/>
      <c r="H77" s="20" t="s">
        <v>10</v>
      </c>
      <c r="I77" s="21"/>
      <c r="J77" s="20" t="s">
        <v>11</v>
      </c>
      <c r="K77" s="21"/>
    </row>
    <row r="78">
      <c r="A78" s="4" t="s">
        <v>12</v>
      </c>
      <c r="B78" s="28">
        <v>53.35</v>
      </c>
      <c r="C78" s="28">
        <v>48.6</v>
      </c>
      <c r="D78" s="28">
        <v>39.36</v>
      </c>
      <c r="E78" s="28">
        <v>35.09</v>
      </c>
      <c r="F78" s="28">
        <v>37.16</v>
      </c>
      <c r="G78" s="19"/>
      <c r="H78" s="22">
        <f>(K75*10000000)/H75</f>
        <v>644.9175105</v>
      </c>
      <c r="I78" s="9"/>
      <c r="J78" s="22">
        <f>J75/H78</f>
        <v>4.859226101</v>
      </c>
      <c r="K78" s="9"/>
    </row>
    <row r="79">
      <c r="A79" s="4" t="s">
        <v>13</v>
      </c>
      <c r="B79" s="28">
        <v>262.78</v>
      </c>
      <c r="C79" s="28">
        <v>111.16</v>
      </c>
      <c r="D79" s="28">
        <v>110.9</v>
      </c>
      <c r="E79" s="28">
        <v>70.5</v>
      </c>
      <c r="F79" s="28">
        <v>57.97</v>
      </c>
      <c r="G79" s="17"/>
      <c r="H79" s="17"/>
      <c r="I79" s="18"/>
      <c r="J79" s="18"/>
      <c r="K79" s="18"/>
    </row>
    <row r="80">
      <c r="A80" s="4" t="s">
        <v>14</v>
      </c>
      <c r="B80" s="28">
        <v>51.23</v>
      </c>
      <c r="C80" s="28">
        <v>44.07</v>
      </c>
      <c r="D80" s="28">
        <v>29.66</v>
      </c>
      <c r="E80" s="28">
        <v>29.61</v>
      </c>
      <c r="F80" s="28">
        <v>23.0</v>
      </c>
      <c r="G80" s="19"/>
      <c r="H80" s="20" t="s">
        <v>15</v>
      </c>
      <c r="I80" s="21"/>
      <c r="J80" s="20" t="s">
        <v>16</v>
      </c>
      <c r="K80" s="21"/>
    </row>
    <row r="81">
      <c r="A81" s="4" t="s">
        <v>17</v>
      </c>
      <c r="B81" s="28"/>
      <c r="C81" s="30"/>
      <c r="D81" s="30"/>
      <c r="E81" s="30"/>
      <c r="F81" s="30"/>
      <c r="G81" s="19"/>
      <c r="H81" s="17">
        <f>(K75*10000000)/I75</f>
        <v>170.3249378</v>
      </c>
      <c r="I81" s="3"/>
      <c r="J81" s="17">
        <f>J75/H81</f>
        <v>18.39894992</v>
      </c>
      <c r="K81" s="3"/>
    </row>
    <row r="82">
      <c r="A82" s="4" t="s">
        <v>18</v>
      </c>
      <c r="B82" s="28"/>
      <c r="C82" s="30"/>
      <c r="D82" s="30"/>
      <c r="E82" s="30"/>
      <c r="F82" s="30"/>
      <c r="G82" s="19"/>
      <c r="H82" s="23"/>
      <c r="I82" s="24"/>
      <c r="J82" s="24"/>
      <c r="K82" s="24"/>
    </row>
    <row r="83">
      <c r="A83" s="4" t="s">
        <v>19</v>
      </c>
      <c r="B83" s="28"/>
      <c r="C83" s="30"/>
      <c r="D83" s="30"/>
      <c r="E83" s="30"/>
      <c r="F83" s="30"/>
      <c r="G83" s="19"/>
      <c r="H83" s="23"/>
      <c r="I83" s="24"/>
      <c r="J83" s="4" t="s">
        <v>20</v>
      </c>
      <c r="K83" s="19">
        <f>(B86*10000000)/I75</f>
        <v>52.51159014</v>
      </c>
    </row>
    <row r="84">
      <c r="A84" s="4" t="s">
        <v>21</v>
      </c>
      <c r="B84" s="19"/>
      <c r="C84" s="19">
        <f t="shared" ref="C84:F84" si="21">SUM(C81:C83)</f>
        <v>0</v>
      </c>
      <c r="D84" s="19">
        <f t="shared" si="21"/>
        <v>0</v>
      </c>
      <c r="E84" s="19">
        <f t="shared" si="21"/>
        <v>0</v>
      </c>
      <c r="F84" s="19">
        <f t="shared" si="21"/>
        <v>0</v>
      </c>
      <c r="G84" s="17"/>
      <c r="H84" s="27" t="str">
        <f t="shared" ref="H84:H89" si="22">(((B84/F84)^(1/5)-1)*100)</f>
        <v>#DIV/0!</v>
      </c>
      <c r="I84" s="24"/>
      <c r="J84" s="4" t="s">
        <v>22</v>
      </c>
      <c r="K84" s="19">
        <f>J75/K83</f>
        <v>59.67825373</v>
      </c>
    </row>
    <row r="85">
      <c r="A85" s="4" t="s">
        <v>23</v>
      </c>
      <c r="B85" s="31">
        <v>32.31</v>
      </c>
      <c r="C85" s="31">
        <v>5.73</v>
      </c>
      <c r="D85" s="31">
        <v>19.94</v>
      </c>
      <c r="E85" s="31">
        <v>17.43</v>
      </c>
      <c r="F85" s="31">
        <v>13.36</v>
      </c>
      <c r="G85" s="17"/>
      <c r="H85" s="27">
        <f t="shared" si="22"/>
        <v>19.31803705</v>
      </c>
      <c r="I85" s="24"/>
      <c r="J85" s="4" t="s">
        <v>24</v>
      </c>
      <c r="K85" s="19">
        <f>(B85/(B75+B76))*100</f>
        <v>41.3329922</v>
      </c>
    </row>
    <row r="86">
      <c r="A86" s="4" t="s">
        <v>25</v>
      </c>
      <c r="B86" s="31">
        <v>24.1</v>
      </c>
      <c r="C86" s="31">
        <v>-1.44</v>
      </c>
      <c r="D86" s="31">
        <v>13.68</v>
      </c>
      <c r="E86" s="31">
        <v>11.92</v>
      </c>
      <c r="F86" s="31">
        <v>6.78</v>
      </c>
      <c r="G86" s="17"/>
      <c r="H86" s="27">
        <f t="shared" si="22"/>
        <v>28.87167395</v>
      </c>
      <c r="I86" s="24"/>
      <c r="J86" s="4" t="s">
        <v>26</v>
      </c>
      <c r="K86" s="19">
        <f>(H75/I75)*100</f>
        <v>26.41034474</v>
      </c>
    </row>
    <row r="87">
      <c r="A87" s="4" t="s">
        <v>27</v>
      </c>
      <c r="B87" s="19">
        <f t="shared" ref="B87:F87" si="23">B77/(B75+B76)</f>
        <v>2.334527312</v>
      </c>
      <c r="C87" s="19">
        <f t="shared" si="23"/>
        <v>0.9507866813</v>
      </c>
      <c r="D87" s="19">
        <f t="shared" si="23"/>
        <v>0.8039215686</v>
      </c>
      <c r="E87" s="19">
        <f t="shared" si="23"/>
        <v>0.4261899539</v>
      </c>
      <c r="F87" s="19">
        <f t="shared" si="23"/>
        <v>0.2498573873</v>
      </c>
      <c r="G87" s="19"/>
      <c r="H87" s="27">
        <f t="shared" si="22"/>
        <v>56.3512483</v>
      </c>
      <c r="I87" s="24"/>
      <c r="J87" s="24"/>
      <c r="K87" s="24"/>
    </row>
    <row r="88">
      <c r="A88" s="4" t="s">
        <v>28</v>
      </c>
      <c r="B88" s="19">
        <f t="shared" ref="B88:F88" si="24">B76/B75</f>
        <v>15.63191489</v>
      </c>
      <c r="C88" s="19">
        <f t="shared" si="24"/>
        <v>10.62978723</v>
      </c>
      <c r="D88" s="19">
        <f t="shared" si="24"/>
        <v>10.93617021</v>
      </c>
      <c r="E88" s="19">
        <f t="shared" si="24"/>
        <v>8.7</v>
      </c>
      <c r="F88" s="19">
        <f t="shared" si="24"/>
        <v>6.459574468</v>
      </c>
      <c r="G88" s="19"/>
      <c r="H88" s="27">
        <f t="shared" si="22"/>
        <v>19.33330107</v>
      </c>
      <c r="I88" s="24"/>
      <c r="J88" s="24"/>
      <c r="K88" s="24"/>
    </row>
    <row r="89">
      <c r="A89" s="4" t="s">
        <v>29</v>
      </c>
      <c r="B89" s="19">
        <f t="shared" ref="B89:F89" si="25">B80/B78</f>
        <v>0.960262418</v>
      </c>
      <c r="C89" s="19">
        <f t="shared" si="25"/>
        <v>0.9067901235</v>
      </c>
      <c r="D89" s="19">
        <f t="shared" si="25"/>
        <v>0.7535569106</v>
      </c>
      <c r="E89" s="19">
        <f t="shared" si="25"/>
        <v>0.843830151</v>
      </c>
      <c r="F89" s="19">
        <f t="shared" si="25"/>
        <v>0.6189451023</v>
      </c>
      <c r="G89" s="19"/>
      <c r="H89" s="27">
        <f t="shared" si="22"/>
        <v>9.181123826</v>
      </c>
      <c r="I89" s="24"/>
      <c r="J89" s="24"/>
      <c r="K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</row>
    <row r="91">
      <c r="A91" s="1" t="s">
        <v>34</v>
      </c>
      <c r="B91" s="2"/>
      <c r="C91" s="2"/>
      <c r="D91" s="2"/>
      <c r="E91" s="2"/>
      <c r="F91" s="2"/>
      <c r="G91" s="2"/>
      <c r="H91" s="2"/>
      <c r="I91" s="2"/>
      <c r="J91" s="2"/>
      <c r="K91" s="3"/>
    </row>
    <row r="92">
      <c r="A92" s="4" t="s">
        <v>1</v>
      </c>
      <c r="B92" s="5">
        <v>44642.0</v>
      </c>
      <c r="C92" s="5">
        <v>44641.0</v>
      </c>
      <c r="D92" s="5">
        <v>44640.0</v>
      </c>
      <c r="E92" s="5">
        <v>44639.0</v>
      </c>
      <c r="F92" s="5">
        <v>44638.0</v>
      </c>
      <c r="G92" s="5">
        <v>44637.0</v>
      </c>
      <c r="H92" s="4" t="s">
        <v>2</v>
      </c>
      <c r="I92" s="6" t="s">
        <v>3</v>
      </c>
      <c r="J92" s="4" t="s">
        <v>4</v>
      </c>
      <c r="K92" s="4" t="s">
        <v>5</v>
      </c>
    </row>
    <row r="93">
      <c r="A93" s="4" t="s">
        <v>6</v>
      </c>
      <c r="B93" s="28">
        <v>754.96</v>
      </c>
      <c r="C93" s="28">
        <v>754.96</v>
      </c>
      <c r="D93" s="28">
        <v>754.96</v>
      </c>
      <c r="E93" s="28">
        <v>754.95</v>
      </c>
      <c r="F93" s="28">
        <v>518.66</v>
      </c>
      <c r="G93" s="10"/>
      <c r="H93" s="11">
        <v>5.18853193E8</v>
      </c>
      <c r="I93" s="11">
        <v>7.5414731E8</v>
      </c>
      <c r="J93" s="12">
        <f>IFERROR(__xludf.DUMMYFUNCTION("GOOGLEFINANCE(""NSE:"" &amp; A91,""price"")"),419.25)</f>
        <v>419.25</v>
      </c>
      <c r="K93" s="29">
        <f>-B95-B96+B97+B98</f>
        <v>8868.57</v>
      </c>
    </row>
    <row r="94">
      <c r="A94" s="4" t="s">
        <v>8</v>
      </c>
      <c r="B94" s="28">
        <v>8113.61</v>
      </c>
      <c r="C94" s="28">
        <v>8126.57</v>
      </c>
      <c r="D94" s="28">
        <v>8120.61</v>
      </c>
      <c r="E94" s="28">
        <v>7581.91</v>
      </c>
      <c r="F94" s="28">
        <v>3708.16</v>
      </c>
      <c r="G94" s="16"/>
      <c r="H94" s="17"/>
      <c r="I94" s="18"/>
      <c r="J94" s="18"/>
      <c r="K94" s="18"/>
    </row>
    <row r="95">
      <c r="A95" s="4" t="s">
        <v>9</v>
      </c>
      <c r="B95" s="28">
        <v>1094.9</v>
      </c>
      <c r="C95" s="28">
        <v>1228.11</v>
      </c>
      <c r="D95" s="28">
        <v>1235.88</v>
      </c>
      <c r="E95" s="28">
        <v>358.1</v>
      </c>
      <c r="F95" s="28">
        <v>242.89</v>
      </c>
      <c r="G95" s="19"/>
      <c r="H95" s="20" t="s">
        <v>10</v>
      </c>
      <c r="I95" s="21"/>
      <c r="J95" s="20" t="s">
        <v>11</v>
      </c>
      <c r="K95" s="21"/>
    </row>
    <row r="96">
      <c r="A96" s="4" t="s">
        <v>12</v>
      </c>
      <c r="B96" s="28">
        <v>462.74</v>
      </c>
      <c r="C96" s="28">
        <v>472.51</v>
      </c>
      <c r="D96" s="28">
        <v>468.51</v>
      </c>
      <c r="E96" s="28">
        <v>1398.94</v>
      </c>
      <c r="F96" s="28">
        <v>545.96</v>
      </c>
      <c r="G96" s="19"/>
      <c r="H96" s="22">
        <f>(K93*10000000)/H93</f>
        <v>170.9263838</v>
      </c>
      <c r="I96" s="9"/>
      <c r="J96" s="22">
        <f>J93/H96</f>
        <v>2.452810331</v>
      </c>
      <c r="K96" s="9"/>
    </row>
    <row r="97">
      <c r="A97" s="4" t="s">
        <v>13</v>
      </c>
      <c r="B97" s="28">
        <v>10020.52</v>
      </c>
      <c r="C97" s="28">
        <v>10196.7</v>
      </c>
      <c r="D97" s="28">
        <v>10222.14</v>
      </c>
      <c r="E97" s="28">
        <v>9756.75</v>
      </c>
      <c r="F97" s="28">
        <v>4616.37</v>
      </c>
      <c r="G97" s="17"/>
      <c r="H97" s="17"/>
      <c r="I97" s="18"/>
      <c r="J97" s="18"/>
      <c r="K97" s="18"/>
    </row>
    <row r="98">
      <c r="A98" s="4" t="s">
        <v>14</v>
      </c>
      <c r="B98" s="28">
        <v>405.69</v>
      </c>
      <c r="C98" s="28">
        <v>385.44</v>
      </c>
      <c r="D98" s="28">
        <v>358.72</v>
      </c>
      <c r="E98" s="28">
        <v>363.53</v>
      </c>
      <c r="F98" s="28">
        <v>399.3</v>
      </c>
      <c r="G98" s="19"/>
      <c r="H98" s="20" t="s">
        <v>15</v>
      </c>
      <c r="I98" s="21"/>
      <c r="J98" s="20" t="s">
        <v>16</v>
      </c>
      <c r="K98" s="21"/>
    </row>
    <row r="99">
      <c r="A99" s="4" t="s">
        <v>17</v>
      </c>
      <c r="B99" s="28"/>
      <c r="C99" s="30"/>
      <c r="D99" s="30"/>
      <c r="E99" s="30"/>
      <c r="F99" s="30"/>
      <c r="G99" s="19"/>
      <c r="H99" s="17">
        <f>(K93*10000000)/I93</f>
        <v>117.5973166</v>
      </c>
      <c r="I99" s="3"/>
      <c r="J99" s="17">
        <f>J93/H99</f>
        <v>3.565132369</v>
      </c>
      <c r="K99" s="3"/>
    </row>
    <row r="100">
      <c r="A100" s="4" t="s">
        <v>18</v>
      </c>
      <c r="B100" s="28"/>
      <c r="C100" s="30"/>
      <c r="D100" s="30"/>
      <c r="E100" s="30"/>
      <c r="F100" s="30"/>
      <c r="G100" s="19"/>
      <c r="H100" s="23"/>
      <c r="I100" s="24"/>
      <c r="J100" s="24"/>
      <c r="K100" s="24"/>
    </row>
    <row r="101">
      <c r="A101" s="4" t="s">
        <v>19</v>
      </c>
      <c r="B101" s="28"/>
      <c r="C101" s="30"/>
      <c r="D101" s="30"/>
      <c r="E101" s="30"/>
      <c r="F101" s="30"/>
      <c r="G101" s="19"/>
      <c r="H101" s="23"/>
      <c r="I101" s="24"/>
      <c r="J101" s="4" t="s">
        <v>20</v>
      </c>
      <c r="K101" s="19">
        <f>(B104*10000000)/I93</f>
        <v>-0.1756951172</v>
      </c>
    </row>
    <row r="102">
      <c r="A102" s="4" t="s">
        <v>21</v>
      </c>
      <c r="B102" s="19"/>
      <c r="C102" s="19">
        <f t="shared" ref="C102:F102" si="26">SUM(C99:C101)</f>
        <v>0</v>
      </c>
      <c r="D102" s="19">
        <f t="shared" si="26"/>
        <v>0</v>
      </c>
      <c r="E102" s="19">
        <f t="shared" si="26"/>
        <v>0</v>
      </c>
      <c r="F102" s="19">
        <f t="shared" si="26"/>
        <v>0</v>
      </c>
      <c r="G102" s="17"/>
      <c r="H102" s="27" t="str">
        <f t="shared" ref="H102:H107" si="27">(((B102/F102)^(1/5)-1)*100)</f>
        <v>#DIV/0!</v>
      </c>
      <c r="I102" s="24"/>
      <c r="J102" s="4" t="s">
        <v>22</v>
      </c>
      <c r="K102" s="19">
        <f>J93/K101</f>
        <v>-2386.235922</v>
      </c>
    </row>
    <row r="103">
      <c r="A103" s="4" t="s">
        <v>23</v>
      </c>
      <c r="B103" s="31">
        <v>-8.99</v>
      </c>
      <c r="C103" s="31">
        <v>24.13</v>
      </c>
      <c r="D103" s="31">
        <v>620.68</v>
      </c>
      <c r="E103" s="31">
        <v>179.65</v>
      </c>
      <c r="F103" s="31">
        <v>-60.29</v>
      </c>
      <c r="G103" s="17"/>
      <c r="H103" s="27">
        <f t="shared" si="27"/>
        <v>-31.65560843</v>
      </c>
      <c r="I103" s="24"/>
      <c r="J103" s="4" t="s">
        <v>24</v>
      </c>
      <c r="K103" s="19">
        <f>(B103/(B93+B94))*100</f>
        <v>-0.1013692174</v>
      </c>
    </row>
    <row r="104">
      <c r="A104" s="4" t="s">
        <v>25</v>
      </c>
      <c r="B104" s="31">
        <v>-13.25</v>
      </c>
      <c r="C104" s="31">
        <v>4.2</v>
      </c>
      <c r="D104" s="31">
        <v>513.33</v>
      </c>
      <c r="E104" s="31">
        <v>123.08</v>
      </c>
      <c r="F104" s="31">
        <v>-63.72</v>
      </c>
      <c r="G104" s="17"/>
      <c r="H104" s="27">
        <f t="shared" si="27"/>
        <v>-26.95541563</v>
      </c>
      <c r="I104" s="24"/>
      <c r="J104" s="4" t="s">
        <v>26</v>
      </c>
      <c r="K104" s="19">
        <f>(H93/I93)*100</f>
        <v>68.79997928</v>
      </c>
    </row>
    <row r="105">
      <c r="A105" s="4" t="s">
        <v>27</v>
      </c>
      <c r="B105" s="19">
        <f t="shared" ref="B105:F105" si="28">B95/(B93+B94)</f>
        <v>0.1234584606</v>
      </c>
      <c r="C105" s="19">
        <f t="shared" si="28"/>
        <v>0.1382768509</v>
      </c>
      <c r="D105" s="19">
        <f t="shared" si="28"/>
        <v>0.1392451414</v>
      </c>
      <c r="E105" s="19">
        <f t="shared" si="28"/>
        <v>0.04295382194</v>
      </c>
      <c r="F105" s="19">
        <f t="shared" si="28"/>
        <v>0.05746400367</v>
      </c>
      <c r="G105" s="19"/>
      <c r="H105" s="27">
        <f t="shared" si="27"/>
        <v>16.52657865</v>
      </c>
      <c r="I105" s="24"/>
      <c r="J105" s="24"/>
      <c r="K105" s="24"/>
    </row>
    <row r="106">
      <c r="A106" s="4" t="s">
        <v>28</v>
      </c>
      <c r="B106" s="19">
        <f t="shared" ref="B106:F106" si="29">B94/B93</f>
        <v>10.74707269</v>
      </c>
      <c r="C106" s="19">
        <f t="shared" si="29"/>
        <v>10.76423916</v>
      </c>
      <c r="D106" s="19">
        <f t="shared" si="29"/>
        <v>10.75634471</v>
      </c>
      <c r="E106" s="19">
        <f t="shared" si="29"/>
        <v>10.04293</v>
      </c>
      <c r="F106" s="19">
        <f t="shared" si="29"/>
        <v>7.149500636</v>
      </c>
      <c r="G106" s="19"/>
      <c r="H106" s="27">
        <f t="shared" si="27"/>
        <v>8.493294076</v>
      </c>
      <c r="I106" s="24"/>
      <c r="J106" s="24"/>
      <c r="K106" s="24"/>
    </row>
    <row r="107">
      <c r="A107" s="4" t="s">
        <v>29</v>
      </c>
      <c r="B107" s="19">
        <f t="shared" ref="B107:F107" si="30">B98/B96</f>
        <v>0.8767126248</v>
      </c>
      <c r="C107" s="19">
        <f t="shared" si="30"/>
        <v>0.8157287676</v>
      </c>
      <c r="D107" s="19">
        <f t="shared" si="30"/>
        <v>0.7656613519</v>
      </c>
      <c r="E107" s="19">
        <f t="shared" si="30"/>
        <v>0.2598610376</v>
      </c>
      <c r="F107" s="19">
        <f t="shared" si="30"/>
        <v>0.7313722617</v>
      </c>
      <c r="G107" s="19"/>
      <c r="H107" s="27">
        <f t="shared" si="27"/>
        <v>3.691642792</v>
      </c>
      <c r="I107" s="24"/>
      <c r="J107" s="24"/>
      <c r="K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</row>
    <row r="109">
      <c r="A109" s="1" t="s">
        <v>35</v>
      </c>
      <c r="B109" s="2"/>
      <c r="C109" s="2"/>
      <c r="D109" s="2"/>
      <c r="E109" s="2"/>
      <c r="F109" s="2"/>
      <c r="G109" s="2"/>
      <c r="H109" s="2"/>
      <c r="I109" s="2"/>
      <c r="J109" s="2"/>
      <c r="K109" s="3"/>
    </row>
    <row r="110">
      <c r="A110" s="4" t="s">
        <v>1</v>
      </c>
      <c r="B110" s="5">
        <v>44642.0</v>
      </c>
      <c r="C110" s="5">
        <v>44641.0</v>
      </c>
      <c r="D110" s="5">
        <v>44640.0</v>
      </c>
      <c r="E110" s="5">
        <v>44639.0</v>
      </c>
      <c r="F110" s="5">
        <v>44638.0</v>
      </c>
      <c r="G110" s="5">
        <v>44637.0</v>
      </c>
      <c r="H110" s="4" t="s">
        <v>2</v>
      </c>
      <c r="I110" s="6" t="s">
        <v>3</v>
      </c>
      <c r="J110" s="4" t="s">
        <v>4</v>
      </c>
      <c r="K110" s="4" t="s">
        <v>5</v>
      </c>
    </row>
    <row r="111">
      <c r="A111" s="4" t="s">
        <v>6</v>
      </c>
      <c r="B111" s="28">
        <v>18.76</v>
      </c>
      <c r="C111" s="28">
        <v>18.76</v>
      </c>
      <c r="D111" s="28">
        <v>18.76</v>
      </c>
      <c r="E111" s="28">
        <v>18.76</v>
      </c>
      <c r="F111" s="28">
        <v>18.7</v>
      </c>
      <c r="G111" s="10"/>
      <c r="H111" s="11">
        <v>6323280.0</v>
      </c>
      <c r="I111" s="11">
        <v>1.8075682E7</v>
      </c>
      <c r="J111" s="12">
        <f>IFERROR(__xludf.DUMMYFUNCTION("GOOGLEFINANCE(""BOM:"" &amp; ""523696"",""price"")"),46.9)</f>
        <v>46.9</v>
      </c>
      <c r="K111" s="29">
        <f>-B113-B114+B115+B116</f>
        <v>77.97</v>
      </c>
    </row>
    <row r="112">
      <c r="A112" s="4" t="s">
        <v>8</v>
      </c>
      <c r="B112" s="28">
        <v>59.21</v>
      </c>
      <c r="C112" s="28">
        <v>67.86</v>
      </c>
      <c r="D112" s="28">
        <v>75.67</v>
      </c>
      <c r="E112" s="28">
        <v>84.84</v>
      </c>
      <c r="F112" s="28">
        <v>82.9</v>
      </c>
      <c r="G112" s="16"/>
      <c r="H112" s="17"/>
      <c r="I112" s="18"/>
      <c r="J112" s="18"/>
      <c r="K112" s="18"/>
    </row>
    <row r="113">
      <c r="A113" s="4" t="s">
        <v>9</v>
      </c>
      <c r="B113" s="28">
        <v>49.35</v>
      </c>
      <c r="C113" s="28">
        <v>55.66</v>
      </c>
      <c r="D113" s="28">
        <v>61.52</v>
      </c>
      <c r="E113" s="28">
        <v>1.55</v>
      </c>
      <c r="F113" s="28">
        <v>1.33</v>
      </c>
      <c r="G113" s="19"/>
      <c r="H113" s="20" t="s">
        <v>10</v>
      </c>
      <c r="I113" s="21"/>
      <c r="J113" s="20" t="s">
        <v>11</v>
      </c>
      <c r="K113" s="21"/>
    </row>
    <row r="114">
      <c r="A114" s="4" t="s">
        <v>12</v>
      </c>
      <c r="B114" s="28">
        <v>31.35</v>
      </c>
      <c r="C114" s="28">
        <v>24.71</v>
      </c>
      <c r="D114" s="28">
        <v>35.47</v>
      </c>
      <c r="E114" s="28">
        <v>43.35</v>
      </c>
      <c r="F114" s="28">
        <v>44.41</v>
      </c>
      <c r="G114" s="19"/>
      <c r="H114" s="22">
        <f>(K111*10000000)/H111</f>
        <v>123.3062588</v>
      </c>
      <c r="I114" s="9"/>
      <c r="J114" s="22">
        <f>J111/H114</f>
        <v>0.3803537668</v>
      </c>
      <c r="K114" s="9"/>
    </row>
    <row r="115">
      <c r="A115" s="4" t="s">
        <v>13</v>
      </c>
      <c r="B115" s="28">
        <v>111.67</v>
      </c>
      <c r="C115" s="28">
        <v>108.98</v>
      </c>
      <c r="D115" s="28">
        <v>130.96</v>
      </c>
      <c r="E115" s="28">
        <v>37.64</v>
      </c>
      <c r="F115" s="28">
        <v>35.31</v>
      </c>
      <c r="G115" s="17"/>
      <c r="H115" s="17"/>
      <c r="I115" s="18"/>
      <c r="J115" s="18"/>
      <c r="K115" s="18"/>
    </row>
    <row r="116">
      <c r="A116" s="4" t="s">
        <v>14</v>
      </c>
      <c r="B116" s="28">
        <v>47.0</v>
      </c>
      <c r="C116" s="28">
        <v>58.0</v>
      </c>
      <c r="D116" s="28">
        <v>60.45</v>
      </c>
      <c r="E116" s="28">
        <v>110.86</v>
      </c>
      <c r="F116" s="28">
        <v>112.02</v>
      </c>
      <c r="G116" s="19"/>
      <c r="H116" s="20" t="s">
        <v>15</v>
      </c>
      <c r="I116" s="21"/>
      <c r="J116" s="20" t="s">
        <v>16</v>
      </c>
      <c r="K116" s="21"/>
    </row>
    <row r="117">
      <c r="A117" s="4" t="s">
        <v>17</v>
      </c>
      <c r="B117" s="28"/>
      <c r="C117" s="30"/>
      <c r="D117" s="30"/>
      <c r="E117" s="30"/>
      <c r="F117" s="30"/>
      <c r="G117" s="19"/>
      <c r="H117" s="17">
        <f>(K111*10000000)/I111</f>
        <v>43.13530189</v>
      </c>
      <c r="I117" s="3"/>
      <c r="J117" s="17">
        <f>J111/H117</f>
        <v>1.087276498</v>
      </c>
      <c r="K117" s="3"/>
    </row>
    <row r="118">
      <c r="A118" s="4" t="s">
        <v>18</v>
      </c>
      <c r="B118" s="28"/>
      <c r="C118" s="30"/>
      <c r="D118" s="30"/>
      <c r="E118" s="30"/>
      <c r="F118" s="30"/>
      <c r="G118" s="19"/>
      <c r="H118" s="23"/>
      <c r="I118" s="24"/>
      <c r="J118" s="24"/>
      <c r="K118" s="24"/>
    </row>
    <row r="119">
      <c r="A119" s="4" t="s">
        <v>19</v>
      </c>
      <c r="B119" s="28"/>
      <c r="C119" s="30"/>
      <c r="D119" s="30"/>
      <c r="E119" s="30"/>
      <c r="F119" s="30"/>
      <c r="G119" s="19"/>
      <c r="H119" s="23"/>
      <c r="I119" s="24"/>
      <c r="J119" s="4" t="s">
        <v>20</v>
      </c>
      <c r="K119" s="19">
        <f>(B122*10000000)/I111</f>
        <v>-4.597336908</v>
      </c>
    </row>
    <row r="120">
      <c r="A120" s="4" t="s">
        <v>21</v>
      </c>
      <c r="B120" s="19"/>
      <c r="C120" s="19">
        <f t="shared" ref="C120:F120" si="31">SUM(C117:C119)</f>
        <v>0</v>
      </c>
      <c r="D120" s="19">
        <f t="shared" si="31"/>
        <v>0</v>
      </c>
      <c r="E120" s="19">
        <f t="shared" si="31"/>
        <v>0</v>
      </c>
      <c r="F120" s="19">
        <f t="shared" si="31"/>
        <v>0</v>
      </c>
      <c r="G120" s="17"/>
      <c r="H120" s="27" t="str">
        <f t="shared" ref="H120:H125" si="32">(((B120/F120)^(1/5)-1)*100)</f>
        <v>#DIV/0!</v>
      </c>
      <c r="I120" s="24"/>
      <c r="J120" s="4" t="s">
        <v>22</v>
      </c>
      <c r="K120" s="19">
        <f>J111/K119</f>
        <v>-10.20155819</v>
      </c>
    </row>
    <row r="121">
      <c r="A121" s="4" t="s">
        <v>23</v>
      </c>
      <c r="B121" s="31">
        <v>-8.31</v>
      </c>
      <c r="C121" s="31">
        <v>-11.47</v>
      </c>
      <c r="D121" s="31">
        <v>-12.16</v>
      </c>
      <c r="E121" s="31">
        <v>2.36</v>
      </c>
      <c r="F121" s="31">
        <v>5.31</v>
      </c>
      <c r="G121" s="17"/>
      <c r="H121" s="27">
        <f t="shared" si="32"/>
        <v>-209.3707778</v>
      </c>
      <c r="I121" s="24"/>
      <c r="J121" s="4" t="s">
        <v>24</v>
      </c>
      <c r="K121" s="19">
        <f>(B121/(B111+B112))*100</f>
        <v>-10.65794536</v>
      </c>
    </row>
    <row r="122">
      <c r="A122" s="4" t="s">
        <v>25</v>
      </c>
      <c r="B122" s="31">
        <v>-8.31</v>
      </c>
      <c r="C122" s="31">
        <v>-8.01</v>
      </c>
      <c r="D122" s="31">
        <v>-9.06</v>
      </c>
      <c r="E122" s="31">
        <v>1.74</v>
      </c>
      <c r="F122" s="31">
        <v>3.14</v>
      </c>
      <c r="G122" s="17"/>
      <c r="H122" s="27">
        <f t="shared" si="32"/>
        <v>-221.4882497</v>
      </c>
      <c r="I122" s="24"/>
      <c r="J122" s="4" t="s">
        <v>26</v>
      </c>
      <c r="K122" s="19">
        <f>(H111/I111)*100</f>
        <v>34.98224853</v>
      </c>
    </row>
    <row r="123">
      <c r="A123" s="4" t="s">
        <v>27</v>
      </c>
      <c r="B123" s="19">
        <f t="shared" ref="B123:F123" si="33">B113/(B111+B112)</f>
        <v>0.6329357445</v>
      </c>
      <c r="C123" s="19">
        <f t="shared" si="33"/>
        <v>0.6425767721</v>
      </c>
      <c r="D123" s="19">
        <f t="shared" si="33"/>
        <v>0.6514878746</v>
      </c>
      <c r="E123" s="19">
        <f t="shared" si="33"/>
        <v>0.01496138996</v>
      </c>
      <c r="F123" s="19">
        <f t="shared" si="33"/>
        <v>0.01309055118</v>
      </c>
      <c r="G123" s="19"/>
      <c r="H123" s="27">
        <f t="shared" si="32"/>
        <v>117.2102613</v>
      </c>
      <c r="I123" s="24"/>
      <c r="J123" s="24"/>
      <c r="K123" s="24"/>
    </row>
    <row r="124">
      <c r="A124" s="4" t="s">
        <v>28</v>
      </c>
      <c r="B124" s="19">
        <f t="shared" ref="B124:F124" si="34">B112/B111</f>
        <v>3.156183369</v>
      </c>
      <c r="C124" s="19">
        <f t="shared" si="34"/>
        <v>3.617270789</v>
      </c>
      <c r="D124" s="19">
        <f t="shared" si="34"/>
        <v>4.03358209</v>
      </c>
      <c r="E124" s="19">
        <f t="shared" si="34"/>
        <v>4.52238806</v>
      </c>
      <c r="F124" s="19">
        <f t="shared" si="34"/>
        <v>4.43315508</v>
      </c>
      <c r="G124" s="19"/>
      <c r="H124" s="27">
        <f t="shared" si="32"/>
        <v>-6.569244511</v>
      </c>
      <c r="I124" s="24"/>
      <c r="J124" s="24"/>
      <c r="K124" s="24"/>
    </row>
    <row r="125">
      <c r="A125" s="4" t="s">
        <v>29</v>
      </c>
      <c r="B125" s="19">
        <f t="shared" ref="B125:F125" si="35">B116/B114</f>
        <v>1.499202552</v>
      </c>
      <c r="C125" s="19">
        <f t="shared" si="35"/>
        <v>2.347227843</v>
      </c>
      <c r="D125" s="19">
        <f t="shared" si="35"/>
        <v>1.704257119</v>
      </c>
      <c r="E125" s="19">
        <f t="shared" si="35"/>
        <v>2.557324106</v>
      </c>
      <c r="F125" s="19">
        <f t="shared" si="35"/>
        <v>2.522404864</v>
      </c>
      <c r="G125" s="19"/>
      <c r="H125" s="27">
        <f t="shared" si="32"/>
        <v>-9.882506576</v>
      </c>
      <c r="I125" s="24"/>
      <c r="J125" s="24"/>
      <c r="K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</row>
    <row r="127">
      <c r="A127" s="1" t="s">
        <v>36</v>
      </c>
      <c r="B127" s="2"/>
      <c r="C127" s="2"/>
      <c r="D127" s="2"/>
      <c r="E127" s="2"/>
      <c r="F127" s="2"/>
      <c r="G127" s="2"/>
      <c r="H127" s="2"/>
      <c r="I127" s="2"/>
      <c r="J127" s="2"/>
      <c r="K127" s="3"/>
    </row>
    <row r="128">
      <c r="A128" s="4" t="s">
        <v>1</v>
      </c>
      <c r="B128" s="5">
        <v>44642.0</v>
      </c>
      <c r="C128" s="5">
        <v>44641.0</v>
      </c>
      <c r="D128" s="5">
        <v>44640.0</v>
      </c>
      <c r="E128" s="5">
        <v>44639.0</v>
      </c>
      <c r="F128" s="5">
        <v>44638.0</v>
      </c>
      <c r="G128" s="5">
        <v>44637.0</v>
      </c>
      <c r="H128" s="4" t="s">
        <v>2</v>
      </c>
      <c r="I128" s="6" t="s">
        <v>3</v>
      </c>
      <c r="J128" s="4" t="s">
        <v>4</v>
      </c>
      <c r="K128" s="4" t="s">
        <v>5</v>
      </c>
    </row>
    <row r="129">
      <c r="A129" s="4" t="s">
        <v>6</v>
      </c>
      <c r="B129" s="28">
        <v>7.0</v>
      </c>
      <c r="C129" s="28"/>
      <c r="D129" s="28"/>
      <c r="E129" s="28"/>
      <c r="F129" s="28"/>
      <c r="G129" s="10"/>
      <c r="H129" s="11">
        <v>4550000.0</v>
      </c>
      <c r="I129" s="11">
        <v>1.024999E7</v>
      </c>
      <c r="J129" s="12">
        <f>IFERROR(__xludf.DUMMYFUNCTION("GOOGLEFINANCE(""BOM:"" &amp; ""543520"",""price"")"),39.05)</f>
        <v>39.05</v>
      </c>
      <c r="K129" s="29">
        <f>-B131-B132+B133+B134</f>
        <v>16.97</v>
      </c>
    </row>
    <row r="130">
      <c r="A130" s="4" t="s">
        <v>8</v>
      </c>
      <c r="B130" s="28">
        <v>9.96</v>
      </c>
      <c r="C130" s="28"/>
      <c r="D130" s="28"/>
      <c r="E130" s="28"/>
      <c r="F130" s="28"/>
      <c r="G130" s="16"/>
      <c r="H130" s="17"/>
      <c r="I130" s="18"/>
      <c r="J130" s="18"/>
      <c r="K130" s="18"/>
    </row>
    <row r="131">
      <c r="A131" s="4" t="s">
        <v>9</v>
      </c>
      <c r="B131" s="28">
        <v>3.24</v>
      </c>
      <c r="C131" s="28"/>
      <c r="D131" s="28"/>
      <c r="E131" s="28"/>
      <c r="F131" s="28"/>
      <c r="G131" s="19"/>
      <c r="H131" s="20" t="s">
        <v>10</v>
      </c>
      <c r="I131" s="21"/>
      <c r="J131" s="20" t="s">
        <v>11</v>
      </c>
      <c r="K131" s="21"/>
    </row>
    <row r="132">
      <c r="A132" s="4" t="s">
        <v>12</v>
      </c>
      <c r="B132" s="28">
        <v>13.77</v>
      </c>
      <c r="C132" s="28"/>
      <c r="D132" s="28"/>
      <c r="E132" s="28"/>
      <c r="F132" s="28"/>
      <c r="G132" s="19"/>
      <c r="H132" s="22">
        <f>(K129*10000000)/H129</f>
        <v>37.2967033</v>
      </c>
      <c r="I132" s="9"/>
      <c r="J132" s="22">
        <f>J129/H132</f>
        <v>1.047009428</v>
      </c>
      <c r="K132" s="9"/>
    </row>
    <row r="133">
      <c r="A133" s="4" t="s">
        <v>13</v>
      </c>
      <c r="B133" s="28">
        <v>22.63</v>
      </c>
      <c r="C133" s="28"/>
      <c r="D133" s="28"/>
      <c r="E133" s="28"/>
      <c r="F133" s="28"/>
      <c r="G133" s="17"/>
      <c r="H133" s="17"/>
      <c r="I133" s="18"/>
      <c r="J133" s="18"/>
      <c r="K133" s="18"/>
    </row>
    <row r="134">
      <c r="A134" s="4" t="s">
        <v>14</v>
      </c>
      <c r="B134" s="28">
        <v>11.35</v>
      </c>
      <c r="C134" s="28"/>
      <c r="D134" s="28"/>
      <c r="E134" s="28"/>
      <c r="F134" s="28"/>
      <c r="G134" s="19"/>
      <c r="H134" s="20" t="s">
        <v>15</v>
      </c>
      <c r="I134" s="21"/>
      <c r="J134" s="20" t="s">
        <v>16</v>
      </c>
      <c r="K134" s="21"/>
    </row>
    <row r="135">
      <c r="A135" s="4" t="s">
        <v>17</v>
      </c>
      <c r="B135" s="30"/>
      <c r="C135" s="30"/>
      <c r="D135" s="30"/>
      <c r="E135" s="30"/>
      <c r="F135" s="30"/>
      <c r="G135" s="19"/>
      <c r="H135" s="17">
        <f>(K129*10000000)/I129</f>
        <v>16.55611371</v>
      </c>
      <c r="I135" s="3"/>
      <c r="J135" s="17">
        <f>J129/H135</f>
        <v>2.358645312</v>
      </c>
      <c r="K135" s="3"/>
    </row>
    <row r="136">
      <c r="A136" s="4" t="s">
        <v>18</v>
      </c>
      <c r="B136" s="30"/>
      <c r="C136" s="30"/>
      <c r="D136" s="30"/>
      <c r="E136" s="30"/>
      <c r="F136" s="30"/>
      <c r="G136" s="19"/>
      <c r="H136" s="23"/>
      <c r="I136" s="24"/>
      <c r="J136" s="24"/>
      <c r="K136" s="24"/>
    </row>
    <row r="137">
      <c r="A137" s="4" t="s">
        <v>19</v>
      </c>
      <c r="B137" s="30"/>
      <c r="C137" s="30"/>
      <c r="D137" s="30"/>
      <c r="E137" s="30"/>
      <c r="F137" s="30"/>
      <c r="G137" s="19"/>
      <c r="H137" s="23"/>
      <c r="I137" s="24"/>
      <c r="J137" s="4" t="s">
        <v>20</v>
      </c>
      <c r="K137" s="19">
        <f>(B140*10000000)/I129</f>
        <v>3.482930227</v>
      </c>
    </row>
    <row r="138">
      <c r="A138" s="4" t="s">
        <v>21</v>
      </c>
      <c r="B138" s="33">
        <f>SUM(B135:B137)</f>
        <v>0</v>
      </c>
      <c r="C138" s="19"/>
      <c r="D138" s="19"/>
      <c r="E138" s="19"/>
      <c r="F138" s="19"/>
      <c r="G138" s="17"/>
      <c r="H138" s="27"/>
      <c r="I138" s="24"/>
      <c r="J138" s="4" t="s">
        <v>22</v>
      </c>
      <c r="K138" s="19">
        <f>J129/K137</f>
        <v>11.2118238</v>
      </c>
    </row>
    <row r="139">
      <c r="A139" s="4" t="s">
        <v>23</v>
      </c>
      <c r="B139" s="31">
        <v>5.71</v>
      </c>
      <c r="C139" s="31"/>
      <c r="D139" s="31"/>
      <c r="E139" s="31"/>
      <c r="F139" s="31"/>
      <c r="G139" s="17"/>
      <c r="H139" s="27"/>
      <c r="I139" s="24"/>
      <c r="J139" s="4" t="s">
        <v>24</v>
      </c>
      <c r="K139" s="19">
        <f>(B139/(B129+B130))*100</f>
        <v>33.66745283</v>
      </c>
    </row>
    <row r="140">
      <c r="A140" s="4" t="s">
        <v>25</v>
      </c>
      <c r="B140" s="31">
        <v>3.57</v>
      </c>
      <c r="C140" s="31"/>
      <c r="D140" s="31"/>
      <c r="E140" s="31"/>
      <c r="F140" s="31"/>
      <c r="G140" s="17"/>
      <c r="H140" s="27"/>
      <c r="I140" s="24"/>
      <c r="J140" s="4" t="s">
        <v>26</v>
      </c>
      <c r="K140" s="19">
        <f>(H129/I129)*100</f>
        <v>44.39028721</v>
      </c>
    </row>
    <row r="141">
      <c r="A141" s="4" t="s">
        <v>27</v>
      </c>
      <c r="B141" s="19">
        <f>B131/(B129+B130)</f>
        <v>0.1910377358</v>
      </c>
      <c r="C141" s="19"/>
      <c r="D141" s="19"/>
      <c r="E141" s="19"/>
      <c r="F141" s="19"/>
      <c r="G141" s="19"/>
      <c r="H141" s="27"/>
      <c r="I141" s="24"/>
      <c r="J141" s="24"/>
      <c r="K141" s="24"/>
    </row>
    <row r="142">
      <c r="A142" s="4" t="s">
        <v>28</v>
      </c>
      <c r="B142" s="19">
        <f>B130/B129</f>
        <v>1.422857143</v>
      </c>
      <c r="C142" s="19"/>
      <c r="D142" s="19"/>
      <c r="E142" s="19"/>
      <c r="F142" s="19"/>
      <c r="G142" s="19"/>
      <c r="H142" s="27"/>
      <c r="I142" s="24"/>
      <c r="J142" s="24"/>
      <c r="K142" s="24"/>
    </row>
    <row r="143">
      <c r="A143" s="4" t="s">
        <v>29</v>
      </c>
      <c r="B143" s="19">
        <f>B134/B132</f>
        <v>0.8242556282</v>
      </c>
      <c r="C143" s="19"/>
      <c r="D143" s="19"/>
      <c r="E143" s="19"/>
      <c r="F143" s="19"/>
      <c r="G143" s="19"/>
      <c r="H143" s="27"/>
      <c r="I143" s="24"/>
      <c r="J143" s="24"/>
      <c r="K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>
      <c r="A145" s="1" t="s">
        <v>37</v>
      </c>
      <c r="B145" s="2"/>
      <c r="C145" s="2"/>
      <c r="D145" s="2"/>
      <c r="E145" s="2"/>
      <c r="F145" s="2"/>
      <c r="G145" s="2"/>
      <c r="H145" s="2"/>
      <c r="I145" s="2"/>
      <c r="J145" s="2"/>
      <c r="K145" s="3"/>
    </row>
    <row r="146">
      <c r="A146" s="4" t="s">
        <v>1</v>
      </c>
      <c r="B146" s="5">
        <v>44642.0</v>
      </c>
      <c r="C146" s="5">
        <v>44641.0</v>
      </c>
      <c r="D146" s="5">
        <v>44640.0</v>
      </c>
      <c r="E146" s="5">
        <v>44639.0</v>
      </c>
      <c r="F146" s="5">
        <v>44638.0</v>
      </c>
      <c r="G146" s="5">
        <v>44637.0</v>
      </c>
      <c r="H146" s="4" t="s">
        <v>2</v>
      </c>
      <c r="I146" s="6" t="s">
        <v>3</v>
      </c>
      <c r="J146" s="4" t="s">
        <v>4</v>
      </c>
      <c r="K146" s="4" t="s">
        <v>5</v>
      </c>
    </row>
    <row r="147">
      <c r="A147" s="4" t="s">
        <v>6</v>
      </c>
      <c r="B147" s="28">
        <v>139.01</v>
      </c>
      <c r="C147" s="28">
        <v>125.36</v>
      </c>
      <c r="D147" s="28">
        <v>88.69</v>
      </c>
      <c r="E147" s="28">
        <v>87.92</v>
      </c>
      <c r="F147" s="28">
        <v>86.9</v>
      </c>
      <c r="G147" s="10"/>
      <c r="H147" s="11">
        <v>3.9199019E7</v>
      </c>
      <c r="I147" s="11">
        <v>1.38489124E8</v>
      </c>
      <c r="J147" s="12">
        <f>IFERROR(__xludf.DUMMYFUNCTION("GOOGLEFINANCE(""BOM:"" &amp; ""539787"",""price"")"),333.65)</f>
        <v>333.65</v>
      </c>
      <c r="K147" s="29">
        <f>-B149-B150+B151+B152</f>
        <v>1097.69</v>
      </c>
    </row>
    <row r="148">
      <c r="A148" s="4" t="s">
        <v>8</v>
      </c>
      <c r="B148" s="28">
        <v>958.68</v>
      </c>
      <c r="C148" s="28">
        <v>747.82</v>
      </c>
      <c r="D148" s="28">
        <v>518.77</v>
      </c>
      <c r="E148" s="28">
        <v>551.23</v>
      </c>
      <c r="F148" s="28">
        <v>517.85</v>
      </c>
      <c r="G148" s="16"/>
      <c r="H148" s="17"/>
      <c r="I148" s="18"/>
      <c r="J148" s="18"/>
      <c r="K148" s="18"/>
    </row>
    <row r="149">
      <c r="A149" s="4" t="s">
        <v>9</v>
      </c>
      <c r="B149" s="28">
        <v>330.85</v>
      </c>
      <c r="C149" s="28">
        <v>400.8</v>
      </c>
      <c r="D149" s="28">
        <v>677.77</v>
      </c>
      <c r="E149" s="28">
        <v>392.2</v>
      </c>
      <c r="F149" s="28">
        <v>253.11</v>
      </c>
      <c r="G149" s="19"/>
      <c r="H149" s="20" t="s">
        <v>10</v>
      </c>
      <c r="I149" s="21"/>
      <c r="J149" s="20" t="s">
        <v>11</v>
      </c>
      <c r="K149" s="21"/>
    </row>
    <row r="150">
      <c r="A150" s="4" t="s">
        <v>12</v>
      </c>
      <c r="B150" s="28">
        <v>215.08</v>
      </c>
      <c r="C150" s="28">
        <v>249.93</v>
      </c>
      <c r="D150" s="28">
        <v>476.64</v>
      </c>
      <c r="E150" s="28">
        <v>366.66</v>
      </c>
      <c r="F150" s="28">
        <v>220.72</v>
      </c>
      <c r="G150" s="19"/>
      <c r="H150" s="22">
        <f>(K147*10000000)/H147</f>
        <v>280.0299671</v>
      </c>
      <c r="I150" s="9"/>
      <c r="J150" s="22">
        <f>J147/H150</f>
        <v>1.191479624</v>
      </c>
      <c r="K150" s="9"/>
    </row>
    <row r="151">
      <c r="A151" s="4" t="s">
        <v>13</v>
      </c>
      <c r="B151" s="28">
        <v>1287.46</v>
      </c>
      <c r="C151" s="28">
        <v>1246.52</v>
      </c>
      <c r="D151" s="28">
        <v>1528.34</v>
      </c>
      <c r="E151" s="28">
        <v>1172.97</v>
      </c>
      <c r="F151" s="28">
        <v>914.63</v>
      </c>
      <c r="G151" s="17"/>
      <c r="H151" s="17"/>
      <c r="I151" s="18"/>
      <c r="J151" s="18"/>
      <c r="K151" s="18"/>
    </row>
    <row r="152">
      <c r="A152" s="4" t="s">
        <v>14</v>
      </c>
      <c r="B152" s="28">
        <v>356.16</v>
      </c>
      <c r="C152" s="28">
        <v>327.99</v>
      </c>
      <c r="D152" s="28">
        <v>240.58</v>
      </c>
      <c r="E152" s="28">
        <v>230.61</v>
      </c>
      <c r="F152" s="28">
        <v>197.64</v>
      </c>
      <c r="G152" s="19"/>
      <c r="H152" s="20" t="s">
        <v>15</v>
      </c>
      <c r="I152" s="21"/>
      <c r="J152" s="20" t="s">
        <v>16</v>
      </c>
      <c r="K152" s="21"/>
    </row>
    <row r="153">
      <c r="A153" s="4" t="s">
        <v>17</v>
      </c>
      <c r="B153" s="28"/>
      <c r="C153" s="30"/>
      <c r="D153" s="30"/>
      <c r="E153" s="30"/>
      <c r="F153" s="30"/>
      <c r="G153" s="19"/>
      <c r="H153" s="17">
        <f>(K147*10000000)/I147</f>
        <v>79.26181987</v>
      </c>
      <c r="I153" s="3"/>
      <c r="J153" s="17">
        <f>J147/H153</f>
        <v>4.20946681</v>
      </c>
      <c r="K153" s="3"/>
    </row>
    <row r="154">
      <c r="A154" s="4" t="s">
        <v>18</v>
      </c>
      <c r="B154" s="28"/>
      <c r="C154" s="30"/>
      <c r="D154" s="30"/>
      <c r="E154" s="30"/>
      <c r="F154" s="30"/>
      <c r="G154" s="19"/>
      <c r="H154" s="23"/>
      <c r="I154" s="24"/>
      <c r="J154" s="24"/>
      <c r="K154" s="24"/>
    </row>
    <row r="155">
      <c r="A155" s="4" t="s">
        <v>19</v>
      </c>
      <c r="B155" s="28"/>
      <c r="C155" s="30"/>
      <c r="D155" s="30"/>
      <c r="E155" s="30"/>
      <c r="F155" s="30"/>
      <c r="G155" s="19"/>
      <c r="H155" s="23"/>
      <c r="I155" s="24"/>
      <c r="J155" s="4" t="s">
        <v>20</v>
      </c>
      <c r="K155" s="19">
        <f>(B158*10000000)/I147</f>
        <v>2.76194974</v>
      </c>
    </row>
    <row r="156">
      <c r="A156" s="4" t="s">
        <v>21</v>
      </c>
      <c r="B156" s="19"/>
      <c r="C156" s="19">
        <f t="shared" ref="C156:F156" si="36">SUM(C153:C155)</f>
        <v>0</v>
      </c>
      <c r="D156" s="19">
        <f t="shared" si="36"/>
        <v>0</v>
      </c>
      <c r="E156" s="19">
        <f t="shared" si="36"/>
        <v>0</v>
      </c>
      <c r="F156" s="19">
        <f t="shared" si="36"/>
        <v>0</v>
      </c>
      <c r="G156" s="17"/>
      <c r="H156" s="27" t="str">
        <f t="shared" ref="H156:H161" si="37">(((B156/F156)^(1/5)-1)*100)</f>
        <v>#DIV/0!</v>
      </c>
      <c r="I156" s="24"/>
      <c r="J156" s="4" t="s">
        <v>22</v>
      </c>
      <c r="K156" s="19">
        <f>J147/K155</f>
        <v>120.8023431</v>
      </c>
    </row>
    <row r="157">
      <c r="A157" s="4" t="s">
        <v>23</v>
      </c>
      <c r="B157" s="31">
        <v>81.04</v>
      </c>
      <c r="C157" s="31">
        <v>-205.06</v>
      </c>
      <c r="D157" s="31">
        <v>-65.46</v>
      </c>
      <c r="E157" s="31">
        <v>12.57</v>
      </c>
      <c r="F157" s="31">
        <v>36.87</v>
      </c>
      <c r="G157" s="17"/>
      <c r="H157" s="27">
        <f t="shared" si="37"/>
        <v>17.05912108</v>
      </c>
      <c r="I157" s="24"/>
      <c r="J157" s="4" t="s">
        <v>24</v>
      </c>
      <c r="K157" s="19">
        <f>(B157/(B147+B148))*100</f>
        <v>7.382776558</v>
      </c>
    </row>
    <row r="158">
      <c r="A158" s="4" t="s">
        <v>25</v>
      </c>
      <c r="B158" s="31">
        <v>38.25</v>
      </c>
      <c r="C158" s="31">
        <v>-191.55</v>
      </c>
      <c r="D158" s="31">
        <v>-53.3</v>
      </c>
      <c r="E158" s="31">
        <v>7.25</v>
      </c>
      <c r="F158" s="31">
        <v>24.89</v>
      </c>
      <c r="G158" s="17"/>
      <c r="H158" s="27">
        <f t="shared" si="37"/>
        <v>8.973602584</v>
      </c>
      <c r="I158" s="24"/>
      <c r="J158" s="4" t="s">
        <v>26</v>
      </c>
      <c r="K158" s="19">
        <f>(H147/I147)*100</f>
        <v>28.30476348</v>
      </c>
    </row>
    <row r="159">
      <c r="A159" s="4" t="s">
        <v>27</v>
      </c>
      <c r="B159" s="19">
        <f t="shared" ref="B159:F159" si="38">B149/(B147+B148)</f>
        <v>0.3014056792</v>
      </c>
      <c r="C159" s="19">
        <f t="shared" si="38"/>
        <v>0.4590118876</v>
      </c>
      <c r="D159" s="19">
        <f t="shared" si="38"/>
        <v>1.115744247</v>
      </c>
      <c r="E159" s="19">
        <f t="shared" si="38"/>
        <v>0.613627474</v>
      </c>
      <c r="F159" s="19">
        <f t="shared" si="38"/>
        <v>0.4185365854</v>
      </c>
      <c r="G159" s="19"/>
      <c r="H159" s="27">
        <f t="shared" si="37"/>
        <v>-6.355214139</v>
      </c>
      <c r="I159" s="24"/>
      <c r="J159" s="24"/>
      <c r="K159" s="24"/>
    </row>
    <row r="160">
      <c r="A160" s="4" t="s">
        <v>28</v>
      </c>
      <c r="B160" s="19">
        <f t="shared" ref="B160:F160" si="39">B148/B147</f>
        <v>6.896482267</v>
      </c>
      <c r="C160" s="19">
        <f t="shared" si="39"/>
        <v>5.965379706</v>
      </c>
      <c r="D160" s="19">
        <f t="shared" si="39"/>
        <v>5.849250197</v>
      </c>
      <c r="E160" s="19">
        <f t="shared" si="39"/>
        <v>6.269676979</v>
      </c>
      <c r="F160" s="19">
        <f t="shared" si="39"/>
        <v>5.959148446</v>
      </c>
      <c r="G160" s="19"/>
      <c r="H160" s="27">
        <f t="shared" si="37"/>
        <v>2.964777167</v>
      </c>
      <c r="I160" s="24"/>
      <c r="J160" s="24"/>
      <c r="K160" s="24"/>
    </row>
    <row r="161">
      <c r="A161" s="4" t="s">
        <v>29</v>
      </c>
      <c r="B161" s="19">
        <f t="shared" ref="B161:F161" si="40">B152/B150</f>
        <v>1.655941975</v>
      </c>
      <c r="C161" s="19">
        <f t="shared" si="40"/>
        <v>1.312327452</v>
      </c>
      <c r="D161" s="19">
        <f t="shared" si="40"/>
        <v>0.504741524</v>
      </c>
      <c r="E161" s="19">
        <f t="shared" si="40"/>
        <v>0.6289477991</v>
      </c>
      <c r="F161" s="19">
        <f t="shared" si="40"/>
        <v>0.8954331279</v>
      </c>
      <c r="G161" s="19"/>
      <c r="H161" s="27">
        <f t="shared" si="37"/>
        <v>13.08432014</v>
      </c>
      <c r="I161" s="24"/>
      <c r="J161" s="24"/>
      <c r="K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</row>
    <row r="163">
      <c r="A163" s="1" t="s">
        <v>38</v>
      </c>
      <c r="B163" s="2"/>
      <c r="C163" s="2"/>
      <c r="D163" s="2"/>
      <c r="E163" s="2"/>
      <c r="F163" s="2"/>
      <c r="G163" s="2"/>
      <c r="H163" s="2"/>
      <c r="I163" s="2"/>
      <c r="J163" s="2"/>
      <c r="K163" s="3"/>
    </row>
    <row r="164">
      <c r="A164" s="4" t="s">
        <v>1</v>
      </c>
      <c r="B164" s="5">
        <v>44642.0</v>
      </c>
      <c r="C164" s="5">
        <v>44641.0</v>
      </c>
      <c r="D164" s="5">
        <v>44640.0</v>
      </c>
      <c r="E164" s="5">
        <v>44639.0</v>
      </c>
      <c r="F164" s="5">
        <v>44638.0</v>
      </c>
      <c r="G164" s="5">
        <v>44637.0</v>
      </c>
      <c r="H164" s="4" t="s">
        <v>2</v>
      </c>
      <c r="I164" s="6" t="s">
        <v>3</v>
      </c>
      <c r="J164" s="4" t="s">
        <v>4</v>
      </c>
      <c r="K164" s="4" t="s">
        <v>5</v>
      </c>
    </row>
    <row r="165">
      <c r="A165" s="4" t="s">
        <v>6</v>
      </c>
      <c r="B165" s="28">
        <v>91.67</v>
      </c>
      <c r="C165" s="28">
        <v>91.67</v>
      </c>
      <c r="D165" s="28">
        <v>91.67</v>
      </c>
      <c r="E165" s="28">
        <v>91.67</v>
      </c>
      <c r="F165" s="28">
        <v>91.67</v>
      </c>
      <c r="G165" s="10"/>
      <c r="H165" s="11">
        <v>4.229787E7</v>
      </c>
      <c r="I165" s="11">
        <v>6.5215369E7</v>
      </c>
      <c r="J165" s="12">
        <f>IFERROR(__xludf.DUMMYFUNCTION("GOOGLEFINANCE(""NSE:"" &amp; A163,""price"")"),171.35)</f>
        <v>171.35</v>
      </c>
      <c r="K165" s="29">
        <f>-B167-B168+B169+B170</f>
        <v>325.44</v>
      </c>
    </row>
    <row r="166">
      <c r="A166" s="4" t="s">
        <v>8</v>
      </c>
      <c r="B166" s="28">
        <v>233.77</v>
      </c>
      <c r="C166" s="28">
        <v>181.08</v>
      </c>
      <c r="D166" s="28">
        <v>176.13</v>
      </c>
      <c r="E166" s="28">
        <v>152.36</v>
      </c>
      <c r="F166" s="28">
        <v>140.64</v>
      </c>
      <c r="G166" s="16"/>
      <c r="H166" s="17"/>
      <c r="I166" s="18"/>
      <c r="J166" s="18"/>
      <c r="K166" s="18"/>
    </row>
    <row r="167">
      <c r="A167" s="4" t="s">
        <v>9</v>
      </c>
      <c r="B167" s="28">
        <v>42.77</v>
      </c>
      <c r="C167" s="28">
        <v>43.29</v>
      </c>
      <c r="D167" s="28">
        <v>41.59</v>
      </c>
      <c r="E167" s="28">
        <v>54.24</v>
      </c>
      <c r="F167" s="28">
        <v>61.53</v>
      </c>
      <c r="G167" s="19"/>
      <c r="H167" s="20" t="s">
        <v>10</v>
      </c>
      <c r="I167" s="21"/>
      <c r="J167" s="20" t="s">
        <v>11</v>
      </c>
      <c r="K167" s="21"/>
    </row>
    <row r="168">
      <c r="A168" s="4" t="s">
        <v>12</v>
      </c>
      <c r="B168" s="28">
        <v>93.5</v>
      </c>
      <c r="C168" s="28">
        <v>115.91</v>
      </c>
      <c r="D168" s="28">
        <v>139.61</v>
      </c>
      <c r="E168" s="28">
        <v>124.1</v>
      </c>
      <c r="F168" s="28">
        <v>138.43</v>
      </c>
      <c r="G168" s="19"/>
      <c r="H168" s="22">
        <f>(K165*10000000)/H165</f>
        <v>76.9400445</v>
      </c>
      <c r="I168" s="9"/>
      <c r="J168" s="22">
        <f>J165/H168</f>
        <v>2.227058759</v>
      </c>
      <c r="K168" s="9"/>
    </row>
    <row r="169">
      <c r="A169" s="4" t="s">
        <v>13</v>
      </c>
      <c r="B169" s="28">
        <v>304.28</v>
      </c>
      <c r="C169" s="28">
        <v>290.53</v>
      </c>
      <c r="D169" s="28">
        <v>307.52</v>
      </c>
      <c r="E169" s="28">
        <v>286.81</v>
      </c>
      <c r="F169" s="28">
        <v>299.37</v>
      </c>
      <c r="G169" s="17"/>
      <c r="H169" s="17"/>
      <c r="I169" s="18"/>
      <c r="J169" s="18"/>
      <c r="K169" s="18"/>
    </row>
    <row r="170">
      <c r="A170" s="4" t="s">
        <v>14</v>
      </c>
      <c r="B170" s="28">
        <v>157.43</v>
      </c>
      <c r="C170" s="28">
        <v>141.43</v>
      </c>
      <c r="D170" s="28">
        <v>141.47</v>
      </c>
      <c r="E170" s="28">
        <v>135.55</v>
      </c>
      <c r="F170" s="28">
        <v>132.9</v>
      </c>
      <c r="G170" s="19"/>
      <c r="H170" s="20" t="s">
        <v>15</v>
      </c>
      <c r="I170" s="21"/>
      <c r="J170" s="20" t="s">
        <v>16</v>
      </c>
      <c r="K170" s="21"/>
    </row>
    <row r="171">
      <c r="A171" s="4" t="s">
        <v>17</v>
      </c>
      <c r="B171" s="28"/>
      <c r="C171" s="30">
        <v>27.89</v>
      </c>
      <c r="D171" s="30">
        <v>86.45</v>
      </c>
      <c r="E171" s="30">
        <v>75.18</v>
      </c>
      <c r="F171" s="30">
        <v>47.69</v>
      </c>
      <c r="G171" s="19"/>
      <c r="H171" s="17">
        <f>(K165*10000000)/I165</f>
        <v>49.90234741</v>
      </c>
      <c r="I171" s="3"/>
      <c r="J171" s="17">
        <f>J165/H171</f>
        <v>3.433706206</v>
      </c>
      <c r="K171" s="3"/>
    </row>
    <row r="172">
      <c r="A172" s="4" t="s">
        <v>18</v>
      </c>
      <c r="B172" s="28"/>
      <c r="C172" s="30">
        <v>-20.96</v>
      </c>
      <c r="D172" s="30">
        <v>-40.91</v>
      </c>
      <c r="E172" s="30">
        <v>-17.09</v>
      </c>
      <c r="F172" s="30">
        <v>30.69</v>
      </c>
      <c r="G172" s="19"/>
      <c r="H172" s="23"/>
      <c r="I172" s="24"/>
      <c r="J172" s="24"/>
      <c r="K172" s="24"/>
    </row>
    <row r="173">
      <c r="A173" s="4" t="s">
        <v>19</v>
      </c>
      <c r="B173" s="28"/>
      <c r="C173" s="30">
        <v>0.0</v>
      </c>
      <c r="D173" s="30">
        <v>0.0</v>
      </c>
      <c r="E173" s="30">
        <v>0.0</v>
      </c>
      <c r="F173" s="30">
        <v>0.0</v>
      </c>
      <c r="G173" s="19"/>
      <c r="H173" s="23"/>
      <c r="I173" s="24"/>
      <c r="J173" s="4" t="s">
        <v>20</v>
      </c>
      <c r="K173" s="19">
        <f>(B176*10000000)/I165</f>
        <v>8.988678727</v>
      </c>
    </row>
    <row r="174">
      <c r="A174" s="4" t="s">
        <v>21</v>
      </c>
      <c r="B174" s="19"/>
      <c r="C174" s="19">
        <f t="shared" ref="C174:F174" si="41">SUM(C171:C173)</f>
        <v>6.93</v>
      </c>
      <c r="D174" s="19">
        <f t="shared" si="41"/>
        <v>45.54</v>
      </c>
      <c r="E174" s="19">
        <f t="shared" si="41"/>
        <v>58.09</v>
      </c>
      <c r="F174" s="19">
        <f t="shared" si="41"/>
        <v>78.38</v>
      </c>
      <c r="G174" s="17"/>
      <c r="H174" s="27">
        <f>(((C174/F174)^(1/4)-1)*100)</f>
        <v>-45.47043994</v>
      </c>
      <c r="I174" s="24"/>
      <c r="J174" s="4" t="s">
        <v>22</v>
      </c>
      <c r="K174" s="19">
        <f>J165/K173</f>
        <v>19.06286844</v>
      </c>
    </row>
    <row r="175">
      <c r="A175" s="4" t="s">
        <v>23</v>
      </c>
      <c r="B175" s="31">
        <v>79.07</v>
      </c>
      <c r="C175" s="31">
        <v>4.29</v>
      </c>
      <c r="D175" s="31">
        <v>48.19</v>
      </c>
      <c r="E175" s="31">
        <v>44.62</v>
      </c>
      <c r="F175" s="31">
        <v>34.01</v>
      </c>
      <c r="G175" s="17"/>
      <c r="H175" s="27">
        <f t="shared" ref="H175:H179" si="42">(((B175/F175)^(1/5)-1)*100)</f>
        <v>18.38073208</v>
      </c>
      <c r="I175" s="24"/>
      <c r="J175" s="4" t="s">
        <v>24</v>
      </c>
      <c r="K175" s="19">
        <f>(B175/(B165+B166))*100</f>
        <v>24.29633727</v>
      </c>
    </row>
    <row r="176">
      <c r="A176" s="4" t="s">
        <v>25</v>
      </c>
      <c r="B176" s="31">
        <v>58.62</v>
      </c>
      <c r="C176" s="31">
        <v>2.33</v>
      </c>
      <c r="D176" s="31">
        <v>43.62</v>
      </c>
      <c r="E176" s="31">
        <v>28.41</v>
      </c>
      <c r="F176" s="31">
        <v>21.1</v>
      </c>
      <c r="G176" s="17"/>
      <c r="H176" s="27">
        <f t="shared" si="42"/>
        <v>22.67404105</v>
      </c>
      <c r="I176" s="24"/>
      <c r="J176" s="4" t="s">
        <v>26</v>
      </c>
      <c r="K176" s="19">
        <f>(H165/I165)*100</f>
        <v>64.85874518</v>
      </c>
    </row>
    <row r="177">
      <c r="A177" s="4" t="s">
        <v>27</v>
      </c>
      <c r="B177" s="19">
        <f t="shared" ref="B177:F177" si="43">B167/(B165+B166)</f>
        <v>0.1314220747</v>
      </c>
      <c r="C177" s="19">
        <f t="shared" si="43"/>
        <v>0.1587167736</v>
      </c>
      <c r="D177" s="19">
        <f t="shared" si="43"/>
        <v>0.1553024645</v>
      </c>
      <c r="E177" s="19">
        <f t="shared" si="43"/>
        <v>0.222267754</v>
      </c>
      <c r="F177" s="19">
        <f t="shared" si="43"/>
        <v>0.2648616073</v>
      </c>
      <c r="G177" s="19"/>
      <c r="H177" s="27">
        <f t="shared" si="42"/>
        <v>-13.07796973</v>
      </c>
      <c r="I177" s="24"/>
      <c r="J177" s="24"/>
      <c r="K177" s="24"/>
    </row>
    <row r="178">
      <c r="A178" s="4" t="s">
        <v>28</v>
      </c>
      <c r="B178" s="19">
        <f t="shared" ref="B178:F178" si="44">B166/B165</f>
        <v>2.55012545</v>
      </c>
      <c r="C178" s="19">
        <f t="shared" si="44"/>
        <v>1.975346351</v>
      </c>
      <c r="D178" s="19">
        <f t="shared" si="44"/>
        <v>1.921348315</v>
      </c>
      <c r="E178" s="19">
        <f t="shared" si="44"/>
        <v>1.662048653</v>
      </c>
      <c r="F178" s="19">
        <f t="shared" si="44"/>
        <v>1.534198756</v>
      </c>
      <c r="G178" s="19"/>
      <c r="H178" s="27">
        <f t="shared" si="42"/>
        <v>10.6970338</v>
      </c>
      <c r="I178" s="24"/>
      <c r="J178" s="24"/>
      <c r="K178" s="24"/>
    </row>
    <row r="179">
      <c r="A179" s="4" t="s">
        <v>29</v>
      </c>
      <c r="B179" s="19">
        <f t="shared" ref="B179:F179" si="45">B170/B168</f>
        <v>1.683743316</v>
      </c>
      <c r="C179" s="19">
        <f t="shared" si="45"/>
        <v>1.220170822</v>
      </c>
      <c r="D179" s="19">
        <f t="shared" si="45"/>
        <v>1.013322828</v>
      </c>
      <c r="E179" s="19">
        <f t="shared" si="45"/>
        <v>1.092264303</v>
      </c>
      <c r="F179" s="19">
        <f t="shared" si="45"/>
        <v>0.9600520118</v>
      </c>
      <c r="G179" s="19"/>
      <c r="H179" s="27">
        <f t="shared" si="42"/>
        <v>11.89127548</v>
      </c>
      <c r="I179" s="24"/>
      <c r="J179" s="24"/>
      <c r="K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</row>
    <row r="181">
      <c r="A181" s="1" t="s">
        <v>39</v>
      </c>
      <c r="B181" s="2"/>
      <c r="C181" s="2"/>
      <c r="D181" s="2"/>
      <c r="E181" s="2"/>
      <c r="F181" s="2"/>
      <c r="G181" s="2"/>
      <c r="H181" s="2"/>
      <c r="I181" s="2"/>
      <c r="J181" s="2"/>
      <c r="K181" s="3"/>
    </row>
    <row r="182">
      <c r="A182" s="4" t="s">
        <v>1</v>
      </c>
      <c r="B182" s="5">
        <v>44642.0</v>
      </c>
      <c r="C182" s="5">
        <v>44641.0</v>
      </c>
      <c r="D182" s="5">
        <v>44640.0</v>
      </c>
      <c r="E182" s="5">
        <v>44639.0</v>
      </c>
      <c r="F182" s="5">
        <v>44638.0</v>
      </c>
      <c r="G182" s="5">
        <v>44637.0</v>
      </c>
      <c r="H182" s="4" t="s">
        <v>2</v>
      </c>
      <c r="I182" s="6" t="s">
        <v>3</v>
      </c>
      <c r="J182" s="4" t="s">
        <v>4</v>
      </c>
      <c r="K182" s="4" t="s">
        <v>5</v>
      </c>
    </row>
    <row r="183">
      <c r="A183" s="4" t="s">
        <v>6</v>
      </c>
      <c r="B183" s="28">
        <v>80.03</v>
      </c>
      <c r="C183" s="28">
        <v>77.59</v>
      </c>
      <c r="D183" s="28">
        <v>74.49</v>
      </c>
      <c r="E183" s="28">
        <v>74.49</v>
      </c>
      <c r="F183" s="28">
        <v>50.15</v>
      </c>
      <c r="G183" s="10"/>
      <c r="H183" s="11">
        <v>4.8792958E7</v>
      </c>
      <c r="I183" s="11">
        <v>7.9879262E7</v>
      </c>
      <c r="J183" s="12">
        <f>IFERROR(__xludf.DUMMYFUNCTION("GOOGLEFINANCE(""NSE:"" &amp; A181,""price"")"),2060.0)</f>
        <v>2060</v>
      </c>
      <c r="K183" s="29">
        <f>-B185-B186+B187+B188</f>
        <v>1377.55</v>
      </c>
    </row>
    <row r="184">
      <c r="A184" s="4" t="s">
        <v>8</v>
      </c>
      <c r="B184" s="28">
        <v>1297.52</v>
      </c>
      <c r="C184" s="28">
        <v>829.73</v>
      </c>
      <c r="D184" s="28">
        <v>549.33</v>
      </c>
      <c r="E184" s="28">
        <v>429.13</v>
      </c>
      <c r="F184" s="28">
        <v>-249.21</v>
      </c>
      <c r="G184" s="16"/>
      <c r="H184" s="17"/>
      <c r="I184" s="18"/>
      <c r="J184" s="18"/>
      <c r="K184" s="18"/>
    </row>
    <row r="185">
      <c r="A185" s="4" t="s">
        <v>9</v>
      </c>
      <c r="B185" s="28">
        <v>56.98</v>
      </c>
      <c r="C185" s="28">
        <v>116.32</v>
      </c>
      <c r="D185" s="28">
        <v>195.36</v>
      </c>
      <c r="E185" s="28">
        <v>209.94</v>
      </c>
      <c r="F185" s="28">
        <v>270.78</v>
      </c>
      <c r="G185" s="19"/>
      <c r="H185" s="20" t="s">
        <v>10</v>
      </c>
      <c r="I185" s="21"/>
      <c r="J185" s="20" t="s">
        <v>11</v>
      </c>
      <c r="K185" s="21"/>
    </row>
    <row r="186">
      <c r="A186" s="4" t="s">
        <v>12</v>
      </c>
      <c r="B186" s="28">
        <v>134.25</v>
      </c>
      <c r="C186" s="28">
        <v>190.09</v>
      </c>
      <c r="D186" s="28">
        <v>137.95</v>
      </c>
      <c r="E186" s="28">
        <v>142.94</v>
      </c>
      <c r="F186" s="28">
        <v>717.68</v>
      </c>
      <c r="G186" s="19"/>
      <c r="H186" s="22">
        <f>(K183*10000000)/H183</f>
        <v>282.3255766</v>
      </c>
      <c r="I186" s="9"/>
      <c r="J186" s="22">
        <f>J183/H186</f>
        <v>7.296540487</v>
      </c>
      <c r="K186" s="9"/>
    </row>
    <row r="187">
      <c r="A187" s="4" t="s">
        <v>13</v>
      </c>
      <c r="B187" s="28">
        <v>1237.5</v>
      </c>
      <c r="C187" s="28">
        <v>846.5</v>
      </c>
      <c r="D187" s="28">
        <v>788.21</v>
      </c>
      <c r="E187" s="28">
        <v>697.37</v>
      </c>
      <c r="F187" s="28">
        <v>639.24</v>
      </c>
      <c r="G187" s="17"/>
      <c r="H187" s="17"/>
      <c r="I187" s="18"/>
      <c r="J187" s="18"/>
      <c r="K187" s="18"/>
    </row>
    <row r="188">
      <c r="A188" s="4" t="s">
        <v>14</v>
      </c>
      <c r="B188" s="28">
        <v>331.28</v>
      </c>
      <c r="C188" s="28">
        <v>367.23</v>
      </c>
      <c r="D188" s="28">
        <v>169.24</v>
      </c>
      <c r="E188" s="28">
        <v>159.44</v>
      </c>
      <c r="F188" s="28">
        <v>150.17</v>
      </c>
      <c r="G188" s="19"/>
      <c r="H188" s="20" t="s">
        <v>15</v>
      </c>
      <c r="I188" s="21"/>
      <c r="J188" s="20" t="s">
        <v>16</v>
      </c>
      <c r="K188" s="21"/>
    </row>
    <row r="189">
      <c r="A189" s="4" t="s">
        <v>17</v>
      </c>
      <c r="B189" s="28"/>
      <c r="C189" s="30"/>
      <c r="D189" s="30"/>
      <c r="E189" s="30"/>
      <c r="F189" s="30"/>
      <c r="G189" s="19"/>
      <c r="H189" s="17">
        <f>(K183*10000000)/I183</f>
        <v>172.4540219</v>
      </c>
      <c r="I189" s="3"/>
      <c r="J189" s="17">
        <f>J183/H189</f>
        <v>11.94521286</v>
      </c>
      <c r="K189" s="3"/>
    </row>
    <row r="190">
      <c r="A190" s="4" t="s">
        <v>18</v>
      </c>
      <c r="B190" s="28"/>
      <c r="C190" s="30"/>
      <c r="D190" s="30"/>
      <c r="E190" s="30"/>
      <c r="F190" s="30"/>
      <c r="G190" s="19"/>
      <c r="H190" s="23"/>
      <c r="I190" s="24"/>
      <c r="J190" s="24"/>
      <c r="K190" s="24"/>
    </row>
    <row r="191">
      <c r="A191" s="4" t="s">
        <v>19</v>
      </c>
      <c r="B191" s="28"/>
      <c r="C191" s="30"/>
      <c r="D191" s="30"/>
      <c r="E191" s="30"/>
      <c r="F191" s="30"/>
      <c r="G191" s="19"/>
      <c r="H191" s="23"/>
      <c r="I191" s="24"/>
      <c r="J191" s="4" t="s">
        <v>20</v>
      </c>
      <c r="K191" s="19">
        <f>(B194*10000000)/I183</f>
        <v>34.84884475</v>
      </c>
    </row>
    <row r="192">
      <c r="A192" s="4" t="s">
        <v>21</v>
      </c>
      <c r="B192" s="19"/>
      <c r="C192" s="19">
        <f t="shared" ref="C192:F192" si="46">SUM(C189:C191)</f>
        <v>0</v>
      </c>
      <c r="D192" s="19">
        <f t="shared" si="46"/>
        <v>0</v>
      </c>
      <c r="E192" s="19">
        <f t="shared" si="46"/>
        <v>0</v>
      </c>
      <c r="F192" s="19">
        <f t="shared" si="46"/>
        <v>0</v>
      </c>
      <c r="G192" s="17"/>
      <c r="H192" s="27" t="str">
        <f t="shared" ref="H192:H197" si="47">(((B192/F192)^(1/5)-1)*100)</f>
        <v>#DIV/0!</v>
      </c>
      <c r="I192" s="24"/>
      <c r="J192" s="4" t="s">
        <v>22</v>
      </c>
      <c r="K192" s="19">
        <f>J183/K191</f>
        <v>59.11243299</v>
      </c>
    </row>
    <row r="193">
      <c r="A193" s="4" t="s">
        <v>23</v>
      </c>
      <c r="B193" s="31">
        <v>371.0</v>
      </c>
      <c r="C193" s="31">
        <v>254.26</v>
      </c>
      <c r="D193" s="31">
        <v>146.51</v>
      </c>
      <c r="E193" s="31">
        <v>-13.42</v>
      </c>
      <c r="F193" s="31">
        <v>-56.78</v>
      </c>
      <c r="G193" s="17"/>
      <c r="H193" s="27">
        <f t="shared" si="47"/>
        <v>-245.5578742</v>
      </c>
      <c r="I193" s="24"/>
      <c r="J193" s="4" t="s">
        <v>24</v>
      </c>
      <c r="K193" s="19">
        <f>(B193/(B183+B184))*100</f>
        <v>26.9318718</v>
      </c>
    </row>
    <row r="194">
      <c r="A194" s="4" t="s">
        <v>25</v>
      </c>
      <c r="B194" s="31">
        <v>278.37</v>
      </c>
      <c r="C194" s="31">
        <v>188.65</v>
      </c>
      <c r="D194" s="31">
        <v>121.11</v>
      </c>
      <c r="E194" s="31">
        <v>-43.66</v>
      </c>
      <c r="F194" s="31">
        <v>-81.26</v>
      </c>
      <c r="G194" s="17"/>
      <c r="H194" s="27">
        <f t="shared" si="47"/>
        <v>-227.9231433</v>
      </c>
      <c r="I194" s="24"/>
      <c r="J194" s="4" t="s">
        <v>26</v>
      </c>
      <c r="K194" s="19">
        <f>(H183/I183)*100</f>
        <v>61.08338607</v>
      </c>
    </row>
    <row r="195">
      <c r="A195" s="4" t="s">
        <v>27</v>
      </c>
      <c r="B195" s="19">
        <f t="shared" ref="B195:F195" si="48">B185/(B183+B184)</f>
        <v>0.0413632899</v>
      </c>
      <c r="C195" s="19">
        <f t="shared" si="48"/>
        <v>0.128201737</v>
      </c>
      <c r="D195" s="19">
        <f t="shared" si="48"/>
        <v>0.3131672598</v>
      </c>
      <c r="E195" s="19">
        <f t="shared" si="48"/>
        <v>0.4168619197</v>
      </c>
      <c r="F195" s="19">
        <f t="shared" si="48"/>
        <v>-1.360293379</v>
      </c>
      <c r="G195" s="19"/>
      <c r="H195" s="27">
        <f t="shared" si="47"/>
        <v>-149.7274853</v>
      </c>
      <c r="I195" s="24"/>
      <c r="J195" s="24"/>
      <c r="K195" s="24"/>
    </row>
    <row r="196">
      <c r="A196" s="4" t="s">
        <v>28</v>
      </c>
      <c r="B196" s="19">
        <f t="shared" ref="B196:F196" si="49">B184/B183</f>
        <v>16.21292015</v>
      </c>
      <c r="C196" s="19">
        <f t="shared" si="49"/>
        <v>10.69377497</v>
      </c>
      <c r="D196" s="19">
        <f t="shared" si="49"/>
        <v>7.374546919</v>
      </c>
      <c r="E196" s="19">
        <f t="shared" si="49"/>
        <v>5.760907504</v>
      </c>
      <c r="F196" s="19">
        <f t="shared" si="49"/>
        <v>-4.969292124</v>
      </c>
      <c r="G196" s="19"/>
      <c r="H196" s="27">
        <f t="shared" si="47"/>
        <v>-226.6815426</v>
      </c>
      <c r="I196" s="24"/>
      <c r="J196" s="24"/>
      <c r="K196" s="24"/>
    </row>
    <row r="197">
      <c r="A197" s="4" t="s">
        <v>29</v>
      </c>
      <c r="B197" s="19">
        <f t="shared" ref="B197:F197" si="50">B188/B186</f>
        <v>2.467635009</v>
      </c>
      <c r="C197" s="19">
        <f t="shared" si="50"/>
        <v>1.931874375</v>
      </c>
      <c r="D197" s="19">
        <f t="shared" si="50"/>
        <v>1.226821312</v>
      </c>
      <c r="E197" s="19">
        <f t="shared" si="50"/>
        <v>1.115433049</v>
      </c>
      <c r="F197" s="19">
        <f t="shared" si="50"/>
        <v>0.2092436741</v>
      </c>
      <c r="G197" s="19"/>
      <c r="H197" s="27">
        <f t="shared" si="47"/>
        <v>63.80445805</v>
      </c>
      <c r="I197" s="24"/>
      <c r="J197" s="24"/>
      <c r="K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</row>
    <row r="199">
      <c r="A199" s="1" t="s">
        <v>40</v>
      </c>
      <c r="B199" s="2"/>
      <c r="C199" s="2"/>
      <c r="D199" s="2"/>
      <c r="E199" s="2"/>
      <c r="F199" s="2"/>
      <c r="G199" s="2"/>
      <c r="H199" s="2"/>
      <c r="I199" s="2"/>
      <c r="J199" s="2"/>
      <c r="K199" s="3"/>
    </row>
    <row r="200">
      <c r="A200" s="4" t="s">
        <v>1</v>
      </c>
      <c r="B200" s="5">
        <v>44642.0</v>
      </c>
      <c r="C200" s="5">
        <v>44641.0</v>
      </c>
      <c r="D200" s="5">
        <v>44640.0</v>
      </c>
      <c r="E200" s="5">
        <v>44639.0</v>
      </c>
      <c r="F200" s="5">
        <v>44638.0</v>
      </c>
      <c r="G200" s="5">
        <v>44637.0</v>
      </c>
      <c r="H200" s="4" t="s">
        <v>2</v>
      </c>
      <c r="I200" s="6" t="s">
        <v>3</v>
      </c>
      <c r="J200" s="4" t="s">
        <v>4</v>
      </c>
      <c r="K200" s="4" t="s">
        <v>5</v>
      </c>
    </row>
    <row r="201">
      <c r="A201" s="4" t="s">
        <v>6</v>
      </c>
      <c r="B201" s="28">
        <v>16.31</v>
      </c>
      <c r="C201" s="28">
        <v>16.31</v>
      </c>
      <c r="D201" s="28">
        <v>16.31</v>
      </c>
      <c r="E201" s="28">
        <v>16.31</v>
      </c>
      <c r="F201" s="28">
        <v>16.31</v>
      </c>
      <c r="G201" s="10"/>
      <c r="H201" s="11">
        <v>2.9735421E7</v>
      </c>
      <c r="I201" s="11">
        <v>1.52049171E8</v>
      </c>
      <c r="J201" s="12">
        <f>IFERROR(__xludf.DUMMYFUNCTION("GOOGLEFINANCE(""BOM:"" &amp; ""524520"",""price"")"),81.17)</f>
        <v>81.17</v>
      </c>
      <c r="K201" s="29">
        <f>-B203-B204+B205+B206</f>
        <v>86.81</v>
      </c>
    </row>
    <row r="202">
      <c r="A202" s="4" t="s">
        <v>8</v>
      </c>
      <c r="B202" s="28">
        <v>70.49</v>
      </c>
      <c r="C202" s="28">
        <v>47.02</v>
      </c>
      <c r="D202" s="28">
        <v>34.35</v>
      </c>
      <c r="E202" s="28">
        <v>22.76</v>
      </c>
      <c r="F202" s="28">
        <v>14.1</v>
      </c>
      <c r="G202" s="16"/>
      <c r="H202" s="17"/>
      <c r="I202" s="18"/>
      <c r="J202" s="18"/>
      <c r="K202" s="18"/>
    </row>
    <row r="203">
      <c r="A203" s="4" t="s">
        <v>9</v>
      </c>
      <c r="B203" s="28">
        <v>22.45</v>
      </c>
      <c r="C203" s="28">
        <v>29.11</v>
      </c>
      <c r="D203" s="28">
        <v>6.95</v>
      </c>
      <c r="E203" s="28">
        <v>8.07</v>
      </c>
      <c r="F203" s="28">
        <v>11.0</v>
      </c>
      <c r="G203" s="19"/>
      <c r="H203" s="20" t="s">
        <v>10</v>
      </c>
      <c r="I203" s="21"/>
      <c r="J203" s="20" t="s">
        <v>11</v>
      </c>
      <c r="K203" s="21"/>
    </row>
    <row r="204">
      <c r="A204" s="4" t="s">
        <v>12</v>
      </c>
      <c r="B204" s="28">
        <v>19.51</v>
      </c>
      <c r="C204" s="28">
        <v>12.55</v>
      </c>
      <c r="D204" s="28">
        <v>12.39</v>
      </c>
      <c r="E204" s="28">
        <v>12.38</v>
      </c>
      <c r="F204" s="28">
        <v>11.54</v>
      </c>
      <c r="G204" s="19"/>
      <c r="H204" s="22">
        <f>(K201*10000000)/H201</f>
        <v>29.19413853</v>
      </c>
      <c r="I204" s="9"/>
      <c r="J204" s="22">
        <f>J201/H204</f>
        <v>2.780352635</v>
      </c>
      <c r="K204" s="9"/>
    </row>
    <row r="205">
      <c r="A205" s="4" t="s">
        <v>13</v>
      </c>
      <c r="B205" s="28">
        <v>86.29</v>
      </c>
      <c r="C205" s="28">
        <v>78.86</v>
      </c>
      <c r="D205" s="28">
        <v>52.29</v>
      </c>
      <c r="E205" s="28">
        <v>47.0</v>
      </c>
      <c r="F205" s="28">
        <v>45.05</v>
      </c>
      <c r="G205" s="17"/>
      <c r="H205" s="17"/>
      <c r="I205" s="18"/>
      <c r="J205" s="18"/>
      <c r="K205" s="18"/>
    </row>
    <row r="206">
      <c r="A206" s="4" t="s">
        <v>14</v>
      </c>
      <c r="B206" s="28">
        <v>42.48</v>
      </c>
      <c r="C206" s="28">
        <v>26.13</v>
      </c>
      <c r="D206" s="28">
        <v>17.7</v>
      </c>
      <c r="E206" s="28">
        <v>12.52</v>
      </c>
      <c r="F206" s="28">
        <v>7.9</v>
      </c>
      <c r="G206" s="19"/>
      <c r="H206" s="20" t="s">
        <v>15</v>
      </c>
      <c r="I206" s="21"/>
      <c r="J206" s="20" t="s">
        <v>16</v>
      </c>
      <c r="K206" s="21"/>
    </row>
    <row r="207">
      <c r="A207" s="4" t="s">
        <v>17</v>
      </c>
      <c r="B207" s="28"/>
      <c r="C207" s="30">
        <v>25.6</v>
      </c>
      <c r="D207" s="30">
        <v>10.69</v>
      </c>
      <c r="E207" s="30">
        <v>15.83</v>
      </c>
      <c r="F207" s="30">
        <v>12.4</v>
      </c>
      <c r="G207" s="19"/>
      <c r="H207" s="17">
        <f>(K201*10000000)/I201</f>
        <v>5.709337277</v>
      </c>
      <c r="I207" s="3"/>
      <c r="J207" s="17">
        <f>J201/H207</f>
        <v>14.21706164</v>
      </c>
      <c r="K207" s="3"/>
    </row>
    <row r="208">
      <c r="A208" s="4" t="s">
        <v>18</v>
      </c>
      <c r="B208" s="28"/>
      <c r="C208" s="30">
        <v>-40.85</v>
      </c>
      <c r="D208" s="30">
        <v>-3.46</v>
      </c>
      <c r="E208" s="30">
        <v>-3.21</v>
      </c>
      <c r="F208" s="30">
        <v>-15.76</v>
      </c>
      <c r="G208" s="19"/>
      <c r="H208" s="23"/>
      <c r="I208" s="24"/>
      <c r="J208" s="24"/>
      <c r="K208" s="24"/>
    </row>
    <row r="209">
      <c r="A209" s="4" t="s">
        <v>19</v>
      </c>
      <c r="B209" s="28"/>
      <c r="C209" s="30">
        <v>0.03</v>
      </c>
      <c r="D209" s="30">
        <v>0.0</v>
      </c>
      <c r="E209" s="30">
        <v>0.0</v>
      </c>
      <c r="F209" s="30">
        <v>0.02</v>
      </c>
      <c r="G209" s="19"/>
      <c r="H209" s="23"/>
      <c r="I209" s="24"/>
      <c r="J209" s="4" t="s">
        <v>20</v>
      </c>
      <c r="K209" s="19">
        <f>(B212*10000000)/I201</f>
        <v>1.560679341</v>
      </c>
    </row>
    <row r="210">
      <c r="A210" s="4" t="s">
        <v>21</v>
      </c>
      <c r="B210" s="19"/>
      <c r="C210" s="19">
        <f t="shared" ref="C210:F210" si="51">SUM(C207:C209)</f>
        <v>-15.22</v>
      </c>
      <c r="D210" s="19">
        <f t="shared" si="51"/>
        <v>7.23</v>
      </c>
      <c r="E210" s="19">
        <f t="shared" si="51"/>
        <v>12.62</v>
      </c>
      <c r="F210" s="19">
        <f t="shared" si="51"/>
        <v>-3.34</v>
      </c>
      <c r="G210" s="17"/>
      <c r="H210" s="27">
        <f t="shared" ref="H210:H215" si="52">(((B210/F210)^(1/5)-1)*100)</f>
        <v>-100</v>
      </c>
      <c r="I210" s="24"/>
      <c r="J210" s="4" t="s">
        <v>22</v>
      </c>
      <c r="K210" s="19">
        <f>J201/K209</f>
        <v>52.00940249</v>
      </c>
    </row>
    <row r="211">
      <c r="A211" s="4" t="s">
        <v>23</v>
      </c>
      <c r="B211" s="31">
        <v>32.1</v>
      </c>
      <c r="C211" s="31">
        <v>18.04</v>
      </c>
      <c r="D211" s="31">
        <v>16.69</v>
      </c>
      <c r="E211" s="31">
        <v>12.33</v>
      </c>
      <c r="F211" s="31">
        <v>9.8</v>
      </c>
      <c r="G211" s="17"/>
      <c r="H211" s="27">
        <f t="shared" si="52"/>
        <v>26.78147243</v>
      </c>
      <c r="I211" s="24"/>
      <c r="J211" s="4" t="s">
        <v>24</v>
      </c>
      <c r="K211" s="19">
        <f>(B211/(B201+B202))*100</f>
        <v>36.98156682</v>
      </c>
    </row>
    <row r="212">
      <c r="A212" s="4" t="s">
        <v>25</v>
      </c>
      <c r="B212" s="31">
        <v>23.73</v>
      </c>
      <c r="C212" s="31">
        <v>12.78</v>
      </c>
      <c r="D212" s="31">
        <v>11.74</v>
      </c>
      <c r="E212" s="31">
        <v>8.61</v>
      </c>
      <c r="F212" s="31">
        <v>6.65</v>
      </c>
      <c r="G212" s="17"/>
      <c r="H212" s="27">
        <f t="shared" si="52"/>
        <v>28.97193585</v>
      </c>
      <c r="I212" s="24"/>
      <c r="J212" s="4" t="s">
        <v>26</v>
      </c>
      <c r="K212" s="19">
        <f>(H201/I201)*100</f>
        <v>19.55645059</v>
      </c>
    </row>
    <row r="213">
      <c r="A213" s="4" t="s">
        <v>27</v>
      </c>
      <c r="B213" s="19">
        <f t="shared" ref="B213:F213" si="53">B203/(B201+B202)</f>
        <v>0.258640553</v>
      </c>
      <c r="C213" s="19">
        <f t="shared" si="53"/>
        <v>0.4596557714</v>
      </c>
      <c r="D213" s="19">
        <f t="shared" si="53"/>
        <v>0.1371891038</v>
      </c>
      <c r="E213" s="19">
        <f t="shared" si="53"/>
        <v>0.206552342</v>
      </c>
      <c r="F213" s="19">
        <f t="shared" si="53"/>
        <v>0.3617231174</v>
      </c>
      <c r="G213" s="19"/>
      <c r="H213" s="27">
        <f t="shared" si="52"/>
        <v>-6.488705081</v>
      </c>
      <c r="I213" s="24"/>
      <c r="J213" s="24"/>
      <c r="K213" s="24"/>
    </row>
    <row r="214">
      <c r="A214" s="4" t="s">
        <v>28</v>
      </c>
      <c r="B214" s="19">
        <f t="shared" ref="B214:F214" si="54">B202/B201</f>
        <v>4.321888412</v>
      </c>
      <c r="C214" s="19">
        <f t="shared" si="54"/>
        <v>2.88289393</v>
      </c>
      <c r="D214" s="19">
        <f t="shared" si="54"/>
        <v>2.106069896</v>
      </c>
      <c r="E214" s="19">
        <f t="shared" si="54"/>
        <v>1.395462906</v>
      </c>
      <c r="F214" s="19">
        <f t="shared" si="54"/>
        <v>0.8645003066</v>
      </c>
      <c r="G214" s="19"/>
      <c r="H214" s="27">
        <f t="shared" si="52"/>
        <v>37.9690518</v>
      </c>
      <c r="I214" s="24"/>
      <c r="J214" s="24"/>
      <c r="K214" s="24"/>
    </row>
    <row r="215">
      <c r="A215" s="4" t="s">
        <v>29</v>
      </c>
      <c r="B215" s="19">
        <f t="shared" ref="B215:F215" si="55">B206/B204</f>
        <v>2.177344951</v>
      </c>
      <c r="C215" s="19">
        <f t="shared" si="55"/>
        <v>2.082071713</v>
      </c>
      <c r="D215" s="19">
        <f t="shared" si="55"/>
        <v>1.428571429</v>
      </c>
      <c r="E215" s="19">
        <f t="shared" si="55"/>
        <v>1.011308562</v>
      </c>
      <c r="F215" s="19">
        <f t="shared" si="55"/>
        <v>0.6845753899</v>
      </c>
      <c r="G215" s="19"/>
      <c r="H215" s="27">
        <f t="shared" si="52"/>
        <v>26.0379095</v>
      </c>
      <c r="I215" s="24"/>
      <c r="J215" s="24"/>
      <c r="K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</row>
    <row r="217">
      <c r="A217" s="34" t="s">
        <v>41</v>
      </c>
      <c r="B217" s="2"/>
      <c r="C217" s="2"/>
      <c r="D217" s="2"/>
      <c r="E217" s="2"/>
      <c r="F217" s="2"/>
      <c r="G217" s="2"/>
      <c r="H217" s="2"/>
      <c r="I217" s="2"/>
      <c r="J217" s="2"/>
      <c r="K217" s="3"/>
    </row>
    <row r="218">
      <c r="A218" s="35" t="s">
        <v>1</v>
      </c>
      <c r="B218" s="36">
        <v>44642.0</v>
      </c>
      <c r="C218" s="36">
        <v>44641.0</v>
      </c>
      <c r="D218" s="36">
        <v>44640.0</v>
      </c>
      <c r="E218" s="36">
        <v>44639.0</v>
      </c>
      <c r="F218" s="36">
        <v>44638.0</v>
      </c>
      <c r="G218" s="36">
        <v>44637.0</v>
      </c>
      <c r="H218" s="37" t="s">
        <v>2</v>
      </c>
      <c r="I218" s="38" t="s">
        <v>3</v>
      </c>
      <c r="J218" s="37" t="s">
        <v>4</v>
      </c>
      <c r="K218" s="37" t="s">
        <v>5</v>
      </c>
    </row>
    <row r="219">
      <c r="A219" s="35" t="s">
        <v>6</v>
      </c>
      <c r="B219" s="28">
        <v>10.94</v>
      </c>
      <c r="C219" s="28">
        <v>10.94</v>
      </c>
      <c r="D219" s="28">
        <v>10.94</v>
      </c>
      <c r="E219" s="28">
        <v>10.94</v>
      </c>
      <c r="F219" s="28">
        <v>10.94</v>
      </c>
      <c r="G219" s="39"/>
      <c r="H219" s="40">
        <v>4021606.0</v>
      </c>
      <c r="I219" s="40">
        <v>1.012322E7</v>
      </c>
      <c r="J219" s="41">
        <f>IFERROR(__xludf.DUMMYFUNCTION("GOOGLEFINANCE(""BOM:"" &amp; ""523323"",""price"")"),3760.0)</f>
        <v>3760</v>
      </c>
      <c r="K219" s="42">
        <f>-B221-B222+B223+B224</f>
        <v>609.31</v>
      </c>
    </row>
    <row r="220">
      <c r="A220" s="35" t="s">
        <v>8</v>
      </c>
      <c r="B220" s="28">
        <v>598.37</v>
      </c>
      <c r="C220" s="28">
        <v>499.06</v>
      </c>
      <c r="D220" s="28">
        <v>420.09</v>
      </c>
      <c r="E220" s="28">
        <v>332.3</v>
      </c>
      <c r="F220" s="28">
        <v>279.05</v>
      </c>
      <c r="G220" s="39"/>
      <c r="H220" s="43"/>
      <c r="I220" s="43"/>
      <c r="J220" s="43"/>
      <c r="K220" s="43"/>
    </row>
    <row r="221">
      <c r="A221" s="35" t="s">
        <v>9</v>
      </c>
      <c r="B221" s="28">
        <v>570.33</v>
      </c>
      <c r="C221" s="28">
        <v>632.58</v>
      </c>
      <c r="D221" s="28">
        <v>570.99</v>
      </c>
      <c r="E221" s="28">
        <v>385.18</v>
      </c>
      <c r="F221" s="28">
        <v>211.95</v>
      </c>
      <c r="G221" s="44"/>
      <c r="H221" s="20" t="s">
        <v>10</v>
      </c>
      <c r="I221" s="21"/>
      <c r="J221" s="20" t="s">
        <v>11</v>
      </c>
      <c r="K221" s="21"/>
    </row>
    <row r="222">
      <c r="A222" s="35" t="s">
        <v>12</v>
      </c>
      <c r="B222" s="28">
        <v>163.02</v>
      </c>
      <c r="C222" s="28">
        <v>138.23</v>
      </c>
      <c r="D222" s="28">
        <v>105.19</v>
      </c>
      <c r="E222" s="28">
        <v>121.19</v>
      </c>
      <c r="F222" s="28">
        <v>105.59</v>
      </c>
      <c r="G222" s="44"/>
      <c r="H222" s="22">
        <f>(K219*10000000)/H219</f>
        <v>1515.091235</v>
      </c>
      <c r="I222" s="9"/>
      <c r="J222" s="22">
        <f>J219/H222</f>
        <v>2.481698735</v>
      </c>
      <c r="K222" s="9"/>
    </row>
    <row r="223">
      <c r="A223" s="35" t="s">
        <v>13</v>
      </c>
      <c r="B223" s="28">
        <v>1104.54</v>
      </c>
      <c r="C223" s="28">
        <v>1092.5</v>
      </c>
      <c r="D223" s="28">
        <v>964.81</v>
      </c>
      <c r="E223" s="28">
        <v>720.37</v>
      </c>
      <c r="F223" s="28">
        <v>486.74</v>
      </c>
      <c r="G223" s="44"/>
      <c r="H223" s="17"/>
      <c r="I223" s="18"/>
      <c r="J223" s="18"/>
      <c r="K223" s="18"/>
    </row>
    <row r="224">
      <c r="A224" s="35" t="s">
        <v>14</v>
      </c>
      <c r="B224" s="28">
        <v>238.12</v>
      </c>
      <c r="C224" s="28">
        <v>188.3</v>
      </c>
      <c r="D224" s="28">
        <v>142.4</v>
      </c>
      <c r="E224" s="28">
        <v>129.24</v>
      </c>
      <c r="F224" s="28">
        <v>120.8</v>
      </c>
      <c r="G224" s="44"/>
      <c r="H224" s="20" t="s">
        <v>15</v>
      </c>
      <c r="I224" s="21"/>
      <c r="J224" s="20" t="s">
        <v>16</v>
      </c>
      <c r="K224" s="21"/>
    </row>
    <row r="225">
      <c r="A225" s="35" t="s">
        <v>17</v>
      </c>
      <c r="B225" s="28"/>
      <c r="C225" s="30">
        <v>186.37</v>
      </c>
      <c r="D225" s="30">
        <v>151.95</v>
      </c>
      <c r="E225" s="30">
        <v>119.67</v>
      </c>
      <c r="F225" s="30">
        <v>86.94</v>
      </c>
      <c r="G225" s="44"/>
      <c r="H225" s="17">
        <f>(K219*10000000)/I219</f>
        <v>601.8934687</v>
      </c>
      <c r="I225" s="3"/>
      <c r="J225" s="17">
        <f>J219/H225</f>
        <v>6.246952651</v>
      </c>
      <c r="K225" s="3"/>
    </row>
    <row r="226">
      <c r="A226" s="35" t="s">
        <v>18</v>
      </c>
      <c r="B226" s="28"/>
      <c r="C226" s="30">
        <v>-180.93</v>
      </c>
      <c r="D226" s="30">
        <v>-265.9</v>
      </c>
      <c r="E226" s="30">
        <v>-276.71</v>
      </c>
      <c r="F226" s="30">
        <v>-128.45</v>
      </c>
      <c r="G226" s="44"/>
      <c r="H226" s="45"/>
      <c r="I226" s="46"/>
      <c r="J226" s="43"/>
      <c r="K226" s="43"/>
    </row>
    <row r="227">
      <c r="A227" s="35" t="s">
        <v>19</v>
      </c>
      <c r="B227" s="28"/>
      <c r="C227" s="30">
        <v>0.45</v>
      </c>
      <c r="D227" s="30">
        <v>0.2</v>
      </c>
      <c r="E227" s="30">
        <v>0.07</v>
      </c>
      <c r="F227" s="30">
        <v>0.61</v>
      </c>
      <c r="G227" s="44"/>
      <c r="H227" s="47"/>
      <c r="I227" s="48"/>
      <c r="J227" s="4" t="s">
        <v>20</v>
      </c>
      <c r="K227" s="19">
        <f>(B230*10000000)/I219</f>
        <v>102.9909456</v>
      </c>
    </row>
    <row r="228">
      <c r="A228" s="35" t="s">
        <v>21</v>
      </c>
      <c r="B228" s="19"/>
      <c r="C228" s="19">
        <f t="shared" ref="C228:F228" si="56">SUM(C225:C227)</f>
        <v>5.89</v>
      </c>
      <c r="D228" s="19">
        <f t="shared" si="56"/>
        <v>-113.75</v>
      </c>
      <c r="E228" s="19">
        <f t="shared" si="56"/>
        <v>-156.97</v>
      </c>
      <c r="F228" s="19">
        <f t="shared" si="56"/>
        <v>-40.9</v>
      </c>
      <c r="G228" s="44"/>
      <c r="H228" s="27" t="str">
        <f>(((C228/F228)^(1/4)-1)*100)</f>
        <v>#NUM!</v>
      </c>
      <c r="I228" s="48"/>
      <c r="J228" s="4" t="s">
        <v>22</v>
      </c>
      <c r="K228" s="19">
        <f>J219/K227</f>
        <v>36.50806369</v>
      </c>
    </row>
    <row r="229">
      <c r="A229" s="35" t="s">
        <v>23</v>
      </c>
      <c r="B229" s="31">
        <v>140.68</v>
      </c>
      <c r="C229" s="31">
        <v>105.74</v>
      </c>
      <c r="D229" s="31">
        <v>111.91</v>
      </c>
      <c r="E229" s="31">
        <v>92.84</v>
      </c>
      <c r="F229" s="31">
        <v>89.42</v>
      </c>
      <c r="G229" s="44"/>
      <c r="H229" s="27">
        <f t="shared" ref="H229:H233" si="57">(((B229/F229)^(1/5)-1)*100)</f>
        <v>9.486239353</v>
      </c>
      <c r="I229" s="48"/>
      <c r="J229" s="4" t="s">
        <v>24</v>
      </c>
      <c r="K229" s="19">
        <f>(B229/(B219+B220))*100</f>
        <v>23.08841148</v>
      </c>
    </row>
    <row r="230">
      <c r="A230" s="35" t="s">
        <v>25</v>
      </c>
      <c r="B230" s="31">
        <v>104.26</v>
      </c>
      <c r="C230" s="31">
        <v>77.69</v>
      </c>
      <c r="D230" s="31">
        <v>94.59</v>
      </c>
      <c r="E230" s="31">
        <v>60.14</v>
      </c>
      <c r="F230" s="31">
        <v>57.98</v>
      </c>
      <c r="G230" s="44"/>
      <c r="H230" s="27">
        <f t="shared" si="57"/>
        <v>12.45218591</v>
      </c>
      <c r="I230" s="48"/>
      <c r="J230" s="4" t="s">
        <v>26</v>
      </c>
      <c r="K230" s="19">
        <f>(H219/I219)*100</f>
        <v>39.72654946</v>
      </c>
    </row>
    <row r="231">
      <c r="A231" s="35" t="s">
        <v>27</v>
      </c>
      <c r="B231" s="19">
        <f t="shared" ref="B231:F231" si="58">B221/(B219+B220)</f>
        <v>0.9360259966</v>
      </c>
      <c r="C231" s="19">
        <f t="shared" si="58"/>
        <v>1.240352941</v>
      </c>
      <c r="D231" s="19">
        <f t="shared" si="58"/>
        <v>1.324710577</v>
      </c>
      <c r="E231" s="19">
        <f t="shared" si="58"/>
        <v>1.122188556</v>
      </c>
      <c r="F231" s="19">
        <f t="shared" si="58"/>
        <v>0.730887272</v>
      </c>
      <c r="G231" s="44"/>
      <c r="H231" s="27">
        <f t="shared" si="57"/>
        <v>5.072121795</v>
      </c>
      <c r="I231" s="46"/>
      <c r="J231" s="46"/>
      <c r="K231" s="46"/>
    </row>
    <row r="232">
      <c r="A232" s="35" t="s">
        <v>28</v>
      </c>
      <c r="B232" s="19">
        <f t="shared" ref="B232:F232" si="59">B220/B219</f>
        <v>54.69561243</v>
      </c>
      <c r="C232" s="19">
        <f t="shared" si="59"/>
        <v>45.6179159</v>
      </c>
      <c r="D232" s="19">
        <f t="shared" si="59"/>
        <v>38.39945155</v>
      </c>
      <c r="E232" s="19">
        <f t="shared" si="59"/>
        <v>30.37477148</v>
      </c>
      <c r="F232" s="19">
        <f t="shared" si="59"/>
        <v>25.50731261</v>
      </c>
      <c r="G232" s="44"/>
      <c r="H232" s="27">
        <f t="shared" si="57"/>
        <v>16.48166153</v>
      </c>
      <c r="I232" s="46"/>
      <c r="J232" s="46"/>
      <c r="K232" s="46"/>
    </row>
    <row r="233">
      <c r="A233" s="35" t="s">
        <v>29</v>
      </c>
      <c r="B233" s="19">
        <f t="shared" ref="B233:F233" si="60">B224/B222</f>
        <v>1.460679671</v>
      </c>
      <c r="C233" s="19">
        <f t="shared" si="60"/>
        <v>1.362222383</v>
      </c>
      <c r="D233" s="19">
        <f t="shared" si="60"/>
        <v>1.35374085</v>
      </c>
      <c r="E233" s="19">
        <f t="shared" si="60"/>
        <v>1.066424622</v>
      </c>
      <c r="F233" s="19">
        <f t="shared" si="60"/>
        <v>1.144047732</v>
      </c>
      <c r="G233" s="44"/>
      <c r="H233" s="27">
        <f t="shared" si="57"/>
        <v>5.007947102</v>
      </c>
      <c r="I233" s="46"/>
      <c r="J233" s="46"/>
      <c r="K233" s="46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</row>
    <row r="235">
      <c r="A235" s="34" t="s">
        <v>42</v>
      </c>
      <c r="B235" s="2"/>
      <c r="C235" s="2"/>
      <c r="D235" s="2"/>
      <c r="E235" s="2"/>
      <c r="F235" s="2"/>
      <c r="G235" s="2"/>
      <c r="H235" s="2"/>
      <c r="I235" s="2"/>
      <c r="J235" s="2"/>
      <c r="K235" s="3"/>
    </row>
    <row r="236">
      <c r="A236" s="35" t="s">
        <v>1</v>
      </c>
      <c r="B236" s="36">
        <v>44642.0</v>
      </c>
      <c r="C236" s="36">
        <v>44641.0</v>
      </c>
      <c r="D236" s="36">
        <v>44640.0</v>
      </c>
      <c r="E236" s="36">
        <v>44639.0</v>
      </c>
      <c r="F236" s="36">
        <v>44638.0</v>
      </c>
      <c r="G236" s="36">
        <v>44637.0</v>
      </c>
      <c r="H236" s="37" t="s">
        <v>2</v>
      </c>
      <c r="I236" s="38" t="s">
        <v>3</v>
      </c>
      <c r="J236" s="37" t="s">
        <v>4</v>
      </c>
      <c r="K236" s="37" t="s">
        <v>5</v>
      </c>
    </row>
    <row r="237">
      <c r="A237" s="35" t="s">
        <v>6</v>
      </c>
      <c r="B237" s="28">
        <v>20.8</v>
      </c>
      <c r="C237" s="28">
        <v>20.8</v>
      </c>
      <c r="D237" s="28">
        <v>20.8</v>
      </c>
      <c r="E237" s="28">
        <v>20.8</v>
      </c>
      <c r="F237" s="28">
        <v>20.8</v>
      </c>
      <c r="G237" s="39"/>
      <c r="H237" s="40">
        <v>8787885.0</v>
      </c>
      <c r="I237" s="40">
        <v>2.0795423E7</v>
      </c>
      <c r="J237" s="41">
        <f>IFERROR(__xludf.DUMMYFUNCTION("GOOGLEFINANCE(""NSE:"" &amp; A235,""price"")"),55.5)</f>
        <v>55.5</v>
      </c>
      <c r="K237" s="42">
        <f>-B239-B240+B241+B242</f>
        <v>54.6</v>
      </c>
    </row>
    <row r="238">
      <c r="A238" s="35" t="s">
        <v>8</v>
      </c>
      <c r="B238" s="28">
        <v>33.81</v>
      </c>
      <c r="C238" s="28">
        <v>31.9</v>
      </c>
      <c r="D238" s="28">
        <v>30.46</v>
      </c>
      <c r="E238" s="28">
        <v>29.32</v>
      </c>
      <c r="F238" s="28">
        <v>29.84</v>
      </c>
      <c r="G238" s="39"/>
      <c r="H238" s="43"/>
      <c r="I238" s="43"/>
      <c r="J238" s="43"/>
      <c r="K238" s="43"/>
    </row>
    <row r="239">
      <c r="A239" s="35" t="s">
        <v>9</v>
      </c>
      <c r="B239" s="28">
        <v>1.24</v>
      </c>
      <c r="C239" s="28">
        <v>0.71</v>
      </c>
      <c r="D239" s="28">
        <v>1.09</v>
      </c>
      <c r="E239" s="28">
        <v>0.55</v>
      </c>
      <c r="F239" s="28">
        <v>0.59</v>
      </c>
      <c r="G239" s="44"/>
      <c r="H239" s="20" t="s">
        <v>10</v>
      </c>
      <c r="I239" s="21"/>
      <c r="J239" s="20" t="s">
        <v>11</v>
      </c>
      <c r="K239" s="21"/>
    </row>
    <row r="240">
      <c r="A240" s="35" t="s">
        <v>12</v>
      </c>
      <c r="B240" s="28">
        <v>5.75</v>
      </c>
      <c r="C240" s="28">
        <v>5.82</v>
      </c>
      <c r="D240" s="28">
        <v>6.1</v>
      </c>
      <c r="E240" s="28">
        <v>5.98</v>
      </c>
      <c r="F240" s="28">
        <v>6.99</v>
      </c>
      <c r="G240" s="44"/>
      <c r="H240" s="22">
        <f>(K237*10000000)/H237</f>
        <v>62.13099056</v>
      </c>
      <c r="I240" s="9"/>
      <c r="J240" s="22">
        <f>J237/H240</f>
        <v>0.8932740247</v>
      </c>
      <c r="K240" s="9"/>
    </row>
    <row r="241">
      <c r="A241" s="35" t="s">
        <v>13</v>
      </c>
      <c r="B241" s="28">
        <v>48.73</v>
      </c>
      <c r="C241" s="28">
        <v>45.63</v>
      </c>
      <c r="D241" s="28">
        <v>47.74</v>
      </c>
      <c r="E241" s="28">
        <v>50.06</v>
      </c>
      <c r="F241" s="28">
        <v>50.12</v>
      </c>
      <c r="G241" s="44"/>
      <c r="H241" s="17"/>
      <c r="I241" s="18"/>
      <c r="J241" s="18"/>
      <c r="K241" s="18"/>
    </row>
    <row r="242">
      <c r="A242" s="35" t="s">
        <v>14</v>
      </c>
      <c r="B242" s="28">
        <v>12.86</v>
      </c>
      <c r="C242" s="28">
        <v>13.6</v>
      </c>
      <c r="D242" s="28">
        <v>10.7</v>
      </c>
      <c r="E242" s="28">
        <v>6.59</v>
      </c>
      <c r="F242" s="28">
        <v>8.09</v>
      </c>
      <c r="G242" s="44"/>
      <c r="H242" s="20" t="s">
        <v>15</v>
      </c>
      <c r="I242" s="21"/>
      <c r="J242" s="20" t="s">
        <v>16</v>
      </c>
      <c r="K242" s="21"/>
    </row>
    <row r="243">
      <c r="A243" s="35" t="s">
        <v>17</v>
      </c>
      <c r="B243" s="28"/>
      <c r="C243" s="30"/>
      <c r="D243" s="30"/>
      <c r="E243" s="30"/>
      <c r="F243" s="30"/>
      <c r="G243" s="44"/>
      <c r="H243" s="17">
        <f>(K237*10000000)/I237</f>
        <v>26.25577753</v>
      </c>
      <c r="I243" s="3"/>
      <c r="J243" s="17">
        <f>J237/H243</f>
        <v>2.11382047</v>
      </c>
      <c r="K243" s="3"/>
    </row>
    <row r="244">
      <c r="A244" s="35" t="s">
        <v>18</v>
      </c>
      <c r="B244" s="28"/>
      <c r="C244" s="30"/>
      <c r="D244" s="30"/>
      <c r="E244" s="30"/>
      <c r="F244" s="30"/>
      <c r="G244" s="44"/>
      <c r="H244" s="45"/>
      <c r="I244" s="46"/>
      <c r="J244" s="43"/>
      <c r="K244" s="43"/>
    </row>
    <row r="245">
      <c r="A245" s="35" t="s">
        <v>19</v>
      </c>
      <c r="B245" s="28"/>
      <c r="C245" s="30"/>
      <c r="D245" s="30"/>
      <c r="E245" s="30"/>
      <c r="F245" s="30"/>
      <c r="G245" s="44"/>
      <c r="H245" s="47"/>
      <c r="I245" s="48"/>
      <c r="J245" s="4" t="s">
        <v>20</v>
      </c>
      <c r="K245" s="19">
        <f>(B248*10000000)/I237</f>
        <v>1.433007638</v>
      </c>
    </row>
    <row r="246">
      <c r="A246" s="35" t="s">
        <v>21</v>
      </c>
      <c r="B246" s="19"/>
      <c r="C246" s="19">
        <f t="shared" ref="C246:F246" si="61">SUM(C243:C245)</f>
        <v>0</v>
      </c>
      <c r="D246" s="19">
        <f t="shared" si="61"/>
        <v>0</v>
      </c>
      <c r="E246" s="19">
        <f t="shared" si="61"/>
        <v>0</v>
      </c>
      <c r="F246" s="19">
        <f t="shared" si="61"/>
        <v>0</v>
      </c>
      <c r="G246" s="44"/>
      <c r="H246" s="27" t="str">
        <f t="shared" ref="H246:H251" si="62">(((B246/F246)^(1/5)-1)*100)</f>
        <v>#DIV/0!</v>
      </c>
      <c r="I246" s="48"/>
      <c r="J246" s="4" t="s">
        <v>22</v>
      </c>
      <c r="K246" s="19">
        <f>J237/K245</f>
        <v>38.72973076</v>
      </c>
    </row>
    <row r="247">
      <c r="A247" s="35" t="s">
        <v>23</v>
      </c>
      <c r="B247" s="31">
        <v>4.09</v>
      </c>
      <c r="C247" s="31">
        <v>1.99</v>
      </c>
      <c r="D247" s="31">
        <v>1.46</v>
      </c>
      <c r="E247" s="31">
        <v>0.63</v>
      </c>
      <c r="F247" s="31">
        <v>1.7</v>
      </c>
      <c r="G247" s="44"/>
      <c r="H247" s="27">
        <f t="shared" si="62"/>
        <v>19.19413254</v>
      </c>
      <c r="I247" s="48"/>
      <c r="J247" s="4" t="s">
        <v>24</v>
      </c>
      <c r="K247" s="19">
        <f>(B247/(B237+B238))*100</f>
        <v>7.489470793</v>
      </c>
    </row>
    <row r="248">
      <c r="A248" s="35" t="s">
        <v>25</v>
      </c>
      <c r="B248" s="31">
        <v>2.98</v>
      </c>
      <c r="C248" s="31">
        <v>1.57</v>
      </c>
      <c r="D248" s="31">
        <v>1.06</v>
      </c>
      <c r="E248" s="31">
        <v>0.71</v>
      </c>
      <c r="F248" s="31">
        <v>1.75</v>
      </c>
      <c r="G248" s="44"/>
      <c r="H248" s="27">
        <f t="shared" si="62"/>
        <v>11.23351035</v>
      </c>
      <c r="I248" s="48"/>
      <c r="J248" s="4" t="s">
        <v>26</v>
      </c>
      <c r="K248" s="19">
        <f>(H237/I237)*100</f>
        <v>42.25874607</v>
      </c>
    </row>
    <row r="249">
      <c r="A249" s="35" t="s">
        <v>27</v>
      </c>
      <c r="B249" s="19">
        <f t="shared" ref="B249:F249" si="63">B239/(B237+B238)</f>
        <v>0.02270646402</v>
      </c>
      <c r="C249" s="19">
        <f t="shared" si="63"/>
        <v>0.01347248577</v>
      </c>
      <c r="D249" s="19">
        <f t="shared" si="63"/>
        <v>0.02126414358</v>
      </c>
      <c r="E249" s="19">
        <f t="shared" si="63"/>
        <v>0.01097366321</v>
      </c>
      <c r="F249" s="19">
        <f t="shared" si="63"/>
        <v>0.01165086888</v>
      </c>
      <c r="G249" s="44"/>
      <c r="H249" s="27">
        <f t="shared" si="62"/>
        <v>14.27684424</v>
      </c>
      <c r="I249" s="46"/>
      <c r="J249" s="46"/>
      <c r="K249" s="46"/>
    </row>
    <row r="250">
      <c r="A250" s="35" t="s">
        <v>28</v>
      </c>
      <c r="B250" s="19">
        <f t="shared" ref="B250:F250" si="64">B238/B237</f>
        <v>1.625480769</v>
      </c>
      <c r="C250" s="19">
        <f t="shared" si="64"/>
        <v>1.533653846</v>
      </c>
      <c r="D250" s="19">
        <f t="shared" si="64"/>
        <v>1.464423077</v>
      </c>
      <c r="E250" s="19">
        <f t="shared" si="64"/>
        <v>1.409615385</v>
      </c>
      <c r="F250" s="19">
        <f t="shared" si="64"/>
        <v>1.434615385</v>
      </c>
      <c r="G250" s="44"/>
      <c r="H250" s="27">
        <f t="shared" si="62"/>
        <v>2.529601731</v>
      </c>
      <c r="I250" s="46"/>
      <c r="J250" s="46"/>
      <c r="K250" s="46"/>
    </row>
    <row r="251">
      <c r="A251" s="35" t="s">
        <v>29</v>
      </c>
      <c r="B251" s="19">
        <f t="shared" ref="B251:F251" si="65">B242/B240</f>
        <v>2.236521739</v>
      </c>
      <c r="C251" s="19">
        <f t="shared" si="65"/>
        <v>2.336769759</v>
      </c>
      <c r="D251" s="19">
        <f t="shared" si="65"/>
        <v>1.754098361</v>
      </c>
      <c r="E251" s="19">
        <f t="shared" si="65"/>
        <v>1.102006689</v>
      </c>
      <c r="F251" s="19">
        <f t="shared" si="65"/>
        <v>1.157367668</v>
      </c>
      <c r="G251" s="44"/>
      <c r="H251" s="27">
        <f t="shared" si="62"/>
        <v>14.08284829</v>
      </c>
      <c r="I251" s="46"/>
      <c r="J251" s="46"/>
      <c r="K251" s="46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</row>
    <row r="253">
      <c r="A253" s="34" t="s">
        <v>43</v>
      </c>
      <c r="B253" s="2"/>
      <c r="C253" s="2"/>
      <c r="D253" s="2"/>
      <c r="E253" s="2"/>
      <c r="F253" s="2"/>
      <c r="G253" s="2"/>
      <c r="H253" s="2"/>
      <c r="I253" s="2"/>
      <c r="J253" s="2"/>
      <c r="K253" s="3"/>
    </row>
    <row r="254">
      <c r="A254" s="35" t="s">
        <v>1</v>
      </c>
      <c r="B254" s="36">
        <v>44642.0</v>
      </c>
      <c r="C254" s="36">
        <v>44641.0</v>
      </c>
      <c r="D254" s="36">
        <v>44640.0</v>
      </c>
      <c r="E254" s="36">
        <v>44639.0</v>
      </c>
      <c r="F254" s="36">
        <v>44638.0</v>
      </c>
      <c r="G254" s="36">
        <v>44637.0</v>
      </c>
      <c r="H254" s="37" t="s">
        <v>2</v>
      </c>
      <c r="I254" s="38" t="s">
        <v>3</v>
      </c>
      <c r="J254" s="37" t="s">
        <v>4</v>
      </c>
      <c r="K254" s="37" t="s">
        <v>5</v>
      </c>
    </row>
    <row r="255">
      <c r="A255" s="35" t="s">
        <v>6</v>
      </c>
      <c r="B255" s="28">
        <v>969.61</v>
      </c>
      <c r="C255" s="28">
        <v>965.95</v>
      </c>
      <c r="D255" s="28">
        <v>537.24</v>
      </c>
      <c r="E255" s="28">
        <v>537.24</v>
      </c>
      <c r="F255" s="28"/>
      <c r="G255" s="39"/>
      <c r="H255" s="40">
        <v>4.78629931E8</v>
      </c>
      <c r="I255" s="40">
        <v>9.69634392E8</v>
      </c>
      <c r="J255" s="41">
        <f>IFERROR(__xludf.DUMMYFUNCTION("GOOGLEFINANCE(""NSE:"" &amp; A253,""price"")"),817.1)</f>
        <v>817.1</v>
      </c>
      <c r="K255" s="42">
        <f>-B257-B258+B259+B260</f>
        <v>6309.02</v>
      </c>
    </row>
    <row r="256">
      <c r="A256" s="35" t="s">
        <v>8</v>
      </c>
      <c r="B256" s="28">
        <v>5339.41</v>
      </c>
      <c r="C256" s="28">
        <v>4946.97</v>
      </c>
      <c r="D256" s="28">
        <v>2337.84</v>
      </c>
      <c r="E256" s="28">
        <v>749.46</v>
      </c>
      <c r="F256" s="28"/>
      <c r="G256" s="39"/>
      <c r="H256" s="43"/>
      <c r="I256" s="43"/>
      <c r="J256" s="43"/>
      <c r="K256" s="43"/>
    </row>
    <row r="257">
      <c r="A257" s="35" t="s">
        <v>9</v>
      </c>
      <c r="B257" s="28">
        <v>897.33</v>
      </c>
      <c r="C257" s="28">
        <v>928.37</v>
      </c>
      <c r="D257" s="28">
        <v>3.44</v>
      </c>
      <c r="E257" s="28">
        <v>346.97</v>
      </c>
      <c r="F257" s="28"/>
      <c r="G257" s="44"/>
      <c r="H257" s="20" t="s">
        <v>10</v>
      </c>
      <c r="I257" s="21"/>
      <c r="J257" s="20" t="s">
        <v>11</v>
      </c>
      <c r="K257" s="21"/>
    </row>
    <row r="258">
      <c r="A258" s="35" t="s">
        <v>12</v>
      </c>
      <c r="B258" s="28">
        <v>295.69</v>
      </c>
      <c r="C258" s="28">
        <v>275.15</v>
      </c>
      <c r="D258" s="28">
        <v>674.29</v>
      </c>
      <c r="E258" s="28">
        <v>317.75</v>
      </c>
      <c r="F258" s="28"/>
      <c r="G258" s="44"/>
      <c r="H258" s="22">
        <f>(K255*10000000)/H255</f>
        <v>131.8141552</v>
      </c>
      <c r="I258" s="9"/>
      <c r="J258" s="22">
        <f>J255/H258</f>
        <v>6.198879012</v>
      </c>
      <c r="K258" s="9"/>
    </row>
    <row r="259">
      <c r="A259" s="35" t="s">
        <v>13</v>
      </c>
      <c r="B259" s="28">
        <v>6803.6</v>
      </c>
      <c r="C259" s="28">
        <v>6181.1</v>
      </c>
      <c r="D259" s="28">
        <v>756.86</v>
      </c>
      <c r="E259" s="28">
        <v>1591.56</v>
      </c>
      <c r="F259" s="28"/>
      <c r="G259" s="44"/>
      <c r="H259" s="17"/>
      <c r="I259" s="18"/>
      <c r="J259" s="18"/>
      <c r="K259" s="18"/>
    </row>
    <row r="260">
      <c r="A260" s="35" t="s">
        <v>14</v>
      </c>
      <c r="B260" s="28">
        <v>698.44</v>
      </c>
      <c r="C260" s="28">
        <v>961.85</v>
      </c>
      <c r="D260" s="28">
        <v>2795.95</v>
      </c>
      <c r="E260" s="28">
        <v>359.86</v>
      </c>
      <c r="F260" s="28"/>
      <c r="G260" s="44"/>
      <c r="H260" s="20" t="s">
        <v>15</v>
      </c>
      <c r="I260" s="21"/>
      <c r="J260" s="20" t="s">
        <v>16</v>
      </c>
      <c r="K260" s="21"/>
    </row>
    <row r="261">
      <c r="A261" s="35" t="s">
        <v>17</v>
      </c>
      <c r="B261" s="28"/>
      <c r="C261" s="30"/>
      <c r="D261" s="30"/>
      <c r="E261" s="30"/>
      <c r="F261" s="30"/>
      <c r="G261" s="44"/>
      <c r="H261" s="17">
        <f>(K255*10000000)/I255</f>
        <v>65.06596767</v>
      </c>
      <c r="I261" s="3"/>
      <c r="J261" s="17">
        <f>J255/H261</f>
        <v>12.55802425</v>
      </c>
      <c r="K261" s="3"/>
    </row>
    <row r="262">
      <c r="A262" s="35" t="s">
        <v>18</v>
      </c>
      <c r="B262" s="28"/>
      <c r="C262" s="30"/>
      <c r="D262" s="30"/>
      <c r="E262" s="30"/>
      <c r="F262" s="30"/>
      <c r="G262" s="44"/>
      <c r="H262" s="45"/>
      <c r="I262" s="46"/>
      <c r="J262" s="43"/>
      <c r="K262" s="43"/>
    </row>
    <row r="263">
      <c r="A263" s="35" t="s">
        <v>19</v>
      </c>
      <c r="B263" s="28"/>
      <c r="C263" s="30"/>
      <c r="D263" s="30"/>
      <c r="E263" s="30"/>
      <c r="F263" s="30"/>
      <c r="G263" s="44"/>
      <c r="H263" s="47"/>
      <c r="I263" s="48"/>
      <c r="J263" s="4" t="s">
        <v>20</v>
      </c>
      <c r="K263" s="19">
        <f>(B266*10000000)/I255</f>
        <v>3.414998506</v>
      </c>
    </row>
    <row r="264">
      <c r="A264" s="35" t="s">
        <v>21</v>
      </c>
      <c r="B264" s="19"/>
      <c r="C264" s="19">
        <f t="shared" ref="C264:E264" si="66">SUM(C261:C263)</f>
        <v>0</v>
      </c>
      <c r="D264" s="19">
        <f t="shared" si="66"/>
        <v>0</v>
      </c>
      <c r="E264" s="19">
        <f t="shared" si="66"/>
        <v>0</v>
      </c>
      <c r="F264" s="19"/>
      <c r="G264" s="44"/>
      <c r="H264" s="27" t="str">
        <f>(((B264/F264)^(1/5)-1)*100)</f>
        <v>#DIV/0!</v>
      </c>
      <c r="I264" s="48"/>
      <c r="J264" s="4" t="s">
        <v>22</v>
      </c>
      <c r="K264" s="19">
        <f>J255/K263</f>
        <v>239.2680403</v>
      </c>
    </row>
    <row r="265">
      <c r="A265" s="35" t="s">
        <v>23</v>
      </c>
      <c r="B265" s="31">
        <v>402.99</v>
      </c>
      <c r="C265" s="31">
        <v>-146.46</v>
      </c>
      <c r="D265" s="31">
        <v>-3.1</v>
      </c>
      <c r="E265" s="31">
        <v>-14.01</v>
      </c>
      <c r="F265" s="31"/>
      <c r="G265" s="44"/>
      <c r="H265" s="27" t="str">
        <f t="shared" ref="H265:H269" si="67">(((B265/E265)^(1/4)-1)*100)</f>
        <v>#NUM!</v>
      </c>
      <c r="I265" s="48"/>
      <c r="J265" s="4" t="s">
        <v>24</v>
      </c>
      <c r="K265" s="19">
        <f>(B265/(B255+B256))*100</f>
        <v>6.387521358</v>
      </c>
    </row>
    <row r="266">
      <c r="A266" s="35" t="s">
        <v>25</v>
      </c>
      <c r="B266" s="31">
        <v>331.13</v>
      </c>
      <c r="C266" s="31">
        <v>-164.45</v>
      </c>
      <c r="D266" s="31">
        <v>-2.96</v>
      </c>
      <c r="E266" s="31">
        <v>-22.98</v>
      </c>
      <c r="F266" s="31"/>
      <c r="G266" s="44"/>
      <c r="H266" s="27" t="str">
        <f t="shared" si="67"/>
        <v>#NUM!</v>
      </c>
      <c r="I266" s="48"/>
      <c r="J266" s="4" t="s">
        <v>26</v>
      </c>
      <c r="K266" s="19">
        <f>(H255/I255)*100</f>
        <v>49.36189712</v>
      </c>
    </row>
    <row r="267">
      <c r="A267" s="35" t="s">
        <v>27</v>
      </c>
      <c r="B267" s="19">
        <f t="shared" ref="B267:E267" si="68">B257/(B255+B256)</f>
        <v>0.1422296965</v>
      </c>
      <c r="C267" s="19">
        <f t="shared" si="68"/>
        <v>0.1570070287</v>
      </c>
      <c r="D267" s="19">
        <f t="shared" si="68"/>
        <v>0.001196488446</v>
      </c>
      <c r="E267" s="19">
        <f t="shared" si="68"/>
        <v>0.2696588171</v>
      </c>
      <c r="F267" s="19"/>
      <c r="G267" s="44"/>
      <c r="H267" s="27">
        <f t="shared" si="67"/>
        <v>-14.77953206</v>
      </c>
      <c r="I267" s="46"/>
      <c r="J267" s="46"/>
      <c r="K267" s="46"/>
    </row>
    <row r="268">
      <c r="A268" s="35" t="s">
        <v>28</v>
      </c>
      <c r="B268" s="19">
        <f t="shared" ref="B268:E268" si="69">B256/B255</f>
        <v>5.50676045</v>
      </c>
      <c r="C268" s="19">
        <f t="shared" si="69"/>
        <v>5.121352037</v>
      </c>
      <c r="D268" s="19">
        <f t="shared" si="69"/>
        <v>4.351574715</v>
      </c>
      <c r="E268" s="19">
        <f t="shared" si="69"/>
        <v>1.395018986</v>
      </c>
      <c r="F268" s="19"/>
      <c r="G268" s="44"/>
      <c r="H268" s="27">
        <f t="shared" si="67"/>
        <v>40.95452311</v>
      </c>
      <c r="I268" s="46"/>
      <c r="J268" s="46"/>
      <c r="K268" s="46"/>
    </row>
    <row r="269">
      <c r="A269" s="35" t="s">
        <v>29</v>
      </c>
      <c r="B269" s="19">
        <f t="shared" ref="B269:E269" si="70">B260/B258</f>
        <v>2.362068382</v>
      </c>
      <c r="C269" s="19">
        <f t="shared" si="70"/>
        <v>3.495729602</v>
      </c>
      <c r="D269" s="19">
        <f t="shared" si="70"/>
        <v>4.146509662</v>
      </c>
      <c r="E269" s="19">
        <f t="shared" si="70"/>
        <v>1.13252557</v>
      </c>
      <c r="F269" s="19"/>
      <c r="G269" s="44"/>
      <c r="H269" s="27">
        <f t="shared" si="67"/>
        <v>20.1741648</v>
      </c>
      <c r="I269" s="46"/>
      <c r="J269" s="46"/>
      <c r="K269" s="46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</row>
    <row r="271">
      <c r="A271" s="34" t="s">
        <v>44</v>
      </c>
      <c r="B271" s="2"/>
      <c r="C271" s="2"/>
      <c r="D271" s="2"/>
      <c r="E271" s="2"/>
      <c r="F271" s="2"/>
      <c r="G271" s="2"/>
      <c r="H271" s="2"/>
      <c r="I271" s="2"/>
      <c r="J271" s="2"/>
      <c r="K271" s="3"/>
    </row>
    <row r="272">
      <c r="A272" s="35" t="s">
        <v>1</v>
      </c>
      <c r="B272" s="36">
        <v>44642.0</v>
      </c>
      <c r="C272" s="36">
        <v>44641.0</v>
      </c>
      <c r="D272" s="36">
        <v>44640.0</v>
      </c>
      <c r="E272" s="36">
        <v>44639.0</v>
      </c>
      <c r="F272" s="36">
        <v>44638.0</v>
      </c>
      <c r="G272" s="36">
        <v>44637.0</v>
      </c>
      <c r="H272" s="37" t="s">
        <v>2</v>
      </c>
      <c r="I272" s="38" t="s">
        <v>3</v>
      </c>
      <c r="J272" s="37" t="s">
        <v>4</v>
      </c>
      <c r="K272" s="37" t="s">
        <v>5</v>
      </c>
    </row>
    <row r="273">
      <c r="A273" s="35" t="s">
        <v>6</v>
      </c>
      <c r="B273" s="28">
        <v>204.36</v>
      </c>
      <c r="C273" s="28">
        <v>204.36</v>
      </c>
      <c r="D273" s="28">
        <v>204.36</v>
      </c>
      <c r="E273" s="28">
        <v>204.36</v>
      </c>
      <c r="F273" s="28">
        <v>204.36</v>
      </c>
      <c r="G273" s="39"/>
      <c r="H273" s="40">
        <v>7.2470187E7</v>
      </c>
      <c r="I273" s="40">
        <v>2.04360803E8</v>
      </c>
      <c r="J273" s="41">
        <f>IFERROR(__xludf.DUMMYFUNCTION("GOOGLEFINANCE(""NSE:"" &amp; A271,""price"")"),1294.0)</f>
        <v>1294</v>
      </c>
      <c r="K273" s="42">
        <f>-B275-B276+B277+B278</f>
        <v>1225.09</v>
      </c>
    </row>
    <row r="274">
      <c r="A274" s="35" t="s">
        <v>8</v>
      </c>
      <c r="B274" s="28">
        <v>1020.73</v>
      </c>
      <c r="C274" s="28">
        <v>885.28</v>
      </c>
      <c r="D274" s="28">
        <v>961.52</v>
      </c>
      <c r="E274" s="28">
        <v>963.49</v>
      </c>
      <c r="F274" s="28">
        <v>916.33</v>
      </c>
      <c r="G274" s="39"/>
      <c r="H274" s="43"/>
      <c r="I274" s="43"/>
      <c r="J274" s="43"/>
      <c r="K274" s="43"/>
    </row>
    <row r="275">
      <c r="A275" s="35" t="s">
        <v>9</v>
      </c>
      <c r="B275" s="28">
        <v>546.36</v>
      </c>
      <c r="C275" s="28">
        <v>534.62</v>
      </c>
      <c r="D275" s="28">
        <v>656.55</v>
      </c>
      <c r="E275" s="28">
        <v>568.14</v>
      </c>
      <c r="F275" s="28">
        <v>536.92</v>
      </c>
      <c r="G275" s="44"/>
      <c r="H275" s="20" t="s">
        <v>10</v>
      </c>
      <c r="I275" s="21"/>
      <c r="J275" s="20" t="s">
        <v>11</v>
      </c>
      <c r="K275" s="21"/>
    </row>
    <row r="276">
      <c r="A276" s="35" t="s">
        <v>12</v>
      </c>
      <c r="B276" s="28">
        <v>510.23</v>
      </c>
      <c r="C276" s="28">
        <v>476.39</v>
      </c>
      <c r="D276" s="28">
        <v>397.74</v>
      </c>
      <c r="E276" s="28">
        <v>338.42</v>
      </c>
      <c r="F276" s="28">
        <v>336.24</v>
      </c>
      <c r="G276" s="44"/>
      <c r="H276" s="22">
        <f>(K273*10000000)/H273</f>
        <v>169.0474457</v>
      </c>
      <c r="I276" s="9"/>
      <c r="J276" s="22">
        <f>J273/H276</f>
        <v>7.654655738</v>
      </c>
      <c r="K276" s="9"/>
    </row>
    <row r="277">
      <c r="A277" s="35" t="s">
        <v>13</v>
      </c>
      <c r="B277" s="28">
        <v>1884.33</v>
      </c>
      <c r="C277" s="28">
        <v>1812.55</v>
      </c>
      <c r="D277" s="28">
        <v>1932.66</v>
      </c>
      <c r="E277" s="28">
        <v>1765.39</v>
      </c>
      <c r="F277" s="28">
        <v>1689.21</v>
      </c>
      <c r="G277" s="44"/>
      <c r="H277" s="17"/>
      <c r="I277" s="18"/>
      <c r="J277" s="18"/>
      <c r="K277" s="18"/>
    </row>
    <row r="278">
      <c r="A278" s="35" t="s">
        <v>14</v>
      </c>
      <c r="B278" s="28">
        <v>397.35</v>
      </c>
      <c r="C278" s="28">
        <v>288.11</v>
      </c>
      <c r="D278" s="28">
        <v>287.51</v>
      </c>
      <c r="E278" s="28">
        <v>309.02</v>
      </c>
      <c r="F278" s="28">
        <v>304.64</v>
      </c>
      <c r="G278" s="44"/>
      <c r="H278" s="20" t="s">
        <v>15</v>
      </c>
      <c r="I278" s="21"/>
      <c r="J278" s="20" t="s">
        <v>16</v>
      </c>
      <c r="K278" s="21"/>
    </row>
    <row r="279">
      <c r="A279" s="35" t="s">
        <v>17</v>
      </c>
      <c r="B279" s="28"/>
      <c r="C279" s="30"/>
      <c r="D279" s="30"/>
      <c r="E279" s="30"/>
      <c r="F279" s="30"/>
      <c r="G279" s="44"/>
      <c r="H279" s="17">
        <f>(K273*10000000)/I273</f>
        <v>59.94740586</v>
      </c>
      <c r="I279" s="3"/>
      <c r="J279" s="17">
        <f>J273/H279</f>
        <v>21.58558792</v>
      </c>
      <c r="K279" s="3"/>
    </row>
    <row r="280">
      <c r="A280" s="35" t="s">
        <v>18</v>
      </c>
      <c r="B280" s="28"/>
      <c r="C280" s="30"/>
      <c r="D280" s="30"/>
      <c r="E280" s="30"/>
      <c r="F280" s="30"/>
      <c r="G280" s="44"/>
      <c r="H280" s="45"/>
      <c r="I280" s="46"/>
      <c r="J280" s="43"/>
      <c r="K280" s="43"/>
    </row>
    <row r="281">
      <c r="A281" s="35" t="s">
        <v>19</v>
      </c>
      <c r="B281" s="28"/>
      <c r="C281" s="30"/>
      <c r="D281" s="30"/>
      <c r="E281" s="30"/>
      <c r="F281" s="30"/>
      <c r="G281" s="44"/>
      <c r="H281" s="47"/>
      <c r="I281" s="48"/>
      <c r="J281" s="4" t="s">
        <v>20</v>
      </c>
      <c r="K281" s="19">
        <f>(B284*10000000)/I273</f>
        <v>6.537457185</v>
      </c>
    </row>
    <row r="282">
      <c r="A282" s="35" t="s">
        <v>21</v>
      </c>
      <c r="B282" s="19"/>
      <c r="C282" s="19">
        <f t="shared" ref="C282:F282" si="71">SUM(C279:C281)</f>
        <v>0</v>
      </c>
      <c r="D282" s="19">
        <f t="shared" si="71"/>
        <v>0</v>
      </c>
      <c r="E282" s="19">
        <f t="shared" si="71"/>
        <v>0</v>
      </c>
      <c r="F282" s="19">
        <f t="shared" si="71"/>
        <v>0</v>
      </c>
      <c r="G282" s="44"/>
      <c r="H282" s="27" t="str">
        <f>(((B282/F282)^(1/5)-1)*100)</f>
        <v>#DIV/0!</v>
      </c>
      <c r="I282" s="48"/>
      <c r="J282" s="4" t="s">
        <v>22</v>
      </c>
      <c r="K282" s="19">
        <f>J273/K281</f>
        <v>197.9362867</v>
      </c>
    </row>
    <row r="283">
      <c r="A283" s="35" t="s">
        <v>23</v>
      </c>
      <c r="B283" s="31">
        <v>205.5</v>
      </c>
      <c r="C283" s="31">
        <v>-120.99</v>
      </c>
      <c r="D283" s="31">
        <v>104.0</v>
      </c>
      <c r="E283" s="31">
        <v>79.4</v>
      </c>
      <c r="F283" s="31">
        <v>95.41</v>
      </c>
      <c r="G283" s="44"/>
      <c r="H283" s="27">
        <f t="shared" ref="H283:H287" si="72">(((B283/E283)^(1/4)-1)*100)</f>
        <v>26.83754602</v>
      </c>
      <c r="I283" s="48"/>
      <c r="J283" s="4" t="s">
        <v>24</v>
      </c>
      <c r="K283" s="19">
        <f>(B283/(B273+B274))*100</f>
        <v>16.77427781</v>
      </c>
    </row>
    <row r="284">
      <c r="A284" s="35" t="s">
        <v>25</v>
      </c>
      <c r="B284" s="31">
        <v>133.6</v>
      </c>
      <c r="C284" s="31">
        <v>-78.67</v>
      </c>
      <c r="D284" s="31">
        <v>67.74</v>
      </c>
      <c r="E284" s="31">
        <v>50.08</v>
      </c>
      <c r="F284" s="31">
        <v>58.42</v>
      </c>
      <c r="G284" s="44"/>
      <c r="H284" s="27">
        <f t="shared" si="72"/>
        <v>27.80137739</v>
      </c>
      <c r="I284" s="48"/>
      <c r="J284" s="4" t="s">
        <v>26</v>
      </c>
      <c r="K284" s="19">
        <f>(H273/I273)*100</f>
        <v>35.46188209</v>
      </c>
    </row>
    <row r="285">
      <c r="A285" s="35" t="s">
        <v>27</v>
      </c>
      <c r="B285" s="19">
        <f t="shared" ref="B285:F285" si="73">B275/(B273+B274)</f>
        <v>0.4459753977</v>
      </c>
      <c r="C285" s="19">
        <f t="shared" si="73"/>
        <v>0.4906391102</v>
      </c>
      <c r="D285" s="19">
        <f t="shared" si="73"/>
        <v>0.563136858</v>
      </c>
      <c r="E285" s="19">
        <f t="shared" si="73"/>
        <v>0.4864837094</v>
      </c>
      <c r="F285" s="19">
        <f t="shared" si="73"/>
        <v>0.4790976987</v>
      </c>
      <c r="G285" s="44"/>
      <c r="H285" s="27">
        <f t="shared" si="72"/>
        <v>-2.150040576</v>
      </c>
      <c r="I285" s="46"/>
      <c r="J285" s="46"/>
      <c r="K285" s="46"/>
    </row>
    <row r="286">
      <c r="A286" s="35" t="s">
        <v>28</v>
      </c>
      <c r="B286" s="19">
        <f t="shared" ref="B286:F286" si="74">B274/B273</f>
        <v>4.994764142</v>
      </c>
      <c r="C286" s="19">
        <f t="shared" si="74"/>
        <v>4.331963202</v>
      </c>
      <c r="D286" s="19">
        <f t="shared" si="74"/>
        <v>4.705030339</v>
      </c>
      <c r="E286" s="19">
        <f t="shared" si="74"/>
        <v>4.71467019</v>
      </c>
      <c r="F286" s="19">
        <f t="shared" si="74"/>
        <v>4.483900959</v>
      </c>
      <c r="G286" s="44"/>
      <c r="H286" s="27">
        <f t="shared" si="72"/>
        <v>1.453239007</v>
      </c>
      <c r="I286" s="46"/>
      <c r="J286" s="46"/>
      <c r="K286" s="46"/>
    </row>
    <row r="287">
      <c r="A287" s="35" t="s">
        <v>29</v>
      </c>
      <c r="B287" s="19">
        <f t="shared" ref="B287:F287" si="75">B278/B276</f>
        <v>0.7787664387</v>
      </c>
      <c r="C287" s="19">
        <f t="shared" si="75"/>
        <v>0.6047775982</v>
      </c>
      <c r="D287" s="19">
        <f t="shared" si="75"/>
        <v>0.7228591542</v>
      </c>
      <c r="E287" s="19">
        <f t="shared" si="75"/>
        <v>0.9131257018</v>
      </c>
      <c r="F287" s="19">
        <f t="shared" si="75"/>
        <v>0.9060195099</v>
      </c>
      <c r="G287" s="44"/>
      <c r="H287" s="27">
        <f t="shared" si="72"/>
        <v>-3.900934378</v>
      </c>
      <c r="I287" s="46"/>
      <c r="J287" s="46"/>
      <c r="K287" s="46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</row>
    <row r="289">
      <c r="A289" s="34" t="s">
        <v>45</v>
      </c>
      <c r="B289" s="2"/>
      <c r="C289" s="2"/>
      <c r="D289" s="2"/>
      <c r="E289" s="2"/>
      <c r="F289" s="2"/>
      <c r="G289" s="2"/>
      <c r="H289" s="2"/>
      <c r="I289" s="2"/>
      <c r="J289" s="2"/>
      <c r="K289" s="3"/>
    </row>
    <row r="290">
      <c r="A290" s="35" t="s">
        <v>1</v>
      </c>
      <c r="B290" s="36">
        <v>44642.0</v>
      </c>
      <c r="C290" s="36">
        <v>44641.0</v>
      </c>
      <c r="D290" s="36">
        <v>44640.0</v>
      </c>
      <c r="E290" s="36">
        <v>44639.0</v>
      </c>
      <c r="F290" s="36">
        <v>44638.0</v>
      </c>
      <c r="G290" s="36">
        <v>44637.0</v>
      </c>
      <c r="H290" s="37" t="s">
        <v>2</v>
      </c>
      <c r="I290" s="38" t="s">
        <v>3</v>
      </c>
      <c r="J290" s="37" t="s">
        <v>4</v>
      </c>
      <c r="K290" s="37" t="s">
        <v>5</v>
      </c>
    </row>
    <row r="291">
      <c r="A291" s="35" t="s">
        <v>6</v>
      </c>
      <c r="B291" s="28">
        <v>105.0</v>
      </c>
      <c r="C291" s="28"/>
      <c r="D291" s="28"/>
      <c r="E291" s="28"/>
      <c r="F291" s="28"/>
      <c r="G291" s="39"/>
      <c r="H291" s="40">
        <v>5.0924091E7</v>
      </c>
      <c r="I291" s="40">
        <v>1.01501687E8</v>
      </c>
      <c r="J291" s="41">
        <f>IFERROR(__xludf.DUMMYFUNCTION("GOOGLEFINANCE(""NSE:"" &amp; A289,""price"")"),1300.0)</f>
        <v>1300</v>
      </c>
      <c r="K291" s="42">
        <f>-B293-B294+B295+B296</f>
        <v>636.28</v>
      </c>
    </row>
    <row r="292">
      <c r="A292" s="35" t="s">
        <v>8</v>
      </c>
      <c r="B292" s="28">
        <v>531.3</v>
      </c>
      <c r="C292" s="28"/>
      <c r="D292" s="28"/>
      <c r="E292" s="28"/>
      <c r="F292" s="28"/>
      <c r="G292" s="39"/>
      <c r="H292" s="43"/>
      <c r="I292" s="43"/>
      <c r="J292" s="43"/>
      <c r="K292" s="43"/>
    </row>
    <row r="293">
      <c r="A293" s="35" t="s">
        <v>9</v>
      </c>
      <c r="B293" s="28">
        <v>532.09</v>
      </c>
      <c r="C293" s="28"/>
      <c r="D293" s="28"/>
      <c r="E293" s="28"/>
      <c r="F293" s="28"/>
      <c r="G293" s="44"/>
      <c r="H293" s="20" t="s">
        <v>10</v>
      </c>
      <c r="I293" s="21"/>
      <c r="J293" s="20" t="s">
        <v>11</v>
      </c>
      <c r="K293" s="21"/>
    </row>
    <row r="294">
      <c r="A294" s="35" t="s">
        <v>12</v>
      </c>
      <c r="B294" s="28">
        <v>116.99</v>
      </c>
      <c r="C294" s="28"/>
      <c r="D294" s="28"/>
      <c r="E294" s="28"/>
      <c r="F294" s="28"/>
      <c r="G294" s="44"/>
      <c r="H294" s="22">
        <f>(K291*10000000)/H291</f>
        <v>124.9467565</v>
      </c>
      <c r="I294" s="9"/>
      <c r="J294" s="22">
        <f>J291/H294</f>
        <v>10.40443174</v>
      </c>
      <c r="K294" s="9"/>
    </row>
    <row r="295">
      <c r="A295" s="35" t="s">
        <v>13</v>
      </c>
      <c r="B295" s="28">
        <v>1005.5</v>
      </c>
      <c r="C295" s="28"/>
      <c r="D295" s="28"/>
      <c r="E295" s="28"/>
      <c r="F295" s="28"/>
      <c r="G295" s="44"/>
      <c r="H295" s="17"/>
      <c r="I295" s="18"/>
      <c r="J295" s="18"/>
      <c r="K295" s="18"/>
    </row>
    <row r="296">
      <c r="A296" s="35" t="s">
        <v>14</v>
      </c>
      <c r="B296" s="28">
        <v>279.86</v>
      </c>
      <c r="C296" s="28"/>
      <c r="D296" s="28"/>
      <c r="E296" s="28"/>
      <c r="F296" s="28"/>
      <c r="G296" s="44"/>
      <c r="H296" s="20" t="s">
        <v>15</v>
      </c>
      <c r="I296" s="21"/>
      <c r="J296" s="20" t="s">
        <v>16</v>
      </c>
      <c r="K296" s="21"/>
    </row>
    <row r="297">
      <c r="A297" s="35" t="s">
        <v>17</v>
      </c>
      <c r="B297" s="30"/>
      <c r="C297" s="30"/>
      <c r="D297" s="30"/>
      <c r="E297" s="30"/>
      <c r="F297" s="30"/>
      <c r="G297" s="44"/>
      <c r="H297" s="17">
        <f>(K291*10000000)/I291</f>
        <v>62.68664283</v>
      </c>
      <c r="I297" s="3"/>
      <c r="J297" s="17">
        <f>J291/H297</f>
        <v>20.7380702</v>
      </c>
      <c r="K297" s="3"/>
    </row>
    <row r="298">
      <c r="A298" s="35" t="s">
        <v>18</v>
      </c>
      <c r="B298" s="30"/>
      <c r="C298" s="30"/>
      <c r="D298" s="30"/>
      <c r="E298" s="30"/>
      <c r="F298" s="30"/>
      <c r="G298" s="44"/>
      <c r="H298" s="45"/>
      <c r="I298" s="46"/>
      <c r="J298" s="43"/>
      <c r="K298" s="43"/>
    </row>
    <row r="299">
      <c r="A299" s="35" t="s">
        <v>19</v>
      </c>
      <c r="B299" s="30"/>
      <c r="C299" s="30"/>
      <c r="D299" s="30"/>
      <c r="E299" s="30"/>
      <c r="F299" s="30"/>
      <c r="G299" s="44"/>
      <c r="H299" s="47"/>
      <c r="I299" s="48"/>
      <c r="J299" s="4" t="s">
        <v>20</v>
      </c>
      <c r="K299" s="19">
        <f>(B302*10000000)/I291</f>
        <v>14.01848621</v>
      </c>
    </row>
    <row r="300">
      <c r="A300" s="35" t="s">
        <v>21</v>
      </c>
      <c r="B300" s="19">
        <f>SUM(B297:B299)</f>
        <v>0</v>
      </c>
      <c r="C300" s="19"/>
      <c r="D300" s="19"/>
      <c r="E300" s="19"/>
      <c r="F300" s="19"/>
      <c r="G300" s="44"/>
      <c r="H300" s="27"/>
      <c r="I300" s="48"/>
      <c r="J300" s="4" t="s">
        <v>22</v>
      </c>
      <c r="K300" s="19">
        <f>J291/K299</f>
        <v>92.7346919</v>
      </c>
    </row>
    <row r="301">
      <c r="A301" s="35" t="s">
        <v>23</v>
      </c>
      <c r="B301" s="31">
        <v>189.74</v>
      </c>
      <c r="C301" s="31"/>
      <c r="D301" s="31"/>
      <c r="E301" s="31"/>
      <c r="F301" s="31"/>
      <c r="G301" s="44"/>
      <c r="H301" s="27"/>
      <c r="I301" s="48"/>
      <c r="J301" s="4" t="s">
        <v>24</v>
      </c>
      <c r="K301" s="19">
        <f>(B301/(B291+B292))*100</f>
        <v>29.81926764</v>
      </c>
    </row>
    <row r="302">
      <c r="A302" s="35" t="s">
        <v>25</v>
      </c>
      <c r="B302" s="31">
        <v>142.29</v>
      </c>
      <c r="C302" s="31"/>
      <c r="D302" s="31"/>
      <c r="E302" s="31"/>
      <c r="F302" s="31"/>
      <c r="G302" s="44"/>
      <c r="H302" s="27"/>
      <c r="I302" s="48"/>
      <c r="J302" s="4" t="s">
        <v>26</v>
      </c>
      <c r="K302" s="19">
        <f>(H291/I291)*100</f>
        <v>50.17068436</v>
      </c>
    </row>
    <row r="303">
      <c r="A303" s="35" t="s">
        <v>27</v>
      </c>
      <c r="B303" s="19">
        <f>B293/(B291+B292)</f>
        <v>0.8362250511</v>
      </c>
      <c r="C303" s="19"/>
      <c r="D303" s="19"/>
      <c r="E303" s="19"/>
      <c r="F303" s="19"/>
      <c r="G303" s="44"/>
      <c r="H303" s="27"/>
      <c r="I303" s="46"/>
      <c r="J303" s="46"/>
      <c r="K303" s="46"/>
    </row>
    <row r="304">
      <c r="A304" s="35" t="s">
        <v>28</v>
      </c>
      <c r="B304" s="19">
        <f>B292/B291</f>
        <v>5.06</v>
      </c>
      <c r="C304" s="19"/>
      <c r="D304" s="19"/>
      <c r="E304" s="19"/>
      <c r="F304" s="19"/>
      <c r="G304" s="44"/>
      <c r="H304" s="27"/>
      <c r="I304" s="46"/>
      <c r="J304" s="46"/>
      <c r="K304" s="46"/>
    </row>
    <row r="305">
      <c r="A305" s="35" t="s">
        <v>29</v>
      </c>
      <c r="B305" s="19">
        <f>B296/B294</f>
        <v>2.392170271</v>
      </c>
      <c r="C305" s="19"/>
      <c r="D305" s="19"/>
      <c r="E305" s="19"/>
      <c r="F305" s="19"/>
      <c r="G305" s="44"/>
      <c r="H305" s="27"/>
      <c r="I305" s="46"/>
      <c r="J305" s="46"/>
      <c r="K305" s="46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</row>
    <row r="307">
      <c r="A307" s="34" t="s">
        <v>46</v>
      </c>
      <c r="B307" s="2"/>
      <c r="C307" s="2"/>
      <c r="D307" s="2"/>
      <c r="E307" s="2"/>
      <c r="F307" s="2"/>
      <c r="G307" s="2"/>
      <c r="H307" s="2"/>
      <c r="I307" s="2"/>
      <c r="J307" s="2"/>
      <c r="K307" s="3"/>
    </row>
    <row r="308">
      <c r="A308" s="35" t="s">
        <v>1</v>
      </c>
      <c r="B308" s="36">
        <v>44642.0</v>
      </c>
      <c r="C308" s="36">
        <v>44641.0</v>
      </c>
      <c r="D308" s="36">
        <v>44640.0</v>
      </c>
      <c r="E308" s="36">
        <v>44639.0</v>
      </c>
      <c r="F308" s="36">
        <v>44638.0</v>
      </c>
      <c r="G308" s="36">
        <v>44637.0</v>
      </c>
      <c r="H308" s="37" t="s">
        <v>2</v>
      </c>
      <c r="I308" s="38" t="s">
        <v>3</v>
      </c>
      <c r="J308" s="37" t="s">
        <v>4</v>
      </c>
      <c r="K308" s="37" t="s">
        <v>5</v>
      </c>
    </row>
    <row r="309">
      <c r="A309" s="35" t="s">
        <v>6</v>
      </c>
      <c r="B309" s="28">
        <v>108.01</v>
      </c>
      <c r="C309" s="28">
        <v>108.01</v>
      </c>
      <c r="D309" s="28">
        <v>108.01</v>
      </c>
      <c r="E309" s="28">
        <v>108.01</v>
      </c>
      <c r="F309" s="28">
        <v>108.01</v>
      </c>
      <c r="G309" s="39"/>
      <c r="H309" s="40">
        <v>2.7019419E7</v>
      </c>
      <c r="I309" s="40">
        <v>1.07988017E8</v>
      </c>
      <c r="J309" s="41">
        <f>IFERROR(__xludf.DUMMYFUNCTION("GOOGLEFINANCE(""NSE:"" &amp; A307,""price"")"),240.0)</f>
        <v>240</v>
      </c>
      <c r="K309" s="42">
        <f>-B311-B312+B313+B314</f>
        <v>906.72</v>
      </c>
    </row>
    <row r="310">
      <c r="A310" s="35" t="s">
        <v>8</v>
      </c>
      <c r="B310" s="28">
        <v>798.71</v>
      </c>
      <c r="C310" s="28">
        <v>741.64</v>
      </c>
      <c r="D310" s="28">
        <v>705.78</v>
      </c>
      <c r="E310" s="28">
        <v>686.02</v>
      </c>
      <c r="F310" s="28">
        <v>657.25</v>
      </c>
      <c r="G310" s="39"/>
      <c r="H310" s="43"/>
      <c r="I310" s="43"/>
      <c r="J310" s="43"/>
      <c r="K310" s="43"/>
    </row>
    <row r="311">
      <c r="A311" s="35" t="s">
        <v>9</v>
      </c>
      <c r="B311" s="28">
        <v>83.36</v>
      </c>
      <c r="C311" s="28">
        <v>80.24</v>
      </c>
      <c r="D311" s="28">
        <v>84.32</v>
      </c>
      <c r="E311" s="28">
        <v>70.91</v>
      </c>
      <c r="F311" s="28">
        <v>89.89</v>
      </c>
      <c r="G311" s="44"/>
      <c r="H311" s="20" t="s">
        <v>10</v>
      </c>
      <c r="I311" s="21"/>
      <c r="J311" s="20" t="s">
        <v>11</v>
      </c>
      <c r="K311" s="21"/>
    </row>
    <row r="312">
      <c r="A312" s="35" t="s">
        <v>12</v>
      </c>
      <c r="B312" s="28">
        <v>97.31</v>
      </c>
      <c r="C312" s="28">
        <v>82.49</v>
      </c>
      <c r="D312" s="28">
        <v>83.25</v>
      </c>
      <c r="E312" s="28">
        <v>90.82</v>
      </c>
      <c r="F312" s="28">
        <v>119.41</v>
      </c>
      <c r="G312" s="44"/>
      <c r="H312" s="22">
        <f>(K309*10000000)/H309</f>
        <v>335.580865</v>
      </c>
      <c r="I312" s="9"/>
      <c r="J312" s="22">
        <f>J309/H312</f>
        <v>0.7151778454</v>
      </c>
      <c r="K312" s="9"/>
    </row>
    <row r="313">
      <c r="A313" s="35" t="s">
        <v>13</v>
      </c>
      <c r="B313" s="28">
        <v>708.04</v>
      </c>
      <c r="C313" s="28">
        <v>735.06</v>
      </c>
      <c r="D313" s="28">
        <v>740.71</v>
      </c>
      <c r="E313" s="28">
        <v>744.01</v>
      </c>
      <c r="F313" s="28">
        <v>754.08</v>
      </c>
      <c r="G313" s="44"/>
      <c r="H313" s="17"/>
      <c r="I313" s="18"/>
      <c r="J313" s="18"/>
      <c r="K313" s="18"/>
    </row>
    <row r="314">
      <c r="A314" s="35" t="s">
        <v>14</v>
      </c>
      <c r="B314" s="28">
        <v>379.35</v>
      </c>
      <c r="C314" s="28">
        <v>277.31</v>
      </c>
      <c r="D314" s="28">
        <v>240.65</v>
      </c>
      <c r="E314" s="28">
        <v>211.75</v>
      </c>
      <c r="F314" s="28">
        <v>220.48</v>
      </c>
      <c r="G314" s="44"/>
      <c r="H314" s="20" t="s">
        <v>15</v>
      </c>
      <c r="I314" s="21"/>
      <c r="J314" s="20" t="s">
        <v>16</v>
      </c>
      <c r="K314" s="21"/>
    </row>
    <row r="315">
      <c r="A315" s="35" t="s">
        <v>17</v>
      </c>
      <c r="B315" s="28"/>
      <c r="C315" s="30"/>
      <c r="D315" s="30"/>
      <c r="E315" s="30"/>
      <c r="F315" s="30"/>
      <c r="G315" s="44"/>
      <c r="H315" s="17">
        <f>(K309*10000000)/I309</f>
        <v>83.96487177</v>
      </c>
      <c r="I315" s="3"/>
      <c r="J315" s="17">
        <f>J309/H315</f>
        <v>2.858338195</v>
      </c>
      <c r="K315" s="3"/>
    </row>
    <row r="316">
      <c r="A316" s="35" t="s">
        <v>18</v>
      </c>
      <c r="B316" s="28"/>
      <c r="C316" s="30"/>
      <c r="D316" s="30"/>
      <c r="E316" s="30"/>
      <c r="F316" s="30"/>
      <c r="G316" s="44"/>
      <c r="H316" s="45"/>
      <c r="I316" s="46"/>
      <c r="J316" s="43"/>
      <c r="K316" s="43"/>
    </row>
    <row r="317">
      <c r="A317" s="35" t="s">
        <v>19</v>
      </c>
      <c r="B317" s="28"/>
      <c r="C317" s="30"/>
      <c r="D317" s="30"/>
      <c r="E317" s="30"/>
      <c r="F317" s="30"/>
      <c r="G317" s="44"/>
      <c r="H317" s="47"/>
      <c r="I317" s="48"/>
      <c r="J317" s="4" t="s">
        <v>20</v>
      </c>
      <c r="K317" s="19">
        <f>(B320*10000000)/I309</f>
        <v>6.464606161</v>
      </c>
    </row>
    <row r="318">
      <c r="A318" s="35" t="s">
        <v>21</v>
      </c>
      <c r="B318" s="19"/>
      <c r="C318" s="19">
        <f t="shared" ref="C318:F318" si="76">SUM(C315:C317)</f>
        <v>0</v>
      </c>
      <c r="D318" s="19">
        <f t="shared" si="76"/>
        <v>0</v>
      </c>
      <c r="E318" s="19">
        <f t="shared" si="76"/>
        <v>0</v>
      </c>
      <c r="F318" s="19">
        <f t="shared" si="76"/>
        <v>0</v>
      </c>
      <c r="G318" s="44"/>
      <c r="H318" s="27" t="str">
        <f>(((B318/F318)^(1/5)-1)*100)</f>
        <v>#DIV/0!</v>
      </c>
      <c r="I318" s="48"/>
      <c r="J318" s="4" t="s">
        <v>22</v>
      </c>
      <c r="K318" s="19">
        <f>J309/K317</f>
        <v>37.12523146</v>
      </c>
    </row>
    <row r="319">
      <c r="A319" s="35" t="s">
        <v>23</v>
      </c>
      <c r="B319" s="31">
        <v>99.92</v>
      </c>
      <c r="C319" s="31">
        <v>55.49</v>
      </c>
      <c r="D319" s="31">
        <v>57.03</v>
      </c>
      <c r="E319" s="31">
        <v>50.73</v>
      </c>
      <c r="F319" s="31">
        <v>54.96</v>
      </c>
      <c r="G319" s="44"/>
      <c r="H319" s="27">
        <f t="shared" ref="H319:H323" si="77">(((B319/E319)^(1/4)-1)*100)</f>
        <v>18.46686362</v>
      </c>
      <c r="I319" s="48"/>
      <c r="J319" s="4" t="s">
        <v>24</v>
      </c>
      <c r="K319" s="19">
        <f>(B319/(B309+B310))*100</f>
        <v>11.01994</v>
      </c>
    </row>
    <row r="320">
      <c r="A320" s="35" t="s">
        <v>25</v>
      </c>
      <c r="B320" s="31">
        <v>69.81</v>
      </c>
      <c r="C320" s="31">
        <v>42.88</v>
      </c>
      <c r="D320" s="31">
        <v>27.97</v>
      </c>
      <c r="E320" s="31">
        <v>32.1</v>
      </c>
      <c r="F320" s="31">
        <v>40.47</v>
      </c>
      <c r="G320" s="44"/>
      <c r="H320" s="27">
        <f t="shared" si="77"/>
        <v>21.43759324</v>
      </c>
      <c r="I320" s="48"/>
      <c r="J320" s="4" t="s">
        <v>26</v>
      </c>
      <c r="K320" s="19">
        <f>(H309/I309)*100</f>
        <v>25.0207567</v>
      </c>
    </row>
    <row r="321">
      <c r="A321" s="35" t="s">
        <v>27</v>
      </c>
      <c r="B321" s="19">
        <f t="shared" ref="B321:F321" si="78">B311/(B309+B310)</f>
        <v>0.09193576848</v>
      </c>
      <c r="C321" s="19">
        <f t="shared" si="78"/>
        <v>0.0944388866</v>
      </c>
      <c r="D321" s="19">
        <f t="shared" si="78"/>
        <v>0.1036139545</v>
      </c>
      <c r="E321" s="19">
        <f t="shared" si="78"/>
        <v>0.08930393058</v>
      </c>
      <c r="F321" s="19">
        <f t="shared" si="78"/>
        <v>0.1174633458</v>
      </c>
      <c r="G321" s="44"/>
      <c r="H321" s="27">
        <f t="shared" si="77"/>
        <v>0.728759173</v>
      </c>
      <c r="I321" s="46"/>
      <c r="J321" s="46"/>
      <c r="K321" s="46"/>
    </row>
    <row r="322">
      <c r="A322" s="35" t="s">
        <v>28</v>
      </c>
      <c r="B322" s="19">
        <f t="shared" ref="B322:F322" si="79">B310/B309</f>
        <v>7.394778261</v>
      </c>
      <c r="C322" s="19">
        <f t="shared" si="79"/>
        <v>6.866401259</v>
      </c>
      <c r="D322" s="19">
        <f t="shared" si="79"/>
        <v>6.534394963</v>
      </c>
      <c r="E322" s="19">
        <f t="shared" si="79"/>
        <v>6.35144894</v>
      </c>
      <c r="F322" s="19">
        <f t="shared" si="79"/>
        <v>6.085084714</v>
      </c>
      <c r="G322" s="44"/>
      <c r="H322" s="27">
        <f t="shared" si="77"/>
        <v>3.875490177</v>
      </c>
      <c r="I322" s="46"/>
      <c r="J322" s="46"/>
      <c r="K322" s="46"/>
    </row>
    <row r="323">
      <c r="A323" s="35" t="s">
        <v>29</v>
      </c>
      <c r="B323" s="19">
        <f t="shared" ref="B323:F323" si="80">B314/B312</f>
        <v>3.898366047</v>
      </c>
      <c r="C323" s="19">
        <f t="shared" si="80"/>
        <v>3.361740817</v>
      </c>
      <c r="D323" s="19">
        <f t="shared" si="80"/>
        <v>2.890690691</v>
      </c>
      <c r="E323" s="19">
        <f t="shared" si="80"/>
        <v>2.331534904</v>
      </c>
      <c r="F323" s="19">
        <f t="shared" si="80"/>
        <v>1.846411523</v>
      </c>
      <c r="G323" s="44"/>
      <c r="H323" s="27">
        <f t="shared" si="77"/>
        <v>13.71301473</v>
      </c>
      <c r="I323" s="46"/>
      <c r="J323" s="46"/>
      <c r="K323" s="46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</row>
    <row r="325">
      <c r="A325" s="34" t="s">
        <v>47</v>
      </c>
      <c r="B325" s="2"/>
      <c r="C325" s="2"/>
      <c r="D325" s="2"/>
      <c r="E325" s="2"/>
      <c r="F325" s="2"/>
      <c r="G325" s="2"/>
      <c r="H325" s="2"/>
      <c r="I325" s="2"/>
      <c r="J325" s="2"/>
      <c r="K325" s="3"/>
    </row>
    <row r="326">
      <c r="A326" s="35" t="s">
        <v>1</v>
      </c>
      <c r="B326" s="36">
        <v>44642.0</v>
      </c>
      <c r="C326" s="36">
        <v>44641.0</v>
      </c>
      <c r="D326" s="36">
        <v>44640.0</v>
      </c>
      <c r="E326" s="36">
        <v>44639.0</v>
      </c>
      <c r="F326" s="36">
        <v>44638.0</v>
      </c>
      <c r="G326" s="36">
        <v>44637.0</v>
      </c>
      <c r="H326" s="37" t="s">
        <v>2</v>
      </c>
      <c r="I326" s="38" t="s">
        <v>3</v>
      </c>
      <c r="J326" s="37" t="s">
        <v>4</v>
      </c>
      <c r="K326" s="37" t="s">
        <v>5</v>
      </c>
    </row>
    <row r="327">
      <c r="A327" s="35" t="s">
        <v>6</v>
      </c>
      <c r="B327" s="28">
        <v>4.26</v>
      </c>
      <c r="C327" s="28">
        <v>4.26</v>
      </c>
      <c r="D327" s="28">
        <v>4.26</v>
      </c>
      <c r="E327" s="28">
        <v>4.26</v>
      </c>
      <c r="F327" s="28">
        <v>4.26</v>
      </c>
      <c r="G327" s="39"/>
      <c r="H327" s="40">
        <v>197600.0</v>
      </c>
      <c r="I327" s="40">
        <v>197600.0</v>
      </c>
      <c r="J327" s="41">
        <f>IFERROR(__xludf.DUMMYFUNCTION("GOOGLEFINANCE(""BOM:"" &amp; ""539378"",""price"")"),25.62)</f>
        <v>25.62</v>
      </c>
      <c r="K327" s="42">
        <f>-B329-B330+B331+B332</f>
        <v>3.97</v>
      </c>
    </row>
    <row r="328">
      <c r="A328" s="35" t="s">
        <v>8</v>
      </c>
      <c r="B328" s="28">
        <v>-0.29</v>
      </c>
      <c r="C328" s="28">
        <v>0.31</v>
      </c>
      <c r="D328" s="28">
        <v>0.88</v>
      </c>
      <c r="E328" s="28">
        <v>2.15</v>
      </c>
      <c r="F328" s="28">
        <v>2.82</v>
      </c>
      <c r="G328" s="39"/>
      <c r="H328" s="43"/>
      <c r="I328" s="43"/>
      <c r="J328" s="43"/>
      <c r="K328" s="43"/>
    </row>
    <row r="329">
      <c r="A329" s="35" t="s">
        <v>9</v>
      </c>
      <c r="B329" s="28">
        <v>4.9</v>
      </c>
      <c r="C329" s="28">
        <v>1.49</v>
      </c>
      <c r="D329" s="28">
        <v>3.55</v>
      </c>
      <c r="E329" s="28">
        <v>1.91</v>
      </c>
      <c r="F329" s="28">
        <v>1.07</v>
      </c>
      <c r="G329" s="44"/>
      <c r="H329" s="20" t="s">
        <v>10</v>
      </c>
      <c r="I329" s="21"/>
      <c r="J329" s="20" t="s">
        <v>11</v>
      </c>
      <c r="K329" s="21"/>
    </row>
    <row r="330">
      <c r="A330" s="35" t="s">
        <v>12</v>
      </c>
      <c r="B330" s="28">
        <v>10.02</v>
      </c>
      <c r="C330" s="28">
        <v>10.93</v>
      </c>
      <c r="D330" s="28">
        <v>7.67</v>
      </c>
      <c r="E330" s="28">
        <v>6.52</v>
      </c>
      <c r="F330" s="28">
        <v>5.77</v>
      </c>
      <c r="G330" s="44"/>
      <c r="H330" s="22">
        <f>(K327*10000000)/H327</f>
        <v>200.9109312</v>
      </c>
      <c r="I330" s="9"/>
      <c r="J330" s="22">
        <f>J327/H330</f>
        <v>0.127519194</v>
      </c>
      <c r="K330" s="9"/>
    </row>
    <row r="331">
      <c r="A331" s="35" t="s">
        <v>13</v>
      </c>
      <c r="B331" s="28">
        <v>8.7</v>
      </c>
      <c r="C331" s="28">
        <v>8.61</v>
      </c>
      <c r="D331" s="28">
        <v>8.98</v>
      </c>
      <c r="E331" s="28">
        <v>9.08</v>
      </c>
      <c r="F331" s="28">
        <v>9.41</v>
      </c>
      <c r="G331" s="44"/>
      <c r="H331" s="17"/>
      <c r="I331" s="18"/>
      <c r="J331" s="18"/>
      <c r="K331" s="18"/>
    </row>
    <row r="332">
      <c r="A332" s="35" t="s">
        <v>14</v>
      </c>
      <c r="B332" s="28">
        <v>10.19</v>
      </c>
      <c r="C332" s="28">
        <v>8.39</v>
      </c>
      <c r="D332" s="28">
        <v>7.39</v>
      </c>
      <c r="E332" s="28">
        <v>5.76</v>
      </c>
      <c r="F332" s="28">
        <v>4.52</v>
      </c>
      <c r="G332" s="44"/>
      <c r="H332" s="20" t="s">
        <v>15</v>
      </c>
      <c r="I332" s="21"/>
      <c r="J332" s="20" t="s">
        <v>16</v>
      </c>
      <c r="K332" s="21"/>
    </row>
    <row r="333">
      <c r="A333" s="35" t="s">
        <v>17</v>
      </c>
      <c r="B333" s="28"/>
      <c r="C333" s="30"/>
      <c r="D333" s="30"/>
      <c r="E333" s="30"/>
      <c r="F333" s="30"/>
      <c r="G333" s="44"/>
      <c r="H333" s="17">
        <f>(K327*10000000)/I327</f>
        <v>200.9109312</v>
      </c>
      <c r="I333" s="3"/>
      <c r="J333" s="17">
        <f>J327/H333</f>
        <v>0.127519194</v>
      </c>
      <c r="K333" s="3"/>
    </row>
    <row r="334">
      <c r="A334" s="35" t="s">
        <v>18</v>
      </c>
      <c r="B334" s="28"/>
      <c r="C334" s="30"/>
      <c r="D334" s="30"/>
      <c r="E334" s="30"/>
      <c r="F334" s="30"/>
      <c r="G334" s="44"/>
      <c r="H334" s="45"/>
      <c r="I334" s="46"/>
      <c r="J334" s="43"/>
      <c r="K334" s="43"/>
    </row>
    <row r="335">
      <c r="A335" s="35" t="s">
        <v>19</v>
      </c>
      <c r="B335" s="28"/>
      <c r="C335" s="30"/>
      <c r="D335" s="30"/>
      <c r="E335" s="30"/>
      <c r="F335" s="30"/>
      <c r="G335" s="44"/>
      <c r="H335" s="47"/>
      <c r="I335" s="48"/>
      <c r="J335" s="4" t="s">
        <v>20</v>
      </c>
      <c r="K335" s="19">
        <f>(B338*10000000)/I327</f>
        <v>-30.36437247</v>
      </c>
    </row>
    <row r="336">
      <c r="A336" s="35" t="s">
        <v>21</v>
      </c>
      <c r="B336" s="19"/>
      <c r="C336" s="19">
        <f t="shared" ref="C336:F336" si="81">SUM(C333:C335)</f>
        <v>0</v>
      </c>
      <c r="D336" s="19">
        <f t="shared" si="81"/>
        <v>0</v>
      </c>
      <c r="E336" s="19">
        <f t="shared" si="81"/>
        <v>0</v>
      </c>
      <c r="F336" s="19">
        <f t="shared" si="81"/>
        <v>0</v>
      </c>
      <c r="G336" s="44"/>
      <c r="H336" s="27" t="str">
        <f>(((B336/F336)^(1/5)-1)*100)</f>
        <v>#DIV/0!</v>
      </c>
      <c r="I336" s="48"/>
      <c r="J336" s="4" t="s">
        <v>22</v>
      </c>
      <c r="K336" s="19">
        <f>J327/K335</f>
        <v>-0.843752</v>
      </c>
    </row>
    <row r="337">
      <c r="A337" s="35" t="s">
        <v>23</v>
      </c>
      <c r="B337" s="31">
        <v>-0.67</v>
      </c>
      <c r="C337" s="31">
        <v>-0.62</v>
      </c>
      <c r="D337" s="31">
        <v>-0.73</v>
      </c>
      <c r="E337" s="31">
        <v>-0.6</v>
      </c>
      <c r="F337" s="31">
        <v>-0.42</v>
      </c>
      <c r="G337" s="44"/>
      <c r="H337" s="27">
        <f t="shared" ref="H337:H341" si="82">(((B337/E337)^(1/4)-1)*100)</f>
        <v>2.797105939</v>
      </c>
      <c r="I337" s="48"/>
      <c r="J337" s="4" t="s">
        <v>24</v>
      </c>
      <c r="K337" s="19">
        <f>(B337/(B327+B328))*100</f>
        <v>-16.87657431</v>
      </c>
    </row>
    <row r="338">
      <c r="A338" s="35" t="s">
        <v>25</v>
      </c>
      <c r="B338" s="31">
        <v>-0.6</v>
      </c>
      <c r="C338" s="31">
        <v>-0.57</v>
      </c>
      <c r="D338" s="31">
        <v>-1.27</v>
      </c>
      <c r="E338" s="31">
        <v>-0.67</v>
      </c>
      <c r="F338" s="31">
        <v>0.31</v>
      </c>
      <c r="G338" s="44"/>
      <c r="H338" s="27">
        <f t="shared" si="82"/>
        <v>-2.720996777</v>
      </c>
      <c r="I338" s="48"/>
      <c r="J338" s="4" t="s">
        <v>26</v>
      </c>
      <c r="K338" s="19">
        <f>(H327/I327)*100</f>
        <v>100</v>
      </c>
    </row>
    <row r="339">
      <c r="A339" s="35" t="s">
        <v>27</v>
      </c>
      <c r="B339" s="19">
        <f t="shared" ref="B339:F339" si="83">B329/(B327+B328)</f>
        <v>1.234256927</v>
      </c>
      <c r="C339" s="19">
        <f t="shared" si="83"/>
        <v>0.3260393873</v>
      </c>
      <c r="D339" s="19">
        <f t="shared" si="83"/>
        <v>0.6906614786</v>
      </c>
      <c r="E339" s="19">
        <f t="shared" si="83"/>
        <v>0.2979719189</v>
      </c>
      <c r="F339" s="19">
        <f t="shared" si="83"/>
        <v>0.1511299435</v>
      </c>
      <c r="G339" s="44"/>
      <c r="H339" s="27">
        <f t="shared" si="82"/>
        <v>42.66175387</v>
      </c>
      <c r="I339" s="46"/>
      <c r="J339" s="46"/>
      <c r="K339" s="46"/>
    </row>
    <row r="340">
      <c r="A340" s="35" t="s">
        <v>28</v>
      </c>
      <c r="B340" s="19">
        <f t="shared" ref="B340:F340" si="84">B328/B327</f>
        <v>-0.06807511737</v>
      </c>
      <c r="C340" s="19">
        <f t="shared" si="84"/>
        <v>0.07276995305</v>
      </c>
      <c r="D340" s="19">
        <f t="shared" si="84"/>
        <v>0.20657277</v>
      </c>
      <c r="E340" s="19">
        <f t="shared" si="84"/>
        <v>0.5046948357</v>
      </c>
      <c r="F340" s="19">
        <f t="shared" si="84"/>
        <v>0.661971831</v>
      </c>
      <c r="G340" s="44"/>
      <c r="H340" s="27" t="str">
        <f t="shared" si="82"/>
        <v>#NUM!</v>
      </c>
      <c r="I340" s="46"/>
      <c r="J340" s="46"/>
      <c r="K340" s="46"/>
    </row>
    <row r="341">
      <c r="A341" s="35" t="s">
        <v>29</v>
      </c>
      <c r="B341" s="19">
        <f t="shared" ref="B341:F341" si="85">B332/B330</f>
        <v>1.016966068</v>
      </c>
      <c r="C341" s="19">
        <f t="shared" si="85"/>
        <v>0.7676120769</v>
      </c>
      <c r="D341" s="19">
        <f t="shared" si="85"/>
        <v>0.963494133</v>
      </c>
      <c r="E341" s="19">
        <f t="shared" si="85"/>
        <v>0.8834355828</v>
      </c>
      <c r="F341" s="19">
        <f t="shared" si="85"/>
        <v>0.7833622184</v>
      </c>
      <c r="G341" s="44"/>
      <c r="H341" s="27">
        <f t="shared" si="82"/>
        <v>3.581666429</v>
      </c>
      <c r="I341" s="46"/>
      <c r="J341" s="46"/>
      <c r="K341" s="46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</row>
  </sheetData>
  <mergeCells count="172">
    <mergeCell ref="J9:K9"/>
    <mergeCell ref="A19:K19"/>
    <mergeCell ref="A1:K1"/>
    <mergeCell ref="B3:F11"/>
    <mergeCell ref="H5:I5"/>
    <mergeCell ref="J5:K5"/>
    <mergeCell ref="H6:I6"/>
    <mergeCell ref="J6:K6"/>
    <mergeCell ref="J8:K8"/>
    <mergeCell ref="H8:I8"/>
    <mergeCell ref="H9:I9"/>
    <mergeCell ref="H23:I23"/>
    <mergeCell ref="J23:K23"/>
    <mergeCell ref="H24:I24"/>
    <mergeCell ref="J24:K24"/>
    <mergeCell ref="J26:K26"/>
    <mergeCell ref="J27:K27"/>
    <mergeCell ref="H26:I26"/>
    <mergeCell ref="H27:I27"/>
    <mergeCell ref="A37:K37"/>
    <mergeCell ref="H41:I41"/>
    <mergeCell ref="J41:K41"/>
    <mergeCell ref="H42:I42"/>
    <mergeCell ref="J42:K42"/>
    <mergeCell ref="H44:I44"/>
    <mergeCell ref="J44:K44"/>
    <mergeCell ref="H45:I45"/>
    <mergeCell ref="J45:K45"/>
    <mergeCell ref="A55:K55"/>
    <mergeCell ref="H59:I59"/>
    <mergeCell ref="J59:K59"/>
    <mergeCell ref="H60:I60"/>
    <mergeCell ref="J60:K60"/>
    <mergeCell ref="H62:I62"/>
    <mergeCell ref="J62:K62"/>
    <mergeCell ref="H63:I63"/>
    <mergeCell ref="J63:K63"/>
    <mergeCell ref="A73:K73"/>
    <mergeCell ref="H77:I77"/>
    <mergeCell ref="J77:K77"/>
    <mergeCell ref="H78:I78"/>
    <mergeCell ref="J78:K78"/>
    <mergeCell ref="H80:I80"/>
    <mergeCell ref="J80:K80"/>
    <mergeCell ref="H81:I81"/>
    <mergeCell ref="H98:I98"/>
    <mergeCell ref="H99:I99"/>
    <mergeCell ref="J99:K99"/>
    <mergeCell ref="J81:K81"/>
    <mergeCell ref="A91:K91"/>
    <mergeCell ref="H95:I95"/>
    <mergeCell ref="J95:K95"/>
    <mergeCell ref="J96:K96"/>
    <mergeCell ref="J98:K98"/>
    <mergeCell ref="A109:K109"/>
    <mergeCell ref="H96:I96"/>
    <mergeCell ref="H113:I113"/>
    <mergeCell ref="J113:K113"/>
    <mergeCell ref="H114:I114"/>
    <mergeCell ref="J114:K114"/>
    <mergeCell ref="H116:I116"/>
    <mergeCell ref="J116:K116"/>
    <mergeCell ref="H117:I117"/>
    <mergeCell ref="J117:K117"/>
    <mergeCell ref="A127:K127"/>
    <mergeCell ref="H131:I131"/>
    <mergeCell ref="J131:K131"/>
    <mergeCell ref="H132:I132"/>
    <mergeCell ref="J132:K132"/>
    <mergeCell ref="H134:I134"/>
    <mergeCell ref="J134:K134"/>
    <mergeCell ref="H135:I135"/>
    <mergeCell ref="J135:K135"/>
    <mergeCell ref="A145:K145"/>
    <mergeCell ref="H149:I149"/>
    <mergeCell ref="J149:K149"/>
    <mergeCell ref="H150:I150"/>
    <mergeCell ref="J150:K150"/>
    <mergeCell ref="H152:I152"/>
    <mergeCell ref="J152:K152"/>
    <mergeCell ref="H153:I153"/>
    <mergeCell ref="J153:K153"/>
    <mergeCell ref="A163:K163"/>
    <mergeCell ref="H167:I167"/>
    <mergeCell ref="J167:K167"/>
    <mergeCell ref="H168:I168"/>
    <mergeCell ref="J168:K168"/>
    <mergeCell ref="H170:I170"/>
    <mergeCell ref="J170:K170"/>
    <mergeCell ref="H171:I171"/>
    <mergeCell ref="H278:I278"/>
    <mergeCell ref="H279:I279"/>
    <mergeCell ref="J279:K279"/>
    <mergeCell ref="J261:K261"/>
    <mergeCell ref="A271:K271"/>
    <mergeCell ref="H275:I275"/>
    <mergeCell ref="J275:K275"/>
    <mergeCell ref="J276:K276"/>
    <mergeCell ref="J278:K278"/>
    <mergeCell ref="A289:K289"/>
    <mergeCell ref="H276:I276"/>
    <mergeCell ref="H293:I293"/>
    <mergeCell ref="J293:K293"/>
    <mergeCell ref="H294:I294"/>
    <mergeCell ref="J294:K294"/>
    <mergeCell ref="H296:I296"/>
    <mergeCell ref="J296:K296"/>
    <mergeCell ref="H297:I297"/>
    <mergeCell ref="J297:K297"/>
    <mergeCell ref="A307:K307"/>
    <mergeCell ref="H311:I311"/>
    <mergeCell ref="J311:K311"/>
    <mergeCell ref="H312:I312"/>
    <mergeCell ref="J312:K312"/>
    <mergeCell ref="H330:I330"/>
    <mergeCell ref="J330:K330"/>
    <mergeCell ref="H332:I332"/>
    <mergeCell ref="J332:K332"/>
    <mergeCell ref="H333:I333"/>
    <mergeCell ref="J333:K333"/>
    <mergeCell ref="H314:I314"/>
    <mergeCell ref="J314:K314"/>
    <mergeCell ref="H315:I315"/>
    <mergeCell ref="J315:K315"/>
    <mergeCell ref="A325:K325"/>
    <mergeCell ref="H329:I329"/>
    <mergeCell ref="J329:K329"/>
    <mergeCell ref="H188:I188"/>
    <mergeCell ref="H189:I189"/>
    <mergeCell ref="J189:K189"/>
    <mergeCell ref="J171:K171"/>
    <mergeCell ref="A181:K181"/>
    <mergeCell ref="H185:I185"/>
    <mergeCell ref="J185:K185"/>
    <mergeCell ref="J186:K186"/>
    <mergeCell ref="J188:K188"/>
    <mergeCell ref="A199:K199"/>
    <mergeCell ref="H186:I186"/>
    <mergeCell ref="H203:I203"/>
    <mergeCell ref="J203:K203"/>
    <mergeCell ref="H204:I204"/>
    <mergeCell ref="J204:K204"/>
    <mergeCell ref="H206:I206"/>
    <mergeCell ref="J206:K206"/>
    <mergeCell ref="H207:I207"/>
    <mergeCell ref="J207:K207"/>
    <mergeCell ref="A217:K217"/>
    <mergeCell ref="H221:I221"/>
    <mergeCell ref="J221:K221"/>
    <mergeCell ref="H222:I222"/>
    <mergeCell ref="J222:K222"/>
    <mergeCell ref="H224:I224"/>
    <mergeCell ref="J224:K224"/>
    <mergeCell ref="H225:I225"/>
    <mergeCell ref="J225:K225"/>
    <mergeCell ref="A235:K235"/>
    <mergeCell ref="H239:I239"/>
    <mergeCell ref="J239:K239"/>
    <mergeCell ref="H240:I240"/>
    <mergeCell ref="J240:K240"/>
    <mergeCell ref="H242:I242"/>
    <mergeCell ref="J242:K242"/>
    <mergeCell ref="H243:I243"/>
    <mergeCell ref="J243:K243"/>
    <mergeCell ref="A253:K253"/>
    <mergeCell ref="H257:I257"/>
    <mergeCell ref="J257:K257"/>
    <mergeCell ref="H258:I258"/>
    <mergeCell ref="J258:K258"/>
    <mergeCell ref="H260:I260"/>
    <mergeCell ref="J260:K260"/>
    <mergeCell ref="H261:I26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1" t="s">
        <v>30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>
        <v>44642.0</v>
      </c>
      <c r="C2" s="5">
        <v>44641.0</v>
      </c>
      <c r="D2" s="5">
        <v>44640.0</v>
      </c>
      <c r="E2" s="5">
        <v>44639.0</v>
      </c>
      <c r="F2" s="5">
        <v>44638.0</v>
      </c>
      <c r="G2" s="5">
        <v>44637.0</v>
      </c>
      <c r="H2" s="4" t="s">
        <v>2</v>
      </c>
      <c r="I2" s="6" t="s">
        <v>3</v>
      </c>
      <c r="J2" s="4" t="s">
        <v>4</v>
      </c>
      <c r="K2" s="4" t="s">
        <v>5</v>
      </c>
    </row>
    <row r="3">
      <c r="A3" s="4" t="s">
        <v>6</v>
      </c>
      <c r="B3" s="28">
        <v>71.89</v>
      </c>
      <c r="C3" s="28">
        <v>71.9</v>
      </c>
      <c r="D3" s="28">
        <v>69.6</v>
      </c>
      <c r="E3" s="28">
        <v>69.56</v>
      </c>
      <c r="F3" s="28">
        <v>69.56</v>
      </c>
      <c r="G3" s="10"/>
      <c r="H3" s="11">
        <v>9.9793273E7</v>
      </c>
      <c r="I3" s="11">
        <v>1.41970885E8</v>
      </c>
      <c r="J3" s="12">
        <f>IFERROR(__xludf.DUMMYFUNCTION("GOOGLEFINANCE(""NSE:"" &amp; A1,""price"")"),6348.0)</f>
        <v>6348</v>
      </c>
      <c r="K3" s="29">
        <f>-B5-B6+B7+B8</f>
        <v>5899.48</v>
      </c>
    </row>
    <row r="4">
      <c r="A4" s="4" t="s">
        <v>8</v>
      </c>
      <c r="B4" s="28">
        <v>5573.26</v>
      </c>
      <c r="C4" s="28">
        <v>4524.4</v>
      </c>
      <c r="D4" s="28">
        <v>3266.5</v>
      </c>
      <c r="E4" s="28">
        <v>3261.1</v>
      </c>
      <c r="F4" s="28">
        <v>3180.05</v>
      </c>
      <c r="G4" s="16"/>
      <c r="H4" s="17"/>
      <c r="I4" s="18"/>
      <c r="J4" s="18"/>
      <c r="K4" s="18"/>
    </row>
    <row r="5">
      <c r="A5" s="4" t="s">
        <v>9</v>
      </c>
      <c r="B5" s="28">
        <v>4931.56</v>
      </c>
      <c r="C5" s="28">
        <v>4576.4</v>
      </c>
      <c r="D5" s="28">
        <v>5531.3</v>
      </c>
      <c r="E5" s="28">
        <v>3758.77</v>
      </c>
      <c r="F5" s="28">
        <v>3661.62</v>
      </c>
      <c r="G5" s="19"/>
      <c r="H5" s="20" t="s">
        <v>10</v>
      </c>
      <c r="I5" s="21"/>
      <c r="J5" s="20" t="s">
        <v>11</v>
      </c>
      <c r="K5" s="21"/>
    </row>
    <row r="6">
      <c r="A6" s="4" t="s">
        <v>12</v>
      </c>
      <c r="B6" s="28">
        <v>2383.17</v>
      </c>
      <c r="C6" s="28">
        <v>2037.9</v>
      </c>
      <c r="D6" s="28">
        <v>2337.3</v>
      </c>
      <c r="E6" s="28">
        <v>1955.38</v>
      </c>
      <c r="F6" s="28">
        <v>1567.23</v>
      </c>
      <c r="G6" s="19"/>
      <c r="H6" s="22">
        <f>(K3*10000000)/H3</f>
        <v>591.1701082</v>
      </c>
      <c r="I6" s="9"/>
      <c r="J6" s="22">
        <f>J3/H6</f>
        <v>10.73802601</v>
      </c>
      <c r="K6" s="9"/>
    </row>
    <row r="7">
      <c r="A7" s="4" t="s">
        <v>13</v>
      </c>
      <c r="B7" s="28">
        <v>9092.79</v>
      </c>
      <c r="C7" s="28">
        <v>7775.5</v>
      </c>
      <c r="D7" s="28">
        <v>8691.6</v>
      </c>
      <c r="E7" s="28">
        <v>6901.34</v>
      </c>
      <c r="F7" s="28">
        <v>6392.66</v>
      </c>
      <c r="G7" s="17"/>
      <c r="H7" s="17"/>
      <c r="I7" s="18"/>
      <c r="J7" s="18"/>
      <c r="K7" s="18"/>
    </row>
    <row r="8">
      <c r="A8" s="4" t="s">
        <v>14</v>
      </c>
      <c r="B8" s="28">
        <v>4121.42</v>
      </c>
      <c r="C8" s="28">
        <v>3641.2</v>
      </c>
      <c r="D8" s="28">
        <v>2646.8</v>
      </c>
      <c r="E8" s="28">
        <v>2281.73</v>
      </c>
      <c r="F8" s="28">
        <v>2220.13</v>
      </c>
      <c r="G8" s="19"/>
      <c r="H8" s="20" t="s">
        <v>15</v>
      </c>
      <c r="I8" s="21"/>
      <c r="J8" s="20" t="s">
        <v>16</v>
      </c>
      <c r="K8" s="21"/>
    </row>
    <row r="9">
      <c r="A9" s="4" t="s">
        <v>17</v>
      </c>
      <c r="B9" s="28"/>
      <c r="C9" s="30"/>
      <c r="D9" s="30"/>
      <c r="E9" s="30"/>
      <c r="F9" s="30"/>
      <c r="G9" s="19"/>
      <c r="H9" s="17">
        <f>(K3*10000000)/I3</f>
        <v>415.5415387</v>
      </c>
      <c r="I9" s="3"/>
      <c r="J9" s="17">
        <f>J3/H9</f>
        <v>15.27645111</v>
      </c>
      <c r="K9" s="3"/>
    </row>
    <row r="10">
      <c r="A10" s="4" t="s">
        <v>18</v>
      </c>
      <c r="B10" s="28"/>
      <c r="C10" s="30"/>
      <c r="D10" s="30"/>
      <c r="E10" s="30"/>
      <c r="F10" s="30"/>
      <c r="G10" s="19"/>
      <c r="H10" s="23"/>
      <c r="I10" s="24"/>
      <c r="J10" s="24"/>
      <c r="K10" s="24"/>
    </row>
    <row r="11">
      <c r="A11" s="4" t="s">
        <v>19</v>
      </c>
      <c r="B11" s="28"/>
      <c r="C11" s="30"/>
      <c r="D11" s="30"/>
      <c r="E11" s="30"/>
      <c r="F11" s="30"/>
      <c r="G11" s="19"/>
      <c r="H11" s="23"/>
      <c r="I11" s="24"/>
      <c r="J11" s="4" t="s">
        <v>20</v>
      </c>
      <c r="K11" s="19">
        <f>(B14*10000000)/I3</f>
        <v>74.35397758</v>
      </c>
    </row>
    <row r="12">
      <c r="A12" s="4" t="s">
        <v>21</v>
      </c>
      <c r="B12" s="19"/>
      <c r="C12" s="19">
        <f t="shared" ref="C12:F12" si="1">SUM(C9:C11)</f>
        <v>0</v>
      </c>
      <c r="D12" s="19">
        <f t="shared" si="1"/>
        <v>0</v>
      </c>
      <c r="E12" s="19">
        <f t="shared" si="1"/>
        <v>0</v>
      </c>
      <c r="F12" s="19">
        <f t="shared" si="1"/>
        <v>0</v>
      </c>
      <c r="G12" s="17"/>
      <c r="H12" s="27" t="str">
        <f t="shared" ref="H12:H17" si="2">(((B12/F12)^(1/5)-1)*100)</f>
        <v>#DIV/0!</v>
      </c>
      <c r="I12" s="24"/>
      <c r="J12" s="4" t="s">
        <v>22</v>
      </c>
      <c r="K12" s="19">
        <f>J3/K11</f>
        <v>85.37539224</v>
      </c>
    </row>
    <row r="13">
      <c r="A13" s="4" t="s">
        <v>23</v>
      </c>
      <c r="B13" s="31">
        <v>1578.03</v>
      </c>
      <c r="C13" s="31">
        <v>220.7</v>
      </c>
      <c r="D13" s="31">
        <v>660.0</v>
      </c>
      <c r="E13" s="31">
        <v>372.56</v>
      </c>
      <c r="F13" s="31">
        <v>171.24</v>
      </c>
      <c r="G13" s="17"/>
      <c r="H13" s="27">
        <f t="shared" si="2"/>
        <v>55.92006503</v>
      </c>
      <c r="I13" s="24"/>
      <c r="J13" s="4" t="s">
        <v>24</v>
      </c>
      <c r="K13" s="19">
        <f>(B13/(B3+B4))*100</f>
        <v>27.95373019</v>
      </c>
    </row>
    <row r="14">
      <c r="A14" s="4" t="s">
        <v>25</v>
      </c>
      <c r="B14" s="31">
        <v>1055.61</v>
      </c>
      <c r="C14" s="31">
        <v>150.4</v>
      </c>
      <c r="D14" s="31">
        <v>454.8</v>
      </c>
      <c r="E14" s="31">
        <v>236.05</v>
      </c>
      <c r="F14" s="31">
        <v>117.42</v>
      </c>
      <c r="G14" s="17"/>
      <c r="H14" s="27">
        <f t="shared" si="2"/>
        <v>55.15018006</v>
      </c>
      <c r="I14" s="24"/>
      <c r="J14" s="4" t="s">
        <v>26</v>
      </c>
      <c r="K14" s="19">
        <f>(H3/I3)*100</f>
        <v>70.29136502</v>
      </c>
    </row>
    <row r="15">
      <c r="A15" s="4" t="s">
        <v>27</v>
      </c>
      <c r="B15" s="19">
        <f t="shared" ref="B15:F15" si="3">B5/(B3+B4)</f>
        <v>0.8735923758</v>
      </c>
      <c r="C15" s="19">
        <f t="shared" si="3"/>
        <v>0.9956704306</v>
      </c>
      <c r="D15" s="19">
        <f t="shared" si="3"/>
        <v>1.658013849</v>
      </c>
      <c r="E15" s="19">
        <f t="shared" si="3"/>
        <v>1.128536086</v>
      </c>
      <c r="F15" s="19">
        <f t="shared" si="3"/>
        <v>1.126787522</v>
      </c>
      <c r="G15" s="19"/>
      <c r="H15" s="27">
        <f t="shared" si="2"/>
        <v>-4.962859384</v>
      </c>
      <c r="I15" s="24"/>
      <c r="J15" s="24"/>
      <c r="K15" s="24"/>
    </row>
    <row r="16">
      <c r="A16" s="4" t="s">
        <v>28</v>
      </c>
      <c r="B16" s="19">
        <f t="shared" ref="B16:F16" si="4">B4/B3</f>
        <v>77.5248296</v>
      </c>
      <c r="C16" s="19">
        <f t="shared" si="4"/>
        <v>62.92628651</v>
      </c>
      <c r="D16" s="19">
        <f t="shared" si="4"/>
        <v>46.93247126</v>
      </c>
      <c r="E16" s="19">
        <f t="shared" si="4"/>
        <v>46.88182864</v>
      </c>
      <c r="F16" s="19">
        <f t="shared" si="4"/>
        <v>45.7166475</v>
      </c>
      <c r="G16" s="19"/>
      <c r="H16" s="27">
        <f t="shared" si="2"/>
        <v>11.14074127</v>
      </c>
      <c r="I16" s="24"/>
      <c r="J16" s="24"/>
      <c r="K16" s="24"/>
    </row>
    <row r="17">
      <c r="A17" s="4" t="s">
        <v>29</v>
      </c>
      <c r="B17" s="19">
        <f t="shared" ref="B17:F17" si="5">B8/B6</f>
        <v>1.72938565</v>
      </c>
      <c r="C17" s="19">
        <f t="shared" si="5"/>
        <v>1.786741253</v>
      </c>
      <c r="D17" s="19">
        <f t="shared" si="5"/>
        <v>1.132417747</v>
      </c>
      <c r="E17" s="19">
        <f t="shared" si="5"/>
        <v>1.166898506</v>
      </c>
      <c r="F17" s="19">
        <f t="shared" si="5"/>
        <v>1.416594884</v>
      </c>
      <c r="G17" s="19"/>
      <c r="H17" s="27">
        <f t="shared" si="2"/>
        <v>4.070882284</v>
      </c>
      <c r="I17" s="24"/>
      <c r="J17" s="24"/>
      <c r="K17" s="24"/>
    </row>
    <row r="19">
      <c r="A19" s="32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3"/>
    </row>
    <row r="20">
      <c r="A20" s="4" t="s">
        <v>1</v>
      </c>
      <c r="B20" s="5">
        <v>44642.0</v>
      </c>
      <c r="C20" s="5">
        <v>44641.0</v>
      </c>
      <c r="D20" s="5">
        <v>44640.0</v>
      </c>
      <c r="E20" s="5">
        <v>44639.0</v>
      </c>
      <c r="F20" s="5">
        <v>44638.0</v>
      </c>
      <c r="G20" s="5">
        <v>44637.0</v>
      </c>
      <c r="H20" s="4" t="s">
        <v>2</v>
      </c>
      <c r="I20" s="6" t="s">
        <v>3</v>
      </c>
      <c r="J20" s="4" t="s">
        <v>4</v>
      </c>
      <c r="K20" s="4" t="s">
        <v>5</v>
      </c>
    </row>
    <row r="21">
      <c r="A21" s="4" t="s">
        <v>6</v>
      </c>
      <c r="B21" s="28">
        <v>13.24</v>
      </c>
      <c r="C21" s="28">
        <v>13.24</v>
      </c>
      <c r="D21" s="28">
        <v>13.24</v>
      </c>
      <c r="E21" s="28">
        <v>13.24</v>
      </c>
      <c r="F21" s="28"/>
      <c r="G21" s="10"/>
      <c r="H21" s="11">
        <v>3.912218E7</v>
      </c>
      <c r="I21" s="11">
        <v>1.3155297E8</v>
      </c>
      <c r="J21" s="12">
        <f>IFERROR(__xludf.DUMMYFUNCTION("GOOGLEFINANCE(""NSE:"" &amp; A19,""price"")"),170.0)</f>
        <v>170</v>
      </c>
      <c r="K21" s="29">
        <f>-B23-B24+B25+B26</f>
        <v>361.26</v>
      </c>
    </row>
    <row r="22">
      <c r="A22" s="4" t="s">
        <v>8</v>
      </c>
      <c r="B22" s="28">
        <v>346.19</v>
      </c>
      <c r="C22" s="28">
        <v>306.96</v>
      </c>
      <c r="D22" s="28">
        <v>300.0</v>
      </c>
      <c r="E22" s="28">
        <v>280.23</v>
      </c>
      <c r="F22" s="28"/>
      <c r="G22" s="16"/>
      <c r="H22" s="17"/>
      <c r="I22" s="18"/>
      <c r="J22" s="18"/>
      <c r="K22" s="18"/>
    </row>
    <row r="23">
      <c r="A23" s="4" t="s">
        <v>9</v>
      </c>
      <c r="B23" s="28">
        <v>210.25</v>
      </c>
      <c r="C23" s="28">
        <v>159.53</v>
      </c>
      <c r="D23" s="28">
        <v>114.93</v>
      </c>
      <c r="E23" s="28">
        <v>84.26</v>
      </c>
      <c r="F23" s="28"/>
      <c r="G23" s="19"/>
      <c r="H23" s="20" t="s">
        <v>10</v>
      </c>
      <c r="I23" s="21"/>
      <c r="J23" s="20" t="s">
        <v>11</v>
      </c>
      <c r="K23" s="21"/>
    </row>
    <row r="24">
      <c r="A24" s="4" t="s">
        <v>12</v>
      </c>
      <c r="B24" s="28">
        <v>138.16</v>
      </c>
      <c r="C24" s="28">
        <v>118.82</v>
      </c>
      <c r="D24" s="28">
        <v>157.8</v>
      </c>
      <c r="E24" s="28">
        <v>176.69</v>
      </c>
      <c r="F24" s="28"/>
      <c r="G24" s="19"/>
      <c r="H24" s="22">
        <f>(K21*10000000)/H21</f>
        <v>92.34147995</v>
      </c>
      <c r="I24" s="9"/>
      <c r="J24" s="22">
        <f>J21/H24</f>
        <v>1.840992803</v>
      </c>
      <c r="K24" s="9"/>
    </row>
    <row r="25">
      <c r="A25" s="4" t="s">
        <v>13</v>
      </c>
      <c r="B25" s="28">
        <v>582.62</v>
      </c>
      <c r="C25" s="28">
        <v>490.62</v>
      </c>
      <c r="D25" s="28">
        <v>468.93</v>
      </c>
      <c r="E25" s="28">
        <v>441.81</v>
      </c>
      <c r="F25" s="28"/>
      <c r="G25" s="17"/>
      <c r="H25" s="17"/>
      <c r="I25" s="18"/>
      <c r="J25" s="18"/>
      <c r="K25" s="18"/>
    </row>
    <row r="26">
      <c r="A26" s="4" t="s">
        <v>14</v>
      </c>
      <c r="B26" s="28">
        <v>127.05</v>
      </c>
      <c r="C26" s="28">
        <v>109.47</v>
      </c>
      <c r="D26" s="28">
        <v>117.51</v>
      </c>
      <c r="E26" s="28">
        <v>112.53</v>
      </c>
      <c r="F26" s="28"/>
      <c r="G26" s="19"/>
      <c r="H26" s="20" t="s">
        <v>15</v>
      </c>
      <c r="I26" s="21"/>
      <c r="J26" s="20" t="s">
        <v>16</v>
      </c>
      <c r="K26" s="21"/>
    </row>
    <row r="27">
      <c r="A27" s="4" t="s">
        <v>17</v>
      </c>
      <c r="B27" s="28"/>
      <c r="C27" s="30"/>
      <c r="D27" s="30"/>
      <c r="E27" s="30"/>
      <c r="F27" s="30"/>
      <c r="G27" s="19"/>
      <c r="H27" s="17">
        <f>(K21*10000000)/I21</f>
        <v>27.46118161</v>
      </c>
      <c r="I27" s="3"/>
      <c r="J27" s="17">
        <f>J21/H27</f>
        <v>6.190556635</v>
      </c>
      <c r="K27" s="3"/>
    </row>
    <row r="28">
      <c r="A28" s="4" t="s">
        <v>18</v>
      </c>
      <c r="B28" s="28"/>
      <c r="C28" s="30"/>
      <c r="D28" s="30"/>
      <c r="E28" s="30"/>
      <c r="F28" s="30"/>
      <c r="G28" s="19"/>
      <c r="H28" s="23"/>
      <c r="I28" s="24"/>
      <c r="J28" s="24"/>
      <c r="K28" s="24"/>
    </row>
    <row r="29">
      <c r="A29" s="4" t="s">
        <v>19</v>
      </c>
      <c r="B29" s="28"/>
      <c r="C29" s="30"/>
      <c r="D29" s="30"/>
      <c r="E29" s="30"/>
      <c r="F29" s="30"/>
      <c r="G29" s="19"/>
      <c r="H29" s="23"/>
      <c r="I29" s="24"/>
      <c r="J29" s="4" t="s">
        <v>20</v>
      </c>
      <c r="K29" s="19">
        <f>(B32*10000000)/I21</f>
        <v>2.418037388</v>
      </c>
    </row>
    <row r="30">
      <c r="A30" s="4" t="s">
        <v>21</v>
      </c>
      <c r="B30" s="19"/>
      <c r="C30" s="19">
        <f t="shared" ref="C30:E30" si="6">SUM(C27:C29)</f>
        <v>0</v>
      </c>
      <c r="D30" s="19">
        <f t="shared" si="6"/>
        <v>0</v>
      </c>
      <c r="E30" s="19">
        <f t="shared" si="6"/>
        <v>0</v>
      </c>
      <c r="F30" s="19"/>
      <c r="G30" s="17"/>
      <c r="H30" s="27" t="str">
        <f>(((B30/F30)^(1/5)-1)*100)</f>
        <v>#DIV/0!</v>
      </c>
      <c r="I30" s="24"/>
      <c r="J30" s="4" t="s">
        <v>22</v>
      </c>
      <c r="K30" s="19">
        <f>J21/K29</f>
        <v>70.30495096</v>
      </c>
    </row>
    <row r="31">
      <c r="A31" s="4" t="s">
        <v>23</v>
      </c>
      <c r="B31" s="31">
        <v>37.18</v>
      </c>
      <c r="C31" s="31">
        <v>7.53</v>
      </c>
      <c r="D31" s="31">
        <v>30.63</v>
      </c>
      <c r="E31" s="31">
        <v>36.74</v>
      </c>
      <c r="F31" s="31"/>
      <c r="G31" s="17"/>
      <c r="H31" s="27">
        <f t="shared" ref="H31:H35" si="7">(((B31/E31)^(1/5)-1)*100)</f>
        <v>0.2383817286</v>
      </c>
      <c r="I31" s="24"/>
      <c r="J31" s="4" t="s">
        <v>24</v>
      </c>
      <c r="K31" s="19">
        <f>(B31/(B21+B22))*100</f>
        <v>10.34415602</v>
      </c>
    </row>
    <row r="32">
      <c r="A32" s="4" t="s">
        <v>25</v>
      </c>
      <c r="B32" s="31">
        <v>31.81</v>
      </c>
      <c r="C32" s="31">
        <v>6.49</v>
      </c>
      <c r="D32" s="31">
        <v>19.79</v>
      </c>
      <c r="E32" s="31">
        <v>20.49</v>
      </c>
      <c r="F32" s="31"/>
      <c r="G32" s="17"/>
      <c r="H32" s="27">
        <f t="shared" si="7"/>
        <v>9.195399652</v>
      </c>
      <c r="I32" s="24"/>
      <c r="J32" s="4" t="s">
        <v>26</v>
      </c>
      <c r="K32" s="19">
        <f>(H21/I21)*100</f>
        <v>29.73872806</v>
      </c>
    </row>
    <row r="33">
      <c r="A33" s="4" t="s">
        <v>27</v>
      </c>
      <c r="B33" s="19">
        <f t="shared" ref="B33:E33" si="8">B23/(B21+B22)</f>
        <v>0.5849539549</v>
      </c>
      <c r="C33" s="19">
        <f t="shared" si="8"/>
        <v>0.4982198626</v>
      </c>
      <c r="D33" s="19">
        <f t="shared" si="8"/>
        <v>0.3669071638</v>
      </c>
      <c r="E33" s="19">
        <f t="shared" si="8"/>
        <v>0.2871162299</v>
      </c>
      <c r="F33" s="19"/>
      <c r="G33" s="19"/>
      <c r="H33" s="27">
        <f t="shared" si="7"/>
        <v>15.29561435</v>
      </c>
      <c r="I33" s="24"/>
      <c r="J33" s="24"/>
      <c r="K33" s="24"/>
    </row>
    <row r="34">
      <c r="A34" s="4" t="s">
        <v>28</v>
      </c>
      <c r="B34" s="19">
        <f t="shared" ref="B34:E34" si="9">B22/B21</f>
        <v>26.14728097</v>
      </c>
      <c r="C34" s="19">
        <f t="shared" si="9"/>
        <v>23.18429003</v>
      </c>
      <c r="D34" s="19">
        <f t="shared" si="9"/>
        <v>22.65861027</v>
      </c>
      <c r="E34" s="19">
        <f t="shared" si="9"/>
        <v>21.16540785</v>
      </c>
      <c r="F34" s="19"/>
      <c r="G34" s="19"/>
      <c r="H34" s="27">
        <f t="shared" si="7"/>
        <v>4.318174453</v>
      </c>
      <c r="I34" s="24"/>
      <c r="J34" s="24"/>
      <c r="K34" s="24"/>
    </row>
    <row r="35">
      <c r="A35" s="4" t="s">
        <v>29</v>
      </c>
      <c r="B35" s="19">
        <f t="shared" ref="B35:E35" si="10">B26/B24</f>
        <v>0.9195859873</v>
      </c>
      <c r="C35" s="19">
        <f t="shared" si="10"/>
        <v>0.9213095438</v>
      </c>
      <c r="D35" s="19">
        <f t="shared" si="10"/>
        <v>0.7446768061</v>
      </c>
      <c r="E35" s="19">
        <f t="shared" si="10"/>
        <v>0.6368781482</v>
      </c>
      <c r="F35" s="19"/>
      <c r="G35" s="19"/>
      <c r="H35" s="27">
        <f t="shared" si="7"/>
        <v>7.623521759</v>
      </c>
      <c r="I35" s="24"/>
      <c r="J35" s="24"/>
      <c r="K35" s="24"/>
    </row>
    <row r="37">
      <c r="A37" s="1" t="s">
        <v>32</v>
      </c>
      <c r="B37" s="2"/>
      <c r="C37" s="2"/>
      <c r="D37" s="2"/>
      <c r="E37" s="2"/>
      <c r="F37" s="2"/>
      <c r="G37" s="2"/>
      <c r="H37" s="2"/>
      <c r="I37" s="2"/>
      <c r="J37" s="2"/>
      <c r="K37" s="3"/>
    </row>
    <row r="38">
      <c r="A38" s="4" t="s">
        <v>1</v>
      </c>
      <c r="B38" s="5">
        <v>44642.0</v>
      </c>
      <c r="C38" s="5">
        <v>44641.0</v>
      </c>
      <c r="D38" s="5">
        <v>44640.0</v>
      </c>
      <c r="E38" s="5">
        <v>44639.0</v>
      </c>
      <c r="F38" s="5">
        <v>44638.0</v>
      </c>
      <c r="G38" s="5">
        <v>44637.0</v>
      </c>
      <c r="H38" s="4" t="s">
        <v>2</v>
      </c>
      <c r="I38" s="6" t="s">
        <v>3</v>
      </c>
      <c r="J38" s="4" t="s">
        <v>4</v>
      </c>
      <c r="K38" s="4" t="s">
        <v>5</v>
      </c>
    </row>
    <row r="39">
      <c r="A39" s="4" t="s">
        <v>6</v>
      </c>
      <c r="B39" s="28">
        <v>497.22</v>
      </c>
      <c r="C39" s="28">
        <v>497.04</v>
      </c>
      <c r="D39" s="28">
        <v>499.52</v>
      </c>
      <c r="E39" s="28">
        <v>505.23</v>
      </c>
      <c r="F39" s="28">
        <v>505.23</v>
      </c>
      <c r="G39" s="10"/>
      <c r="H39" s="11">
        <v>3.0471928E8</v>
      </c>
      <c r="I39" s="11">
        <v>4.96192482E8</v>
      </c>
      <c r="J39" s="12">
        <f>IFERROR(__xludf.DUMMYFUNCTION("GOOGLEFINANCE(""NSE:"" &amp; A37,""price"")"),407.05)</f>
        <v>407.05</v>
      </c>
      <c r="K39" s="29">
        <f>-B41-B42+B43+B44</f>
        <v>4482.62</v>
      </c>
    </row>
    <row r="40">
      <c r="A40" s="4" t="s">
        <v>8</v>
      </c>
      <c r="B40" s="28">
        <v>3456.19</v>
      </c>
      <c r="C40" s="28">
        <v>2875.42</v>
      </c>
      <c r="D40" s="28">
        <v>2398.24</v>
      </c>
      <c r="E40" s="28">
        <v>2334.15</v>
      </c>
      <c r="F40" s="28">
        <v>1952.49</v>
      </c>
      <c r="G40" s="16"/>
      <c r="H40" s="17"/>
      <c r="I40" s="18"/>
      <c r="J40" s="18"/>
      <c r="K40" s="18"/>
    </row>
    <row r="41">
      <c r="A41" s="4" t="s">
        <v>9</v>
      </c>
      <c r="B41" s="28">
        <v>4505.04</v>
      </c>
      <c r="C41" s="28">
        <v>4613.72</v>
      </c>
      <c r="D41" s="28">
        <v>4997.25</v>
      </c>
      <c r="E41" s="28">
        <v>2589.0</v>
      </c>
      <c r="F41" s="28">
        <v>2070.72</v>
      </c>
      <c r="G41" s="19"/>
      <c r="H41" s="20" t="s">
        <v>10</v>
      </c>
      <c r="I41" s="21"/>
      <c r="J41" s="20" t="s">
        <v>11</v>
      </c>
      <c r="K41" s="21"/>
    </row>
    <row r="42">
      <c r="A42" s="4" t="s">
        <v>12</v>
      </c>
      <c r="B42" s="28">
        <v>3558.58</v>
      </c>
      <c r="C42" s="28">
        <v>3195.62</v>
      </c>
      <c r="D42" s="28">
        <v>3722.08</v>
      </c>
      <c r="E42" s="28">
        <v>2667.59</v>
      </c>
      <c r="F42" s="28">
        <v>2223.49</v>
      </c>
      <c r="G42" s="19"/>
      <c r="H42" s="22">
        <f>(K39*10000000)/H39</f>
        <v>147.1065434</v>
      </c>
      <c r="I42" s="9"/>
      <c r="J42" s="22">
        <f>J39/H42</f>
        <v>2.767042108</v>
      </c>
      <c r="K42" s="9"/>
    </row>
    <row r="43">
      <c r="A43" s="4" t="s">
        <v>13</v>
      </c>
      <c r="B43" s="28">
        <v>8449.78</v>
      </c>
      <c r="C43" s="28">
        <v>8014.45</v>
      </c>
      <c r="D43" s="28">
        <v>8342.17</v>
      </c>
      <c r="E43" s="28">
        <v>5319.72</v>
      </c>
      <c r="F43" s="28">
        <v>4615.26</v>
      </c>
      <c r="G43" s="17"/>
      <c r="H43" s="17"/>
      <c r="I43" s="18"/>
      <c r="J43" s="18"/>
      <c r="K43" s="18"/>
    </row>
    <row r="44">
      <c r="A44" s="4" t="s">
        <v>14</v>
      </c>
      <c r="B44" s="28">
        <v>4096.46</v>
      </c>
      <c r="C44" s="28">
        <v>3629.01</v>
      </c>
      <c r="D44" s="28">
        <v>4095.67</v>
      </c>
      <c r="E44" s="28">
        <v>3616.69</v>
      </c>
      <c r="F44" s="28">
        <v>2868.98</v>
      </c>
      <c r="G44" s="19"/>
      <c r="H44" s="20" t="s">
        <v>15</v>
      </c>
      <c r="I44" s="21"/>
      <c r="J44" s="20" t="s">
        <v>16</v>
      </c>
      <c r="K44" s="21"/>
    </row>
    <row r="45">
      <c r="A45" s="4" t="s">
        <v>17</v>
      </c>
      <c r="B45" s="28"/>
      <c r="C45" s="30"/>
      <c r="D45" s="30"/>
      <c r="E45" s="30"/>
      <c r="F45" s="30"/>
      <c r="G45" s="19"/>
      <c r="H45" s="17">
        <f>(K39*10000000)/I39</f>
        <v>90.34034498</v>
      </c>
      <c r="I45" s="3"/>
      <c r="J45" s="17">
        <f>J39/H45</f>
        <v>4.505738827</v>
      </c>
      <c r="K45" s="3"/>
    </row>
    <row r="46">
      <c r="A46" s="4" t="s">
        <v>18</v>
      </c>
      <c r="B46" s="28"/>
      <c r="C46" s="30"/>
      <c r="D46" s="30"/>
      <c r="E46" s="30"/>
      <c r="F46" s="30"/>
      <c r="G46" s="19"/>
      <c r="H46" s="23"/>
      <c r="I46" s="24"/>
      <c r="J46" s="24"/>
      <c r="K46" s="24"/>
    </row>
    <row r="47">
      <c r="A47" s="4" t="s">
        <v>19</v>
      </c>
      <c r="B47" s="28"/>
      <c r="C47" s="30"/>
      <c r="D47" s="30"/>
      <c r="E47" s="30"/>
      <c r="F47" s="30"/>
      <c r="G47" s="19"/>
      <c r="H47" s="23"/>
      <c r="I47" s="24"/>
      <c r="J47" s="4" t="s">
        <v>20</v>
      </c>
      <c r="K47" s="19">
        <f>(B50*10000000)/I39</f>
        <v>10.60052337</v>
      </c>
    </row>
    <row r="48">
      <c r="A48" s="4" t="s">
        <v>21</v>
      </c>
      <c r="B48" s="19"/>
      <c r="C48" s="19">
        <f t="shared" ref="C48:F48" si="11">SUM(C45:C47)</f>
        <v>0</v>
      </c>
      <c r="D48" s="19">
        <f t="shared" si="11"/>
        <v>0</v>
      </c>
      <c r="E48" s="19">
        <f t="shared" si="11"/>
        <v>0</v>
      </c>
      <c r="F48" s="19">
        <f t="shared" si="11"/>
        <v>0</v>
      </c>
      <c r="G48" s="17"/>
      <c r="H48" s="27" t="str">
        <f t="shared" ref="H48:H53" si="12">(((B48/F48)^(1/5)-1)*100)</f>
        <v>#DIV/0!</v>
      </c>
      <c r="I48" s="24"/>
      <c r="J48" s="4" t="s">
        <v>22</v>
      </c>
      <c r="K48" s="19">
        <f>J39/K47</f>
        <v>38.39904747</v>
      </c>
    </row>
    <row r="49">
      <c r="A49" s="4" t="s">
        <v>23</v>
      </c>
      <c r="B49" s="31">
        <v>636.31</v>
      </c>
      <c r="C49" s="31">
        <v>201.53</v>
      </c>
      <c r="D49" s="31">
        <v>330.23</v>
      </c>
      <c r="E49" s="31">
        <v>410.5</v>
      </c>
      <c r="F49" s="31">
        <v>305.48</v>
      </c>
      <c r="G49" s="17"/>
      <c r="H49" s="27">
        <f t="shared" si="12"/>
        <v>15.80763518</v>
      </c>
      <c r="I49" s="24"/>
      <c r="J49" s="4" t="s">
        <v>24</v>
      </c>
      <c r="K49" s="19">
        <f>(B49/(B39+B40))*100</f>
        <v>16.09521906</v>
      </c>
    </row>
    <row r="50">
      <c r="A50" s="4" t="s">
        <v>25</v>
      </c>
      <c r="B50" s="31">
        <v>525.99</v>
      </c>
      <c r="C50" s="31">
        <v>147.74</v>
      </c>
      <c r="D50" s="31">
        <v>276.61</v>
      </c>
      <c r="E50" s="31">
        <v>333.11</v>
      </c>
      <c r="F50" s="31">
        <v>268.88</v>
      </c>
      <c r="G50" s="17"/>
      <c r="H50" s="27">
        <f t="shared" si="12"/>
        <v>14.36254135</v>
      </c>
      <c r="I50" s="24"/>
      <c r="J50" s="4" t="s">
        <v>26</v>
      </c>
      <c r="K50" s="19">
        <f>(H39/I39)*100</f>
        <v>61.41150684</v>
      </c>
    </row>
    <row r="51">
      <c r="A51" s="4" t="s">
        <v>27</v>
      </c>
      <c r="B51" s="19">
        <f t="shared" ref="B51:F51" si="13">B41/(B39+B40)</f>
        <v>1.139532707</v>
      </c>
      <c r="C51" s="19">
        <f t="shared" si="13"/>
        <v>1.368057738</v>
      </c>
      <c r="D51" s="19">
        <f t="shared" si="13"/>
        <v>1.7245217</v>
      </c>
      <c r="E51" s="19">
        <f t="shared" si="13"/>
        <v>0.9118187773</v>
      </c>
      <c r="F51" s="19">
        <f t="shared" si="13"/>
        <v>0.8425369855</v>
      </c>
      <c r="G51" s="19"/>
      <c r="H51" s="27">
        <f t="shared" si="12"/>
        <v>6.225201623</v>
      </c>
      <c r="I51" s="24"/>
      <c r="J51" s="24"/>
      <c r="K51" s="24"/>
    </row>
    <row r="52">
      <c r="A52" s="4" t="s">
        <v>28</v>
      </c>
      <c r="B52" s="19">
        <f t="shared" ref="B52:F52" si="14">B40/B39</f>
        <v>6.951027714</v>
      </c>
      <c r="C52" s="19">
        <f t="shared" si="14"/>
        <v>5.785087719</v>
      </c>
      <c r="D52" s="19">
        <f t="shared" si="14"/>
        <v>4.801089045</v>
      </c>
      <c r="E52" s="19">
        <f t="shared" si="14"/>
        <v>4.619975061</v>
      </c>
      <c r="F52" s="19">
        <f t="shared" si="14"/>
        <v>3.864556737</v>
      </c>
      <c r="G52" s="19"/>
      <c r="H52" s="27">
        <f t="shared" si="12"/>
        <v>12.45787335</v>
      </c>
      <c r="I52" s="24"/>
      <c r="J52" s="24"/>
      <c r="K52" s="24"/>
    </row>
    <row r="53">
      <c r="A53" s="4" t="s">
        <v>29</v>
      </c>
      <c r="B53" s="19">
        <f t="shared" ref="B53:F53" si="15">B44/B42</f>
        <v>1.151150178</v>
      </c>
      <c r="C53" s="19">
        <f t="shared" si="15"/>
        <v>1.135620005</v>
      </c>
      <c r="D53" s="19">
        <f t="shared" si="15"/>
        <v>1.100371298</v>
      </c>
      <c r="E53" s="19">
        <f t="shared" si="15"/>
        <v>1.355789308</v>
      </c>
      <c r="F53" s="19">
        <f t="shared" si="15"/>
        <v>1.290304881</v>
      </c>
      <c r="G53" s="19"/>
      <c r="H53" s="27">
        <f t="shared" si="12"/>
        <v>-2.256490375</v>
      </c>
      <c r="I53" s="24"/>
      <c r="J53" s="24"/>
      <c r="K53" s="24"/>
    </row>
    <row r="55">
      <c r="A55" s="1" t="s">
        <v>34</v>
      </c>
      <c r="B55" s="2"/>
      <c r="C55" s="2"/>
      <c r="D55" s="2"/>
      <c r="E55" s="2"/>
      <c r="F55" s="2"/>
      <c r="G55" s="2"/>
      <c r="H55" s="2"/>
      <c r="I55" s="2"/>
      <c r="J55" s="2"/>
      <c r="K55" s="3"/>
    </row>
    <row r="56">
      <c r="A56" s="4" t="s">
        <v>1</v>
      </c>
      <c r="B56" s="5">
        <v>44642.0</v>
      </c>
      <c r="C56" s="5">
        <v>44641.0</v>
      </c>
      <c r="D56" s="5">
        <v>44640.0</v>
      </c>
      <c r="E56" s="5">
        <v>44639.0</v>
      </c>
      <c r="F56" s="5">
        <v>44638.0</v>
      </c>
      <c r="G56" s="5">
        <v>44637.0</v>
      </c>
      <c r="H56" s="4" t="s">
        <v>2</v>
      </c>
      <c r="I56" s="6" t="s">
        <v>3</v>
      </c>
      <c r="J56" s="4" t="s">
        <v>4</v>
      </c>
      <c r="K56" s="4" t="s">
        <v>5</v>
      </c>
    </row>
    <row r="57">
      <c r="A57" s="4" t="s">
        <v>6</v>
      </c>
      <c r="B57" s="28">
        <v>754.96</v>
      </c>
      <c r="C57" s="28">
        <v>754.96</v>
      </c>
      <c r="D57" s="28">
        <v>754.96</v>
      </c>
      <c r="E57" s="28">
        <v>754.95</v>
      </c>
      <c r="F57" s="28">
        <v>518.66</v>
      </c>
      <c r="G57" s="10"/>
      <c r="H57" s="11">
        <v>5.18853193E8</v>
      </c>
      <c r="I57" s="11">
        <v>7.5414731E8</v>
      </c>
      <c r="J57" s="12">
        <f>IFERROR(__xludf.DUMMYFUNCTION("GOOGLEFINANCE(""NSE:"" &amp; A55,""price"")"),419.25)</f>
        <v>419.25</v>
      </c>
      <c r="K57" s="29">
        <f>-B59-B60+B61+B62</f>
        <v>7008.26</v>
      </c>
    </row>
    <row r="58">
      <c r="A58" s="4" t="s">
        <v>8</v>
      </c>
      <c r="B58" s="28">
        <v>5423.28</v>
      </c>
      <c r="C58" s="28">
        <v>5362.93</v>
      </c>
      <c r="D58" s="28">
        <v>5902.41</v>
      </c>
      <c r="E58" s="28">
        <v>5822.11</v>
      </c>
      <c r="F58" s="28">
        <v>3543.07</v>
      </c>
      <c r="G58" s="16"/>
      <c r="H58" s="17"/>
      <c r="I58" s="18"/>
      <c r="J58" s="18"/>
      <c r="K58" s="18"/>
    </row>
    <row r="59">
      <c r="A59" s="4" t="s">
        <v>9</v>
      </c>
      <c r="B59" s="28">
        <v>3607.06</v>
      </c>
      <c r="C59" s="28">
        <v>3203.84</v>
      </c>
      <c r="D59" s="28">
        <v>1563.3</v>
      </c>
      <c r="E59" s="28">
        <v>1247.79</v>
      </c>
      <c r="F59" s="28">
        <v>1170.7</v>
      </c>
      <c r="G59" s="19"/>
      <c r="H59" s="20" t="s">
        <v>10</v>
      </c>
      <c r="I59" s="21"/>
      <c r="J59" s="20" t="s">
        <v>11</v>
      </c>
      <c r="K59" s="21"/>
    </row>
    <row r="60">
      <c r="A60" s="4" t="s">
        <v>12</v>
      </c>
      <c r="B60" s="28">
        <v>1269.43</v>
      </c>
      <c r="C60" s="28">
        <v>1233.04</v>
      </c>
      <c r="D60" s="28">
        <v>2578.93</v>
      </c>
      <c r="E60" s="28">
        <v>3590.98</v>
      </c>
      <c r="F60" s="28">
        <v>2134.04</v>
      </c>
      <c r="G60" s="19"/>
      <c r="H60" s="22">
        <f>(K57*10000000)/H57</f>
        <v>135.0721186</v>
      </c>
      <c r="I60" s="9"/>
      <c r="J60" s="22">
        <f>J57/H60</f>
        <v>3.103897418</v>
      </c>
      <c r="K60" s="9"/>
    </row>
    <row r="61">
      <c r="A61" s="4" t="s">
        <v>13</v>
      </c>
      <c r="B61" s="28">
        <v>10751.48</v>
      </c>
      <c r="C61" s="28">
        <v>10117.88</v>
      </c>
      <c r="D61" s="28">
        <v>10407.34</v>
      </c>
      <c r="E61" s="28">
        <v>10284.69</v>
      </c>
      <c r="F61" s="28">
        <v>7340.18</v>
      </c>
      <c r="G61" s="17"/>
      <c r="H61" s="17"/>
      <c r="I61" s="18"/>
      <c r="J61" s="18"/>
      <c r="K61" s="18"/>
    </row>
    <row r="62">
      <c r="A62" s="4" t="s">
        <v>14</v>
      </c>
      <c r="B62" s="28">
        <v>1133.27</v>
      </c>
      <c r="C62" s="28">
        <v>1036.8</v>
      </c>
      <c r="D62" s="28">
        <v>940.48</v>
      </c>
      <c r="E62" s="28">
        <v>1666.58</v>
      </c>
      <c r="F62" s="28">
        <v>1281.51</v>
      </c>
      <c r="G62" s="19"/>
      <c r="H62" s="20" t="s">
        <v>15</v>
      </c>
      <c r="I62" s="21"/>
      <c r="J62" s="20" t="s">
        <v>16</v>
      </c>
      <c r="K62" s="21"/>
    </row>
    <row r="63">
      <c r="A63" s="4" t="s">
        <v>17</v>
      </c>
      <c r="B63" s="28"/>
      <c r="C63" s="30"/>
      <c r="D63" s="30"/>
      <c r="E63" s="30"/>
      <c r="F63" s="30"/>
      <c r="G63" s="19"/>
      <c r="H63" s="17">
        <f>(K57*10000000)/I57</f>
        <v>92.92958958</v>
      </c>
      <c r="I63" s="3"/>
      <c r="J63" s="17">
        <f>J57/H63</f>
        <v>4.511480164</v>
      </c>
      <c r="K63" s="3"/>
    </row>
    <row r="64">
      <c r="A64" s="4" t="s">
        <v>18</v>
      </c>
      <c r="B64" s="28"/>
      <c r="C64" s="30"/>
      <c r="D64" s="30"/>
      <c r="E64" s="30"/>
      <c r="F64" s="30"/>
      <c r="G64" s="19"/>
      <c r="H64" s="23"/>
      <c r="I64" s="24"/>
      <c r="J64" s="24"/>
      <c r="K64" s="24"/>
    </row>
    <row r="65">
      <c r="A65" s="4" t="s">
        <v>19</v>
      </c>
      <c r="B65" s="28"/>
      <c r="C65" s="30"/>
      <c r="D65" s="30"/>
      <c r="E65" s="30"/>
      <c r="F65" s="30"/>
      <c r="G65" s="19"/>
      <c r="H65" s="23"/>
      <c r="I65" s="24"/>
      <c r="J65" s="4" t="s">
        <v>20</v>
      </c>
      <c r="K65" s="19">
        <f>(B68*10000000)/I57</f>
        <v>7.360896109</v>
      </c>
    </row>
    <row r="66">
      <c r="A66" s="4" t="s">
        <v>21</v>
      </c>
      <c r="B66" s="19"/>
      <c r="C66" s="19">
        <f t="shared" ref="C66:F66" si="16">SUM(C63:C65)</f>
        <v>0</v>
      </c>
      <c r="D66" s="19">
        <f t="shared" si="16"/>
        <v>0</v>
      </c>
      <c r="E66" s="19">
        <f t="shared" si="16"/>
        <v>0</v>
      </c>
      <c r="F66" s="19">
        <f t="shared" si="16"/>
        <v>0</v>
      </c>
      <c r="G66" s="17"/>
      <c r="H66" s="27" t="str">
        <f t="shared" ref="H66:H71" si="17">(((B66/F66)^(1/5)-1)*100)</f>
        <v>#DIV/0!</v>
      </c>
      <c r="I66" s="24"/>
      <c r="J66" s="4" t="s">
        <v>22</v>
      </c>
      <c r="K66" s="19">
        <f>J57/K65</f>
        <v>56.95638055</v>
      </c>
    </row>
    <row r="67">
      <c r="A67" s="4" t="s">
        <v>23</v>
      </c>
      <c r="B67" s="31">
        <v>963.64</v>
      </c>
      <c r="C67" s="31">
        <v>-4.26</v>
      </c>
      <c r="D67" s="31">
        <v>227.19</v>
      </c>
      <c r="E67" s="31">
        <v>-474.51</v>
      </c>
      <c r="F67" s="31">
        <v>-964.93</v>
      </c>
      <c r="G67" s="17"/>
      <c r="H67" s="27">
        <f t="shared" si="17"/>
        <v>-199.973248</v>
      </c>
      <c r="I67" s="24"/>
      <c r="J67" s="4" t="s">
        <v>24</v>
      </c>
      <c r="K67" s="19">
        <f>(B67/(B57+B58))*100</f>
        <v>15.59732221</v>
      </c>
    </row>
    <row r="68">
      <c r="A68" s="4" t="s">
        <v>25</v>
      </c>
      <c r="B68" s="31">
        <v>555.12</v>
      </c>
      <c r="C68" s="31">
        <v>-109.76</v>
      </c>
      <c r="D68" s="31">
        <v>57.94</v>
      </c>
      <c r="E68" s="31">
        <v>-298.94</v>
      </c>
      <c r="F68" s="31">
        <v>-1009.22</v>
      </c>
      <c r="G68" s="17"/>
      <c r="H68" s="27">
        <f t="shared" si="17"/>
        <v>-188.7319867</v>
      </c>
      <c r="I68" s="24"/>
      <c r="J68" s="4" t="s">
        <v>26</v>
      </c>
      <c r="K68" s="19">
        <f>(H57/I57)*100</f>
        <v>68.79997928</v>
      </c>
    </row>
    <row r="69">
      <c r="A69" s="4" t="s">
        <v>27</v>
      </c>
      <c r="B69" s="19">
        <f t="shared" ref="B69:F69" si="18">B59/(B57+B58)</f>
        <v>0.5838329362</v>
      </c>
      <c r="C69" s="19">
        <f t="shared" si="18"/>
        <v>0.5236838191</v>
      </c>
      <c r="D69" s="19">
        <f t="shared" si="18"/>
        <v>0.2348224599</v>
      </c>
      <c r="E69" s="19">
        <f t="shared" si="18"/>
        <v>0.1897185064</v>
      </c>
      <c r="F69" s="19">
        <f t="shared" si="18"/>
        <v>0.2882269378</v>
      </c>
      <c r="G69" s="19"/>
      <c r="H69" s="27">
        <f t="shared" si="17"/>
        <v>15.16242591</v>
      </c>
      <c r="I69" s="24"/>
      <c r="J69" s="24"/>
      <c r="K69" s="24"/>
    </row>
    <row r="70">
      <c r="A70" s="4" t="s">
        <v>28</v>
      </c>
      <c r="B70" s="19">
        <f t="shared" ref="B70:F70" si="19">B58/B57</f>
        <v>7.183532902</v>
      </c>
      <c r="C70" s="19">
        <f t="shared" si="19"/>
        <v>7.103594892</v>
      </c>
      <c r="D70" s="19">
        <f t="shared" si="19"/>
        <v>7.818175797</v>
      </c>
      <c r="E70" s="19">
        <f t="shared" si="19"/>
        <v>7.711914696</v>
      </c>
      <c r="F70" s="19">
        <f t="shared" si="19"/>
        <v>6.83119963</v>
      </c>
      <c r="G70" s="19"/>
      <c r="H70" s="27">
        <f t="shared" si="17"/>
        <v>1.01089558</v>
      </c>
      <c r="I70" s="24"/>
      <c r="J70" s="24"/>
      <c r="K70" s="24"/>
    </row>
    <row r="71">
      <c r="A71" s="4" t="s">
        <v>29</v>
      </c>
      <c r="B71" s="19">
        <f t="shared" ref="B71:F71" si="20">B62/B60</f>
        <v>0.8927392609</v>
      </c>
      <c r="C71" s="19">
        <f t="shared" si="20"/>
        <v>0.8408486343</v>
      </c>
      <c r="D71" s="19">
        <f t="shared" si="20"/>
        <v>0.3646783744</v>
      </c>
      <c r="E71" s="19">
        <f t="shared" si="20"/>
        <v>0.4641017215</v>
      </c>
      <c r="F71" s="19">
        <f t="shared" si="20"/>
        <v>0.6005088939</v>
      </c>
      <c r="G71" s="19"/>
      <c r="H71" s="27">
        <f t="shared" si="17"/>
        <v>8.253273539</v>
      </c>
      <c r="I71" s="24"/>
      <c r="J71" s="24"/>
      <c r="K71" s="24"/>
    </row>
    <row r="73">
      <c r="A73" s="49" t="s">
        <v>35</v>
      </c>
      <c r="B73" s="2"/>
      <c r="C73" s="2"/>
      <c r="D73" s="2"/>
      <c r="E73" s="2"/>
      <c r="F73" s="2"/>
      <c r="G73" s="2"/>
      <c r="H73" s="2"/>
      <c r="I73" s="2"/>
      <c r="J73" s="2"/>
      <c r="K73" s="3"/>
    </row>
    <row r="74">
      <c r="A74" s="35" t="s">
        <v>1</v>
      </c>
      <c r="B74" s="36">
        <v>44642.0</v>
      </c>
      <c r="C74" s="36">
        <v>44641.0</v>
      </c>
      <c r="D74" s="36">
        <v>44640.0</v>
      </c>
      <c r="E74" s="36">
        <v>44639.0</v>
      </c>
      <c r="F74" s="36">
        <v>44638.0</v>
      </c>
      <c r="G74" s="36">
        <v>44637.0</v>
      </c>
      <c r="H74" s="37" t="s">
        <v>2</v>
      </c>
      <c r="I74" s="38" t="s">
        <v>3</v>
      </c>
      <c r="J74" s="37" t="s">
        <v>4</v>
      </c>
      <c r="K74" s="37" t="s">
        <v>5</v>
      </c>
    </row>
    <row r="75">
      <c r="A75" s="35" t="s">
        <v>6</v>
      </c>
      <c r="B75" s="50">
        <v>18.76</v>
      </c>
      <c r="C75" s="50">
        <v>18.76</v>
      </c>
      <c r="D75" s="50">
        <v>18.76</v>
      </c>
      <c r="E75" s="50">
        <v>18.76</v>
      </c>
      <c r="F75" s="50">
        <v>18.7</v>
      </c>
      <c r="G75" s="39"/>
      <c r="H75" s="41">
        <v>6323280.0</v>
      </c>
      <c r="I75" s="41">
        <v>1.8075682E7</v>
      </c>
      <c r="J75" s="41">
        <f>IFERROR(__xludf.DUMMYFUNCTION("GOOGLEFINANCE(""BOM:"" &amp; ""523696"",""price"")"),46.9)</f>
        <v>46.9</v>
      </c>
      <c r="K75" s="42">
        <f>-B77-B78+B79+B80</f>
        <v>80.13</v>
      </c>
    </row>
    <row r="76">
      <c r="A76" s="35" t="s">
        <v>8</v>
      </c>
      <c r="B76" s="50">
        <v>61.37</v>
      </c>
      <c r="C76" s="50">
        <v>69.99</v>
      </c>
      <c r="D76" s="50">
        <v>77.65</v>
      </c>
      <c r="E76" s="50">
        <v>86.62</v>
      </c>
      <c r="F76" s="50">
        <v>84.35</v>
      </c>
      <c r="G76" s="39"/>
      <c r="H76" s="43"/>
      <c r="I76" s="43"/>
      <c r="J76" s="43"/>
      <c r="K76" s="43"/>
    </row>
    <row r="77">
      <c r="A77" s="35" t="s">
        <v>9</v>
      </c>
      <c r="B77" s="50">
        <v>49.36</v>
      </c>
      <c r="C77" s="50">
        <v>55.67</v>
      </c>
      <c r="D77" s="50">
        <v>61.53</v>
      </c>
      <c r="E77" s="50">
        <v>1.61</v>
      </c>
      <c r="F77" s="50">
        <v>1.38</v>
      </c>
      <c r="G77" s="44"/>
      <c r="H77" s="20" t="s">
        <v>10</v>
      </c>
      <c r="I77" s="21"/>
      <c r="J77" s="20" t="s">
        <v>11</v>
      </c>
      <c r="K77" s="21"/>
    </row>
    <row r="78">
      <c r="A78" s="35" t="s">
        <v>12</v>
      </c>
      <c r="B78" s="50">
        <v>31.42</v>
      </c>
      <c r="C78" s="50">
        <v>24.68</v>
      </c>
      <c r="D78" s="50">
        <v>35.61</v>
      </c>
      <c r="E78" s="50">
        <v>43.87</v>
      </c>
      <c r="F78" s="50">
        <v>44.65</v>
      </c>
      <c r="G78" s="44"/>
      <c r="H78" s="22">
        <f>(K75*10000000)/H75</f>
        <v>126.7222075</v>
      </c>
      <c r="I78" s="9"/>
      <c r="J78" s="22">
        <f>J75/H78</f>
        <v>0.3701008761</v>
      </c>
      <c r="K78" s="9"/>
    </row>
    <row r="79">
      <c r="A79" s="35" t="s">
        <v>13</v>
      </c>
      <c r="B79" s="50">
        <v>111.84</v>
      </c>
      <c r="C79" s="50">
        <v>109.12</v>
      </c>
      <c r="D79" s="50">
        <v>131.54</v>
      </c>
      <c r="E79" s="50">
        <v>38.73</v>
      </c>
      <c r="F79" s="50">
        <v>35.85</v>
      </c>
      <c r="G79" s="44"/>
      <c r="H79" s="17"/>
      <c r="I79" s="18"/>
      <c r="J79" s="18"/>
      <c r="K79" s="18"/>
    </row>
    <row r="80">
      <c r="A80" s="35" t="s">
        <v>14</v>
      </c>
      <c r="B80" s="50">
        <v>49.07</v>
      </c>
      <c r="C80" s="50">
        <v>59.98</v>
      </c>
      <c r="D80" s="50">
        <v>62.0</v>
      </c>
      <c r="E80" s="50">
        <v>112.12</v>
      </c>
      <c r="F80" s="50">
        <v>113.23</v>
      </c>
      <c r="G80" s="44"/>
      <c r="H80" s="20" t="s">
        <v>15</v>
      </c>
      <c r="I80" s="21"/>
      <c r="J80" s="20" t="s">
        <v>16</v>
      </c>
      <c r="K80" s="21"/>
    </row>
    <row r="81">
      <c r="A81" s="35" t="s">
        <v>17</v>
      </c>
      <c r="B81" s="28"/>
      <c r="C81" s="30"/>
      <c r="D81" s="30"/>
      <c r="E81" s="30"/>
      <c r="F81" s="30"/>
      <c r="G81" s="44"/>
      <c r="H81" s="17">
        <f>(K75*10000000)/I75</f>
        <v>44.33027755</v>
      </c>
      <c r="I81" s="3"/>
      <c r="J81" s="17">
        <f>J75/H81</f>
        <v>1.05796766</v>
      </c>
      <c r="K81" s="3"/>
    </row>
    <row r="82">
      <c r="A82" s="35" t="s">
        <v>18</v>
      </c>
      <c r="B82" s="28"/>
      <c r="C82" s="30"/>
      <c r="D82" s="30"/>
      <c r="E82" s="30"/>
      <c r="F82" s="30"/>
      <c r="G82" s="44"/>
      <c r="H82" s="23"/>
      <c r="I82" s="24"/>
      <c r="J82" s="24"/>
      <c r="K82" s="24"/>
    </row>
    <row r="83">
      <c r="A83" s="35" t="s">
        <v>19</v>
      </c>
      <c r="B83" s="28"/>
      <c r="C83" s="30"/>
      <c r="D83" s="30"/>
      <c r="E83" s="30"/>
      <c r="F83" s="30"/>
      <c r="G83" s="44"/>
      <c r="H83" s="23"/>
      <c r="I83" s="24"/>
      <c r="J83" s="4" t="s">
        <v>20</v>
      </c>
      <c r="K83" s="19">
        <f>(B86*10000000)/I75</f>
        <v>-4.575207729</v>
      </c>
    </row>
    <row r="84">
      <c r="A84" s="35" t="s">
        <v>21</v>
      </c>
      <c r="B84" s="19"/>
      <c r="C84" s="19">
        <f t="shared" ref="C84:F84" si="21">SUM(C81:C83)</f>
        <v>0</v>
      </c>
      <c r="D84" s="19">
        <f t="shared" si="21"/>
        <v>0</v>
      </c>
      <c r="E84" s="19">
        <f t="shared" si="21"/>
        <v>0</v>
      </c>
      <c r="F84" s="19">
        <f t="shared" si="21"/>
        <v>0</v>
      </c>
      <c r="G84" s="44"/>
      <c r="H84" s="27" t="str">
        <f t="shared" ref="H84:H89" si="22">(((B84/F84)^(1/5)-1)*100)</f>
        <v>#DIV/0!</v>
      </c>
      <c r="I84" s="24"/>
      <c r="J84" s="4" t="s">
        <v>22</v>
      </c>
      <c r="K84" s="19">
        <f>J75/K83</f>
        <v>-10.25090067</v>
      </c>
    </row>
    <row r="85">
      <c r="A85" s="35" t="s">
        <v>23</v>
      </c>
      <c r="B85" s="31">
        <v>-8.26</v>
      </c>
      <c r="C85" s="31">
        <v>-11.31</v>
      </c>
      <c r="D85" s="31">
        <v>-11.94</v>
      </c>
      <c r="E85" s="31">
        <v>2.79</v>
      </c>
      <c r="F85" s="31">
        <v>5.59</v>
      </c>
      <c r="G85" s="44"/>
      <c r="H85" s="27">
        <f t="shared" si="22"/>
        <v>-208.1218948</v>
      </c>
      <c r="I85" s="24"/>
      <c r="J85" s="4" t="s">
        <v>24</v>
      </c>
      <c r="K85" s="19">
        <f>(B85/(B75+B76))*100</f>
        <v>-10.3082491</v>
      </c>
    </row>
    <row r="86">
      <c r="A86" s="35" t="s">
        <v>25</v>
      </c>
      <c r="B86" s="31">
        <v>-8.27</v>
      </c>
      <c r="C86" s="31">
        <v>-7.87</v>
      </c>
      <c r="D86" s="31">
        <v>-8.89</v>
      </c>
      <c r="E86" s="31">
        <v>2.06</v>
      </c>
      <c r="F86" s="31">
        <v>3.32</v>
      </c>
      <c r="G86" s="44"/>
      <c r="H86" s="27">
        <f t="shared" si="22"/>
        <v>-220.0254893</v>
      </c>
      <c r="I86" s="24"/>
      <c r="J86" s="4" t="s">
        <v>26</v>
      </c>
      <c r="K86" s="19">
        <f>(H75/I75)*100</f>
        <v>34.98224853</v>
      </c>
    </row>
    <row r="87">
      <c r="A87" s="35" t="s">
        <v>27</v>
      </c>
      <c r="B87" s="19">
        <f t="shared" ref="B87:F87" si="23">B77/(B75+B76)</f>
        <v>0.6159990016</v>
      </c>
      <c r="C87" s="19">
        <f t="shared" si="23"/>
        <v>0.6272676056</v>
      </c>
      <c r="D87" s="19">
        <f t="shared" si="23"/>
        <v>0.6382118038</v>
      </c>
      <c r="E87" s="19">
        <f t="shared" si="23"/>
        <v>0.01527804137</v>
      </c>
      <c r="F87" s="19">
        <f t="shared" si="23"/>
        <v>0.0133915575</v>
      </c>
      <c r="G87" s="44"/>
      <c r="H87" s="27">
        <f t="shared" si="22"/>
        <v>115.0551185</v>
      </c>
      <c r="I87" s="24"/>
      <c r="J87" s="24"/>
      <c r="K87" s="24"/>
    </row>
    <row r="88">
      <c r="A88" s="35" t="s">
        <v>28</v>
      </c>
      <c r="B88" s="19">
        <f t="shared" ref="B88:F88" si="24">B76/B75</f>
        <v>3.271321962</v>
      </c>
      <c r="C88" s="19">
        <f t="shared" si="24"/>
        <v>3.730810235</v>
      </c>
      <c r="D88" s="19">
        <f t="shared" si="24"/>
        <v>4.1391258</v>
      </c>
      <c r="E88" s="19">
        <f t="shared" si="24"/>
        <v>4.617270789</v>
      </c>
      <c r="F88" s="19">
        <f t="shared" si="24"/>
        <v>4.510695187</v>
      </c>
      <c r="G88" s="44"/>
      <c r="H88" s="27">
        <f t="shared" si="22"/>
        <v>-6.223080635</v>
      </c>
      <c r="I88" s="24"/>
      <c r="J88" s="24"/>
      <c r="K88" s="24"/>
    </row>
    <row r="89">
      <c r="A89" s="35" t="s">
        <v>29</v>
      </c>
      <c r="B89" s="19">
        <f t="shared" ref="B89:F89" si="25">B80/B78</f>
        <v>1.561744112</v>
      </c>
      <c r="C89" s="19">
        <f t="shared" si="25"/>
        <v>2.430307942</v>
      </c>
      <c r="D89" s="19">
        <f t="shared" si="25"/>
        <v>1.741083965</v>
      </c>
      <c r="E89" s="19">
        <f t="shared" si="25"/>
        <v>2.555732847</v>
      </c>
      <c r="F89" s="19">
        <f t="shared" si="25"/>
        <v>2.535946249</v>
      </c>
      <c r="G89" s="44"/>
      <c r="H89" s="27">
        <f t="shared" si="22"/>
        <v>-9.240108791</v>
      </c>
      <c r="I89" s="24"/>
      <c r="J89" s="24"/>
      <c r="K89" s="24"/>
    </row>
    <row r="91">
      <c r="A91" s="1" t="s">
        <v>37</v>
      </c>
      <c r="B91" s="2"/>
      <c r="C91" s="2"/>
      <c r="D91" s="2"/>
      <c r="E91" s="2"/>
      <c r="F91" s="2"/>
      <c r="G91" s="2"/>
      <c r="H91" s="2"/>
      <c r="I91" s="2"/>
      <c r="J91" s="2"/>
      <c r="K91" s="3"/>
    </row>
    <row r="92">
      <c r="A92" s="4" t="s">
        <v>1</v>
      </c>
      <c r="B92" s="5">
        <v>44642.0</v>
      </c>
      <c r="C92" s="5">
        <v>44641.0</v>
      </c>
      <c r="D92" s="5">
        <v>44640.0</v>
      </c>
      <c r="E92" s="5">
        <v>44639.0</v>
      </c>
      <c r="F92" s="5">
        <v>44638.0</v>
      </c>
      <c r="G92" s="5">
        <v>44637.0</v>
      </c>
      <c r="H92" s="4" t="s">
        <v>2</v>
      </c>
      <c r="I92" s="6" t="s">
        <v>3</v>
      </c>
      <c r="J92" s="4" t="s">
        <v>4</v>
      </c>
      <c r="K92" s="4" t="s">
        <v>5</v>
      </c>
    </row>
    <row r="93">
      <c r="A93" s="4" t="s">
        <v>6</v>
      </c>
      <c r="B93" s="28">
        <v>139.01</v>
      </c>
      <c r="C93" s="28">
        <v>125.36</v>
      </c>
      <c r="D93" s="28">
        <v>88.69</v>
      </c>
      <c r="E93" s="28">
        <v>87.92</v>
      </c>
      <c r="F93" s="28">
        <v>86.9</v>
      </c>
      <c r="G93" s="10"/>
      <c r="H93" s="11">
        <v>3.9199019E7</v>
      </c>
      <c r="I93" s="11">
        <v>1.38489124E8</v>
      </c>
      <c r="J93" s="12">
        <f>IFERROR(__xludf.DUMMYFUNCTION("GOOGLEFINANCE(""BOM:"" &amp; ""539787"",""price"")"),333.65)</f>
        <v>333.65</v>
      </c>
      <c r="K93" s="29">
        <f>-B95-B96+B97+B98</f>
        <v>883.72</v>
      </c>
    </row>
    <row r="94">
      <c r="A94" s="4" t="s">
        <v>8</v>
      </c>
      <c r="B94" s="28">
        <v>731.28</v>
      </c>
      <c r="C94" s="28">
        <v>521.15</v>
      </c>
      <c r="D94" s="28">
        <v>285.51</v>
      </c>
      <c r="E94" s="28">
        <v>383.16</v>
      </c>
      <c r="F94" s="28">
        <v>394.52</v>
      </c>
      <c r="G94" s="16"/>
      <c r="H94" s="17"/>
      <c r="I94" s="18"/>
      <c r="J94" s="18"/>
      <c r="K94" s="18"/>
    </row>
    <row r="95">
      <c r="A95" s="4" t="s">
        <v>9</v>
      </c>
      <c r="B95" s="28">
        <v>866.06</v>
      </c>
      <c r="C95" s="28">
        <v>856.37</v>
      </c>
      <c r="D95" s="28">
        <v>1257.65</v>
      </c>
      <c r="E95" s="28">
        <v>584.04</v>
      </c>
      <c r="F95" s="28">
        <v>505.88</v>
      </c>
      <c r="G95" s="19"/>
      <c r="H95" s="20" t="s">
        <v>10</v>
      </c>
      <c r="I95" s="21"/>
      <c r="J95" s="20" t="s">
        <v>11</v>
      </c>
      <c r="K95" s="21"/>
    </row>
    <row r="96">
      <c r="A96" s="4" t="s">
        <v>12</v>
      </c>
      <c r="B96" s="28">
        <v>469.75</v>
      </c>
      <c r="C96" s="28">
        <v>465.25</v>
      </c>
      <c r="D96" s="28">
        <v>575.75</v>
      </c>
      <c r="E96" s="28">
        <v>547.31</v>
      </c>
      <c r="F96" s="28">
        <v>358.76</v>
      </c>
      <c r="G96" s="19"/>
      <c r="H96" s="22">
        <f>(K93*10000000)/H93</f>
        <v>225.4444174</v>
      </c>
      <c r="I96" s="9"/>
      <c r="J96" s="22">
        <f>J93/H96</f>
        <v>1.479965678</v>
      </c>
      <c r="K96" s="9"/>
    </row>
    <row r="97">
      <c r="A97" s="4" t="s">
        <v>13</v>
      </c>
      <c r="B97" s="28">
        <v>1717.18</v>
      </c>
      <c r="C97" s="28">
        <v>1600.65</v>
      </c>
      <c r="D97" s="28">
        <v>1949.39</v>
      </c>
      <c r="E97" s="28">
        <v>1380.58</v>
      </c>
      <c r="F97" s="28">
        <v>1223.57</v>
      </c>
      <c r="G97" s="17"/>
      <c r="H97" s="17"/>
      <c r="I97" s="18"/>
      <c r="J97" s="18"/>
      <c r="K97" s="18"/>
    </row>
    <row r="98">
      <c r="A98" s="4" t="s">
        <v>14</v>
      </c>
      <c r="B98" s="28">
        <v>502.35</v>
      </c>
      <c r="C98" s="28">
        <v>434.96</v>
      </c>
      <c r="D98" s="28">
        <v>303.79</v>
      </c>
      <c r="E98" s="28">
        <v>272.96</v>
      </c>
      <c r="F98" s="28">
        <v>220.09</v>
      </c>
      <c r="G98" s="19"/>
      <c r="H98" s="20" t="s">
        <v>15</v>
      </c>
      <c r="I98" s="21"/>
      <c r="J98" s="20" t="s">
        <v>16</v>
      </c>
      <c r="K98" s="21"/>
    </row>
    <row r="99">
      <c r="A99" s="4" t="s">
        <v>17</v>
      </c>
      <c r="B99" s="28"/>
      <c r="C99" s="30"/>
      <c r="D99" s="30"/>
      <c r="E99" s="30"/>
      <c r="F99" s="30"/>
      <c r="G99" s="19"/>
      <c r="H99" s="17">
        <f>(K93*10000000)/I93</f>
        <v>63.81150913</v>
      </c>
      <c r="I99" s="3"/>
      <c r="J99" s="17">
        <f>J93/H99</f>
        <v>5.228680603</v>
      </c>
      <c r="K99" s="3"/>
    </row>
    <row r="100">
      <c r="A100" s="4" t="s">
        <v>18</v>
      </c>
      <c r="B100" s="28"/>
      <c r="C100" s="30"/>
      <c r="D100" s="30"/>
      <c r="E100" s="30"/>
      <c r="F100" s="30"/>
      <c r="G100" s="19"/>
      <c r="H100" s="23"/>
      <c r="I100" s="24"/>
      <c r="J100" s="24"/>
      <c r="K100" s="24"/>
    </row>
    <row r="101">
      <c r="A101" s="4" t="s">
        <v>19</v>
      </c>
      <c r="B101" s="28"/>
      <c r="C101" s="30"/>
      <c r="D101" s="30"/>
      <c r="E101" s="30"/>
      <c r="F101" s="30"/>
      <c r="G101" s="19"/>
      <c r="H101" s="23"/>
      <c r="I101" s="24"/>
      <c r="J101" s="4" t="s">
        <v>20</v>
      </c>
      <c r="K101" s="19">
        <f>(B104*10000000)/I93</f>
        <v>3.879727046</v>
      </c>
    </row>
    <row r="102">
      <c r="A102" s="4" t="s">
        <v>21</v>
      </c>
      <c r="B102" s="19"/>
      <c r="C102" s="19">
        <f t="shared" ref="C102:F102" si="26">SUM(C99:C101)</f>
        <v>0</v>
      </c>
      <c r="D102" s="19">
        <f t="shared" si="26"/>
        <v>0</v>
      </c>
      <c r="E102" s="19">
        <f t="shared" si="26"/>
        <v>0</v>
      </c>
      <c r="F102" s="19">
        <f t="shared" si="26"/>
        <v>0</v>
      </c>
      <c r="G102" s="17"/>
      <c r="H102" s="27" t="str">
        <f t="shared" ref="H102:H107" si="27">(((B102/F102)^(1/5)-1)*100)</f>
        <v>#DIV/0!</v>
      </c>
      <c r="I102" s="24"/>
      <c r="J102" s="4" t="s">
        <v>22</v>
      </c>
      <c r="K102" s="19">
        <f>J93/K101</f>
        <v>85.99831793</v>
      </c>
    </row>
    <row r="103">
      <c r="A103" s="4" t="s">
        <v>23</v>
      </c>
      <c r="B103" s="31">
        <v>89.21</v>
      </c>
      <c r="C103" s="31">
        <v>-228.3</v>
      </c>
      <c r="D103" s="31">
        <v>-106.94</v>
      </c>
      <c r="E103" s="31">
        <v>-22.39</v>
      </c>
      <c r="F103" s="31">
        <v>28.58</v>
      </c>
      <c r="G103" s="17"/>
      <c r="H103" s="27">
        <f t="shared" si="27"/>
        <v>25.56548052</v>
      </c>
      <c r="I103" s="24"/>
      <c r="J103" s="4" t="s">
        <v>24</v>
      </c>
      <c r="K103" s="19">
        <f>(B103/(B93+B94))*100</f>
        <v>10.25060612</v>
      </c>
    </row>
    <row r="104">
      <c r="A104" s="4" t="s">
        <v>25</v>
      </c>
      <c r="B104" s="31">
        <v>53.73</v>
      </c>
      <c r="C104" s="31">
        <v>-193.46</v>
      </c>
      <c r="D104" s="31">
        <v>-106.7</v>
      </c>
      <c r="E104" s="31">
        <v>-24.8</v>
      </c>
      <c r="F104" s="31">
        <v>20.52</v>
      </c>
      <c r="G104" s="17"/>
      <c r="H104" s="27">
        <f t="shared" si="27"/>
        <v>21.22938356</v>
      </c>
      <c r="I104" s="24"/>
      <c r="J104" s="4" t="s">
        <v>26</v>
      </c>
      <c r="K104" s="19">
        <f>(H93/I93)*100</f>
        <v>28.30476348</v>
      </c>
    </row>
    <row r="105">
      <c r="A105" s="4" t="s">
        <v>27</v>
      </c>
      <c r="B105" s="19">
        <f t="shared" ref="B105:F105" si="28">B95/(B93+B94)</f>
        <v>0.9951395512</v>
      </c>
      <c r="C105" s="19">
        <f t="shared" si="28"/>
        <v>1.324604414</v>
      </c>
      <c r="D105" s="19">
        <f t="shared" si="28"/>
        <v>3.36090326</v>
      </c>
      <c r="E105" s="19">
        <f t="shared" si="28"/>
        <v>1.23978942</v>
      </c>
      <c r="F105" s="19">
        <f t="shared" si="28"/>
        <v>1.050808026</v>
      </c>
      <c r="G105" s="19"/>
      <c r="H105" s="27">
        <f t="shared" si="27"/>
        <v>-1.082730146</v>
      </c>
      <c r="I105" s="24"/>
      <c r="J105" s="24"/>
      <c r="K105" s="24"/>
    </row>
    <row r="106">
      <c r="A106" s="4" t="s">
        <v>28</v>
      </c>
      <c r="B106" s="19">
        <f t="shared" ref="B106:F106" si="29">B94/B93</f>
        <v>5.260628732</v>
      </c>
      <c r="C106" s="19">
        <f t="shared" si="29"/>
        <v>4.157227186</v>
      </c>
      <c r="D106" s="19">
        <f t="shared" si="29"/>
        <v>3.219190439</v>
      </c>
      <c r="E106" s="19">
        <f t="shared" si="29"/>
        <v>4.358052775</v>
      </c>
      <c r="F106" s="19">
        <f t="shared" si="29"/>
        <v>4.539930955</v>
      </c>
      <c r="G106" s="19"/>
      <c r="H106" s="27">
        <f t="shared" si="27"/>
        <v>2.990621975</v>
      </c>
      <c r="I106" s="24"/>
      <c r="J106" s="24"/>
      <c r="K106" s="24"/>
    </row>
    <row r="107">
      <c r="A107" s="4" t="s">
        <v>29</v>
      </c>
      <c r="B107" s="19">
        <f t="shared" ref="B107:F107" si="30">B98/B96</f>
        <v>1.069398616</v>
      </c>
      <c r="C107" s="19">
        <f t="shared" si="30"/>
        <v>0.9348952176</v>
      </c>
      <c r="D107" s="19">
        <f t="shared" si="30"/>
        <v>0.5276422058</v>
      </c>
      <c r="E107" s="19">
        <f t="shared" si="30"/>
        <v>0.4987301529</v>
      </c>
      <c r="F107" s="19">
        <f t="shared" si="30"/>
        <v>0.6134741889</v>
      </c>
      <c r="G107" s="19"/>
      <c r="H107" s="27">
        <f t="shared" si="27"/>
        <v>11.75543788</v>
      </c>
      <c r="I107" s="24"/>
      <c r="J107" s="24"/>
      <c r="K107" s="24"/>
    </row>
    <row r="109">
      <c r="A109" s="1" t="s">
        <v>39</v>
      </c>
      <c r="B109" s="2"/>
      <c r="C109" s="2"/>
      <c r="D109" s="2"/>
      <c r="E109" s="2"/>
      <c r="F109" s="2"/>
      <c r="G109" s="2"/>
      <c r="H109" s="2"/>
      <c r="I109" s="2"/>
      <c r="J109" s="2"/>
      <c r="K109" s="3"/>
    </row>
    <row r="110">
      <c r="A110" s="4" t="s">
        <v>1</v>
      </c>
      <c r="B110" s="5">
        <v>44642.0</v>
      </c>
      <c r="C110" s="5">
        <v>44641.0</v>
      </c>
      <c r="D110" s="5">
        <v>44640.0</v>
      </c>
      <c r="E110" s="5">
        <v>44639.0</v>
      </c>
      <c r="F110" s="5">
        <v>44638.0</v>
      </c>
      <c r="G110" s="5">
        <v>44637.0</v>
      </c>
      <c r="H110" s="4" t="s">
        <v>2</v>
      </c>
      <c r="I110" s="6" t="s">
        <v>3</v>
      </c>
      <c r="J110" s="4" t="s">
        <v>4</v>
      </c>
      <c r="K110" s="4" t="s">
        <v>5</v>
      </c>
    </row>
    <row r="111">
      <c r="A111" s="4" t="s">
        <v>6</v>
      </c>
      <c r="B111" s="28">
        <v>80.03</v>
      </c>
      <c r="C111" s="28">
        <v>77.59</v>
      </c>
      <c r="D111" s="28">
        <v>74.49</v>
      </c>
      <c r="E111" s="28">
        <v>74.49</v>
      </c>
      <c r="F111" s="28"/>
      <c r="G111" s="10"/>
      <c r="H111" s="11">
        <v>4.8792958E7</v>
      </c>
      <c r="I111" s="11">
        <v>7.9879262E7</v>
      </c>
      <c r="J111" s="12">
        <f>IFERROR(__xludf.DUMMYFUNCTION("GOOGLEFINANCE(""NSE:"" &amp; A109,""price"")"),2060.0)</f>
        <v>2060</v>
      </c>
      <c r="K111" s="29">
        <f>-B113-B114+B115+B116</f>
        <v>1410.64</v>
      </c>
    </row>
    <row r="112">
      <c r="A112" s="4" t="s">
        <v>8</v>
      </c>
      <c r="B112" s="28">
        <v>1307.28</v>
      </c>
      <c r="C112" s="28">
        <v>786.14</v>
      </c>
      <c r="D112" s="28">
        <v>523.33</v>
      </c>
      <c r="E112" s="28">
        <v>465.86</v>
      </c>
      <c r="F112" s="28"/>
      <c r="G112" s="16"/>
      <c r="H112" s="17"/>
      <c r="I112" s="18"/>
      <c r="J112" s="18"/>
      <c r="K112" s="18"/>
    </row>
    <row r="113">
      <c r="A113" s="4" t="s">
        <v>9</v>
      </c>
      <c r="B113" s="28">
        <v>281.7</v>
      </c>
      <c r="C113" s="28">
        <v>281.63</v>
      </c>
      <c r="D113" s="28">
        <v>365.65</v>
      </c>
      <c r="E113" s="28">
        <v>351.93</v>
      </c>
      <c r="F113" s="28"/>
      <c r="G113" s="19"/>
      <c r="H113" s="20" t="s">
        <v>10</v>
      </c>
      <c r="I113" s="21"/>
      <c r="J113" s="20" t="s">
        <v>11</v>
      </c>
      <c r="K113" s="21"/>
    </row>
    <row r="114">
      <c r="A114" s="4" t="s">
        <v>12</v>
      </c>
      <c r="B114" s="28">
        <v>215.01</v>
      </c>
      <c r="C114" s="28">
        <v>278.33</v>
      </c>
      <c r="D114" s="28">
        <v>218.81</v>
      </c>
      <c r="E114" s="28">
        <v>200.87</v>
      </c>
      <c r="F114" s="28"/>
      <c r="G114" s="19"/>
      <c r="H114" s="22">
        <f>(K111*10000000)/H111</f>
        <v>289.1072929</v>
      </c>
      <c r="I114" s="9"/>
      <c r="J114" s="22">
        <f>J111/H114</f>
        <v>7.125382343</v>
      </c>
      <c r="K114" s="9"/>
    </row>
    <row r="115">
      <c r="A115" s="4" t="s">
        <v>13</v>
      </c>
      <c r="B115" s="28">
        <v>1513.95</v>
      </c>
      <c r="C115" s="28">
        <v>984.96</v>
      </c>
      <c r="D115" s="28">
        <v>976.06</v>
      </c>
      <c r="E115" s="28">
        <v>945.86</v>
      </c>
      <c r="F115" s="28"/>
      <c r="G115" s="17"/>
      <c r="H115" s="17"/>
      <c r="I115" s="18"/>
      <c r="J115" s="18"/>
      <c r="K115" s="18"/>
    </row>
    <row r="116">
      <c r="A116" s="4" t="s">
        <v>14</v>
      </c>
      <c r="B116" s="28">
        <v>393.4</v>
      </c>
      <c r="C116" s="28">
        <v>451.2</v>
      </c>
      <c r="D116" s="28">
        <v>219.83</v>
      </c>
      <c r="E116" s="28">
        <v>173.85</v>
      </c>
      <c r="F116" s="28"/>
      <c r="G116" s="19"/>
      <c r="H116" s="20" t="s">
        <v>15</v>
      </c>
      <c r="I116" s="21"/>
      <c r="J116" s="20" t="s">
        <v>16</v>
      </c>
      <c r="K116" s="21"/>
    </row>
    <row r="117">
      <c r="A117" s="4" t="s">
        <v>17</v>
      </c>
      <c r="B117" s="28"/>
      <c r="C117" s="30"/>
      <c r="D117" s="30"/>
      <c r="E117" s="30"/>
      <c r="F117" s="30"/>
      <c r="G117" s="19"/>
      <c r="H117" s="17">
        <f>(K111*10000000)/I111</f>
        <v>176.5965239</v>
      </c>
      <c r="I117" s="3"/>
      <c r="J117" s="17">
        <f>J111/H117</f>
        <v>11.66500877</v>
      </c>
      <c r="K117" s="3"/>
    </row>
    <row r="118">
      <c r="A118" s="4" t="s">
        <v>18</v>
      </c>
      <c r="B118" s="28"/>
      <c r="C118" s="30"/>
      <c r="D118" s="30"/>
      <c r="E118" s="30"/>
      <c r="F118" s="30"/>
      <c r="G118" s="19"/>
      <c r="H118" s="23"/>
      <c r="I118" s="24"/>
      <c r="J118" s="24"/>
      <c r="K118" s="24"/>
    </row>
    <row r="119">
      <c r="A119" s="4" t="s">
        <v>19</v>
      </c>
      <c r="B119" s="28"/>
      <c r="C119" s="30"/>
      <c r="D119" s="30"/>
      <c r="E119" s="30"/>
      <c r="F119" s="30"/>
      <c r="G119" s="19"/>
      <c r="H119" s="23"/>
      <c r="I119" s="24"/>
      <c r="J119" s="4" t="s">
        <v>20</v>
      </c>
      <c r="K119" s="19">
        <f>(B122*10000000)/I111</f>
        <v>41.64910787</v>
      </c>
    </row>
    <row r="120">
      <c r="A120" s="4" t="s">
        <v>21</v>
      </c>
      <c r="B120" s="19"/>
      <c r="C120" s="19">
        <f t="shared" ref="C120:E120" si="31">SUM(C117:C119)</f>
        <v>0</v>
      </c>
      <c r="D120" s="19">
        <f t="shared" si="31"/>
        <v>0</v>
      </c>
      <c r="E120" s="19">
        <f t="shared" si="31"/>
        <v>0</v>
      </c>
      <c r="F120" s="19"/>
      <c r="G120" s="17"/>
      <c r="H120" s="27" t="str">
        <f>(((B120/F120)^(1/5)-1)*100)</f>
        <v>#DIV/0!</v>
      </c>
      <c r="I120" s="24"/>
      <c r="J120" s="4" t="s">
        <v>22</v>
      </c>
      <c r="K120" s="19">
        <f>J111/K119</f>
        <v>49.46084334</v>
      </c>
    </row>
    <row r="121">
      <c r="A121" s="4" t="s">
        <v>23</v>
      </c>
      <c r="B121" s="31">
        <v>447.34</v>
      </c>
      <c r="C121" s="31">
        <v>279.02</v>
      </c>
      <c r="D121" s="31">
        <v>140.53</v>
      </c>
      <c r="E121" s="31">
        <v>-15.38</v>
      </c>
      <c r="F121" s="31"/>
      <c r="G121" s="17"/>
      <c r="H121" s="27">
        <f t="shared" ref="H121:H125" si="32">(((B121/E121)^(1/5)-1)*100)</f>
        <v>-296.216841</v>
      </c>
      <c r="I121" s="24"/>
      <c r="J121" s="4" t="s">
        <v>24</v>
      </c>
      <c r="K121" s="19">
        <f>(B121/(B111+B112))*100</f>
        <v>32.24513627</v>
      </c>
    </row>
    <row r="122">
      <c r="A122" s="4" t="s">
        <v>25</v>
      </c>
      <c r="B122" s="31">
        <v>332.69</v>
      </c>
      <c r="C122" s="31">
        <v>201.22</v>
      </c>
      <c r="D122" s="31">
        <v>119.18</v>
      </c>
      <c r="E122" s="31">
        <v>-47.77</v>
      </c>
      <c r="F122" s="31"/>
      <c r="G122" s="17"/>
      <c r="H122" s="27">
        <f t="shared" si="32"/>
        <v>-247.4269569</v>
      </c>
      <c r="I122" s="24"/>
      <c r="J122" s="4" t="s">
        <v>26</v>
      </c>
      <c r="K122" s="19">
        <f>(H111/I111)*100</f>
        <v>61.08338607</v>
      </c>
    </row>
    <row r="123">
      <c r="A123" s="4" t="s">
        <v>27</v>
      </c>
      <c r="B123" s="19">
        <f t="shared" ref="B123:E123" si="33">B113/(B111+B112)</f>
        <v>0.2030548327</v>
      </c>
      <c r="C123" s="19">
        <f t="shared" si="33"/>
        <v>0.3260625427</v>
      </c>
      <c r="D123" s="19">
        <f t="shared" si="33"/>
        <v>0.6116389549</v>
      </c>
      <c r="E123" s="19">
        <f t="shared" si="33"/>
        <v>0.6513000833</v>
      </c>
      <c r="F123" s="19"/>
      <c r="G123" s="19"/>
      <c r="H123" s="27">
        <f t="shared" si="32"/>
        <v>-20.79247569</v>
      </c>
      <c r="I123" s="24"/>
      <c r="J123" s="24"/>
      <c r="K123" s="24"/>
    </row>
    <row r="124">
      <c r="A124" s="4" t="s">
        <v>28</v>
      </c>
      <c r="B124" s="19">
        <f t="shared" ref="B124:E124" si="34">B112/B111</f>
        <v>16.33487442</v>
      </c>
      <c r="C124" s="19">
        <f t="shared" si="34"/>
        <v>10.13197577</v>
      </c>
      <c r="D124" s="19">
        <f t="shared" si="34"/>
        <v>7.025506779</v>
      </c>
      <c r="E124" s="19">
        <f t="shared" si="34"/>
        <v>6.253993825</v>
      </c>
      <c r="F124" s="19"/>
      <c r="G124" s="19"/>
      <c r="H124" s="27">
        <f t="shared" si="32"/>
        <v>21.16904093</v>
      </c>
      <c r="I124" s="24"/>
      <c r="J124" s="24"/>
      <c r="K124" s="24"/>
    </row>
    <row r="125">
      <c r="A125" s="4" t="s">
        <v>29</v>
      </c>
      <c r="B125" s="19">
        <f t="shared" ref="B125:E125" si="35">B116/B114</f>
        <v>1.82968234</v>
      </c>
      <c r="C125" s="19">
        <f t="shared" si="35"/>
        <v>1.621097259</v>
      </c>
      <c r="D125" s="19">
        <f t="shared" si="35"/>
        <v>1.004661579</v>
      </c>
      <c r="E125" s="19">
        <f t="shared" si="35"/>
        <v>0.8654851396</v>
      </c>
      <c r="F125" s="19"/>
      <c r="G125" s="19"/>
      <c r="H125" s="27">
        <f t="shared" si="32"/>
        <v>16.15107033</v>
      </c>
      <c r="I125" s="24"/>
      <c r="J125" s="24"/>
      <c r="K125" s="24"/>
    </row>
    <row r="127">
      <c r="A127" s="34" t="s">
        <v>43</v>
      </c>
      <c r="B127" s="2"/>
      <c r="C127" s="2"/>
      <c r="D127" s="2"/>
      <c r="E127" s="2"/>
      <c r="F127" s="2"/>
      <c r="G127" s="2"/>
      <c r="H127" s="2"/>
      <c r="I127" s="2"/>
      <c r="J127" s="2"/>
      <c r="K127" s="3"/>
    </row>
    <row r="128">
      <c r="A128" s="35" t="s">
        <v>1</v>
      </c>
      <c r="B128" s="36">
        <v>44642.0</v>
      </c>
      <c r="C128" s="36">
        <v>44641.0</v>
      </c>
      <c r="D128" s="36">
        <v>44640.0</v>
      </c>
      <c r="E128" s="36">
        <v>44639.0</v>
      </c>
      <c r="F128" s="36">
        <v>44638.0</v>
      </c>
      <c r="G128" s="36">
        <v>44637.0</v>
      </c>
      <c r="H128" s="37" t="s">
        <v>2</v>
      </c>
      <c r="I128" s="38" t="s">
        <v>3</v>
      </c>
      <c r="J128" s="37" t="s">
        <v>4</v>
      </c>
      <c r="K128" s="37" t="s">
        <v>5</v>
      </c>
    </row>
    <row r="129">
      <c r="A129" s="35" t="s">
        <v>6</v>
      </c>
      <c r="B129" s="28">
        <v>969.61</v>
      </c>
      <c r="C129" s="28">
        <v>965.95</v>
      </c>
      <c r="D129" s="28">
        <v>537.24</v>
      </c>
      <c r="E129" s="28"/>
      <c r="F129" s="28"/>
      <c r="G129" s="39"/>
      <c r="H129" s="40">
        <v>4.78629931E8</v>
      </c>
      <c r="I129" s="40">
        <v>9.69634392E8</v>
      </c>
      <c r="J129" s="41">
        <f>IFERROR(__xludf.DUMMYFUNCTION("GOOGLEFINANCE(""NSE:"" &amp; A127,""price"")"),817.1)</f>
        <v>817.1</v>
      </c>
      <c r="K129" s="42">
        <f>-B131-B132+B133+B134</f>
        <v>6282.47</v>
      </c>
    </row>
    <row r="130">
      <c r="A130" s="35" t="s">
        <v>8</v>
      </c>
      <c r="B130" s="28">
        <v>5312.86</v>
      </c>
      <c r="C130" s="28">
        <v>4646.22</v>
      </c>
      <c r="D130" s="28">
        <v>2015.91</v>
      </c>
      <c r="E130" s="28"/>
      <c r="F130" s="28"/>
      <c r="G130" s="39"/>
      <c r="H130" s="43"/>
      <c r="I130" s="43"/>
      <c r="J130" s="43"/>
      <c r="K130" s="43"/>
    </row>
    <row r="131">
      <c r="A131" s="35" t="s">
        <v>9</v>
      </c>
      <c r="B131" s="28">
        <v>2149.39</v>
      </c>
      <c r="C131" s="28">
        <v>2128.83</v>
      </c>
      <c r="D131" s="28">
        <v>410.56</v>
      </c>
      <c r="E131" s="28"/>
      <c r="F131" s="28"/>
      <c r="G131" s="44"/>
      <c r="H131" s="20" t="s">
        <v>10</v>
      </c>
      <c r="I131" s="21"/>
      <c r="J131" s="20" t="s">
        <v>11</v>
      </c>
      <c r="K131" s="21"/>
    </row>
    <row r="132">
      <c r="A132" s="35" t="s">
        <v>12</v>
      </c>
      <c r="B132" s="28">
        <v>757.27</v>
      </c>
      <c r="C132" s="28">
        <v>776.93</v>
      </c>
      <c r="D132" s="28">
        <v>1009.95</v>
      </c>
      <c r="E132" s="28"/>
      <c r="F132" s="28"/>
      <c r="G132" s="44"/>
      <c r="H132" s="22">
        <f>(K129*10000000)/H129</f>
        <v>131.2594469</v>
      </c>
      <c r="I132" s="9"/>
      <c r="J132" s="22">
        <f>J129/H132</f>
        <v>6.225075752</v>
      </c>
      <c r="K132" s="9"/>
    </row>
    <row r="133">
      <c r="A133" s="35" t="s">
        <v>13</v>
      </c>
      <c r="B133" s="28">
        <v>8188.84</v>
      </c>
      <c r="C133" s="28">
        <v>7419.97</v>
      </c>
      <c r="D133" s="28">
        <v>1058.27</v>
      </c>
      <c r="E133" s="28"/>
      <c r="F133" s="28"/>
      <c r="G133" s="44"/>
      <c r="H133" s="17"/>
      <c r="I133" s="18"/>
      <c r="J133" s="18"/>
      <c r="K133" s="18"/>
    </row>
    <row r="134">
      <c r="A134" s="35" t="s">
        <v>14</v>
      </c>
      <c r="B134" s="28">
        <v>1000.29</v>
      </c>
      <c r="C134" s="28">
        <v>1124.47</v>
      </c>
      <c r="D134" s="28">
        <v>2915.39</v>
      </c>
      <c r="E134" s="28"/>
      <c r="F134" s="28"/>
      <c r="G134" s="44"/>
      <c r="H134" s="20" t="s">
        <v>15</v>
      </c>
      <c r="I134" s="21"/>
      <c r="J134" s="20" t="s">
        <v>16</v>
      </c>
      <c r="K134" s="21"/>
    </row>
    <row r="135">
      <c r="A135" s="35" t="s">
        <v>17</v>
      </c>
      <c r="B135" s="28"/>
      <c r="C135" s="30"/>
      <c r="D135" s="30"/>
      <c r="E135" s="30"/>
      <c r="F135" s="30"/>
      <c r="G135" s="44"/>
      <c r="H135" s="17">
        <f>(K129*10000000)/I129</f>
        <v>64.79215312</v>
      </c>
      <c r="I135" s="3"/>
      <c r="J135" s="17">
        <f>J129/H135</f>
        <v>12.61109503</v>
      </c>
      <c r="K135" s="3"/>
    </row>
    <row r="136">
      <c r="A136" s="35" t="s">
        <v>18</v>
      </c>
      <c r="B136" s="28"/>
      <c r="C136" s="30"/>
      <c r="D136" s="30"/>
      <c r="E136" s="30"/>
      <c r="F136" s="30"/>
      <c r="G136" s="44"/>
      <c r="H136" s="45"/>
      <c r="I136" s="46"/>
      <c r="J136" s="43"/>
      <c r="K136" s="43"/>
    </row>
    <row r="137">
      <c r="A137" s="35" t="s">
        <v>19</v>
      </c>
      <c r="B137" s="28"/>
      <c r="C137" s="30"/>
      <c r="D137" s="30"/>
      <c r="E137" s="30"/>
      <c r="F137" s="30"/>
      <c r="G137" s="44"/>
      <c r="H137" s="47"/>
      <c r="I137" s="48"/>
      <c r="J137" s="4" t="s">
        <v>20</v>
      </c>
      <c r="K137" s="19">
        <f>(B140*10000000)/I129</f>
        <v>6.239980811</v>
      </c>
    </row>
    <row r="138">
      <c r="A138" s="35" t="s">
        <v>21</v>
      </c>
      <c r="B138" s="19"/>
      <c r="C138" s="19">
        <f t="shared" ref="C138:D138" si="36">SUM(C135:C137)</f>
        <v>0</v>
      </c>
      <c r="D138" s="19">
        <f t="shared" si="36"/>
        <v>0</v>
      </c>
      <c r="E138" s="19"/>
      <c r="F138" s="19"/>
      <c r="G138" s="44"/>
      <c r="H138" s="27" t="str">
        <f>(((B138/F138)^(1/5)-1)*100)</f>
        <v>#DIV/0!</v>
      </c>
      <c r="I138" s="48"/>
      <c r="J138" s="4" t="s">
        <v>22</v>
      </c>
      <c r="K138" s="19">
        <f>J129/K137</f>
        <v>130.9459155</v>
      </c>
    </row>
    <row r="139">
      <c r="A139" s="35" t="s">
        <v>23</v>
      </c>
      <c r="B139" s="31">
        <v>738.9</v>
      </c>
      <c r="C139" s="31">
        <v>-68.65</v>
      </c>
      <c r="D139" s="31">
        <v>12.78</v>
      </c>
      <c r="E139" s="31"/>
      <c r="F139" s="31"/>
      <c r="G139" s="44"/>
      <c r="H139" s="27">
        <f t="shared" ref="H139:H143" si="37">(((B139/D139)^(1/3)-1)*100)</f>
        <v>286.6799059</v>
      </c>
      <c r="I139" s="48"/>
      <c r="J139" s="4" t="s">
        <v>24</v>
      </c>
      <c r="K139" s="19">
        <f>(B139/(B129+B130))*100</f>
        <v>11.76129771</v>
      </c>
    </row>
    <row r="140">
      <c r="A140" s="35" t="s">
        <v>25</v>
      </c>
      <c r="B140" s="31">
        <v>605.05</v>
      </c>
      <c r="C140" s="31">
        <v>-137.55</v>
      </c>
      <c r="D140" s="31">
        <v>58.99</v>
      </c>
      <c r="E140" s="31"/>
      <c r="F140" s="31"/>
      <c r="G140" s="44"/>
      <c r="H140" s="27">
        <f t="shared" si="37"/>
        <v>117.272264</v>
      </c>
      <c r="I140" s="48"/>
      <c r="J140" s="4" t="s">
        <v>26</v>
      </c>
      <c r="K140" s="19">
        <f>(H129/I129)*100</f>
        <v>49.36189712</v>
      </c>
    </row>
    <row r="141">
      <c r="A141" s="35" t="s">
        <v>27</v>
      </c>
      <c r="B141" s="19">
        <f t="shared" ref="B141:D141" si="38">B131/(B129+B130)</f>
        <v>0.3421249922</v>
      </c>
      <c r="C141" s="19">
        <f t="shared" si="38"/>
        <v>0.3793238622</v>
      </c>
      <c r="D141" s="19">
        <f t="shared" si="38"/>
        <v>0.1608052798</v>
      </c>
      <c r="E141" s="19"/>
      <c r="F141" s="19"/>
      <c r="G141" s="44"/>
      <c r="H141" s="27">
        <f t="shared" si="37"/>
        <v>28.61595068</v>
      </c>
      <c r="I141" s="46"/>
      <c r="J141" s="46"/>
      <c r="K141" s="46"/>
    </row>
    <row r="142">
      <c r="A142" s="35" t="s">
        <v>28</v>
      </c>
      <c r="B142" s="19">
        <f t="shared" ref="B142:D142" si="39">B130/B129</f>
        <v>5.479378307</v>
      </c>
      <c r="C142" s="19">
        <f t="shared" si="39"/>
        <v>4.810000518</v>
      </c>
      <c r="D142" s="19">
        <f t="shared" si="39"/>
        <v>3.752345321</v>
      </c>
      <c r="E142" s="19"/>
      <c r="F142" s="19"/>
      <c r="G142" s="44"/>
      <c r="H142" s="27">
        <f t="shared" si="37"/>
        <v>13.45130498</v>
      </c>
      <c r="I142" s="46"/>
      <c r="J142" s="46"/>
      <c r="K142" s="46"/>
    </row>
    <row r="143">
      <c r="A143" s="35" t="s">
        <v>29</v>
      </c>
      <c r="B143" s="19">
        <f t="shared" ref="B143:D143" si="40">B134/B132</f>
        <v>1.320915922</v>
      </c>
      <c r="C143" s="19">
        <f t="shared" si="40"/>
        <v>1.447324727</v>
      </c>
      <c r="D143" s="19">
        <f t="shared" si="40"/>
        <v>2.886667657</v>
      </c>
      <c r="E143" s="19"/>
      <c r="F143" s="19"/>
      <c r="G143" s="44"/>
      <c r="H143" s="27">
        <f t="shared" si="37"/>
        <v>-22.94051015</v>
      </c>
      <c r="I143" s="46"/>
      <c r="J143" s="46"/>
      <c r="K143" s="46"/>
    </row>
    <row r="145">
      <c r="A145" s="34" t="s">
        <v>44</v>
      </c>
      <c r="B145" s="2"/>
      <c r="C145" s="2"/>
      <c r="D145" s="2"/>
      <c r="E145" s="2"/>
      <c r="F145" s="2"/>
      <c r="G145" s="2"/>
      <c r="H145" s="2"/>
      <c r="I145" s="2"/>
      <c r="J145" s="2"/>
      <c r="K145" s="3"/>
    </row>
    <row r="146">
      <c r="A146" s="35" t="s">
        <v>1</v>
      </c>
      <c r="B146" s="36">
        <v>44642.0</v>
      </c>
      <c r="C146" s="36">
        <v>44641.0</v>
      </c>
      <c r="D146" s="36">
        <v>44640.0</v>
      </c>
      <c r="E146" s="36">
        <v>44639.0</v>
      </c>
      <c r="F146" s="36">
        <v>44638.0</v>
      </c>
      <c r="G146" s="36">
        <v>44637.0</v>
      </c>
      <c r="H146" s="37" t="s">
        <v>2</v>
      </c>
      <c r="I146" s="38" t="s">
        <v>3</v>
      </c>
      <c r="J146" s="37" t="s">
        <v>4</v>
      </c>
      <c r="K146" s="37" t="s">
        <v>5</v>
      </c>
    </row>
    <row r="147">
      <c r="A147" s="35" t="s">
        <v>6</v>
      </c>
      <c r="B147" s="28">
        <v>204.36</v>
      </c>
      <c r="C147" s="28">
        <v>204.36</v>
      </c>
      <c r="D147" s="28">
        <v>204.36</v>
      </c>
      <c r="E147" s="28">
        <v>204.36</v>
      </c>
      <c r="F147" s="28">
        <v>204.36</v>
      </c>
      <c r="G147" s="39"/>
      <c r="H147" s="40">
        <v>7.2470187E7</v>
      </c>
      <c r="I147" s="40">
        <v>2.04360803E8</v>
      </c>
      <c r="J147" s="41">
        <f>IFERROR(__xludf.DUMMYFUNCTION("GOOGLEFINANCE(""NSE:"" &amp; A145,""price"")"),1294.0)</f>
        <v>1294</v>
      </c>
      <c r="K147" s="42">
        <f>-B149-B150+B151+B152</f>
        <v>1489.36</v>
      </c>
    </row>
    <row r="148">
      <c r="A148" s="35" t="s">
        <v>8</v>
      </c>
      <c r="B148" s="28">
        <v>1284.28</v>
      </c>
      <c r="C148" s="28">
        <v>915.92</v>
      </c>
      <c r="D148" s="28">
        <v>931.6</v>
      </c>
      <c r="E148" s="28">
        <v>876.78</v>
      </c>
      <c r="F148" s="28">
        <v>831.39</v>
      </c>
      <c r="G148" s="39"/>
      <c r="H148" s="43"/>
      <c r="I148" s="43"/>
      <c r="J148" s="43"/>
      <c r="K148" s="43"/>
    </row>
    <row r="149">
      <c r="A149" s="35" t="s">
        <v>9</v>
      </c>
      <c r="B149" s="28">
        <v>860.93</v>
      </c>
      <c r="C149" s="28">
        <v>945.96</v>
      </c>
      <c r="D149" s="28">
        <v>1154.3</v>
      </c>
      <c r="E149" s="28">
        <v>1045.16</v>
      </c>
      <c r="F149" s="28">
        <v>989.21</v>
      </c>
      <c r="G149" s="44"/>
      <c r="H149" s="20" t="s">
        <v>10</v>
      </c>
      <c r="I149" s="21"/>
      <c r="J149" s="20" t="s">
        <v>11</v>
      </c>
      <c r="K149" s="21"/>
    </row>
    <row r="150">
      <c r="A150" s="35" t="s">
        <v>12</v>
      </c>
      <c r="B150" s="28">
        <v>779.42</v>
      </c>
      <c r="C150" s="28">
        <v>703.24</v>
      </c>
      <c r="D150" s="28">
        <v>600.26</v>
      </c>
      <c r="E150" s="28">
        <v>510.35</v>
      </c>
      <c r="F150" s="28">
        <v>510.35</v>
      </c>
      <c r="G150" s="44"/>
      <c r="H150" s="22">
        <f>(K147*10000000)/H147</f>
        <v>205.5134755</v>
      </c>
      <c r="I150" s="9"/>
      <c r="J150" s="22">
        <f>J147/H150</f>
        <v>6.2964241</v>
      </c>
      <c r="K150" s="9"/>
    </row>
    <row r="151">
      <c r="A151" s="35" t="s">
        <v>13</v>
      </c>
      <c r="B151" s="28">
        <v>2220.71</v>
      </c>
      <c r="C151" s="28">
        <v>2104.89</v>
      </c>
      <c r="D151" s="28">
        <v>2304.64</v>
      </c>
      <c r="E151" s="28">
        <v>2109.67</v>
      </c>
      <c r="F151" s="28">
        <v>2056.3</v>
      </c>
      <c r="G151" s="44"/>
      <c r="H151" s="17"/>
      <c r="I151" s="18"/>
      <c r="J151" s="18"/>
      <c r="K151" s="18"/>
    </row>
    <row r="152">
      <c r="A152" s="35" t="s">
        <v>14</v>
      </c>
      <c r="B152" s="28">
        <v>909.0</v>
      </c>
      <c r="C152" s="28">
        <v>665.13</v>
      </c>
      <c r="D152" s="28">
        <v>586.42</v>
      </c>
      <c r="E152" s="28">
        <v>527.37</v>
      </c>
      <c r="F152" s="28">
        <v>479.29</v>
      </c>
      <c r="G152" s="44"/>
      <c r="H152" s="20" t="s">
        <v>15</v>
      </c>
      <c r="I152" s="21"/>
      <c r="J152" s="20" t="s">
        <v>16</v>
      </c>
      <c r="K152" s="21"/>
    </row>
    <row r="153">
      <c r="A153" s="35" t="s">
        <v>17</v>
      </c>
      <c r="B153" s="28"/>
      <c r="C153" s="30"/>
      <c r="D153" s="30"/>
      <c r="E153" s="30"/>
      <c r="F153" s="30"/>
      <c r="G153" s="44"/>
      <c r="H153" s="17">
        <f>(K147*10000000)/I147</f>
        <v>72.87894636</v>
      </c>
      <c r="I153" s="3"/>
      <c r="J153" s="17">
        <f>J147/H153</f>
        <v>17.75547074</v>
      </c>
      <c r="K153" s="3"/>
    </row>
    <row r="154">
      <c r="A154" s="35" t="s">
        <v>18</v>
      </c>
      <c r="B154" s="28"/>
      <c r="C154" s="30"/>
      <c r="D154" s="30"/>
      <c r="E154" s="30"/>
      <c r="F154" s="30"/>
      <c r="G154" s="44"/>
      <c r="H154" s="45"/>
      <c r="I154" s="46"/>
      <c r="J154" s="43"/>
      <c r="K154" s="43"/>
    </row>
    <row r="155">
      <c r="A155" s="35" t="s">
        <v>19</v>
      </c>
      <c r="B155" s="28"/>
      <c r="C155" s="30"/>
      <c r="D155" s="30"/>
      <c r="E155" s="30"/>
      <c r="F155" s="30"/>
      <c r="G155" s="44"/>
      <c r="H155" s="47"/>
      <c r="I155" s="48"/>
      <c r="J155" s="4" t="s">
        <v>20</v>
      </c>
      <c r="K155" s="19">
        <f>(B158*10000000)/I147</f>
        <v>16.73168215</v>
      </c>
    </row>
    <row r="156">
      <c r="A156" s="35" t="s">
        <v>21</v>
      </c>
      <c r="B156" s="19"/>
      <c r="C156" s="19">
        <f t="shared" ref="C156:F156" si="41">SUM(C153:C155)</f>
        <v>0</v>
      </c>
      <c r="D156" s="19">
        <f t="shared" si="41"/>
        <v>0</v>
      </c>
      <c r="E156" s="19">
        <f t="shared" si="41"/>
        <v>0</v>
      </c>
      <c r="F156" s="19">
        <f t="shared" si="41"/>
        <v>0</v>
      </c>
      <c r="G156" s="44"/>
      <c r="H156" s="27" t="str">
        <f>(((B156/F156)^(1/5)-1)*100)</f>
        <v>#DIV/0!</v>
      </c>
      <c r="I156" s="48"/>
      <c r="J156" s="4" t="s">
        <v>22</v>
      </c>
      <c r="K156" s="19">
        <f>J147/K155</f>
        <v>77.33830874</v>
      </c>
    </row>
    <row r="157">
      <c r="A157" s="35" t="s">
        <v>23</v>
      </c>
      <c r="B157" s="31">
        <v>429.78</v>
      </c>
      <c r="C157" s="31">
        <v>-49.23</v>
      </c>
      <c r="D157" s="31">
        <v>164.74</v>
      </c>
      <c r="E157" s="31">
        <v>95.73</v>
      </c>
      <c r="F157" s="31">
        <v>85.0</v>
      </c>
      <c r="G157" s="44"/>
      <c r="H157" s="27">
        <f t="shared" ref="H157:H161" si="42">(((B157/E157)^(1/4)-1)*100)</f>
        <v>45.56250998</v>
      </c>
      <c r="I157" s="48"/>
      <c r="J157" s="4" t="s">
        <v>24</v>
      </c>
      <c r="K157" s="19">
        <f>(B157/(B147+B148))*100</f>
        <v>28.87064703</v>
      </c>
    </row>
    <row r="158">
      <c r="A158" s="35" t="s">
        <v>25</v>
      </c>
      <c r="B158" s="31">
        <v>341.93</v>
      </c>
      <c r="C158" s="31">
        <v>-14.3</v>
      </c>
      <c r="D158" s="31">
        <v>118.92</v>
      </c>
      <c r="E158" s="31">
        <v>59.17</v>
      </c>
      <c r="F158" s="31">
        <v>51.35</v>
      </c>
      <c r="G158" s="44"/>
      <c r="H158" s="27">
        <f t="shared" si="42"/>
        <v>55.04540837</v>
      </c>
      <c r="I158" s="48"/>
      <c r="J158" s="4" t="s">
        <v>26</v>
      </c>
      <c r="K158" s="19">
        <f>(H147/I147)*100</f>
        <v>35.46188209</v>
      </c>
    </row>
    <row r="159">
      <c r="A159" s="35" t="s">
        <v>27</v>
      </c>
      <c r="B159" s="19">
        <f t="shared" ref="B159:F159" si="43">B149/(B147+B148)</f>
        <v>0.5783332438</v>
      </c>
      <c r="C159" s="19">
        <f t="shared" si="43"/>
        <v>0.8443960438</v>
      </c>
      <c r="D159" s="19">
        <f t="shared" si="43"/>
        <v>1.016144935</v>
      </c>
      <c r="E159" s="19">
        <f t="shared" si="43"/>
        <v>0.9667203137</v>
      </c>
      <c r="F159" s="19">
        <f t="shared" si="43"/>
        <v>0.955066377</v>
      </c>
      <c r="G159" s="44"/>
      <c r="H159" s="27">
        <f t="shared" si="42"/>
        <v>-12.05334456</v>
      </c>
      <c r="I159" s="46"/>
      <c r="J159" s="46"/>
      <c r="K159" s="46"/>
    </row>
    <row r="160">
      <c r="A160" s="35" t="s">
        <v>28</v>
      </c>
      <c r="B160" s="19">
        <f t="shared" ref="B160:F160" si="44">B148/B147</f>
        <v>6.284400078</v>
      </c>
      <c r="C160" s="19">
        <f t="shared" si="44"/>
        <v>4.481894696</v>
      </c>
      <c r="D160" s="19">
        <f t="shared" si="44"/>
        <v>4.55862204</v>
      </c>
      <c r="E160" s="19">
        <f t="shared" si="44"/>
        <v>4.290369935</v>
      </c>
      <c r="F160" s="19">
        <f t="shared" si="44"/>
        <v>4.068261891</v>
      </c>
      <c r="G160" s="44"/>
      <c r="H160" s="27">
        <f t="shared" si="42"/>
        <v>10.01256008</v>
      </c>
      <c r="I160" s="46"/>
      <c r="J160" s="46"/>
      <c r="K160" s="46"/>
    </row>
    <row r="161">
      <c r="A161" s="35" t="s">
        <v>29</v>
      </c>
      <c r="B161" s="19">
        <f t="shared" ref="B161:F161" si="45">B152/B150</f>
        <v>1.166251828</v>
      </c>
      <c r="C161" s="19">
        <f t="shared" si="45"/>
        <v>0.9458079745</v>
      </c>
      <c r="D161" s="19">
        <f t="shared" si="45"/>
        <v>0.9769433246</v>
      </c>
      <c r="E161" s="19">
        <f t="shared" si="45"/>
        <v>1.033349662</v>
      </c>
      <c r="F161" s="19">
        <f t="shared" si="45"/>
        <v>0.939139806</v>
      </c>
      <c r="G161" s="44"/>
      <c r="H161" s="27">
        <f t="shared" si="42"/>
        <v>3.070945258</v>
      </c>
      <c r="I161" s="46"/>
      <c r="J161" s="46"/>
      <c r="K161" s="46"/>
    </row>
    <row r="163">
      <c r="A163" s="34" t="s">
        <v>45</v>
      </c>
      <c r="B163" s="2"/>
      <c r="C163" s="2"/>
      <c r="D163" s="2"/>
      <c r="E163" s="2"/>
      <c r="F163" s="2"/>
      <c r="G163" s="2"/>
      <c r="H163" s="2"/>
      <c r="I163" s="2"/>
      <c r="J163" s="2"/>
      <c r="K163" s="3"/>
    </row>
    <row r="164">
      <c r="A164" s="35" t="s">
        <v>1</v>
      </c>
      <c r="B164" s="36">
        <v>44642.0</v>
      </c>
      <c r="C164" s="36">
        <v>44641.0</v>
      </c>
      <c r="D164" s="36">
        <v>44640.0</v>
      </c>
      <c r="E164" s="36">
        <v>44639.0</v>
      </c>
      <c r="F164" s="36">
        <v>44638.0</v>
      </c>
      <c r="G164" s="36">
        <v>44637.0</v>
      </c>
      <c r="H164" s="37" t="s">
        <v>2</v>
      </c>
      <c r="I164" s="38" t="s">
        <v>3</v>
      </c>
      <c r="J164" s="37" t="s">
        <v>4</v>
      </c>
      <c r="K164" s="37" t="s">
        <v>5</v>
      </c>
    </row>
    <row r="165">
      <c r="A165" s="35" t="s">
        <v>6</v>
      </c>
      <c r="B165" s="28">
        <v>105.0</v>
      </c>
      <c r="C165" s="28">
        <v>54.9</v>
      </c>
      <c r="D165" s="28"/>
      <c r="E165" s="28"/>
      <c r="F165" s="28"/>
      <c r="G165" s="39"/>
      <c r="H165" s="40">
        <v>5.0924091E7</v>
      </c>
      <c r="I165" s="40">
        <v>1.01501687E8</v>
      </c>
      <c r="J165" s="41">
        <f>IFERROR(__xludf.DUMMYFUNCTION("GOOGLEFINANCE(""NSE:"" &amp; A163,""price"")"),1300.0)</f>
        <v>1300</v>
      </c>
      <c r="K165" s="42">
        <f>-B167-B168+B169+B170</f>
        <v>606.26</v>
      </c>
    </row>
    <row r="166">
      <c r="A166" s="35" t="s">
        <v>8</v>
      </c>
      <c r="B166" s="28">
        <v>497.81</v>
      </c>
      <c r="C166" s="28">
        <v>391.46</v>
      </c>
      <c r="D166" s="28"/>
      <c r="E166" s="28"/>
      <c r="F166" s="28"/>
      <c r="G166" s="39"/>
      <c r="H166" s="43"/>
      <c r="I166" s="43"/>
      <c r="J166" s="43"/>
      <c r="K166" s="43"/>
    </row>
    <row r="167">
      <c r="A167" s="35" t="s">
        <v>9</v>
      </c>
      <c r="B167" s="28">
        <v>564.3</v>
      </c>
      <c r="C167" s="28">
        <v>510.81</v>
      </c>
      <c r="D167" s="28"/>
      <c r="E167" s="28"/>
      <c r="F167" s="28"/>
      <c r="G167" s="44"/>
      <c r="H167" s="20" t="s">
        <v>10</v>
      </c>
      <c r="I167" s="21"/>
      <c r="J167" s="20" t="s">
        <v>11</v>
      </c>
      <c r="K167" s="21"/>
    </row>
    <row r="168">
      <c r="A168" s="35" t="s">
        <v>12</v>
      </c>
      <c r="B168" s="28">
        <v>125.19</v>
      </c>
      <c r="C168" s="28">
        <v>122.08</v>
      </c>
      <c r="D168" s="28"/>
      <c r="E168" s="28"/>
      <c r="F168" s="28"/>
      <c r="G168" s="44"/>
      <c r="H168" s="22">
        <f>(K165*10000000)/H165</f>
        <v>119.0517078</v>
      </c>
      <c r="I168" s="9"/>
      <c r="J168" s="22">
        <f>J165/H168</f>
        <v>10.91962496</v>
      </c>
      <c r="K168" s="9"/>
    </row>
    <row r="169">
      <c r="A169" s="35" t="s">
        <v>13</v>
      </c>
      <c r="B169" s="28">
        <v>1005.54</v>
      </c>
      <c r="C169" s="28">
        <v>884.15</v>
      </c>
      <c r="D169" s="28"/>
      <c r="E169" s="28"/>
      <c r="F169" s="28"/>
      <c r="G169" s="44"/>
      <c r="H169" s="17"/>
      <c r="I169" s="18"/>
      <c r="J169" s="18"/>
      <c r="K169" s="18"/>
    </row>
    <row r="170">
      <c r="A170" s="35" t="s">
        <v>14</v>
      </c>
      <c r="B170" s="28">
        <v>290.21</v>
      </c>
      <c r="C170" s="28">
        <v>197.12</v>
      </c>
      <c r="D170" s="28"/>
      <c r="E170" s="28"/>
      <c r="F170" s="28"/>
      <c r="G170" s="44"/>
      <c r="H170" s="20" t="s">
        <v>15</v>
      </c>
      <c r="I170" s="21"/>
      <c r="J170" s="20" t="s">
        <v>16</v>
      </c>
      <c r="K170" s="21"/>
    </row>
    <row r="171">
      <c r="A171" s="35" t="s">
        <v>17</v>
      </c>
      <c r="B171" s="30"/>
      <c r="C171" s="30"/>
      <c r="D171" s="30"/>
      <c r="E171" s="30"/>
      <c r="F171" s="30"/>
      <c r="G171" s="44"/>
      <c r="H171" s="17">
        <f>(K165*10000000)/I165</f>
        <v>59.72905652</v>
      </c>
      <c r="I171" s="3"/>
      <c r="J171" s="17">
        <f>J165/H171</f>
        <v>21.76495119</v>
      </c>
      <c r="K171" s="3"/>
    </row>
    <row r="172">
      <c r="A172" s="35" t="s">
        <v>18</v>
      </c>
      <c r="B172" s="30"/>
      <c r="C172" s="30"/>
      <c r="D172" s="30"/>
      <c r="E172" s="30"/>
      <c r="F172" s="30"/>
      <c r="G172" s="44"/>
      <c r="H172" s="45"/>
      <c r="I172" s="46"/>
      <c r="J172" s="43"/>
      <c r="K172" s="43"/>
    </row>
    <row r="173">
      <c r="A173" s="35" t="s">
        <v>19</v>
      </c>
      <c r="B173" s="30"/>
      <c r="C173" s="30"/>
      <c r="D173" s="30"/>
      <c r="E173" s="30"/>
      <c r="F173" s="30"/>
      <c r="G173" s="44"/>
      <c r="H173" s="47"/>
      <c r="I173" s="48"/>
      <c r="J173" s="4" t="s">
        <v>20</v>
      </c>
      <c r="K173" s="19">
        <f>(B176*10000000)/I165</f>
        <v>13.62243368</v>
      </c>
    </row>
    <row r="174">
      <c r="A174" s="35" t="s">
        <v>21</v>
      </c>
      <c r="B174" s="19">
        <f t="shared" ref="B174:C174" si="46">SUM(B171:B173)</f>
        <v>0</v>
      </c>
      <c r="C174" s="19">
        <f t="shared" si="46"/>
        <v>0</v>
      </c>
      <c r="D174" s="19"/>
      <c r="E174" s="19"/>
      <c r="F174" s="19"/>
      <c r="G174" s="44"/>
      <c r="H174" s="27" t="str">
        <f>(((B174/F174)^(1/5)-1)*100)</f>
        <v>#DIV/0!</v>
      </c>
      <c r="I174" s="48"/>
      <c r="J174" s="4" t="s">
        <v>22</v>
      </c>
      <c r="K174" s="19">
        <f>J165/K173</f>
        <v>95.43081876</v>
      </c>
    </row>
    <row r="175">
      <c r="A175" s="35" t="s">
        <v>23</v>
      </c>
      <c r="B175" s="31">
        <v>187.35</v>
      </c>
      <c r="C175" s="31">
        <v>55.7</v>
      </c>
      <c r="D175" s="31"/>
      <c r="E175" s="31"/>
      <c r="F175" s="31"/>
      <c r="G175" s="44"/>
      <c r="H175" s="27">
        <f t="shared" ref="H175:H179" si="47">(((B175/C175)^(1/2)-1)*100)</f>
        <v>83.39996613</v>
      </c>
      <c r="I175" s="48"/>
      <c r="J175" s="4" t="s">
        <v>24</v>
      </c>
      <c r="K175" s="19">
        <f>(B175/(B165+B166))*100</f>
        <v>31.0794446</v>
      </c>
    </row>
    <row r="176">
      <c r="A176" s="35" t="s">
        <v>25</v>
      </c>
      <c r="B176" s="31">
        <v>138.27</v>
      </c>
      <c r="C176" s="31">
        <v>40.02</v>
      </c>
      <c r="D176" s="31"/>
      <c r="E176" s="31"/>
      <c r="F176" s="31"/>
      <c r="G176" s="44"/>
      <c r="H176" s="27">
        <f t="shared" si="47"/>
        <v>85.87690789</v>
      </c>
      <c r="I176" s="48"/>
      <c r="J176" s="4" t="s">
        <v>26</v>
      </c>
      <c r="K176" s="19">
        <f>(H165/I165)*100</f>
        <v>50.17068436</v>
      </c>
    </row>
    <row r="177">
      <c r="A177" s="35" t="s">
        <v>27</v>
      </c>
      <c r="B177" s="19">
        <f t="shared" ref="B177:C177" si="48">B167/(B165+B166)</f>
        <v>0.9361158574</v>
      </c>
      <c r="C177" s="19">
        <f t="shared" si="48"/>
        <v>1.144390178</v>
      </c>
      <c r="D177" s="19"/>
      <c r="E177" s="19"/>
      <c r="F177" s="19"/>
      <c r="G177" s="44"/>
      <c r="H177" s="27">
        <f t="shared" si="47"/>
        <v>-9.556420925</v>
      </c>
      <c r="I177" s="46"/>
      <c r="J177" s="46"/>
      <c r="K177" s="46"/>
    </row>
    <row r="178">
      <c r="A178" s="35" t="s">
        <v>28</v>
      </c>
      <c r="B178" s="19">
        <f t="shared" ref="B178:C178" si="49">B166/B165</f>
        <v>4.741047619</v>
      </c>
      <c r="C178" s="19">
        <f t="shared" si="49"/>
        <v>7.130418944</v>
      </c>
      <c r="D178" s="19"/>
      <c r="E178" s="19"/>
      <c r="F178" s="19"/>
      <c r="G178" s="44"/>
      <c r="H178" s="27">
        <f t="shared" si="47"/>
        <v>-18.45832374</v>
      </c>
      <c r="I178" s="46"/>
      <c r="J178" s="46"/>
      <c r="K178" s="46"/>
    </row>
    <row r="179">
      <c r="A179" s="35" t="s">
        <v>29</v>
      </c>
      <c r="B179" s="19">
        <f t="shared" ref="B179:C179" si="50">B170/B168</f>
        <v>2.318156402</v>
      </c>
      <c r="C179" s="19">
        <f t="shared" si="50"/>
        <v>1.614678899</v>
      </c>
      <c r="D179" s="19"/>
      <c r="E179" s="19"/>
      <c r="F179" s="19"/>
      <c r="G179" s="44"/>
      <c r="H179" s="27">
        <f t="shared" si="47"/>
        <v>19.81971491</v>
      </c>
      <c r="I179" s="46"/>
      <c r="J179" s="46"/>
      <c r="K179" s="46"/>
    </row>
    <row r="181">
      <c r="A181" s="34" t="s">
        <v>46</v>
      </c>
      <c r="B181" s="2"/>
      <c r="C181" s="2"/>
      <c r="D181" s="2"/>
      <c r="E181" s="2"/>
      <c r="F181" s="2"/>
      <c r="G181" s="2"/>
      <c r="H181" s="2"/>
      <c r="I181" s="2"/>
      <c r="J181" s="2"/>
      <c r="K181" s="3"/>
    </row>
    <row r="182">
      <c r="A182" s="35" t="s">
        <v>1</v>
      </c>
      <c r="B182" s="36">
        <v>44642.0</v>
      </c>
      <c r="C182" s="36">
        <v>44641.0</v>
      </c>
      <c r="D182" s="36">
        <v>44640.0</v>
      </c>
      <c r="E182" s="36">
        <v>44639.0</v>
      </c>
      <c r="F182" s="36">
        <v>44638.0</v>
      </c>
      <c r="G182" s="36">
        <v>44637.0</v>
      </c>
      <c r="H182" s="37" t="s">
        <v>2</v>
      </c>
      <c r="I182" s="38" t="s">
        <v>3</v>
      </c>
      <c r="J182" s="37" t="s">
        <v>4</v>
      </c>
      <c r="K182" s="37" t="s">
        <v>5</v>
      </c>
    </row>
    <row r="183">
      <c r="A183" s="35" t="s">
        <v>6</v>
      </c>
      <c r="B183" s="28">
        <v>108.01</v>
      </c>
      <c r="C183" s="28">
        <v>108.0</v>
      </c>
      <c r="D183" s="28">
        <v>108.0</v>
      </c>
      <c r="E183" s="28">
        <v>108.01</v>
      </c>
      <c r="F183" s="28">
        <v>108.01</v>
      </c>
      <c r="G183" s="39"/>
      <c r="H183" s="40">
        <v>2.7019419E7</v>
      </c>
      <c r="I183" s="40">
        <v>1.07988017E8</v>
      </c>
      <c r="J183" s="41">
        <f>IFERROR(__xludf.DUMMYFUNCTION("GOOGLEFINANCE(""NSE:"" &amp; A181,""price"")"),240.0)</f>
        <v>240</v>
      </c>
      <c r="K183" s="42">
        <f>-B185-B186+B187+B188</f>
        <v>876.19</v>
      </c>
    </row>
    <row r="184">
      <c r="A184" s="35" t="s">
        <v>8</v>
      </c>
      <c r="B184" s="28">
        <v>768.32</v>
      </c>
      <c r="C184" s="28">
        <v>726.65</v>
      </c>
      <c r="D184" s="28">
        <v>691.16</v>
      </c>
      <c r="E184" s="28">
        <v>671.78</v>
      </c>
      <c r="F184" s="28">
        <v>643.45</v>
      </c>
      <c r="G184" s="39"/>
      <c r="H184" s="43"/>
      <c r="I184" s="43"/>
      <c r="J184" s="43"/>
      <c r="K184" s="43"/>
    </row>
    <row r="185">
      <c r="A185" s="35" t="s">
        <v>9</v>
      </c>
      <c r="B185" s="28">
        <v>144.9</v>
      </c>
      <c r="C185" s="28">
        <v>80.2</v>
      </c>
      <c r="D185" s="28">
        <v>84.17</v>
      </c>
      <c r="E185" s="28">
        <v>70.92</v>
      </c>
      <c r="F185" s="28">
        <v>95.13</v>
      </c>
      <c r="G185" s="44"/>
      <c r="H185" s="20" t="s">
        <v>10</v>
      </c>
      <c r="I185" s="21"/>
      <c r="J185" s="20" t="s">
        <v>11</v>
      </c>
      <c r="K185" s="21"/>
    </row>
    <row r="186">
      <c r="A186" s="35" t="s">
        <v>12</v>
      </c>
      <c r="B186" s="28">
        <v>172.45</v>
      </c>
      <c r="C186" s="28">
        <v>81.75</v>
      </c>
      <c r="D186" s="28">
        <v>83.26</v>
      </c>
      <c r="E186" s="28">
        <v>88.4</v>
      </c>
      <c r="F186" s="28">
        <v>114.78</v>
      </c>
      <c r="G186" s="44"/>
      <c r="H186" s="22">
        <f>(K183*10000000)/H183</f>
        <v>324.2815843</v>
      </c>
      <c r="I186" s="9"/>
      <c r="J186" s="22">
        <f>J183/H186</f>
        <v>0.7400975314</v>
      </c>
      <c r="K186" s="9"/>
    </row>
    <row r="187">
      <c r="A187" s="35" t="s">
        <v>13</v>
      </c>
      <c r="B187" s="28">
        <v>742.58</v>
      </c>
      <c r="C187" s="28">
        <v>725.44</v>
      </c>
      <c r="D187" s="28">
        <v>732.91</v>
      </c>
      <c r="E187" s="28">
        <v>736.57</v>
      </c>
      <c r="F187" s="28">
        <v>749.38</v>
      </c>
      <c r="G187" s="44"/>
      <c r="H187" s="17"/>
      <c r="I187" s="18"/>
      <c r="J187" s="18"/>
      <c r="K187" s="18"/>
    </row>
    <row r="188">
      <c r="A188" s="35" t="s">
        <v>14</v>
      </c>
      <c r="B188" s="28">
        <v>450.96</v>
      </c>
      <c r="C188" s="28">
        <v>271.18</v>
      </c>
      <c r="D188" s="28">
        <v>233.73</v>
      </c>
      <c r="E188" s="28">
        <v>202.59</v>
      </c>
      <c r="F188" s="28">
        <v>212.04</v>
      </c>
      <c r="G188" s="44"/>
      <c r="H188" s="20" t="s">
        <v>15</v>
      </c>
      <c r="I188" s="21"/>
      <c r="J188" s="20" t="s">
        <v>16</v>
      </c>
      <c r="K188" s="21"/>
    </row>
    <row r="189">
      <c r="A189" s="35" t="s">
        <v>17</v>
      </c>
      <c r="B189" s="28"/>
      <c r="C189" s="30"/>
      <c r="D189" s="30"/>
      <c r="E189" s="30"/>
      <c r="F189" s="30"/>
      <c r="G189" s="44"/>
      <c r="H189" s="17">
        <f>(K183*10000000)/I183</f>
        <v>81.13770623</v>
      </c>
      <c r="I189" s="3"/>
      <c r="J189" s="17">
        <f>J183/H189</f>
        <v>2.957934247</v>
      </c>
      <c r="K189" s="3"/>
    </row>
    <row r="190">
      <c r="A190" s="35" t="s">
        <v>18</v>
      </c>
      <c r="B190" s="28"/>
      <c r="C190" s="30"/>
      <c r="D190" s="30"/>
      <c r="E190" s="30"/>
      <c r="F190" s="30"/>
      <c r="G190" s="44"/>
      <c r="H190" s="45"/>
      <c r="I190" s="46"/>
      <c r="J190" s="43"/>
      <c r="K190" s="43"/>
    </row>
    <row r="191">
      <c r="A191" s="35" t="s">
        <v>19</v>
      </c>
      <c r="B191" s="28"/>
      <c r="C191" s="30"/>
      <c r="D191" s="30"/>
      <c r="E191" s="30"/>
      <c r="F191" s="30"/>
      <c r="G191" s="44"/>
      <c r="H191" s="47"/>
      <c r="I191" s="48"/>
      <c r="J191" s="4" t="s">
        <v>20</v>
      </c>
      <c r="K191" s="19">
        <f>(B194*10000000)/I183</f>
        <v>5.012593203</v>
      </c>
    </row>
    <row r="192">
      <c r="A192" s="35" t="s">
        <v>21</v>
      </c>
      <c r="B192" s="19"/>
      <c r="C192" s="19">
        <f t="shared" ref="C192:F192" si="51">SUM(C189:C191)</f>
        <v>0</v>
      </c>
      <c r="D192" s="19">
        <f t="shared" si="51"/>
        <v>0</v>
      </c>
      <c r="E192" s="19">
        <f t="shared" si="51"/>
        <v>0</v>
      </c>
      <c r="F192" s="19">
        <f t="shared" si="51"/>
        <v>0</v>
      </c>
      <c r="G192" s="44"/>
      <c r="H192" s="27" t="str">
        <f>(((B192/F192)^(1/5)-1)*100)</f>
        <v>#DIV/0!</v>
      </c>
      <c r="I192" s="48"/>
      <c r="J192" s="4" t="s">
        <v>22</v>
      </c>
      <c r="K192" s="19">
        <f>J183/K191</f>
        <v>47.87940898</v>
      </c>
    </row>
    <row r="193">
      <c r="A193" s="35" t="s">
        <v>23</v>
      </c>
      <c r="B193" s="31">
        <v>79.15</v>
      </c>
      <c r="C193" s="31">
        <v>55.06</v>
      </c>
      <c r="D193" s="31">
        <v>56.73</v>
      </c>
      <c r="E193" s="31">
        <v>50.39</v>
      </c>
      <c r="F193" s="31">
        <v>53.73</v>
      </c>
      <c r="G193" s="44"/>
      <c r="H193" s="27">
        <f t="shared" ref="H193:H197" si="52">(((B193/E193)^(1/4)-1)*100)</f>
        <v>11.95065534</v>
      </c>
      <c r="I193" s="48"/>
      <c r="J193" s="4" t="s">
        <v>24</v>
      </c>
      <c r="K193" s="19">
        <f>(B193/(B183+B184))*100</f>
        <v>9.031985667</v>
      </c>
    </row>
    <row r="194">
      <c r="A194" s="35" t="s">
        <v>25</v>
      </c>
      <c r="B194" s="31">
        <v>54.13</v>
      </c>
      <c r="C194" s="31">
        <v>42.4</v>
      </c>
      <c r="D194" s="31">
        <v>27.59</v>
      </c>
      <c r="E194" s="31">
        <v>31.66</v>
      </c>
      <c r="F194" s="31">
        <v>39.38</v>
      </c>
      <c r="G194" s="44"/>
      <c r="H194" s="27">
        <f t="shared" si="52"/>
        <v>14.34884417</v>
      </c>
      <c r="I194" s="48"/>
      <c r="J194" s="4" t="s">
        <v>26</v>
      </c>
      <c r="K194" s="19">
        <f>(H183/I183)*100</f>
        <v>25.0207567</v>
      </c>
    </row>
    <row r="195">
      <c r="A195" s="35" t="s">
        <v>27</v>
      </c>
      <c r="B195" s="19">
        <f t="shared" ref="B195:F195" si="53">B185/(B183+B184)</f>
        <v>0.16534867</v>
      </c>
      <c r="C195" s="19">
        <f t="shared" si="53"/>
        <v>0.09608818067</v>
      </c>
      <c r="D195" s="19">
        <f t="shared" si="53"/>
        <v>0.1053230892</v>
      </c>
      <c r="E195" s="19">
        <f t="shared" si="53"/>
        <v>0.09094756281</v>
      </c>
      <c r="F195" s="19">
        <f t="shared" si="53"/>
        <v>0.1265935645</v>
      </c>
      <c r="G195" s="44"/>
      <c r="H195" s="27">
        <f t="shared" si="52"/>
        <v>16.11876553</v>
      </c>
      <c r="I195" s="46"/>
      <c r="J195" s="46"/>
      <c r="K195" s="46"/>
    </row>
    <row r="196">
      <c r="A196" s="35" t="s">
        <v>28</v>
      </c>
      <c r="B196" s="19">
        <f t="shared" ref="B196:F196" si="54">B184/B183</f>
        <v>7.113415424</v>
      </c>
      <c r="C196" s="19">
        <f t="shared" si="54"/>
        <v>6.728240741</v>
      </c>
      <c r="D196" s="19">
        <f t="shared" si="54"/>
        <v>6.39962963</v>
      </c>
      <c r="E196" s="19">
        <f t="shared" si="54"/>
        <v>6.219609295</v>
      </c>
      <c r="F196" s="19">
        <f t="shared" si="54"/>
        <v>5.957318767</v>
      </c>
      <c r="G196" s="44"/>
      <c r="H196" s="27">
        <f t="shared" si="52"/>
        <v>3.413864355</v>
      </c>
      <c r="I196" s="46"/>
      <c r="J196" s="46"/>
      <c r="K196" s="46"/>
    </row>
    <row r="197">
      <c r="A197" s="35" t="s">
        <v>29</v>
      </c>
      <c r="B197" s="19">
        <f t="shared" ref="B197:F197" si="55">B188/B186</f>
        <v>2.615018846</v>
      </c>
      <c r="C197" s="19">
        <f t="shared" si="55"/>
        <v>3.317186544</v>
      </c>
      <c r="D197" s="19">
        <f t="shared" si="55"/>
        <v>2.807230363</v>
      </c>
      <c r="E197" s="19">
        <f t="shared" si="55"/>
        <v>2.291742081</v>
      </c>
      <c r="F197" s="19">
        <f t="shared" si="55"/>
        <v>1.847360167</v>
      </c>
      <c r="G197" s="44"/>
      <c r="H197" s="27">
        <f t="shared" si="52"/>
        <v>3.35399562</v>
      </c>
      <c r="I197" s="46"/>
      <c r="J197" s="46"/>
      <c r="K197" s="46"/>
    </row>
    <row r="199">
      <c r="A199" s="34" t="s">
        <v>46</v>
      </c>
      <c r="B199" s="2"/>
      <c r="C199" s="2"/>
      <c r="D199" s="2"/>
      <c r="E199" s="2"/>
      <c r="F199" s="2"/>
      <c r="G199" s="2"/>
      <c r="H199" s="2"/>
      <c r="I199" s="2"/>
      <c r="J199" s="2"/>
      <c r="K199" s="3"/>
    </row>
    <row r="200">
      <c r="A200" s="35" t="s">
        <v>1</v>
      </c>
      <c r="B200" s="36">
        <v>44642.0</v>
      </c>
      <c r="C200" s="36">
        <v>44641.0</v>
      </c>
      <c r="D200" s="36">
        <v>44640.0</v>
      </c>
      <c r="E200" s="36">
        <v>44639.0</v>
      </c>
      <c r="F200" s="36">
        <v>44638.0</v>
      </c>
      <c r="G200" s="36">
        <v>44637.0</v>
      </c>
      <c r="H200" s="37" t="s">
        <v>2</v>
      </c>
      <c r="I200" s="38" t="s">
        <v>3</v>
      </c>
      <c r="J200" s="37" t="s">
        <v>4</v>
      </c>
      <c r="K200" s="37" t="s">
        <v>5</v>
      </c>
    </row>
    <row r="201">
      <c r="A201" s="35" t="s">
        <v>6</v>
      </c>
      <c r="B201" s="28">
        <v>108.01</v>
      </c>
      <c r="C201" s="28">
        <v>108.0</v>
      </c>
      <c r="D201" s="28">
        <v>108.0</v>
      </c>
      <c r="E201" s="28">
        <v>108.01</v>
      </c>
      <c r="F201" s="28">
        <v>108.01</v>
      </c>
      <c r="G201" s="39"/>
      <c r="H201" s="40">
        <v>2.7019419E7</v>
      </c>
      <c r="I201" s="40">
        <v>1.07988017E8</v>
      </c>
      <c r="J201" s="41">
        <f>IFERROR(__xludf.DUMMYFUNCTION("GOOGLEFINANCE(""NSE:"" &amp; A199,""price"")"),240.0)</f>
        <v>240</v>
      </c>
      <c r="K201" s="42">
        <f>-B203-B204+B205+B206</f>
        <v>876.19</v>
      </c>
    </row>
    <row r="202">
      <c r="A202" s="35" t="s">
        <v>8</v>
      </c>
      <c r="B202" s="28">
        <v>768.32</v>
      </c>
      <c r="C202" s="28">
        <v>726.65</v>
      </c>
      <c r="D202" s="28">
        <v>691.16</v>
      </c>
      <c r="E202" s="28">
        <v>671.78</v>
      </c>
      <c r="F202" s="28">
        <v>643.45</v>
      </c>
      <c r="G202" s="39"/>
      <c r="H202" s="43"/>
      <c r="I202" s="43"/>
      <c r="J202" s="43"/>
      <c r="K202" s="43"/>
    </row>
    <row r="203">
      <c r="A203" s="35" t="s">
        <v>9</v>
      </c>
      <c r="B203" s="28">
        <v>144.9</v>
      </c>
      <c r="C203" s="28">
        <v>80.2</v>
      </c>
      <c r="D203" s="28">
        <v>84.17</v>
      </c>
      <c r="E203" s="28">
        <v>70.92</v>
      </c>
      <c r="F203" s="28">
        <v>95.13</v>
      </c>
      <c r="G203" s="44"/>
      <c r="H203" s="20" t="s">
        <v>10</v>
      </c>
      <c r="I203" s="21"/>
      <c r="J203" s="20" t="s">
        <v>11</v>
      </c>
      <c r="K203" s="21"/>
    </row>
    <row r="204">
      <c r="A204" s="35" t="s">
        <v>12</v>
      </c>
      <c r="B204" s="28">
        <v>172.45</v>
      </c>
      <c r="C204" s="28">
        <v>81.75</v>
      </c>
      <c r="D204" s="28">
        <v>83.26</v>
      </c>
      <c r="E204" s="28">
        <v>88.4</v>
      </c>
      <c r="F204" s="28">
        <v>114.78</v>
      </c>
      <c r="G204" s="44"/>
      <c r="H204" s="22">
        <f>(K201*10000000)/H201</f>
        <v>324.2815843</v>
      </c>
      <c r="I204" s="9"/>
      <c r="J204" s="22">
        <f>J201/H204</f>
        <v>0.7400975314</v>
      </c>
      <c r="K204" s="9"/>
    </row>
    <row r="205">
      <c r="A205" s="35" t="s">
        <v>13</v>
      </c>
      <c r="B205" s="28">
        <v>742.58</v>
      </c>
      <c r="C205" s="28">
        <v>725.44</v>
      </c>
      <c r="D205" s="28">
        <v>732.91</v>
      </c>
      <c r="E205" s="28">
        <v>736.57</v>
      </c>
      <c r="F205" s="28">
        <v>749.38</v>
      </c>
      <c r="G205" s="44"/>
      <c r="H205" s="17"/>
      <c r="I205" s="18"/>
      <c r="J205" s="18"/>
      <c r="K205" s="18"/>
    </row>
    <row r="206">
      <c r="A206" s="35" t="s">
        <v>14</v>
      </c>
      <c r="B206" s="28">
        <v>450.96</v>
      </c>
      <c r="C206" s="28">
        <v>271.18</v>
      </c>
      <c r="D206" s="28">
        <v>233.73</v>
      </c>
      <c r="E206" s="28">
        <v>202.59</v>
      </c>
      <c r="F206" s="28">
        <v>212.04</v>
      </c>
      <c r="G206" s="44"/>
      <c r="H206" s="20" t="s">
        <v>15</v>
      </c>
      <c r="I206" s="21"/>
      <c r="J206" s="20" t="s">
        <v>16</v>
      </c>
      <c r="K206" s="21"/>
    </row>
    <row r="207">
      <c r="A207" s="35" t="s">
        <v>17</v>
      </c>
      <c r="B207" s="28"/>
      <c r="C207" s="30"/>
      <c r="D207" s="30"/>
      <c r="E207" s="30"/>
      <c r="F207" s="30"/>
      <c r="G207" s="44"/>
      <c r="H207" s="17">
        <f>(K201*10000000)/I201</f>
        <v>81.13770623</v>
      </c>
      <c r="I207" s="3"/>
      <c r="J207" s="17">
        <f>J201/H207</f>
        <v>2.957934247</v>
      </c>
      <c r="K207" s="3"/>
    </row>
    <row r="208">
      <c r="A208" s="35" t="s">
        <v>18</v>
      </c>
      <c r="B208" s="28"/>
      <c r="C208" s="30"/>
      <c r="D208" s="30"/>
      <c r="E208" s="30"/>
      <c r="F208" s="30"/>
      <c r="G208" s="44"/>
      <c r="H208" s="45"/>
      <c r="I208" s="46"/>
      <c r="J208" s="43"/>
      <c r="K208" s="43"/>
    </row>
    <row r="209">
      <c r="A209" s="35" t="s">
        <v>19</v>
      </c>
      <c r="B209" s="28"/>
      <c r="C209" s="30"/>
      <c r="D209" s="30"/>
      <c r="E209" s="30"/>
      <c r="F209" s="30"/>
      <c r="G209" s="44"/>
      <c r="H209" s="47"/>
      <c r="I209" s="48"/>
      <c r="J209" s="4" t="s">
        <v>20</v>
      </c>
      <c r="K209" s="19">
        <f>(B212*10000000)/I201</f>
        <v>5.012593203</v>
      </c>
    </row>
    <row r="210">
      <c r="A210" s="35" t="s">
        <v>21</v>
      </c>
      <c r="B210" s="19"/>
      <c r="C210" s="19">
        <f t="shared" ref="C210:F210" si="56">SUM(C207:C209)</f>
        <v>0</v>
      </c>
      <c r="D210" s="19">
        <f t="shared" si="56"/>
        <v>0</v>
      </c>
      <c r="E210" s="19">
        <f t="shared" si="56"/>
        <v>0</v>
      </c>
      <c r="F210" s="19">
        <f t="shared" si="56"/>
        <v>0</v>
      </c>
      <c r="G210" s="44"/>
      <c r="H210" s="27" t="str">
        <f>(((B210/F210)^(1/5)-1)*100)</f>
        <v>#DIV/0!</v>
      </c>
      <c r="I210" s="48"/>
      <c r="J210" s="4" t="s">
        <v>22</v>
      </c>
      <c r="K210" s="19">
        <f>J201/K209</f>
        <v>47.87940898</v>
      </c>
    </row>
    <row r="211">
      <c r="A211" s="35" t="s">
        <v>23</v>
      </c>
      <c r="B211" s="31">
        <v>79.15</v>
      </c>
      <c r="C211" s="31">
        <v>55.06</v>
      </c>
      <c r="D211" s="31">
        <v>56.73</v>
      </c>
      <c r="E211" s="31">
        <v>50.39</v>
      </c>
      <c r="F211" s="31">
        <v>53.73</v>
      </c>
      <c r="G211" s="44"/>
      <c r="H211" s="27">
        <f t="shared" ref="H211:H215" si="57">(((B211/E211)^(1/4)-1)*100)</f>
        <v>11.95065534</v>
      </c>
      <c r="I211" s="48"/>
      <c r="J211" s="4" t="s">
        <v>24</v>
      </c>
      <c r="K211" s="19">
        <f>(B211/(B201+B202))*100</f>
        <v>9.031985667</v>
      </c>
    </row>
    <row r="212">
      <c r="A212" s="35" t="s">
        <v>25</v>
      </c>
      <c r="B212" s="31">
        <v>54.13</v>
      </c>
      <c r="C212" s="31">
        <v>42.4</v>
      </c>
      <c r="D212" s="31">
        <v>27.59</v>
      </c>
      <c r="E212" s="31">
        <v>31.66</v>
      </c>
      <c r="F212" s="31">
        <v>39.38</v>
      </c>
      <c r="G212" s="44"/>
      <c r="H212" s="27">
        <f t="shared" si="57"/>
        <v>14.34884417</v>
      </c>
      <c r="I212" s="48"/>
      <c r="J212" s="4" t="s">
        <v>26</v>
      </c>
      <c r="K212" s="19">
        <f>(H201/I201)*100</f>
        <v>25.0207567</v>
      </c>
    </row>
    <row r="213">
      <c r="A213" s="35" t="s">
        <v>27</v>
      </c>
      <c r="B213" s="19">
        <f t="shared" ref="B213:F213" si="58">B203/(B201+B202)</f>
        <v>0.16534867</v>
      </c>
      <c r="C213" s="19">
        <f t="shared" si="58"/>
        <v>0.09608818067</v>
      </c>
      <c r="D213" s="19">
        <f t="shared" si="58"/>
        <v>0.1053230892</v>
      </c>
      <c r="E213" s="19">
        <f t="shared" si="58"/>
        <v>0.09094756281</v>
      </c>
      <c r="F213" s="19">
        <f t="shared" si="58"/>
        <v>0.1265935645</v>
      </c>
      <c r="G213" s="44"/>
      <c r="H213" s="27">
        <f t="shared" si="57"/>
        <v>16.11876553</v>
      </c>
      <c r="I213" s="46"/>
      <c r="J213" s="46"/>
      <c r="K213" s="46"/>
    </row>
    <row r="214">
      <c r="A214" s="35" t="s">
        <v>28</v>
      </c>
      <c r="B214" s="19">
        <f t="shared" ref="B214:F214" si="59">B202/B201</f>
        <v>7.113415424</v>
      </c>
      <c r="C214" s="19">
        <f t="shared" si="59"/>
        <v>6.728240741</v>
      </c>
      <c r="D214" s="19">
        <f t="shared" si="59"/>
        <v>6.39962963</v>
      </c>
      <c r="E214" s="19">
        <f t="shared" si="59"/>
        <v>6.219609295</v>
      </c>
      <c r="F214" s="19">
        <f t="shared" si="59"/>
        <v>5.957318767</v>
      </c>
      <c r="G214" s="44"/>
      <c r="H214" s="27">
        <f t="shared" si="57"/>
        <v>3.413864355</v>
      </c>
      <c r="I214" s="46"/>
      <c r="J214" s="46"/>
      <c r="K214" s="46"/>
    </row>
    <row r="215">
      <c r="A215" s="35" t="s">
        <v>29</v>
      </c>
      <c r="B215" s="19">
        <f t="shared" ref="B215:F215" si="60">B206/B204</f>
        <v>2.615018846</v>
      </c>
      <c r="C215" s="19">
        <f t="shared" si="60"/>
        <v>3.317186544</v>
      </c>
      <c r="D215" s="19">
        <f t="shared" si="60"/>
        <v>2.807230363</v>
      </c>
      <c r="E215" s="19">
        <f t="shared" si="60"/>
        <v>2.291742081</v>
      </c>
      <c r="F215" s="19">
        <f t="shared" si="60"/>
        <v>1.847360167</v>
      </c>
      <c r="G215" s="44"/>
      <c r="H215" s="27">
        <f t="shared" si="57"/>
        <v>3.35399562</v>
      </c>
      <c r="I215" s="46"/>
      <c r="J215" s="46"/>
      <c r="K215" s="46"/>
    </row>
  </sheetData>
  <mergeCells count="108">
    <mergeCell ref="H80:I80"/>
    <mergeCell ref="H81:I81"/>
    <mergeCell ref="J81:K81"/>
    <mergeCell ref="H78:I78"/>
    <mergeCell ref="H95:I95"/>
    <mergeCell ref="J95:K95"/>
    <mergeCell ref="H96:I96"/>
    <mergeCell ref="J96:K96"/>
    <mergeCell ref="H98:I98"/>
    <mergeCell ref="J98:K98"/>
    <mergeCell ref="H116:I116"/>
    <mergeCell ref="J116:K116"/>
    <mergeCell ref="H117:I117"/>
    <mergeCell ref="J117:K117"/>
    <mergeCell ref="A127:K127"/>
    <mergeCell ref="H131:I131"/>
    <mergeCell ref="J131:K131"/>
    <mergeCell ref="H132:I132"/>
    <mergeCell ref="J132:K132"/>
    <mergeCell ref="H134:I134"/>
    <mergeCell ref="J134:K134"/>
    <mergeCell ref="H135:I135"/>
    <mergeCell ref="J135:K135"/>
    <mergeCell ref="A145:K145"/>
    <mergeCell ref="H149:I149"/>
    <mergeCell ref="J149:K149"/>
    <mergeCell ref="H150:I150"/>
    <mergeCell ref="J150:K150"/>
    <mergeCell ref="H152:I152"/>
    <mergeCell ref="J152:K152"/>
    <mergeCell ref="H153:I153"/>
    <mergeCell ref="H170:I170"/>
    <mergeCell ref="H171:I171"/>
    <mergeCell ref="J171:K171"/>
    <mergeCell ref="J153:K153"/>
    <mergeCell ref="A163:K163"/>
    <mergeCell ref="H167:I167"/>
    <mergeCell ref="J167:K167"/>
    <mergeCell ref="J168:K168"/>
    <mergeCell ref="J170:K170"/>
    <mergeCell ref="A181:K181"/>
    <mergeCell ref="H168:I168"/>
    <mergeCell ref="H185:I185"/>
    <mergeCell ref="J185:K185"/>
    <mergeCell ref="H186:I186"/>
    <mergeCell ref="J186:K186"/>
    <mergeCell ref="H188:I188"/>
    <mergeCell ref="J188:K188"/>
    <mergeCell ref="H206:I206"/>
    <mergeCell ref="J206:K206"/>
    <mergeCell ref="H207:I207"/>
    <mergeCell ref="J207:K207"/>
    <mergeCell ref="H189:I189"/>
    <mergeCell ref="J189:K189"/>
    <mergeCell ref="A199:K199"/>
    <mergeCell ref="H203:I203"/>
    <mergeCell ref="J203:K203"/>
    <mergeCell ref="H204:I204"/>
    <mergeCell ref="J204:K204"/>
    <mergeCell ref="A1:K1"/>
    <mergeCell ref="H5:I5"/>
    <mergeCell ref="J5:K5"/>
    <mergeCell ref="H6:I6"/>
    <mergeCell ref="J6:K6"/>
    <mergeCell ref="H8:I8"/>
    <mergeCell ref="J8:K8"/>
    <mergeCell ref="H9:I9"/>
    <mergeCell ref="J9:K9"/>
    <mergeCell ref="A19:K19"/>
    <mergeCell ref="H23:I23"/>
    <mergeCell ref="J23:K23"/>
    <mergeCell ref="H24:I24"/>
    <mergeCell ref="J24:K24"/>
    <mergeCell ref="H26:I26"/>
    <mergeCell ref="J26:K26"/>
    <mergeCell ref="H27:I27"/>
    <mergeCell ref="J27:K27"/>
    <mergeCell ref="A37:K37"/>
    <mergeCell ref="H41:I41"/>
    <mergeCell ref="J41:K41"/>
    <mergeCell ref="H42:I42"/>
    <mergeCell ref="J42:K42"/>
    <mergeCell ref="H44:I44"/>
    <mergeCell ref="J44:K44"/>
    <mergeCell ref="H45:I45"/>
    <mergeCell ref="J45:K45"/>
    <mergeCell ref="A55:K55"/>
    <mergeCell ref="H59:I59"/>
    <mergeCell ref="J59:K59"/>
    <mergeCell ref="H60:I60"/>
    <mergeCell ref="J60:K60"/>
    <mergeCell ref="H62:I62"/>
    <mergeCell ref="J62:K62"/>
    <mergeCell ref="H63:I63"/>
    <mergeCell ref="J63:K63"/>
    <mergeCell ref="A73:K73"/>
    <mergeCell ref="H77:I77"/>
    <mergeCell ref="J77:K77"/>
    <mergeCell ref="J78:K78"/>
    <mergeCell ref="J80:K80"/>
    <mergeCell ref="A91:K91"/>
    <mergeCell ref="H99:I99"/>
    <mergeCell ref="J99:K99"/>
    <mergeCell ref="A109:K109"/>
    <mergeCell ref="H113:I113"/>
    <mergeCell ref="J113:K113"/>
    <mergeCell ref="H114:I114"/>
    <mergeCell ref="J114:K1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5" max="5" width="16.25"/>
    <col customWidth="1" min="8" max="8" width="16.0"/>
  </cols>
  <sheetData>
    <row r="1">
      <c r="A1" s="51" t="s">
        <v>48</v>
      </c>
      <c r="B1" s="52" t="s">
        <v>49</v>
      </c>
      <c r="C1" s="52" t="s">
        <v>29</v>
      </c>
      <c r="D1" s="52" t="s">
        <v>50</v>
      </c>
      <c r="E1" s="52" t="s">
        <v>27</v>
      </c>
      <c r="F1" s="52" t="s">
        <v>24</v>
      </c>
      <c r="G1" s="52" t="s">
        <v>22</v>
      </c>
      <c r="H1" s="52" t="s">
        <v>51</v>
      </c>
      <c r="I1" s="52" t="s">
        <v>4</v>
      </c>
      <c r="J1" s="51" t="s">
        <v>52</v>
      </c>
      <c r="K1" s="51" t="s">
        <v>53</v>
      </c>
      <c r="L1" s="51" t="s">
        <v>54</v>
      </c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>
      <c r="A2" s="54">
        <v>508869.0</v>
      </c>
      <c r="B2" s="54" t="s">
        <v>30</v>
      </c>
      <c r="C2" s="55">
        <f t="shared" ref="C2:C19" si="1">INDIRECT(ADDRESS(M2+16,2,4,TRUE,N2))</f>
        <v>1.72938565</v>
      </c>
      <c r="D2" s="55">
        <f t="shared" ref="D2:D19" si="2">INDIRECT(ADDRESS(M2+15,2,4,TRUE,N2))</f>
        <v>77.5248296</v>
      </c>
      <c r="E2" s="55">
        <f t="shared" ref="E2:E19" si="3">INDIRECT(ADDRESS(M2+14,2,4,TRUE,N2))</f>
        <v>0.8735923758</v>
      </c>
      <c r="F2" s="55">
        <f t="shared" ref="F2:F19" si="4">INDIRECT(ADDRESS(M2+12,11,4,TRUE,N2))</f>
        <v>27.95373019</v>
      </c>
      <c r="G2" s="55">
        <f t="shared" ref="G2:G19" si="5">INDIRECT(ADDRESS(M2+11,11,4,TRUE,N2))</f>
        <v>85.37539224</v>
      </c>
      <c r="H2" s="55">
        <f t="shared" ref="H2:H19" si="6">INDIRECT(ADDRESS(M2+13,11,4,TRUE,N2))</f>
        <v>70.29136502</v>
      </c>
      <c r="I2" s="24">
        <f>IFERROR(__xludf.DUMMYFUNCTION("GOOGLEFINANCE(""BOM:"" &amp; A2, ""price"")"),6347.35)</f>
        <v>6347.35</v>
      </c>
      <c r="J2" s="56">
        <f t="shared" ref="J2:J19" si="7">INDIRECT(ADDRESS(M2+2,11,4,TRUE,N2))</f>
        <v>5899.48</v>
      </c>
      <c r="K2" s="57">
        <f t="shared" ref="K2:K19" si="8">INDIRECT(ADDRESS(M2+2,9,4,TRUE,N2))</f>
        <v>141970885</v>
      </c>
      <c r="L2" s="24">
        <f t="shared" ref="L2:L19" si="9">(I2*K2)/(J2*10000000)</f>
        <v>15.27488689</v>
      </c>
      <c r="M2" s="58">
        <v>1.0</v>
      </c>
      <c r="N2" s="58" t="s">
        <v>55</v>
      </c>
    </row>
    <row r="3">
      <c r="A3" s="54">
        <v>542919.0</v>
      </c>
      <c r="B3" s="54" t="s">
        <v>31</v>
      </c>
      <c r="C3" s="55">
        <f t="shared" si="1"/>
        <v>0.921475804</v>
      </c>
      <c r="D3" s="55">
        <f t="shared" si="2"/>
        <v>26.31193353</v>
      </c>
      <c r="E3" s="55">
        <f t="shared" si="3"/>
        <v>0.5605763115</v>
      </c>
      <c r="F3" s="55">
        <f t="shared" si="4"/>
        <v>10.73255717</v>
      </c>
      <c r="G3" s="55">
        <f t="shared" si="5"/>
        <v>68.64335451</v>
      </c>
      <c r="H3" s="55">
        <f t="shared" si="6"/>
        <v>29.73872806</v>
      </c>
      <c r="I3" s="24">
        <f>IFERROR(__xludf.DUMMYFUNCTION("GOOGLEFINANCE(""BOM:"" &amp; A3, ""price"")"),169.8)</f>
        <v>169.8</v>
      </c>
      <c r="J3" s="56">
        <f t="shared" si="7"/>
        <v>361.62</v>
      </c>
      <c r="K3" s="57">
        <f t="shared" si="8"/>
        <v>131552970</v>
      </c>
      <c r="L3" s="24">
        <f t="shared" si="9"/>
        <v>6.177118054</v>
      </c>
      <c r="M3" s="58">
        <v>37.0</v>
      </c>
      <c r="N3" s="58" t="s">
        <v>56</v>
      </c>
    </row>
    <row r="4">
      <c r="A4" s="54">
        <v>540975.0</v>
      </c>
      <c r="B4" s="54" t="s">
        <v>32</v>
      </c>
      <c r="C4" s="55">
        <f t="shared" si="1"/>
        <v>1.151150178</v>
      </c>
      <c r="D4" s="55">
        <f t="shared" si="2"/>
        <v>6.951027714</v>
      </c>
      <c r="E4" s="55">
        <f t="shared" si="3"/>
        <v>1.139532707</v>
      </c>
      <c r="F4" s="55">
        <f t="shared" si="4"/>
        <v>16.09521906</v>
      </c>
      <c r="G4" s="55">
        <f t="shared" si="5"/>
        <v>38.39904747</v>
      </c>
      <c r="H4" s="55">
        <f t="shared" si="6"/>
        <v>61.41150684</v>
      </c>
      <c r="I4" s="24">
        <f>IFERROR(__xludf.DUMMYFUNCTION("GOOGLEFINANCE(""BOM:"" &amp; A4, ""price"")"),407.3)</f>
        <v>407.3</v>
      </c>
      <c r="J4" s="56">
        <f t="shared" si="7"/>
        <v>4482.62</v>
      </c>
      <c r="K4" s="57">
        <f t="shared" si="8"/>
        <v>496192482</v>
      </c>
      <c r="L4" s="24">
        <f t="shared" si="9"/>
        <v>4.50850614</v>
      </c>
      <c r="M4" s="58">
        <v>37.0</v>
      </c>
      <c r="N4" s="58" t="s">
        <v>55</v>
      </c>
    </row>
    <row r="5">
      <c r="A5" s="59">
        <v>526783.0</v>
      </c>
      <c r="B5" s="54" t="s">
        <v>57</v>
      </c>
      <c r="C5" s="55">
        <f t="shared" si="1"/>
        <v>0.960262418</v>
      </c>
      <c r="D5" s="55">
        <f t="shared" si="2"/>
        <v>15.63191489</v>
      </c>
      <c r="E5" s="55">
        <f t="shared" si="3"/>
        <v>2.334527312</v>
      </c>
      <c r="F5" s="55">
        <f t="shared" si="4"/>
        <v>41.3329922</v>
      </c>
      <c r="G5" s="55">
        <f t="shared" si="5"/>
        <v>59.67825373</v>
      </c>
      <c r="H5" s="55">
        <f t="shared" si="6"/>
        <v>26.41034474</v>
      </c>
      <c r="I5" s="24">
        <f>IFERROR(__xludf.DUMMYFUNCTION("GOOGLEFINANCE(""BOM:"" &amp; A5, ""price"")"),3133.8)</f>
        <v>3133.8</v>
      </c>
      <c r="J5" s="56">
        <f t="shared" si="7"/>
        <v>78.17</v>
      </c>
      <c r="K5" s="57">
        <f t="shared" si="8"/>
        <v>4589463</v>
      </c>
      <c r="L5" s="24">
        <f t="shared" si="9"/>
        <v>18.39894992</v>
      </c>
      <c r="M5" s="58">
        <v>73.0</v>
      </c>
      <c r="N5" s="58" t="s">
        <v>56</v>
      </c>
    </row>
    <row r="6">
      <c r="A6" s="59">
        <v>532843.0</v>
      </c>
      <c r="B6" s="54" t="s">
        <v>34</v>
      </c>
      <c r="C6" s="55">
        <f t="shared" si="1"/>
        <v>0.8927392609</v>
      </c>
      <c r="D6" s="55">
        <f t="shared" si="2"/>
        <v>7.183532902</v>
      </c>
      <c r="E6" s="55">
        <f t="shared" si="3"/>
        <v>0.5838329362</v>
      </c>
      <c r="F6" s="55">
        <f t="shared" si="4"/>
        <v>15.59732221</v>
      </c>
      <c r="G6" s="55">
        <f t="shared" si="5"/>
        <v>56.95638055</v>
      </c>
      <c r="H6" s="55">
        <f t="shared" si="6"/>
        <v>68.79997928</v>
      </c>
      <c r="I6" s="24">
        <f>IFERROR(__xludf.DUMMYFUNCTION("GOOGLEFINANCE(""BOM:"" &amp; A6, ""price"")"),419.8)</f>
        <v>419.8</v>
      </c>
      <c r="J6" s="56">
        <f t="shared" si="7"/>
        <v>7008.26</v>
      </c>
      <c r="K6" s="57">
        <f t="shared" si="8"/>
        <v>754147310</v>
      </c>
      <c r="L6" s="24">
        <f t="shared" si="9"/>
        <v>4.517398623</v>
      </c>
      <c r="M6" s="58">
        <v>55.0</v>
      </c>
      <c r="N6" s="58" t="s">
        <v>55</v>
      </c>
    </row>
    <row r="7">
      <c r="A7" s="59">
        <v>523696.0</v>
      </c>
      <c r="B7" s="54" t="s">
        <v>58</v>
      </c>
      <c r="C7" s="55">
        <f t="shared" si="1"/>
        <v>1.561744112</v>
      </c>
      <c r="D7" s="55">
        <f t="shared" si="2"/>
        <v>3.271321962</v>
      </c>
      <c r="E7" s="55">
        <f t="shared" si="3"/>
        <v>0.6159990016</v>
      </c>
      <c r="F7" s="55">
        <f t="shared" si="4"/>
        <v>-10.3082491</v>
      </c>
      <c r="G7" s="55">
        <f t="shared" si="5"/>
        <v>-10.25090067</v>
      </c>
      <c r="H7" s="55">
        <f t="shared" si="6"/>
        <v>34.98224853</v>
      </c>
      <c r="I7" s="24">
        <f>IFERROR(__xludf.DUMMYFUNCTION("GOOGLEFINANCE(""BOM:"" &amp; A7, ""price"")"),46.9)</f>
        <v>46.9</v>
      </c>
      <c r="J7" s="56">
        <f t="shared" si="7"/>
        <v>80.13</v>
      </c>
      <c r="K7" s="57">
        <f t="shared" si="8"/>
        <v>18075682</v>
      </c>
      <c r="L7" s="24">
        <f t="shared" si="9"/>
        <v>1.05796766</v>
      </c>
      <c r="M7" s="58">
        <v>73.0</v>
      </c>
      <c r="N7" s="58" t="s">
        <v>55</v>
      </c>
    </row>
    <row r="8">
      <c r="A8" s="59">
        <v>543520.0</v>
      </c>
      <c r="B8" s="54" t="s">
        <v>59</v>
      </c>
      <c r="C8" s="55">
        <f t="shared" si="1"/>
        <v>0.8242556282</v>
      </c>
      <c r="D8" s="55">
        <f t="shared" si="2"/>
        <v>1.422857143</v>
      </c>
      <c r="E8" s="55">
        <f t="shared" si="3"/>
        <v>0.1910377358</v>
      </c>
      <c r="F8" s="55">
        <f t="shared" si="4"/>
        <v>33.66745283</v>
      </c>
      <c r="G8" s="55">
        <f t="shared" si="5"/>
        <v>11.2118238</v>
      </c>
      <c r="H8" s="55">
        <f t="shared" si="6"/>
        <v>44.39028721</v>
      </c>
      <c r="I8" s="24">
        <f>IFERROR(__xludf.DUMMYFUNCTION("GOOGLEFINANCE(""BOM:"" &amp; A8, ""price"")"),39.05)</f>
        <v>39.05</v>
      </c>
      <c r="J8" s="56">
        <f t="shared" si="7"/>
        <v>16.97</v>
      </c>
      <c r="K8" s="57">
        <f t="shared" si="8"/>
        <v>10249990</v>
      </c>
      <c r="L8" s="24">
        <f t="shared" si="9"/>
        <v>2.358645312</v>
      </c>
      <c r="M8" s="58">
        <v>127.0</v>
      </c>
      <c r="N8" s="58" t="s">
        <v>56</v>
      </c>
    </row>
    <row r="9">
      <c r="A9" s="59">
        <v>539787.0</v>
      </c>
      <c r="B9" s="54" t="s">
        <v>60</v>
      </c>
      <c r="C9" s="55">
        <f t="shared" si="1"/>
        <v>1.069398616</v>
      </c>
      <c r="D9" s="55">
        <f t="shared" si="2"/>
        <v>5.260628732</v>
      </c>
      <c r="E9" s="55">
        <f t="shared" si="3"/>
        <v>0.9951395512</v>
      </c>
      <c r="F9" s="55">
        <f t="shared" si="4"/>
        <v>10.25060612</v>
      </c>
      <c r="G9" s="55">
        <f t="shared" si="5"/>
        <v>85.99831793</v>
      </c>
      <c r="H9" s="55">
        <f t="shared" si="6"/>
        <v>28.30476348</v>
      </c>
      <c r="I9" s="24">
        <f>IFERROR(__xludf.DUMMYFUNCTION("GOOGLEFINANCE(""BOM:"" &amp; A9, ""price"")"),333.65)</f>
        <v>333.65</v>
      </c>
      <c r="J9" s="56">
        <f t="shared" si="7"/>
        <v>883.72</v>
      </c>
      <c r="K9" s="57">
        <f t="shared" si="8"/>
        <v>138489124</v>
      </c>
      <c r="L9" s="24">
        <f t="shared" si="9"/>
        <v>5.228680603</v>
      </c>
      <c r="M9" s="58">
        <v>91.0</v>
      </c>
      <c r="N9" s="58" t="s">
        <v>55</v>
      </c>
    </row>
    <row r="10">
      <c r="A10" s="60">
        <v>532150.0</v>
      </c>
      <c r="B10" s="60" t="s">
        <v>38</v>
      </c>
      <c r="C10" s="61">
        <f t="shared" si="1"/>
        <v>1.683743316</v>
      </c>
      <c r="D10" s="61">
        <f t="shared" si="2"/>
        <v>2.55012545</v>
      </c>
      <c r="E10" s="61">
        <f t="shared" si="3"/>
        <v>0.1314220747</v>
      </c>
      <c r="F10" s="61">
        <f t="shared" si="4"/>
        <v>24.29633727</v>
      </c>
      <c r="G10" s="61">
        <f t="shared" si="5"/>
        <v>19.06286844</v>
      </c>
      <c r="H10" s="61">
        <f t="shared" si="6"/>
        <v>64.85874518</v>
      </c>
      <c r="I10" s="52">
        <f>IFERROR(__xludf.DUMMYFUNCTION("GOOGLEFINANCE(""BOM:"" &amp; A10, ""price"")"),171.75)</f>
        <v>171.75</v>
      </c>
      <c r="J10" s="62">
        <f t="shared" si="7"/>
        <v>325.44</v>
      </c>
      <c r="K10" s="63">
        <f t="shared" si="8"/>
        <v>65215369</v>
      </c>
      <c r="L10" s="52">
        <f t="shared" si="9"/>
        <v>3.441721861</v>
      </c>
      <c r="M10" s="51">
        <v>163.0</v>
      </c>
      <c r="N10" s="51" t="s">
        <v>56</v>
      </c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</row>
    <row r="11">
      <c r="A11" s="59">
        <v>543308.0</v>
      </c>
      <c r="B11" s="59" t="s">
        <v>39</v>
      </c>
      <c r="C11" s="55">
        <f t="shared" si="1"/>
        <v>1.82968234</v>
      </c>
      <c r="D11" s="55">
        <f t="shared" si="2"/>
        <v>16.33487442</v>
      </c>
      <c r="E11" s="55">
        <f t="shared" si="3"/>
        <v>0.2030548327</v>
      </c>
      <c r="F11" s="55">
        <f t="shared" si="4"/>
        <v>32.24513627</v>
      </c>
      <c r="G11" s="55">
        <f t="shared" si="5"/>
        <v>49.46084334</v>
      </c>
      <c r="H11" s="55">
        <f t="shared" si="6"/>
        <v>61.08338607</v>
      </c>
      <c r="I11" s="24">
        <f>IFERROR(__xludf.DUMMYFUNCTION("GOOGLEFINANCE(""BOM:"" &amp; A11, ""price"")"),2059.9)</f>
        <v>2059.9</v>
      </c>
      <c r="J11" s="56">
        <f t="shared" si="7"/>
        <v>1410.64</v>
      </c>
      <c r="K11" s="57">
        <f t="shared" si="8"/>
        <v>79879262</v>
      </c>
      <c r="L11" s="24">
        <f t="shared" si="9"/>
        <v>11.66444251</v>
      </c>
      <c r="M11" s="58">
        <v>109.0</v>
      </c>
      <c r="N11" s="58" t="s">
        <v>55</v>
      </c>
    </row>
    <row r="12">
      <c r="A12" s="59">
        <v>524520.0</v>
      </c>
      <c r="B12" s="59" t="s">
        <v>61</v>
      </c>
      <c r="C12" s="55">
        <f t="shared" si="1"/>
        <v>2.177344951</v>
      </c>
      <c r="D12" s="55">
        <f t="shared" si="2"/>
        <v>4.321888412</v>
      </c>
      <c r="E12" s="55">
        <f t="shared" si="3"/>
        <v>0.258640553</v>
      </c>
      <c r="F12" s="55">
        <f t="shared" si="4"/>
        <v>36.98156682</v>
      </c>
      <c r="G12" s="55">
        <f t="shared" si="5"/>
        <v>52.00940249</v>
      </c>
      <c r="H12" s="55">
        <f t="shared" si="6"/>
        <v>19.55645059</v>
      </c>
      <c r="I12" s="24">
        <f>IFERROR(__xludf.DUMMYFUNCTION("GOOGLEFINANCE(""BOM:"" &amp; A12, ""price"")"),81.17)</f>
        <v>81.17</v>
      </c>
      <c r="J12" s="56">
        <f t="shared" si="7"/>
        <v>86.81</v>
      </c>
      <c r="K12" s="57">
        <f t="shared" si="8"/>
        <v>152049171</v>
      </c>
      <c r="L12" s="24">
        <f t="shared" si="9"/>
        <v>14.21706164</v>
      </c>
      <c r="M12" s="58">
        <v>199.0</v>
      </c>
      <c r="N12" s="58" t="s">
        <v>56</v>
      </c>
    </row>
    <row r="13">
      <c r="A13" s="59">
        <v>523323.0</v>
      </c>
      <c r="B13" s="59" t="s">
        <v>41</v>
      </c>
      <c r="C13" s="55">
        <f t="shared" si="1"/>
        <v>1.460679671</v>
      </c>
      <c r="D13" s="55">
        <f t="shared" si="2"/>
        <v>54.69561243</v>
      </c>
      <c r="E13" s="55">
        <f t="shared" si="3"/>
        <v>0.9360259966</v>
      </c>
      <c r="F13" s="55">
        <f t="shared" si="4"/>
        <v>23.08841148</v>
      </c>
      <c r="G13" s="55">
        <f t="shared" si="5"/>
        <v>36.50806369</v>
      </c>
      <c r="H13" s="55">
        <f t="shared" si="6"/>
        <v>39.72654946</v>
      </c>
      <c r="I13" s="24">
        <f>IFERROR(__xludf.DUMMYFUNCTION("GOOGLEFINANCE(""BOM:"" &amp; A13, ""price"")"),3760.0)</f>
        <v>3760</v>
      </c>
      <c r="J13" s="56">
        <f t="shared" si="7"/>
        <v>609.31</v>
      </c>
      <c r="K13" s="57">
        <f t="shared" si="8"/>
        <v>10123220</v>
      </c>
      <c r="L13" s="24">
        <f t="shared" si="9"/>
        <v>6.246952651</v>
      </c>
      <c r="M13" s="58">
        <v>217.0</v>
      </c>
      <c r="N13" s="58" t="s">
        <v>56</v>
      </c>
    </row>
    <row r="14">
      <c r="A14" s="59">
        <v>532998.0</v>
      </c>
      <c r="B14" s="59" t="s">
        <v>62</v>
      </c>
      <c r="C14" s="55">
        <f t="shared" si="1"/>
        <v>2.236521739</v>
      </c>
      <c r="D14" s="55">
        <f t="shared" si="2"/>
        <v>1.625480769</v>
      </c>
      <c r="E14" s="55">
        <f t="shared" si="3"/>
        <v>0.02270646402</v>
      </c>
      <c r="F14" s="55">
        <f t="shared" si="4"/>
        <v>7.489470793</v>
      </c>
      <c r="G14" s="55">
        <f t="shared" si="5"/>
        <v>38.72973076</v>
      </c>
      <c r="H14" s="55">
        <f t="shared" si="6"/>
        <v>42.25874607</v>
      </c>
      <c r="I14" s="24">
        <f>IFERROR(__xludf.DUMMYFUNCTION("GOOGLEFINANCE(""BOM:"" &amp; A14, ""price"")"),56.3)</f>
        <v>56.3</v>
      </c>
      <c r="J14" s="56">
        <f t="shared" si="7"/>
        <v>54.6</v>
      </c>
      <c r="K14" s="57">
        <f t="shared" si="8"/>
        <v>20795423</v>
      </c>
      <c r="L14" s="24">
        <f t="shared" si="9"/>
        <v>2.144289954</v>
      </c>
      <c r="M14" s="58">
        <v>235.0</v>
      </c>
      <c r="N14" s="58" t="s">
        <v>56</v>
      </c>
    </row>
    <row r="15">
      <c r="A15" s="59">
        <v>543220.0</v>
      </c>
      <c r="B15" s="59" t="s">
        <v>43</v>
      </c>
      <c r="C15" s="55">
        <f t="shared" si="1"/>
        <v>1.320915922</v>
      </c>
      <c r="D15" s="55">
        <f t="shared" si="2"/>
        <v>5.479378307</v>
      </c>
      <c r="E15" s="55">
        <f t="shared" si="3"/>
        <v>0.3421249922</v>
      </c>
      <c r="F15" s="55">
        <f t="shared" si="4"/>
        <v>11.76129771</v>
      </c>
      <c r="G15" s="55">
        <f t="shared" si="5"/>
        <v>130.9459155</v>
      </c>
      <c r="H15" s="55">
        <f t="shared" si="6"/>
        <v>49.36189712</v>
      </c>
      <c r="I15" s="24">
        <f>IFERROR(__xludf.DUMMYFUNCTION("GOOGLEFINANCE(""BOM:"" &amp; A15, ""price"")"),820.4)</f>
        <v>820.4</v>
      </c>
      <c r="J15" s="56">
        <f t="shared" si="7"/>
        <v>6282.47</v>
      </c>
      <c r="K15" s="57">
        <f t="shared" si="8"/>
        <v>969634392</v>
      </c>
      <c r="L15" s="24">
        <f t="shared" si="9"/>
        <v>12.66202712</v>
      </c>
      <c r="M15" s="58">
        <v>127.0</v>
      </c>
      <c r="N15" s="58" t="s">
        <v>55</v>
      </c>
    </row>
    <row r="16">
      <c r="A16" s="59">
        <v>539551.0</v>
      </c>
      <c r="B16" s="59" t="s">
        <v>44</v>
      </c>
      <c r="C16" s="55">
        <f t="shared" si="1"/>
        <v>1.166251828</v>
      </c>
      <c r="D16" s="55">
        <f t="shared" si="2"/>
        <v>6.284400078</v>
      </c>
      <c r="E16" s="55">
        <f t="shared" si="3"/>
        <v>0.5783332438</v>
      </c>
      <c r="F16" s="55">
        <f t="shared" si="4"/>
        <v>28.87064703</v>
      </c>
      <c r="G16" s="55">
        <f t="shared" si="5"/>
        <v>77.33830874</v>
      </c>
      <c r="H16" s="55">
        <f t="shared" si="6"/>
        <v>35.46188209</v>
      </c>
      <c r="I16" s="24">
        <f>IFERROR(__xludf.DUMMYFUNCTION("GOOGLEFINANCE(""BOM:"" &amp; A16, ""price"")"),1293.6)</f>
        <v>1293.6</v>
      </c>
      <c r="J16" s="56">
        <f t="shared" si="7"/>
        <v>1489.36</v>
      </c>
      <c r="K16" s="57">
        <f t="shared" si="8"/>
        <v>204360803</v>
      </c>
      <c r="L16" s="24">
        <f t="shared" si="9"/>
        <v>17.74998219</v>
      </c>
      <c r="M16" s="58">
        <v>145.0</v>
      </c>
      <c r="N16" s="58" t="s">
        <v>55</v>
      </c>
    </row>
    <row r="17">
      <c r="A17" s="59">
        <v>543524.0</v>
      </c>
      <c r="B17" s="59" t="s">
        <v>45</v>
      </c>
      <c r="C17" s="55">
        <f t="shared" si="1"/>
        <v>2.318156402</v>
      </c>
      <c r="D17" s="55">
        <f t="shared" si="2"/>
        <v>4.741047619</v>
      </c>
      <c r="E17" s="55">
        <f t="shared" si="3"/>
        <v>0.9361158574</v>
      </c>
      <c r="F17" s="55">
        <f t="shared" si="4"/>
        <v>31.0794446</v>
      </c>
      <c r="G17" s="55">
        <f t="shared" si="5"/>
        <v>95.43081876</v>
      </c>
      <c r="H17" s="55">
        <f t="shared" si="6"/>
        <v>50.17068436</v>
      </c>
      <c r="I17" s="24">
        <f>IFERROR(__xludf.DUMMYFUNCTION("GOOGLEFINANCE(""BOM:"" &amp; A17, ""price"")"),1295.0)</f>
        <v>1295</v>
      </c>
      <c r="J17" s="56">
        <f t="shared" si="7"/>
        <v>606.26</v>
      </c>
      <c r="K17" s="57">
        <f t="shared" si="8"/>
        <v>101501687</v>
      </c>
      <c r="L17" s="24">
        <f t="shared" si="9"/>
        <v>21.68123984</v>
      </c>
      <c r="M17" s="58">
        <v>163.0</v>
      </c>
      <c r="N17" s="58" t="s">
        <v>55</v>
      </c>
    </row>
    <row r="18">
      <c r="A18" s="59">
        <v>540797.0</v>
      </c>
      <c r="B18" s="59" t="s">
        <v>46</v>
      </c>
      <c r="C18" s="55">
        <f t="shared" si="1"/>
        <v>2.615018846</v>
      </c>
      <c r="D18" s="55">
        <f t="shared" si="2"/>
        <v>7.113415424</v>
      </c>
      <c r="E18" s="55">
        <f t="shared" si="3"/>
        <v>0.16534867</v>
      </c>
      <c r="F18" s="55">
        <f t="shared" si="4"/>
        <v>9.031985667</v>
      </c>
      <c r="G18" s="55">
        <f t="shared" si="5"/>
        <v>47.87940898</v>
      </c>
      <c r="H18" s="55">
        <f t="shared" si="6"/>
        <v>25.0207567</v>
      </c>
      <c r="I18" s="24">
        <f>IFERROR(__xludf.DUMMYFUNCTION("GOOGLEFINANCE(""BOM:"" &amp; A18, ""price"")"),237.0)</f>
        <v>237</v>
      </c>
      <c r="J18" s="56">
        <f t="shared" si="7"/>
        <v>876.19</v>
      </c>
      <c r="K18" s="57">
        <f t="shared" si="8"/>
        <v>107988017</v>
      </c>
      <c r="L18" s="24">
        <f t="shared" si="9"/>
        <v>2.920960069</v>
      </c>
      <c r="M18" s="58">
        <v>181.0</v>
      </c>
      <c r="N18" s="58" t="s">
        <v>55</v>
      </c>
    </row>
    <row r="19">
      <c r="A19" s="59">
        <v>539378.0</v>
      </c>
      <c r="B19" s="59" t="s">
        <v>63</v>
      </c>
      <c r="C19" s="55">
        <f t="shared" si="1"/>
        <v>1.016966068</v>
      </c>
      <c r="D19" s="55">
        <f t="shared" si="2"/>
        <v>-0.06807511737</v>
      </c>
      <c r="E19" s="55">
        <f t="shared" si="3"/>
        <v>1.234256927</v>
      </c>
      <c r="F19" s="55">
        <f t="shared" si="4"/>
        <v>-16.87657431</v>
      </c>
      <c r="G19" s="55">
        <f t="shared" si="5"/>
        <v>-0.843752</v>
      </c>
      <c r="H19" s="55">
        <f t="shared" si="6"/>
        <v>100</v>
      </c>
      <c r="I19" s="24">
        <f>IFERROR(__xludf.DUMMYFUNCTION("GOOGLEFINANCE(""BOM:"" &amp; A19, ""price"")"),25.62)</f>
        <v>25.62</v>
      </c>
      <c r="J19" s="56">
        <f t="shared" si="7"/>
        <v>3.97</v>
      </c>
      <c r="K19" s="57">
        <f t="shared" si="8"/>
        <v>197600</v>
      </c>
      <c r="L19" s="24">
        <f t="shared" si="9"/>
        <v>0.127519194</v>
      </c>
      <c r="M19" s="58">
        <v>325.0</v>
      </c>
      <c r="N19" s="58" t="s">
        <v>56</v>
      </c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>
      <c r="A21" s="54">
        <v>508869.0</v>
      </c>
      <c r="B21" s="54" t="s">
        <v>30</v>
      </c>
      <c r="C21" s="24">
        <f t="shared" ref="C21:C38" si="10">RANK(C2,$C$2:$C$19)</f>
        <v>6</v>
      </c>
      <c r="D21" s="24">
        <f t="shared" ref="D21:D38" si="11">RANK(D2,$D$2:$D$19)</f>
        <v>1</v>
      </c>
      <c r="E21" s="24">
        <f t="shared" ref="E21:E38" si="12">RANK(E2,$E$2:$E$19,1)</f>
        <v>12</v>
      </c>
      <c r="F21" s="24">
        <f t="shared" ref="F21:F38" si="13">RANK(F2,$F$2:$F$19)</f>
        <v>7</v>
      </c>
      <c r="G21" s="24">
        <f t="shared" ref="G21:G38" si="14">RANK(G2,$G$2:$G$19,1)</f>
        <v>15</v>
      </c>
      <c r="H21" s="24"/>
      <c r="I21" s="24"/>
      <c r="J21" s="24">
        <f t="shared" ref="J21:J38" si="15">RANK(J2,$J$2:$J$19)</f>
        <v>3</v>
      </c>
      <c r="K21" s="24">
        <f t="shared" ref="K21:K38" si="16">RANK(K2,$K$2:$K$19)</f>
        <v>6</v>
      </c>
      <c r="L21" s="24">
        <f t="shared" ref="L21:L38" si="17">RANK(L2,$L$2:$L$19,1)</f>
        <v>15</v>
      </c>
      <c r="M21" s="24"/>
      <c r="N21" s="24"/>
    </row>
    <row r="22">
      <c r="A22" s="54">
        <v>542919.0</v>
      </c>
      <c r="B22" s="54" t="s">
        <v>31</v>
      </c>
      <c r="C22" s="24">
        <f t="shared" si="10"/>
        <v>16</v>
      </c>
      <c r="D22" s="24">
        <f t="shared" si="11"/>
        <v>3</v>
      </c>
      <c r="E22" s="24">
        <f t="shared" si="12"/>
        <v>8</v>
      </c>
      <c r="F22" s="24">
        <f t="shared" si="13"/>
        <v>13</v>
      </c>
      <c r="G22" s="24">
        <f t="shared" si="14"/>
        <v>13</v>
      </c>
      <c r="H22" s="24"/>
      <c r="I22" s="24"/>
      <c r="J22" s="24">
        <f t="shared" si="15"/>
        <v>11</v>
      </c>
      <c r="K22" s="24">
        <f t="shared" si="16"/>
        <v>8</v>
      </c>
      <c r="L22" s="24">
        <f t="shared" si="17"/>
        <v>10</v>
      </c>
      <c r="M22" s="24"/>
      <c r="N22" s="24"/>
    </row>
    <row r="23">
      <c r="A23" s="54">
        <v>540975.0</v>
      </c>
      <c r="B23" s="54" t="s">
        <v>32</v>
      </c>
      <c r="C23" s="24">
        <f t="shared" si="10"/>
        <v>12</v>
      </c>
      <c r="D23" s="24">
        <f t="shared" si="11"/>
        <v>8</v>
      </c>
      <c r="E23" s="24">
        <f t="shared" si="12"/>
        <v>16</v>
      </c>
      <c r="F23" s="24">
        <f t="shared" si="13"/>
        <v>10</v>
      </c>
      <c r="G23" s="24">
        <f t="shared" si="14"/>
        <v>6</v>
      </c>
      <c r="H23" s="24"/>
      <c r="I23" s="24"/>
      <c r="J23" s="24">
        <f t="shared" si="15"/>
        <v>4</v>
      </c>
      <c r="K23" s="24">
        <f t="shared" si="16"/>
        <v>3</v>
      </c>
      <c r="L23" s="24">
        <f t="shared" si="17"/>
        <v>7</v>
      </c>
      <c r="M23" s="24"/>
      <c r="N23" s="24"/>
    </row>
    <row r="24">
      <c r="A24" s="59">
        <v>526783.0</v>
      </c>
      <c r="B24" s="54" t="s">
        <v>57</v>
      </c>
      <c r="C24" s="24">
        <f t="shared" si="10"/>
        <v>15</v>
      </c>
      <c r="D24" s="24">
        <f t="shared" si="11"/>
        <v>5</v>
      </c>
      <c r="E24" s="24">
        <f t="shared" si="12"/>
        <v>18</v>
      </c>
      <c r="F24" s="24">
        <f t="shared" si="13"/>
        <v>1</v>
      </c>
      <c r="G24" s="24">
        <f t="shared" si="14"/>
        <v>12</v>
      </c>
      <c r="H24" s="24"/>
      <c r="I24" s="24"/>
      <c r="J24" s="24">
        <f t="shared" si="15"/>
        <v>15</v>
      </c>
      <c r="K24" s="24">
        <f t="shared" si="16"/>
        <v>17</v>
      </c>
      <c r="L24" s="24">
        <f t="shared" si="17"/>
        <v>17</v>
      </c>
      <c r="M24" s="24"/>
      <c r="N24" s="24"/>
    </row>
    <row r="25">
      <c r="A25" s="59">
        <v>532843.0</v>
      </c>
      <c r="B25" s="54" t="s">
        <v>34</v>
      </c>
      <c r="C25" s="24">
        <f t="shared" si="10"/>
        <v>17</v>
      </c>
      <c r="D25" s="24">
        <f t="shared" si="11"/>
        <v>6</v>
      </c>
      <c r="E25" s="24">
        <f t="shared" si="12"/>
        <v>10</v>
      </c>
      <c r="F25" s="24">
        <f t="shared" si="13"/>
        <v>11</v>
      </c>
      <c r="G25" s="24">
        <f t="shared" si="14"/>
        <v>11</v>
      </c>
      <c r="H25" s="24"/>
      <c r="I25" s="24"/>
      <c r="J25" s="24">
        <f t="shared" si="15"/>
        <v>1</v>
      </c>
      <c r="K25" s="24">
        <f t="shared" si="16"/>
        <v>2</v>
      </c>
      <c r="L25" s="24">
        <f t="shared" si="17"/>
        <v>8</v>
      </c>
      <c r="M25" s="24"/>
      <c r="N25" s="24"/>
    </row>
    <row r="26">
      <c r="A26" s="59">
        <v>523696.0</v>
      </c>
      <c r="B26" s="54" t="s">
        <v>58</v>
      </c>
      <c r="C26" s="24">
        <f t="shared" si="10"/>
        <v>8</v>
      </c>
      <c r="D26" s="24">
        <f t="shared" si="11"/>
        <v>14</v>
      </c>
      <c r="E26" s="24">
        <f t="shared" si="12"/>
        <v>11</v>
      </c>
      <c r="F26" s="24">
        <f t="shared" si="13"/>
        <v>17</v>
      </c>
      <c r="G26" s="24">
        <f t="shared" si="14"/>
        <v>1</v>
      </c>
      <c r="H26" s="24"/>
      <c r="I26" s="24"/>
      <c r="J26" s="24">
        <f t="shared" si="15"/>
        <v>14</v>
      </c>
      <c r="K26" s="24">
        <f t="shared" si="16"/>
        <v>14</v>
      </c>
      <c r="L26" s="24">
        <f t="shared" si="17"/>
        <v>2</v>
      </c>
      <c r="M26" s="24"/>
      <c r="N26" s="24"/>
    </row>
    <row r="27">
      <c r="A27" s="59">
        <v>543520.0</v>
      </c>
      <c r="B27" s="54" t="s">
        <v>59</v>
      </c>
      <c r="C27" s="24">
        <f t="shared" si="10"/>
        <v>18</v>
      </c>
      <c r="D27" s="24">
        <f t="shared" si="11"/>
        <v>17</v>
      </c>
      <c r="E27" s="24">
        <f t="shared" si="12"/>
        <v>4</v>
      </c>
      <c r="F27" s="24">
        <f t="shared" si="13"/>
        <v>3</v>
      </c>
      <c r="G27" s="24">
        <f t="shared" si="14"/>
        <v>3</v>
      </c>
      <c r="H27" s="24"/>
      <c r="I27" s="24"/>
      <c r="J27" s="24">
        <f t="shared" si="15"/>
        <v>17</v>
      </c>
      <c r="K27" s="24">
        <f t="shared" si="16"/>
        <v>15</v>
      </c>
      <c r="L27" s="24">
        <f t="shared" si="17"/>
        <v>4</v>
      </c>
      <c r="M27" s="24"/>
      <c r="N27" s="24"/>
    </row>
    <row r="28">
      <c r="A28" s="59">
        <v>539787.0</v>
      </c>
      <c r="B28" s="54" t="s">
        <v>60</v>
      </c>
      <c r="C28" s="24">
        <f t="shared" si="10"/>
        <v>13</v>
      </c>
      <c r="D28" s="24">
        <f t="shared" si="11"/>
        <v>11</v>
      </c>
      <c r="E28" s="24">
        <f t="shared" si="12"/>
        <v>15</v>
      </c>
      <c r="F28" s="24">
        <f t="shared" si="13"/>
        <v>14</v>
      </c>
      <c r="G28" s="24">
        <f t="shared" si="14"/>
        <v>16</v>
      </c>
      <c r="H28" s="24"/>
      <c r="I28" s="24"/>
      <c r="J28" s="24">
        <f t="shared" si="15"/>
        <v>7</v>
      </c>
      <c r="K28" s="24">
        <f t="shared" si="16"/>
        <v>7</v>
      </c>
      <c r="L28" s="24">
        <f t="shared" si="17"/>
        <v>9</v>
      </c>
      <c r="M28" s="24"/>
      <c r="N28" s="24"/>
    </row>
    <row r="29">
      <c r="A29" s="60">
        <v>532150.0</v>
      </c>
      <c r="B29" s="60" t="s">
        <v>38</v>
      </c>
      <c r="C29" s="52">
        <f t="shared" si="10"/>
        <v>7</v>
      </c>
      <c r="D29" s="52">
        <f t="shared" si="11"/>
        <v>15</v>
      </c>
      <c r="E29" s="52">
        <f t="shared" si="12"/>
        <v>2</v>
      </c>
      <c r="F29" s="52">
        <f t="shared" si="13"/>
        <v>8</v>
      </c>
      <c r="G29" s="52">
        <f t="shared" si="14"/>
        <v>4</v>
      </c>
      <c r="H29" s="52"/>
      <c r="I29" s="52"/>
      <c r="J29" s="52">
        <f t="shared" si="15"/>
        <v>12</v>
      </c>
      <c r="K29" s="52">
        <f t="shared" si="16"/>
        <v>12</v>
      </c>
      <c r="L29" s="52">
        <f t="shared" si="17"/>
        <v>6</v>
      </c>
      <c r="M29" s="52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>
      <c r="A30" s="59">
        <v>543308.0</v>
      </c>
      <c r="B30" s="59" t="s">
        <v>39</v>
      </c>
      <c r="C30" s="24">
        <f t="shared" si="10"/>
        <v>5</v>
      </c>
      <c r="D30" s="24">
        <f t="shared" si="11"/>
        <v>4</v>
      </c>
      <c r="E30" s="24">
        <f t="shared" si="12"/>
        <v>5</v>
      </c>
      <c r="F30" s="24">
        <f t="shared" si="13"/>
        <v>4</v>
      </c>
      <c r="G30" s="24">
        <f t="shared" si="14"/>
        <v>9</v>
      </c>
      <c r="H30" s="24"/>
      <c r="I30" s="24"/>
      <c r="J30" s="24">
        <f t="shared" si="15"/>
        <v>6</v>
      </c>
      <c r="K30" s="24">
        <f t="shared" si="16"/>
        <v>11</v>
      </c>
      <c r="L30" s="24">
        <f t="shared" si="17"/>
        <v>12</v>
      </c>
      <c r="M30" s="24"/>
      <c r="N30" s="24"/>
    </row>
    <row r="31">
      <c r="A31" s="59">
        <v>524520.0</v>
      </c>
      <c r="B31" s="59" t="s">
        <v>61</v>
      </c>
      <c r="C31" s="24">
        <f t="shared" si="10"/>
        <v>4</v>
      </c>
      <c r="D31" s="24">
        <f t="shared" si="11"/>
        <v>13</v>
      </c>
      <c r="E31" s="24">
        <f t="shared" si="12"/>
        <v>6</v>
      </c>
      <c r="F31" s="24">
        <f t="shared" si="13"/>
        <v>2</v>
      </c>
      <c r="G31" s="24">
        <f t="shared" si="14"/>
        <v>10</v>
      </c>
      <c r="H31" s="24"/>
      <c r="I31" s="24"/>
      <c r="J31" s="24">
        <f t="shared" si="15"/>
        <v>13</v>
      </c>
      <c r="K31" s="24">
        <f t="shared" si="16"/>
        <v>5</v>
      </c>
      <c r="L31" s="24">
        <f t="shared" si="17"/>
        <v>14</v>
      </c>
      <c r="M31" s="24"/>
      <c r="N31" s="24"/>
    </row>
    <row r="32">
      <c r="A32" s="59">
        <v>523323.0</v>
      </c>
      <c r="B32" s="59" t="s">
        <v>41</v>
      </c>
      <c r="C32" s="24">
        <f t="shared" si="10"/>
        <v>9</v>
      </c>
      <c r="D32" s="24">
        <f t="shared" si="11"/>
        <v>2</v>
      </c>
      <c r="E32" s="24">
        <f t="shared" si="12"/>
        <v>13</v>
      </c>
      <c r="F32" s="24">
        <f t="shared" si="13"/>
        <v>9</v>
      </c>
      <c r="G32" s="24">
        <f t="shared" si="14"/>
        <v>5</v>
      </c>
      <c r="H32" s="24"/>
      <c r="I32" s="24"/>
      <c r="J32" s="24">
        <f t="shared" si="15"/>
        <v>9</v>
      </c>
      <c r="K32" s="24">
        <f t="shared" si="16"/>
        <v>16</v>
      </c>
      <c r="L32" s="24">
        <f t="shared" si="17"/>
        <v>11</v>
      </c>
      <c r="M32" s="24"/>
      <c r="N32" s="24"/>
    </row>
    <row r="33">
      <c r="A33" s="59">
        <v>532998.0</v>
      </c>
      <c r="B33" s="59" t="s">
        <v>62</v>
      </c>
      <c r="C33" s="24">
        <f t="shared" si="10"/>
        <v>3</v>
      </c>
      <c r="D33" s="24">
        <f t="shared" si="11"/>
        <v>16</v>
      </c>
      <c r="E33" s="24">
        <f t="shared" si="12"/>
        <v>1</v>
      </c>
      <c r="F33" s="24">
        <f t="shared" si="13"/>
        <v>16</v>
      </c>
      <c r="G33" s="24">
        <f t="shared" si="14"/>
        <v>7</v>
      </c>
      <c r="H33" s="24"/>
      <c r="I33" s="24"/>
      <c r="J33" s="24">
        <f t="shared" si="15"/>
        <v>16</v>
      </c>
      <c r="K33" s="24">
        <f t="shared" si="16"/>
        <v>13</v>
      </c>
      <c r="L33" s="24">
        <f t="shared" si="17"/>
        <v>3</v>
      </c>
      <c r="M33" s="24"/>
      <c r="N33" s="24"/>
    </row>
    <row r="34">
      <c r="A34" s="59">
        <v>543220.0</v>
      </c>
      <c r="B34" s="59" t="s">
        <v>43</v>
      </c>
      <c r="C34" s="24">
        <f t="shared" si="10"/>
        <v>10</v>
      </c>
      <c r="D34" s="24">
        <f t="shared" si="11"/>
        <v>10</v>
      </c>
      <c r="E34" s="24">
        <f t="shared" si="12"/>
        <v>7</v>
      </c>
      <c r="F34" s="24">
        <f t="shared" si="13"/>
        <v>12</v>
      </c>
      <c r="G34" s="24">
        <f t="shared" si="14"/>
        <v>18</v>
      </c>
      <c r="H34" s="24"/>
      <c r="I34" s="24"/>
      <c r="J34" s="24">
        <f t="shared" si="15"/>
        <v>2</v>
      </c>
      <c r="K34" s="24">
        <f t="shared" si="16"/>
        <v>1</v>
      </c>
      <c r="L34" s="24">
        <f t="shared" si="17"/>
        <v>13</v>
      </c>
      <c r="M34" s="24"/>
      <c r="N34" s="24"/>
    </row>
    <row r="35">
      <c r="A35" s="59">
        <v>539551.0</v>
      </c>
      <c r="B35" s="59" t="s">
        <v>44</v>
      </c>
      <c r="C35" s="24">
        <f t="shared" si="10"/>
        <v>11</v>
      </c>
      <c r="D35" s="24">
        <f t="shared" si="11"/>
        <v>9</v>
      </c>
      <c r="E35" s="24">
        <f t="shared" si="12"/>
        <v>9</v>
      </c>
      <c r="F35" s="24">
        <f t="shared" si="13"/>
        <v>6</v>
      </c>
      <c r="G35" s="24">
        <f t="shared" si="14"/>
        <v>14</v>
      </c>
      <c r="H35" s="24"/>
      <c r="I35" s="24"/>
      <c r="J35" s="24">
        <f t="shared" si="15"/>
        <v>5</v>
      </c>
      <c r="K35" s="24">
        <f t="shared" si="16"/>
        <v>4</v>
      </c>
      <c r="L35" s="24">
        <f t="shared" si="17"/>
        <v>16</v>
      </c>
      <c r="M35" s="24"/>
      <c r="N35" s="24"/>
    </row>
    <row r="36">
      <c r="A36" s="59">
        <v>543524.0</v>
      </c>
      <c r="B36" s="59" t="s">
        <v>45</v>
      </c>
      <c r="C36" s="24">
        <f t="shared" si="10"/>
        <v>2</v>
      </c>
      <c r="D36" s="24">
        <f t="shared" si="11"/>
        <v>12</v>
      </c>
      <c r="E36" s="24">
        <f t="shared" si="12"/>
        <v>14</v>
      </c>
      <c r="F36" s="24">
        <f t="shared" si="13"/>
        <v>5</v>
      </c>
      <c r="G36" s="24">
        <f t="shared" si="14"/>
        <v>17</v>
      </c>
      <c r="H36" s="24"/>
      <c r="I36" s="24"/>
      <c r="J36" s="24">
        <f t="shared" si="15"/>
        <v>10</v>
      </c>
      <c r="K36" s="24">
        <f t="shared" si="16"/>
        <v>10</v>
      </c>
      <c r="L36" s="24">
        <f t="shared" si="17"/>
        <v>18</v>
      </c>
      <c r="M36" s="24"/>
      <c r="N36" s="24"/>
    </row>
    <row r="37">
      <c r="A37" s="59">
        <v>540797.0</v>
      </c>
      <c r="B37" s="59" t="s">
        <v>46</v>
      </c>
      <c r="C37" s="24">
        <f t="shared" si="10"/>
        <v>1</v>
      </c>
      <c r="D37" s="24">
        <f t="shared" si="11"/>
        <v>7</v>
      </c>
      <c r="E37" s="24">
        <f t="shared" si="12"/>
        <v>3</v>
      </c>
      <c r="F37" s="24">
        <f t="shared" si="13"/>
        <v>15</v>
      </c>
      <c r="G37" s="24">
        <f t="shared" si="14"/>
        <v>8</v>
      </c>
      <c r="H37" s="24"/>
      <c r="I37" s="24"/>
      <c r="J37" s="24">
        <f t="shared" si="15"/>
        <v>8</v>
      </c>
      <c r="K37" s="24">
        <f t="shared" si="16"/>
        <v>9</v>
      </c>
      <c r="L37" s="24">
        <f t="shared" si="17"/>
        <v>5</v>
      </c>
      <c r="M37" s="24"/>
      <c r="N37" s="24"/>
    </row>
    <row r="38">
      <c r="A38" s="59">
        <v>539378.0</v>
      </c>
      <c r="B38" s="59" t="s">
        <v>63</v>
      </c>
      <c r="C38" s="24">
        <f t="shared" si="10"/>
        <v>14</v>
      </c>
      <c r="D38" s="24">
        <f t="shared" si="11"/>
        <v>18</v>
      </c>
      <c r="E38" s="24">
        <f t="shared" si="12"/>
        <v>17</v>
      </c>
      <c r="F38" s="24">
        <f t="shared" si="13"/>
        <v>18</v>
      </c>
      <c r="G38" s="24">
        <f t="shared" si="14"/>
        <v>2</v>
      </c>
      <c r="H38" s="24"/>
      <c r="I38" s="24"/>
      <c r="J38" s="24">
        <f t="shared" si="15"/>
        <v>18</v>
      </c>
      <c r="K38" s="24">
        <f t="shared" si="16"/>
        <v>18</v>
      </c>
      <c r="L38" s="24">
        <f t="shared" si="17"/>
        <v>1</v>
      </c>
      <c r="M38" s="24"/>
      <c r="N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</row>
  </sheetData>
  <conditionalFormatting sqref="C21:C38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21:D38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21:E38">
    <cfRule type="colorScale" priority="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F21:F38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G21:G38">
    <cfRule type="colorScale" priority="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J21:J38">
    <cfRule type="colorScale" priority="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K21:K38">
    <cfRule type="colorScale" priority="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L21:L38">
    <cfRule type="colorScale" priority="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